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 tabRatio="831" activeTab="3"/>
  </bookViews>
  <sheets>
    <sheet name="krebsiti" sheetId="8" r:id="rId1"/>
    <sheet name="#1" sheetId="19" r:id="rId2"/>
    <sheet name="#2" sheetId="17" r:id="rId3"/>
    <sheet name="#3" sheetId="6" r:id="rId4"/>
    <sheet name="moc.uwy." sheetId="3" r:id="rId5"/>
  </sheets>
  <definedNames>
    <definedName name="_xlnm.Print_Area" localSheetId="1">'#1'!$A$1:$M$233</definedName>
    <definedName name="_xlnm.Print_Area" localSheetId="2">'#2'!$A$1:$M$88</definedName>
    <definedName name="_xlnm.Print_Area" localSheetId="3">'#3'!$A$1:$M$31</definedName>
    <definedName name="_xlnm.Print_Area" localSheetId="0">krebsiti!$A$1:$E$18</definedName>
    <definedName name="_xlnm.Print_Area" localSheetId="4">moc.uwy.!$A$1:$E$115</definedName>
    <definedName name="_xlnm.Print_Titles" localSheetId="1">'#1'!$10:$10</definedName>
    <definedName name="_xlnm.Print_Titles" localSheetId="2">'#2'!$9:$9</definedName>
    <definedName name="_xlnm.Print_Titles" localSheetId="3">'#3'!$9:$9</definedName>
    <definedName name="_xlnm.Print_Titles" localSheetId="0">krebsiti!$7:$7</definedName>
    <definedName name="_xlnm.Print_Titles" localSheetId="4">moc.uwy.!$6:$6</definedName>
  </definedNames>
  <calcPr calcId="162913"/>
  <fileRecoveryPr autoRecover="0"/>
</workbook>
</file>

<file path=xl/calcChain.xml><?xml version="1.0" encoding="utf-8"?>
<calcChain xmlns="http://schemas.openxmlformats.org/spreadsheetml/2006/main">
  <c r="F29" i="17" l="1"/>
  <c r="E205" i="19" l="1"/>
  <c r="E114" i="19"/>
  <c r="E87" i="19"/>
  <c r="F62" i="17" l="1"/>
  <c r="F63" i="17" s="1"/>
  <c r="F57" i="17"/>
  <c r="F58" i="17" s="1"/>
  <c r="F64" i="17" l="1"/>
  <c r="F61" i="17"/>
  <c r="F66" i="17"/>
  <c r="F59" i="17"/>
  <c r="A1" i="3" l="1"/>
  <c r="A1" i="6"/>
  <c r="F53" i="17"/>
  <c r="F46" i="17"/>
  <c r="F48" i="17" s="1"/>
  <c r="F41" i="17"/>
  <c r="F43" i="17" s="1"/>
  <c r="F30" i="17"/>
  <c r="F27" i="17"/>
  <c r="F28" i="17" s="1"/>
  <c r="F26" i="17"/>
  <c r="F25" i="17"/>
  <c r="F23" i="17"/>
  <c r="F22" i="17"/>
  <c r="F21" i="17"/>
  <c r="F20" i="17"/>
  <c r="F16" i="17"/>
  <c r="F17" i="17" s="1"/>
  <c r="F12" i="17"/>
  <c r="A1" i="17"/>
  <c r="F212" i="19"/>
  <c r="F210" i="19"/>
  <c r="F211" i="19" s="1"/>
  <c r="F209" i="19"/>
  <c r="E203" i="19"/>
  <c r="E202" i="19"/>
  <c r="F198" i="19"/>
  <c r="F188" i="19"/>
  <c r="F197" i="19" s="1"/>
  <c r="F187" i="19"/>
  <c r="F196" i="19" s="1"/>
  <c r="F186" i="19"/>
  <c r="F185" i="19"/>
  <c r="F195" i="19" s="1"/>
  <c r="F184" i="19"/>
  <c r="F182" i="19"/>
  <c r="F180" i="19"/>
  <c r="F173" i="19"/>
  <c r="F175" i="19" s="1"/>
  <c r="F168" i="19"/>
  <c r="F171" i="19" s="1"/>
  <c r="E166" i="19"/>
  <c r="F163" i="19"/>
  <c r="F164" i="19" s="1"/>
  <c r="F161" i="19"/>
  <c r="F162" i="19" s="1"/>
  <c r="E157" i="19"/>
  <c r="F153" i="19"/>
  <c r="F155" i="19" s="1"/>
  <c r="F151" i="19"/>
  <c r="F150" i="19"/>
  <c r="F147" i="19"/>
  <c r="F149" i="19" s="1"/>
  <c r="E146" i="19"/>
  <c r="E145" i="19"/>
  <c r="E143" i="19"/>
  <c r="F128" i="19"/>
  <c r="F127" i="19"/>
  <c r="F135" i="19" s="1"/>
  <c r="F125" i="19"/>
  <c r="E120" i="19"/>
  <c r="E119" i="19"/>
  <c r="E118" i="19"/>
  <c r="F117" i="19"/>
  <c r="E111" i="19"/>
  <c r="F106" i="19"/>
  <c r="F107" i="19" s="1"/>
  <c r="F95" i="19"/>
  <c r="F101" i="19" s="1"/>
  <c r="F94" i="19"/>
  <c r="F89" i="19"/>
  <c r="F90" i="19" s="1"/>
  <c r="F92" i="19" s="1"/>
  <c r="E84" i="19"/>
  <c r="F70" i="19"/>
  <c r="F71" i="19" s="1"/>
  <c r="F79" i="19" s="1"/>
  <c r="F68" i="19"/>
  <c r="F69" i="19" s="1"/>
  <c r="F78" i="19" s="1"/>
  <c r="F66" i="19"/>
  <c r="F67" i="19" s="1"/>
  <c r="F77" i="19" s="1"/>
  <c r="F64" i="19"/>
  <c r="F65" i="19" s="1"/>
  <c r="F76" i="19" s="1"/>
  <c r="F61" i="19"/>
  <c r="E59" i="19"/>
  <c r="F54" i="19"/>
  <c r="F57" i="19" s="1"/>
  <c r="F53" i="19"/>
  <c r="F52" i="19"/>
  <c r="E49" i="19"/>
  <c r="F44" i="19"/>
  <c r="F51" i="19" s="1"/>
  <c r="F42" i="19"/>
  <c r="F35" i="19"/>
  <c r="F41" i="19" s="1"/>
  <c r="E33" i="19"/>
  <c r="F30" i="19"/>
  <c r="F34" i="19" s="1"/>
  <c r="F25" i="19"/>
  <c r="F29" i="19" s="1"/>
  <c r="F15" i="19"/>
  <c r="F16" i="19" s="1"/>
  <c r="F13" i="19"/>
  <c r="A1" i="19"/>
  <c r="C10" i="8"/>
  <c r="C9" i="8"/>
  <c r="C8" i="8"/>
  <c r="N14" i="6" l="1"/>
  <c r="F42" i="17"/>
  <c r="F45" i="17"/>
  <c r="F13" i="17"/>
  <c r="F14" i="17"/>
  <c r="F15" i="17" s="1"/>
  <c r="F44" i="17"/>
  <c r="F18" i="17"/>
  <c r="F31" i="17"/>
  <c r="F32" i="17"/>
  <c r="F110" i="19"/>
  <c r="F100" i="19"/>
  <c r="F96" i="19"/>
  <c r="F102" i="19" s="1"/>
  <c r="F39" i="19"/>
  <c r="F167" i="19"/>
  <c r="F18" i="19"/>
  <c r="F19" i="19" s="1"/>
  <c r="F49" i="19"/>
  <c r="F58" i="19"/>
  <c r="F38" i="19"/>
  <c r="F114" i="19"/>
  <c r="F120" i="19"/>
  <c r="F172" i="19"/>
  <c r="F48" i="19"/>
  <c r="F129" i="19"/>
  <c r="F130" i="19" s="1"/>
  <c r="F31" i="19"/>
  <c r="F20" i="19"/>
  <c r="F22" i="19" s="1"/>
  <c r="F47" i="19"/>
  <c r="F55" i="19"/>
  <c r="F60" i="19"/>
  <c r="F83" i="19"/>
  <c r="F88" i="19" s="1"/>
  <c r="F136" i="19"/>
  <c r="F169" i="19"/>
  <c r="F33" i="19"/>
  <c r="F32" i="19"/>
  <c r="F59" i="19"/>
  <c r="F141" i="19"/>
  <c r="F142" i="19" s="1"/>
  <c r="F201" i="19"/>
  <c r="F202" i="19" s="1"/>
  <c r="F72" i="19"/>
  <c r="F177" i="19"/>
  <c r="F178" i="19"/>
  <c r="F174" i="19"/>
  <c r="F176" i="19"/>
  <c r="F179" i="19"/>
  <c r="F122" i="19"/>
  <c r="F121" i="19"/>
  <c r="F119" i="19"/>
  <c r="F118" i="19"/>
  <c r="F152" i="19"/>
  <c r="F148" i="19"/>
  <c r="F27" i="19"/>
  <c r="F28" i="19" s="1"/>
  <c r="F17" i="19"/>
  <c r="F26" i="19"/>
  <c r="F91" i="19"/>
  <c r="F108" i="19"/>
  <c r="F158" i="19"/>
  <c r="F154" i="19"/>
  <c r="F157" i="19"/>
  <c r="F156" i="19"/>
  <c r="F36" i="19"/>
  <c r="F40" i="19"/>
  <c r="F45" i="19"/>
  <c r="F50" i="19"/>
  <c r="F56" i="19"/>
  <c r="F170" i="19"/>
  <c r="F183" i="19"/>
  <c r="F134" i="19"/>
  <c r="F165" i="19"/>
  <c r="F166" i="19"/>
  <c r="F37" i="19"/>
  <c r="F46" i="19"/>
  <c r="F113" i="19"/>
  <c r="F97" i="19"/>
  <c r="F111" i="19"/>
  <c r="F98" i="19"/>
  <c r="F112" i="19"/>
  <c r="F115" i="19"/>
  <c r="F51" i="17"/>
  <c r="F47" i="17"/>
  <c r="F144" i="19" l="1"/>
  <c r="F131" i="19"/>
  <c r="F132" i="19"/>
  <c r="F138" i="19"/>
  <c r="F143" i="19"/>
  <c r="F140" i="19"/>
  <c r="F206" i="19"/>
  <c r="F146" i="19"/>
  <c r="F84" i="19"/>
  <c r="F87" i="19"/>
  <c r="F137" i="19"/>
  <c r="F133" i="19"/>
  <c r="F203" i="19"/>
  <c r="F86" i="19"/>
  <c r="F21" i="19"/>
  <c r="F204" i="19"/>
  <c r="F205" i="19"/>
  <c r="F103" i="19"/>
  <c r="F104" i="19"/>
  <c r="F145" i="19"/>
  <c r="F85" i="19"/>
  <c r="F194" i="19"/>
  <c r="F189" i="19"/>
  <c r="F80" i="19"/>
  <c r="F75" i="19"/>
  <c r="F81" i="19"/>
  <c r="F73" i="19"/>
  <c r="F82" i="19"/>
  <c r="F74" i="19"/>
  <c r="N34" i="17" l="1"/>
  <c r="N70" i="17"/>
  <c r="F190" i="19"/>
  <c r="F199" i="19"/>
  <c r="F191" i="19"/>
  <c r="F200" i="19"/>
  <c r="F192" i="19"/>
  <c r="F193" i="19"/>
  <c r="N214" i="19" l="1"/>
</calcChain>
</file>

<file path=xl/comments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ტიპი: კალათბურთის ფარი
,,შპს ღობე" 
 მის: წერეთლის 118
 ელ-ფოსტა: Ltdgobe@gmail.com
 web: www.Ghobe.ge
 ტელ: 568199995, 555511605.</t>
        </r>
      </text>
    </comment>
  </commentList>
</comments>
</file>

<file path=xl/sharedStrings.xml><?xml version="1.0" encoding="utf-8"?>
<sst xmlns="http://schemas.openxmlformats.org/spreadsheetml/2006/main" count="915" uniqueCount="288">
  <si>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</si>
  <si>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</si>
  <si>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</si>
  <si>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</si>
  <si>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</si>
  <si>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</si>
  <si>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</si>
  <si>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</si>
  <si>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</si>
  <si>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</si>
  <si>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</si>
  <si>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</si>
  <si>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</si>
  <si>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>dRg</t>
  </si>
  <si>
    <t>c</t>
  </si>
  <si>
    <t>lokaluri ხ ა რ ჯ თ ა ღ რ ი ც ვ ხ ვ ა #1</t>
  </si>
  <si>
    <t>SeniSvna</t>
  </si>
  <si>
    <t>moculobaTa uwyisi</t>
  </si>
  <si>
    <t>kbm</t>
  </si>
  <si>
    <t>kvm</t>
  </si>
  <si>
    <t>kg</t>
  </si>
  <si>
    <t>tn</t>
  </si>
  <si>
    <t>zumfara</t>
  </si>
  <si>
    <t>sul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</si>
  <si>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</si>
  <si>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</si>
  <si>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</si>
  <si>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</si>
  <si>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</si>
  <si>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</si>
  <si>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</si>
  <si>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</si>
  <si>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</si>
  <si>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manqanebi</t>
  </si>
  <si>
    <t>sxva masalebi</t>
  </si>
  <si>
    <t xml:space="preserve">Sromis danaxarjebi  </t>
  </si>
  <si>
    <t>sabazro</t>
  </si>
  <si>
    <t>snf 15,15</t>
  </si>
  <si>
    <t>5</t>
  </si>
  <si>
    <t>zednadebi xarjebi                 (muSa mosamsaxureTa ZiriTadi xelfasidan)</t>
  </si>
  <si>
    <t>gegmiuri dagroveba</t>
  </si>
  <si>
    <t>lokaluri ხ ა რ ჯ თ ა ღ რ ი ც ვ ხ ვ ა #3</t>
  </si>
  <si>
    <t>krebsiTi xarjTaRicxva</t>
  </si>
  <si>
    <t>saxarjTaRricxvo gaangariSebis #</t>
  </si>
  <si>
    <t>samuSaoebisa da danaxarjebis dasaxeleba</t>
  </si>
  <si>
    <t>saxarjTaRricxvo Rirebuleba</t>
  </si>
  <si>
    <t>lk 1</t>
  </si>
  <si>
    <t>lk 2</t>
  </si>
  <si>
    <t>jami</t>
  </si>
  <si>
    <t>I</t>
  </si>
  <si>
    <t>lk 3</t>
  </si>
  <si>
    <t>zednadebi xarjebi</t>
  </si>
  <si>
    <t>kompl</t>
  </si>
  <si>
    <t>Sromis danaxarji</t>
  </si>
  <si>
    <t>eleqtrodi</t>
  </si>
  <si>
    <t>lokaluri ხ ა რ ჯ თ ა ღ რ ი ც ვ ხ ვ ა #2</t>
  </si>
  <si>
    <t>saerTo samSeneblo samuSaoebi</t>
  </si>
  <si>
    <t>3</t>
  </si>
  <si>
    <t>s u l</t>
  </si>
  <si>
    <t>betoni b.25</t>
  </si>
  <si>
    <t>m3</t>
  </si>
  <si>
    <t>samSeneblo nagvis datvirTva xeliT avtoTviTmclelze</t>
  </si>
  <si>
    <t>k/sT</t>
  </si>
  <si>
    <t>grZ.m.</t>
  </si>
  <si>
    <t>kg.</t>
  </si>
  <si>
    <t>კაც/სთ</t>
  </si>
  <si>
    <t>გ/მ</t>
  </si>
  <si>
    <t>კგ</t>
  </si>
  <si>
    <t>კ/სთ</t>
  </si>
  <si>
    <t>SromiTi resursebi</t>
  </si>
  <si>
    <t>damiwebis konturis mowyoba</t>
  </si>
  <si>
    <t>grZ.m</t>
  </si>
  <si>
    <t>normatiuli resursi</t>
  </si>
  <si>
    <t>erTeulze</t>
  </si>
  <si>
    <t>tn.</t>
  </si>
  <si>
    <t>RorRi</t>
  </si>
  <si>
    <t>6-1-5</t>
  </si>
  <si>
    <t>yalibis fari</t>
  </si>
  <si>
    <t>xe masala</t>
  </si>
  <si>
    <t>6-16-1</t>
  </si>
  <si>
    <t>tona</t>
  </si>
  <si>
    <t>xis masala</t>
  </si>
  <si>
    <t>betoni b.7,5</t>
  </si>
  <si>
    <t>1-80-3</t>
  </si>
  <si>
    <t>t</t>
  </si>
  <si>
    <t>11-1-6</t>
  </si>
  <si>
    <t>kac.sT.</t>
  </si>
  <si>
    <t>21-27-4</t>
  </si>
  <si>
    <t>1-80-7</t>
  </si>
  <si>
    <t>3%</t>
  </si>
  <si>
    <t>18%</t>
  </si>
  <si>
    <t>15-164-7</t>
  </si>
  <si>
    <t>15-164-8</t>
  </si>
  <si>
    <t>antikoroziuli saRebavi</t>
  </si>
  <si>
    <t>0471</t>
  </si>
  <si>
    <t>6-1-1</t>
  </si>
  <si>
    <t>6</t>
  </si>
  <si>
    <t xml:space="preserve">SromiTi resursebi                                                </t>
  </si>
  <si>
    <t>კომპლ.</t>
  </si>
  <si>
    <t>10</t>
  </si>
  <si>
    <t>1</t>
  </si>
  <si>
    <t>2</t>
  </si>
  <si>
    <t>4</t>
  </si>
  <si>
    <t>7</t>
  </si>
  <si>
    <t>1-81-3</t>
  </si>
  <si>
    <t>Е1-22</t>
  </si>
  <si>
    <t>1,1</t>
  </si>
  <si>
    <t>1,3</t>
  </si>
  <si>
    <t>zedmeti gruntis datvirTva xeliT avtoTviTmclelze</t>
  </si>
  <si>
    <t>12</t>
  </si>
  <si>
    <t>СНиП
IV-6-82
8-471-1</t>
  </si>
  <si>
    <t>gruntis Semdgomi damuSaveba xeliT</t>
  </si>
  <si>
    <t xml:space="preserve">qviSis safaris mowyoba milebisaTvis </t>
  </si>
  <si>
    <t>kabelis dafarva sasignalo lentiT</t>
  </si>
  <si>
    <t>WanWiki uxeSi normaluri da gazrdili simtkicis</t>
  </si>
  <si>
    <t>foladis konstruqcia:</t>
  </si>
  <si>
    <t>liTonis detalebois antikoroziuli SeRebva</t>
  </si>
  <si>
    <t>14</t>
  </si>
  <si>
    <t>sul I Tavi</t>
  </si>
  <si>
    <t>eleqtro montaJis samuSaoebi</t>
  </si>
  <si>
    <t>შრომითი რესურსები</t>
  </si>
  <si>
    <t>Zalovani faris montaJi</t>
  </si>
  <si>
    <t>СНиП
IV-6-82
8-472-8</t>
  </si>
  <si>
    <t>horizontaluri damiwebis konturis mowyoba (mrgvali  foladiT)</t>
  </si>
  <si>
    <t>Е20-1-255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</si>
  <si>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</si>
  <si>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</si>
  <si>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</si>
  <si>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2</t>
    </r>
  </si>
  <si>
    <t>11</t>
  </si>
  <si>
    <t>9-17-5 gamoy</t>
  </si>
  <si>
    <t xml:space="preserve">kac/sT                                                               </t>
  </si>
  <si>
    <t>qvabulis ZirSi fraqciuli RorRis safuZvlis mowyoba sisqiT 15 sm datkepvniT</t>
  </si>
  <si>
    <t>monoliTuri rk.betonis saZirkvlis mowyoba liTonis dgarebis qveS</t>
  </si>
  <si>
    <t>armatura aIII</t>
  </si>
  <si>
    <t>armatura aI</t>
  </si>
  <si>
    <t>monoliTuri rk.betonis fenilis mowyoba</t>
  </si>
  <si>
    <t>betoni m-25</t>
  </si>
  <si>
    <t>sayalibe fari 25mm</t>
  </si>
  <si>
    <t>6-15-1</t>
  </si>
  <si>
    <t>monoliTuri rk.betonis saZirkvlis koWis mowyoba liTonis dgarebis qveS</t>
  </si>
  <si>
    <t xml:space="preserve">gruntis damuSaveba qvabulisatvis xeliT, saproeqto niSnulamde  </t>
  </si>
  <si>
    <t>9-10-12 gamoy</t>
  </si>
  <si>
    <t>karebis CarCo -- kuTxovana #60*60*4</t>
  </si>
  <si>
    <t>9-17-5</t>
  </si>
  <si>
    <t>foladis konstruqcia</t>
  </si>
  <si>
    <t>liTonis dgarebi --             kv mili 100*100*3</t>
  </si>
  <si>
    <t>liTonis ganivebi  --     kv mili 50*30*3</t>
  </si>
  <si>
    <t>დანამ3
11-49
გამოყ.</t>
  </si>
  <si>
    <r>
      <t>მ</t>
    </r>
    <r>
      <rPr>
        <b/>
        <vertAlign val="superscript"/>
        <sz val="10"/>
        <rFont val="Sylfaen"/>
        <family val="1"/>
      </rPr>
      <t>2</t>
    </r>
  </si>
  <si>
    <r>
      <t xml:space="preserve">webopva  </t>
    </r>
    <r>
      <rPr>
        <sz val="11"/>
        <rFont val="Calibri"/>
        <family val="2"/>
        <charset val="204"/>
        <scheme val="minor"/>
      </rPr>
      <t>profesional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</si>
  <si>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</si>
  <si>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ლ</t>
  </si>
  <si>
    <r>
      <t xml:space="preserve">kalaTburTis faris liTonis dgaris montaJi </t>
    </r>
    <r>
      <rPr>
        <sz val="11"/>
        <rFont val="AcadNusx"/>
      </rPr>
      <t>(ix naxazi)</t>
    </r>
  </si>
  <si>
    <t>kalaTburTis faris liTonis dgarissaZirkvlis mosawyobad qvabulis mowyoba xeliT</t>
  </si>
  <si>
    <t>RorRis fenilis mowyoba liTonis dgaris betonis saZirkvlis qveS</t>
  </si>
  <si>
    <t>sxva lasala</t>
  </si>
  <si>
    <t>betonis mosamzadebeli fenilis mowyoba liTonis dgaris betonis saZirkvlis qveS</t>
  </si>
  <si>
    <t>6-1-3</t>
  </si>
  <si>
    <t xml:space="preserve">liTonis dgaris betonis wertilovani saZirkvlis mowyoba </t>
  </si>
  <si>
    <t xml:space="preserve">betoni b.25    </t>
  </si>
  <si>
    <t>armatura Ф8 А III</t>
  </si>
  <si>
    <t>kalaTburTis faris liTonis dgaris montaJi</t>
  </si>
  <si>
    <t xml:space="preserve">liTonis dgari --             kv mili 150*150*6 </t>
  </si>
  <si>
    <t>foladis furceli 6mm sisqis</t>
  </si>
  <si>
    <t>foladis furceli 12mm sisqis</t>
  </si>
  <si>
    <t>kalaTburTis  faris liTonis dgaris antikoroziuli damuSaveba zeTovani saRebaviT</t>
  </si>
  <si>
    <t>sul pirdapiri danaxarjebi</t>
  </si>
  <si>
    <t>mini fexburTis karebebis SeZena montaJi,  badiT (maRalixarisxis)</t>
  </si>
  <si>
    <t>komp.</t>
  </si>
  <si>
    <t>masalis transportirebis xarjebi</t>
  </si>
  <si>
    <t>sul II Tavi</t>
  </si>
  <si>
    <t>sul xarjTaRricxva #2</t>
  </si>
  <si>
    <t>sul xarjTaRricxva #1</t>
  </si>
  <si>
    <t>sul xarjTaRricxva #3</t>
  </si>
  <si>
    <t>lk#2</t>
  </si>
  <si>
    <r>
      <t>mavTulbade 45X45 ujrediT
d=4mm</t>
    </r>
    <r>
      <rPr>
        <sz val="11"/>
        <rFont val="Calibri"/>
        <family val="2"/>
        <charset val="204"/>
        <scheme val="minor"/>
      </rPr>
      <t xml:space="preserve"> PVC</t>
    </r>
    <r>
      <rPr>
        <sz val="11"/>
        <rFont val="AcadNusx"/>
      </rPr>
      <t xml:space="preserve"> mavTuli d-2,7</t>
    </r>
  </si>
  <si>
    <t xml:space="preserve">SemoRobvis liTonis karkasis mowyoba   </t>
  </si>
  <si>
    <t xml:space="preserve">q.dmanisSi Wuberis q.III Cixi #4a-s mimdebared sportuli moednis mowyobis samuSaoebi </t>
  </si>
  <si>
    <t>gruntis gatana 15km</t>
  </si>
  <si>
    <t>9-15-2 gamoy</t>
  </si>
  <si>
    <t>mayurebelTa tribunis mowyoba liTonis konstruqciiT                 (mocemuli eskizis mixedviT)</t>
  </si>
  <si>
    <t xml:space="preserve">kv mili 40X80X3  </t>
  </si>
  <si>
    <t>kv mili 20X20X2</t>
  </si>
  <si>
    <t>kv mili 20X30X2</t>
  </si>
  <si>
    <t>14-49</t>
  </si>
  <si>
    <t>avtoamwe krani 30-40tn</t>
  </si>
  <si>
    <t>avtoamwe krani 25tn</t>
  </si>
  <si>
    <t xml:space="preserve">kv mili 40X80X3 </t>
  </si>
  <si>
    <t xml:space="preserve">kv mili 20X30X2 </t>
  </si>
  <si>
    <t>foladis konstruqcia misadagebuli montaJze</t>
  </si>
  <si>
    <t>WanWiki maRali simtkicis</t>
  </si>
  <si>
    <t>tribunis liTonis detalebis antikoroziuli damuSaveba SeRebava antikoroziuli zeTis saRebaviT</t>
  </si>
  <si>
    <t>olifa</t>
  </si>
  <si>
    <t>10-34-2
miy.</t>
  </si>
  <si>
    <t>tribunis skamebis xis detalebis mowyoba</t>
  </si>
  <si>
    <t>WanWiki da qanCi</t>
  </si>
  <si>
    <t>15-160-5
gam.</t>
  </si>
  <si>
    <t>xis detalebis damuSaveba, zeTovani SeRebva</t>
  </si>
  <si>
    <t>zeTis saRebavi</t>
  </si>
  <si>
    <t xml:space="preserve">samSeneblo nagvis gatana 15 km-ze </t>
  </si>
  <si>
    <t>tribunasa da moedans Soris liT moajiris mowyoba</t>
  </si>
  <si>
    <t>WanWiki uxeSi normaluri da gaZlierebuli simtkicis</t>
  </si>
  <si>
    <t>dagrovebiTi sapensio gadasaxadi (xelfasidan)</t>
  </si>
  <si>
    <t>saerTo samseneblo samuSaoebi</t>
  </si>
  <si>
    <t>lk #1</t>
  </si>
  <si>
    <t>I samSeneblo samuSaoebi</t>
  </si>
  <si>
    <t>sakabelo Txrilis mowyoba xeliT</t>
  </si>
  <si>
    <t>23-1-1.</t>
  </si>
  <si>
    <t>kub.m.</t>
  </si>
  <si>
    <t xml:space="preserve">qviSa </t>
  </si>
  <si>
    <t>22-8-2.</t>
  </si>
  <si>
    <t>sasignalo lenti</t>
  </si>
  <si>
    <t>kub.m</t>
  </si>
  <si>
    <t>ЕНиР             1-22-1</t>
  </si>
  <si>
    <t xml:space="preserve">zedmeti gruntis datvirTva xeliT avtoTviTmclelebze </t>
  </si>
  <si>
    <t>snf 15,21</t>
  </si>
  <si>
    <t>masalis transportirebis xarjebi (samS masalis Rirebulebidan)</t>
  </si>
  <si>
    <t>II samontaJo samuSaoebi</t>
  </si>
  <si>
    <t xml:space="preserve">8-370-3     </t>
  </si>
  <si>
    <t>sportuli moednis გარე განათების proJeqtoris  მონტაჟი</t>
  </si>
  <si>
    <t>8-49-2</t>
  </si>
  <si>
    <t>sp. sadeni                (gofrirebuil milSi gatarebiT)</t>
  </si>
  <si>
    <r>
      <t xml:space="preserve">დამიწების მოთუთიებული ღერო, </t>
    </r>
    <r>
      <rPr>
        <sz val="11"/>
        <rFont val="Calibri"/>
        <family val="2"/>
        <charset val="204"/>
        <scheme val="minor"/>
      </rPr>
      <t>50x50x5mm, 1500mm</t>
    </r>
  </si>
  <si>
    <t>s u l I da II Tavi</t>
  </si>
  <si>
    <t xml:space="preserve">s u l      </t>
  </si>
  <si>
    <t>inventaris SeZena montaJi</t>
  </si>
  <si>
    <t>demontaJis   samuSaoebi</t>
  </si>
  <si>
    <r>
      <t xml:space="preserve">arsebuli liTonis SemoRobvis demontaJi dasawyobeba  </t>
    </r>
    <r>
      <rPr>
        <sz val="10"/>
        <rFont val="AcadNusx"/>
      </rPr>
      <t>(damkveTis mier miTiTebul adgilze)</t>
    </r>
  </si>
  <si>
    <t>sportuli moednis dazianebuli betonis cokolis demontaJi</t>
  </si>
  <si>
    <t>teritoriis dasufTaveba, samSeneblo narCenebis Segroveba, gamotana,                 (50m gadaadgilebiT) avtoTviTmclelze dasatvirTavad</t>
  </si>
  <si>
    <t>snf 15</t>
  </si>
  <si>
    <t>(liT kv mili 80*80* 4c h=3,0m, kv mili 40*40 28c h=3,0m, liTonis bade)</t>
  </si>
  <si>
    <t>46-23-3</t>
  </si>
  <si>
    <t xml:space="preserve">gruntis transportireba 15km-ze   </t>
  </si>
  <si>
    <r>
      <t>sp. sadeni</t>
    </r>
    <r>
      <rPr>
        <sz val="11"/>
        <rFont val="Calibri"/>
        <family val="2"/>
        <charset val="204"/>
        <scheme val="minor"/>
      </rPr>
      <t xml:space="preserve"> YMS 3x2,5</t>
    </r>
  </si>
  <si>
    <r>
      <t>ავტ.გამთიშველი კლასი</t>
    </r>
    <r>
      <rPr>
        <sz val="11"/>
        <rFont val="Calibri"/>
        <family val="2"/>
        <charset val="204"/>
        <scheme val="minor"/>
      </rPr>
      <t xml:space="preserve"> C, 1P, 6A, 6kA</t>
    </r>
  </si>
  <si>
    <t>liTonis gamanawilebeli kolofi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</si>
  <si>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</si>
  <si>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r>
      <t>gare ganaTebis</t>
    </r>
    <r>
      <rPr>
        <sz val="11"/>
        <rFont val="Calibri"/>
        <family val="2"/>
        <charset val="204"/>
        <scheme val="minor"/>
      </rPr>
      <t xml:space="preserve"> LED </t>
    </r>
    <r>
      <rPr>
        <sz val="11"/>
        <rFont val="AcadNusx"/>
      </rPr>
      <t>sanaTi 50vt</t>
    </r>
  </si>
  <si>
    <r>
      <t xml:space="preserve">liTonis dgarebze mavTulbadis montaJi, 45X45 ujrediT
d=4mm </t>
    </r>
    <r>
      <rPr>
        <b/>
        <sz val="11"/>
        <rFont val="Calibri"/>
        <family val="2"/>
        <charset val="204"/>
        <scheme val="minor"/>
      </rPr>
      <t>PVC</t>
    </r>
    <r>
      <rPr>
        <b/>
        <sz val="11"/>
        <rFont val="AcadNusx"/>
      </rPr>
      <t xml:space="preserve"> </t>
    </r>
  </si>
  <si>
    <t>13</t>
  </si>
  <si>
    <t>liTonis detalebis antikoroziuli damuSaveba SeRebava antikoroziuli zeTis saRebaviT</t>
  </si>
  <si>
    <t>15</t>
  </si>
  <si>
    <t>sportuli moednis safaris mowyoba kauCukis masiuri (dasxmuli) feniliT, sisqiT 30მმ</t>
  </si>
  <si>
    <t>kauCukis fenili, masiuri -- (dasxmuli) sisqiT 30mm</t>
  </si>
  <si>
    <t>15,1</t>
  </si>
  <si>
    <t>15,2</t>
  </si>
  <si>
    <t>15,3</t>
  </si>
  <si>
    <t>15,4</t>
  </si>
  <si>
    <t>15,5</t>
  </si>
  <si>
    <t>14-48</t>
  </si>
  <si>
    <t xml:space="preserve">qanCi </t>
  </si>
  <si>
    <t>15,6</t>
  </si>
  <si>
    <t>17</t>
  </si>
  <si>
    <t>18</t>
  </si>
  <si>
    <t>19</t>
  </si>
  <si>
    <t>20</t>
  </si>
  <si>
    <t>21</t>
  </si>
  <si>
    <t>samSeneblo samuSaoebis damTavrebis Semdeg teritoriis dasufTaveba, samSeneblo narCenebis Segroveba, gamotana, avtoTviTmclelze dasatvirTavad</t>
  </si>
  <si>
    <t>liTonis ganivebi  --             kv mili 50*30*3</t>
  </si>
  <si>
    <t>anZebis qvabuli da Cabetoneba Sedis stadionis samuSaoebSi</t>
  </si>
  <si>
    <r>
      <rPr>
        <b/>
        <sz val="11"/>
        <rFont val="Calibri"/>
        <family val="2"/>
        <charset val="204"/>
      </rPr>
      <t xml:space="preserve">PVC </t>
    </r>
    <r>
      <rPr>
        <b/>
        <sz val="11"/>
        <rFont val="AcadNusx"/>
      </rPr>
      <t xml:space="preserve">orkedliani gofrirebuli milis </t>
    </r>
    <r>
      <rPr>
        <b/>
        <sz val="11"/>
        <rFont val="Calibri"/>
        <family val="2"/>
        <charset val="204"/>
      </rPr>
      <t xml:space="preserve">Ø63 </t>
    </r>
    <r>
      <rPr>
        <b/>
        <sz val="11"/>
        <rFont val="AcadNusx"/>
      </rPr>
      <t>mm mowyoba</t>
    </r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</si>
  <si>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Ø63მმ</t>
    </r>
  </si>
  <si>
    <t>გრძ/მ</t>
  </si>
  <si>
    <t>42 dgari +2 karebis qveS +         6 projeqtoris</t>
  </si>
  <si>
    <t>foladis furceli 10mm</t>
  </si>
  <si>
    <t xml:space="preserve">xis reikebi  6X4                 </t>
  </si>
  <si>
    <t>liTonis dgarebi --             kv mili 40*80*3</t>
  </si>
  <si>
    <t>liTonis gafarToebulTaviani ankeri d-16mm muSa sigrZe 400mm</t>
  </si>
  <si>
    <t>sul liTonis konstruqcia</t>
  </si>
  <si>
    <t>liTonis dgarebi --             kv mili 150*150*3</t>
  </si>
  <si>
    <t>42+2</t>
  </si>
  <si>
    <t>kalaTburTis farebi  SeZena montaJi  (orgminiT) (maRalixarisxis)</t>
  </si>
  <si>
    <t>gruntis ukuCayra xeliT da mosworeba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</si>
  <si>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3*4</t>
    </r>
  </si>
  <si>
    <t>4,3</t>
  </si>
  <si>
    <t>damiwebis vertikaluri eleqtrodebis montaJi</t>
  </si>
  <si>
    <t>8,14,432</t>
  </si>
  <si>
    <t>4,4</t>
  </si>
  <si>
    <t>42+2karebis +6 projeqtoris</t>
  </si>
  <si>
    <t>gegmiuri dagroveba (inventaris Rirebulebis gamoklebiT)</t>
  </si>
  <si>
    <t>sportuli moednis mowyoba  40,30 X 23,3</t>
  </si>
  <si>
    <t>sportuli moednis mowyoba 40,30 X 23,3</t>
  </si>
  <si>
    <t>mayurebelTa tribunis mowyoba liTonis konstruqciiT (mocemuli eskizis mixedviT)</t>
  </si>
  <si>
    <t>sp. Sadeni (gofrirebuil milSi gatarebiT)</t>
  </si>
  <si>
    <t>lk#3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</si>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</sst>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-* #,##0.00_-;\-* #,##0.00_-;_-* &quot;-&quot;??_-;_-@_-"/>
    <numFmt numFmtId="165" formatCode="_-* #,##0.00\ _L_a_r_i_-;\-* #,##0.00\ _L_a_r_i_-;_-* &quot;-&quot;??\ _L_a_r_i_-;_-@_-"/>
    <numFmt numFmtId="166" formatCode="_(* #,##0.00_);_(* \(#,##0.00\);_(* &quot;-&quot;??_);_(@_)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b/>
      <sz val="14"/>
      <color theme="1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vertAlign val="superscript"/>
      <sz val="10"/>
      <name val="AcadNusx"/>
    </font>
    <font>
      <sz val="10"/>
      <color rgb="FF000000"/>
      <name val="AcadNusx"/>
    </font>
    <font>
      <sz val="10"/>
      <color rgb="FFFF0000"/>
      <name val="AcadNusx"/>
    </font>
    <font>
      <sz val="10"/>
      <name val="Calibri"/>
      <family val="2"/>
      <charset val="204"/>
      <scheme val="minor"/>
    </font>
    <font>
      <sz val="11"/>
      <color rgb="FFFF0000"/>
      <name val="AcadNusx"/>
    </font>
    <font>
      <b/>
      <sz val="10"/>
      <color rgb="FF000000"/>
      <name val="AcadNusx"/>
    </font>
    <font>
      <sz val="1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</font>
    <font>
      <b/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b/>
      <vertAlign val="superscript"/>
      <sz val="10"/>
      <name val="AcadNusx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  <charset val="204"/>
    </font>
    <font>
      <sz val="10"/>
      <name val="Times New Roman"/>
      <family val="1"/>
    </font>
    <font>
      <sz val="11"/>
      <name val="Calibri"/>
      <family val="2"/>
      <charset val="204"/>
    </font>
    <font>
      <sz val="11"/>
      <color rgb="FF000000"/>
      <name val="AcadNusx"/>
    </font>
    <font>
      <b/>
      <sz val="11"/>
      <color rgb="FF000000"/>
      <name val="AcadNusx"/>
    </font>
    <font>
      <sz val="10"/>
      <color theme="1"/>
      <name val="Times New Roman"/>
      <family val="1"/>
    </font>
    <font>
      <b/>
      <sz val="11"/>
      <name val="Calibri"/>
      <family val="2"/>
      <charset val="204"/>
    </font>
    <font>
      <sz val="12"/>
      <color rgb="FF000000"/>
      <name val="AcadNusx"/>
    </font>
    <font>
      <b/>
      <sz val="12"/>
      <color rgb="FF000000"/>
      <name val="AcadNusx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07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7" fillId="0" borderId="0"/>
    <xf numFmtId="0" fontId="18" fillId="0" borderId="0"/>
    <xf numFmtId="0" fontId="19" fillId="0" borderId="0"/>
    <xf numFmtId="0" fontId="23" fillId="0" borderId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44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44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44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4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4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4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4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44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44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4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4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4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5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6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47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0" fontId="29" fillId="27" borderId="11" applyNumberFormat="0" applyAlignment="0" applyProtection="0"/>
    <xf numFmtId="166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60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3" fillId="0" borderId="0" applyFont="0" applyFill="0" applyBorder="0" applyAlignment="0" applyProtection="0"/>
    <xf numFmtId="167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0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52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54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38" fillId="0" borderId="0"/>
    <xf numFmtId="0" fontId="23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63" fillId="0" borderId="0"/>
    <xf numFmtId="0" fontId="17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7" fillId="0" borderId="0"/>
    <xf numFmtId="0" fontId="61" fillId="0" borderId="0"/>
    <xf numFmtId="0" fontId="17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17" fillId="29" borderId="16" applyNumberFormat="0" applyFont="0" applyAlignment="0" applyProtection="0"/>
    <xf numFmtId="0" fontId="56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0" fontId="39" fillId="26" borderId="17" applyNumberFormat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0" fillId="0" borderId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1" fillId="0" borderId="0"/>
    <xf numFmtId="0" fontId="23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2" fillId="0" borderId="0"/>
    <xf numFmtId="0" fontId="17" fillId="0" borderId="0"/>
    <xf numFmtId="0" fontId="65" fillId="7" borderId="0" applyNumberFormat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61" fillId="0" borderId="0"/>
  </cellStyleXfs>
  <cellXfs count="56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8" fillId="0" borderId="6" xfId="0" applyNumberFormat="1" applyFont="1" applyBorder="1" applyAlignment="1">
      <alignment horizontal="center" vertical="center" wrapText="1"/>
    </xf>
    <xf numFmtId="49" fontId="68" fillId="0" borderId="8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66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6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66" fillId="0" borderId="1" xfId="635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49" fontId="20" fillId="0" borderId="0" xfId="0" applyNumberFormat="1" applyFont="1"/>
    <xf numFmtId="49" fontId="15" fillId="0" borderId="0" xfId="0" applyNumberFormat="1" applyFont="1" applyFill="1"/>
    <xf numFmtId="49" fontId="16" fillId="0" borderId="0" xfId="0" applyNumberFormat="1" applyFont="1" applyAlignment="1">
      <alignment vertical="center" wrapText="1"/>
    </xf>
    <xf numFmtId="49" fontId="70" fillId="0" borderId="0" xfId="0" applyNumberFormat="1" applyFont="1" applyFill="1"/>
    <xf numFmtId="2" fontId="15" fillId="0" borderId="0" xfId="0" applyNumberFormat="1" applyFont="1" applyFill="1"/>
    <xf numFmtId="2" fontId="12" fillId="0" borderId="0" xfId="0" applyNumberFormat="1" applyFont="1" applyFill="1" applyAlignment="1">
      <alignment horizontal="center" vertical="center" wrapText="1"/>
    </xf>
    <xf numFmtId="2" fontId="21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0" fillId="0" borderId="0" xfId="0" applyNumberFormat="1" applyFont="1" applyFill="1"/>
    <xf numFmtId="49" fontId="16" fillId="3" borderId="1" xfId="0" applyNumberFormat="1" applyFont="1" applyFill="1" applyBorder="1" applyAlignment="1">
      <alignment horizontal="center" vertical="center" wrapText="1"/>
    </xf>
    <xf numFmtId="49" fontId="8" fillId="3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6" fillId="30" borderId="1" xfId="0" applyNumberFormat="1" applyFont="1" applyFill="1" applyBorder="1" applyAlignment="1">
      <alignment horizontal="center" vertical="center" wrapText="1"/>
    </xf>
    <xf numFmtId="0" fontId="66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vertical="center" wrapText="1"/>
    </xf>
    <xf numFmtId="49" fontId="6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68" fillId="0" borderId="8" xfId="0" applyNumberFormat="1" applyFont="1" applyBorder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center" wrapText="1"/>
    </xf>
    <xf numFmtId="49" fontId="70" fillId="0" borderId="0" xfId="0" applyNumberFormat="1" applyFont="1" applyFill="1" applyAlignment="1">
      <alignment wrapText="1"/>
    </xf>
    <xf numFmtId="0" fontId="8" fillId="0" borderId="3" xfId="635" applyNumberFormat="1" applyFont="1" applyFill="1" applyBorder="1" applyAlignment="1">
      <alignment horizontal="center" vertical="center" wrapText="1"/>
    </xf>
    <xf numFmtId="0" fontId="66" fillId="0" borderId="3" xfId="0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21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2" fillId="0" borderId="1" xfId="737" applyNumberFormat="1" applyFont="1" applyFill="1" applyBorder="1" applyAlignment="1">
      <alignment horizontal="center" vertical="center" wrapText="1"/>
    </xf>
    <xf numFmtId="2" fontId="12" fillId="0" borderId="1" xfId="902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903" applyNumberFormat="1" applyFont="1" applyFill="1" applyBorder="1" applyAlignment="1">
      <alignment horizontal="center" vertical="center" wrapText="1"/>
    </xf>
    <xf numFmtId="0" fontId="12" fillId="0" borderId="1" xfId="904" applyNumberFormat="1" applyFont="1" applyFill="1" applyBorder="1" applyAlignment="1">
      <alignment horizontal="center" vertical="center" wrapText="1"/>
    </xf>
    <xf numFmtId="49" fontId="8" fillId="0" borderId="1" xfId="873" applyNumberFormat="1" applyFont="1" applyFill="1" applyBorder="1" applyAlignment="1">
      <alignment horizontal="center" vertical="center" wrapText="1"/>
    </xf>
    <xf numFmtId="0" fontId="12" fillId="0" borderId="1" xfId="873" applyNumberFormat="1" applyFont="1" applyFill="1" applyBorder="1" applyAlignment="1">
      <alignment horizontal="center" vertical="center" wrapText="1"/>
    </xf>
    <xf numFmtId="0" fontId="21" fillId="0" borderId="1" xfId="873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66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21" fillId="0" borderId="1" xfId="1" applyNumberFormat="1" applyFont="1" applyFill="1" applyBorder="1" applyAlignment="1">
      <alignment vertical="center" wrapText="1"/>
    </xf>
    <xf numFmtId="49" fontId="12" fillId="0" borderId="1" xfId="635" applyNumberFormat="1" applyFont="1" applyFill="1" applyBorder="1" applyAlignment="1">
      <alignment horizontal="left" vertical="center" wrapText="1"/>
    </xf>
    <xf numFmtId="0" fontId="12" fillId="0" borderId="1" xfId="635" applyNumberFormat="1" applyFont="1" applyFill="1" applyBorder="1" applyAlignment="1">
      <alignment horizontal="center" vertical="center" wrapText="1"/>
    </xf>
    <xf numFmtId="0" fontId="12" fillId="0" borderId="1" xfId="905" applyNumberFormat="1" applyFont="1" applyFill="1" applyBorder="1" applyAlignment="1">
      <alignment horizontal="center" vertical="center" wrapText="1"/>
    </xf>
    <xf numFmtId="49" fontId="66" fillId="0" borderId="1" xfId="906" applyNumberFormat="1" applyFont="1" applyFill="1" applyBorder="1" applyAlignment="1">
      <alignment horizontal="center" vertical="center" wrapText="1"/>
    </xf>
    <xf numFmtId="0" fontId="8" fillId="0" borderId="1" xfId="873" applyNumberFormat="1" applyFont="1" applyFill="1" applyBorder="1" applyAlignment="1">
      <alignment horizontal="center" vertical="center" wrapText="1"/>
    </xf>
    <xf numFmtId="0" fontId="66" fillId="0" borderId="2" xfId="0" applyNumberFormat="1" applyFont="1" applyFill="1" applyBorder="1" applyAlignment="1">
      <alignment horizontal="center" vertical="center" wrapText="1"/>
    </xf>
    <xf numFmtId="49" fontId="79" fillId="0" borderId="1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 wrapText="1"/>
    </xf>
    <xf numFmtId="0" fontId="13" fillId="0" borderId="0" xfId="0" applyNumberFormat="1" applyFont="1" applyFill="1"/>
    <xf numFmtId="0" fontId="3" fillId="0" borderId="0" xfId="0" applyFont="1" applyFill="1" applyAlignment="1">
      <alignment vertical="center" wrapText="1"/>
    </xf>
    <xf numFmtId="49" fontId="16" fillId="3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3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center" wrapText="1"/>
    </xf>
    <xf numFmtId="0" fontId="68" fillId="0" borderId="6" xfId="0" applyNumberFormat="1" applyFont="1" applyBorder="1" applyAlignment="1">
      <alignment horizontal="center" vertical="center" wrapText="1"/>
    </xf>
    <xf numFmtId="49" fontId="66" fillId="0" borderId="0" xfId="0" applyNumberFormat="1" applyFont="1" applyFill="1" applyAlignment="1">
      <alignment horizontal="center" vertical="center" wrapText="1"/>
    </xf>
    <xf numFmtId="49" fontId="66" fillId="0" borderId="1" xfId="2" quotePrefix="1" applyNumberFormat="1" applyFont="1" applyFill="1" applyBorder="1" applyAlignment="1" applyProtection="1">
      <alignment horizontal="center" vertical="center" wrapText="1"/>
    </xf>
    <xf numFmtId="49" fontId="72" fillId="0" borderId="6" xfId="0" applyNumberFormat="1" applyFont="1" applyBorder="1" applyAlignment="1">
      <alignment horizontal="center" vertical="center" wrapText="1"/>
    </xf>
    <xf numFmtId="49" fontId="72" fillId="0" borderId="8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8" fillId="0" borderId="1" xfId="684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6" fillId="0" borderId="1" xfId="656" applyNumberFormat="1" applyFont="1" applyBorder="1" applyAlignment="1">
      <alignment horizontal="center" vertical="center" wrapText="1"/>
    </xf>
    <xf numFmtId="49" fontId="7" fillId="0" borderId="1" xfId="656" applyNumberFormat="1" applyFont="1" applyBorder="1" applyAlignment="1">
      <alignment horizontal="center" vertical="center" wrapText="1"/>
    </xf>
    <xf numFmtId="0" fontId="7" fillId="0" borderId="1" xfId="656" applyNumberFormat="1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49" fontId="69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49" fontId="12" fillId="30" borderId="1" xfId="0" applyNumberFormat="1" applyFont="1" applyFill="1" applyBorder="1" applyAlignment="1">
      <alignment vertical="center" wrapText="1"/>
    </xf>
    <xf numFmtId="49" fontId="8" fillId="30" borderId="8" xfId="0" applyNumberFormat="1" applyFont="1" applyFill="1" applyBorder="1" applyAlignment="1">
      <alignment horizontal="left" vertical="center" wrapText="1"/>
    </xf>
    <xf numFmtId="49" fontId="71" fillId="0" borderId="1" xfId="3" applyNumberFormat="1" applyFont="1" applyFill="1" applyBorder="1" applyAlignment="1">
      <alignment vertical="center" wrapText="1"/>
    </xf>
    <xf numFmtId="0" fontId="71" fillId="0" borderId="1" xfId="3" applyNumberFormat="1" applyFont="1" applyFill="1" applyBorder="1" applyAlignment="1">
      <alignment horizontal="center" vertical="center" wrapText="1"/>
    </xf>
    <xf numFmtId="49" fontId="21" fillId="31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656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3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9" fontId="81" fillId="0" borderId="1" xfId="1" applyNumberFormat="1" applyFont="1" applyFill="1" applyBorder="1" applyAlignment="1">
      <alignment horizontal="center" vertical="center" wrapText="1"/>
    </xf>
    <xf numFmtId="2" fontId="78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top" wrapText="1"/>
    </xf>
    <xf numFmtId="49" fontId="66" fillId="5" borderId="1" xfId="1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66" fillId="5" borderId="1" xfId="1" applyNumberFormat="1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left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vertical="center" wrapText="1"/>
    </xf>
    <xf numFmtId="49" fontId="12" fillId="0" borderId="3" xfId="635" applyNumberFormat="1" applyFont="1" applyFill="1" applyBorder="1" applyAlignment="1">
      <alignment horizontal="left" vertical="center" wrapText="1"/>
    </xf>
    <xf numFmtId="0" fontId="12" fillId="0" borderId="1" xfId="684" applyNumberFormat="1" applyFont="1" applyFill="1" applyBorder="1" applyAlignment="1">
      <alignment horizontal="center" vertical="center" wrapText="1"/>
    </xf>
    <xf numFmtId="0" fontId="12" fillId="0" borderId="3" xfId="635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656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left" vertical="center" wrapText="1"/>
    </xf>
    <xf numFmtId="49" fontId="21" fillId="0" borderId="1" xfId="3" applyNumberFormat="1" applyFont="1" applyFill="1" applyBorder="1" applyAlignment="1">
      <alignment horizontal="left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21" fillId="0" borderId="1" xfId="635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6" fillId="0" borderId="0" xfId="0" applyNumberFormat="1" applyFont="1" applyFill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66" fillId="0" borderId="1" xfId="3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635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3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1" fillId="0" borderId="1" xfId="4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 applyProtection="1">
      <alignment horizontal="left" vertical="center" wrapText="1"/>
    </xf>
    <xf numFmtId="49" fontId="14" fillId="33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vertical="center" wrapText="1"/>
    </xf>
    <xf numFmtId="49" fontId="12" fillId="0" borderId="2" xfId="0" applyNumberFormat="1" applyFont="1" applyFill="1" applyBorder="1" applyAlignment="1">
      <alignment vertical="center" wrapText="1"/>
    </xf>
    <xf numFmtId="49" fontId="12" fillId="0" borderId="1" xfId="2" applyNumberFormat="1" applyFont="1" applyFill="1" applyBorder="1" applyAlignment="1" applyProtection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right" vertical="center" wrapText="1"/>
    </xf>
    <xf numFmtId="49" fontId="86" fillId="0" borderId="6" xfId="0" applyNumberFormat="1" applyFont="1" applyBorder="1" applyAlignment="1">
      <alignment horizontal="center" vertical="center" wrapText="1"/>
    </xf>
    <xf numFmtId="49" fontId="86" fillId="0" borderId="8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Alignment="1">
      <alignment wrapText="1"/>
    </xf>
    <xf numFmtId="2" fontId="14" fillId="0" borderId="0" xfId="0" applyNumberFormat="1" applyFont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2" fontId="86" fillId="0" borderId="6" xfId="0" applyNumberFormat="1" applyFont="1" applyBorder="1" applyAlignment="1">
      <alignment horizontal="center" vertical="center" wrapText="1"/>
    </xf>
    <xf numFmtId="0" fontId="87" fillId="0" borderId="8" xfId="0" applyNumberFormat="1" applyFont="1" applyFill="1" applyBorder="1" applyAlignment="1">
      <alignment horizontal="center" vertical="center" wrapText="1"/>
    </xf>
    <xf numFmtId="2" fontId="86" fillId="0" borderId="8" xfId="0" applyNumberFormat="1" applyFont="1" applyBorder="1" applyAlignment="1">
      <alignment horizontal="center" vertical="center" wrapText="1"/>
    </xf>
    <xf numFmtId="2" fontId="87" fillId="32" borderId="8" xfId="0" applyNumberFormat="1" applyFont="1" applyFill="1" applyBorder="1" applyAlignment="1">
      <alignment horizontal="center" vertical="center" wrapText="1"/>
    </xf>
    <xf numFmtId="0" fontId="87" fillId="4" borderId="8" xfId="0" applyNumberFormat="1" applyFont="1" applyFill="1" applyBorder="1" applyAlignment="1">
      <alignment horizontal="center" vertical="center" wrapText="1"/>
    </xf>
    <xf numFmtId="0" fontId="87" fillId="0" borderId="8" xfId="0" applyNumberFormat="1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Border="1" applyAlignment="1">
      <alignment horizontal="center" vertical="center" wrapText="1"/>
    </xf>
    <xf numFmtId="49" fontId="68" fillId="0" borderId="3" xfId="0" applyNumberFormat="1" applyFont="1" applyBorder="1" applyAlignment="1">
      <alignment horizontal="center" vertical="center" wrapText="1"/>
    </xf>
    <xf numFmtId="49" fontId="7" fillId="33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2" fillId="0" borderId="1" xfId="873" applyNumberFormat="1" applyFont="1" applyFill="1" applyBorder="1" applyAlignment="1">
      <alignment horizontal="left" vertical="center" wrapText="1"/>
    </xf>
    <xf numFmtId="0" fontId="7" fillId="33" borderId="1" xfId="0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648" applyNumberFormat="1" applyFont="1" applyBorder="1" applyAlignment="1">
      <alignment horizontal="center" vertical="center" wrapText="1"/>
    </xf>
    <xf numFmtId="2" fontId="12" fillId="0" borderId="1" xfId="902" applyNumberFormat="1" applyFont="1" applyBorder="1" applyAlignment="1">
      <alignment horizontal="center" vertical="center" wrapText="1"/>
    </xf>
    <xf numFmtId="2" fontId="12" fillId="0" borderId="1" xfId="903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49" fontId="8" fillId="0" borderId="1" xfId="2" quotePrefix="1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>
      <alignment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6" borderId="1" xfId="635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2" fontId="12" fillId="0" borderId="0" xfId="1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/>
    <xf numFmtId="49" fontId="14" fillId="5" borderId="1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1" xfId="635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6" fillId="0" borderId="3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1" fillId="5" borderId="3" xfId="0" applyNumberFormat="1" applyFont="1" applyFill="1" applyBorder="1" applyAlignment="1">
      <alignment vertical="center" wrapText="1"/>
    </xf>
    <xf numFmtId="49" fontId="66" fillId="0" borderId="5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left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6" fillId="0" borderId="1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Alignment="1">
      <alignment horizontal="center" vertical="top" wrapText="1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 applyProtection="1">
      <alignment vertical="center" wrapText="1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9" fontId="87" fillId="4" borderId="8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top" wrapText="1"/>
    </xf>
    <xf numFmtId="49" fontId="87" fillId="0" borderId="1" xfId="0" applyNumberFormat="1" applyFont="1" applyBorder="1" applyAlignment="1">
      <alignment horizontal="center" vertical="center" wrapText="1"/>
    </xf>
    <xf numFmtId="2" fontId="14" fillId="33" borderId="1" xfId="0" applyNumberFormat="1" applyFont="1" applyFill="1" applyBorder="1" applyAlignment="1">
      <alignment horizontal="center" vertical="center" wrapText="1"/>
    </xf>
    <xf numFmtId="49" fontId="68" fillId="33" borderId="3" xfId="0" applyNumberFormat="1" applyFont="1" applyFill="1" applyBorder="1" applyAlignment="1">
      <alignment horizontal="center" vertical="center" wrapText="1"/>
    </xf>
    <xf numFmtId="49" fontId="72" fillId="33" borderId="8" xfId="0" applyNumberFormat="1" applyFont="1" applyFill="1" applyBorder="1" applyAlignment="1">
      <alignment horizontal="center" vertical="center" wrapText="1"/>
    </xf>
    <xf numFmtId="49" fontId="14" fillId="33" borderId="6" xfId="0" applyNumberFormat="1" applyFont="1" applyFill="1" applyBorder="1" applyAlignment="1">
      <alignment horizontal="right" vertical="center" wrapText="1"/>
    </xf>
    <xf numFmtId="49" fontId="68" fillId="33" borderId="8" xfId="0" applyNumberFormat="1" applyFont="1" applyFill="1" applyBorder="1" applyAlignment="1">
      <alignment horizontal="center" vertical="center" wrapText="1"/>
    </xf>
    <xf numFmtId="0" fontId="68" fillId="33" borderId="8" xfId="0" applyNumberFormat="1" applyFont="1" applyFill="1" applyBorder="1" applyAlignment="1">
      <alignment horizontal="center" vertical="center" wrapText="1"/>
    </xf>
    <xf numFmtId="0" fontId="87" fillId="33" borderId="8" xfId="0" applyNumberFormat="1" applyFont="1" applyFill="1" applyBorder="1" applyAlignment="1">
      <alignment horizontal="center" vertical="center" wrapText="1"/>
    </xf>
    <xf numFmtId="2" fontId="86" fillId="33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7" fillId="33" borderId="1" xfId="0" applyNumberFormat="1" applyFont="1" applyFill="1" applyBorder="1" applyAlignment="1">
      <alignment horizontal="center" vertical="top" wrapText="1"/>
    </xf>
    <xf numFmtId="0" fontId="21" fillId="0" borderId="1" xfId="904" applyNumberFormat="1" applyFont="1" applyBorder="1" applyAlignment="1">
      <alignment horizontal="center" vertical="center" wrapText="1"/>
    </xf>
    <xf numFmtId="0" fontId="12" fillId="0" borderId="1" xfId="904" applyNumberFormat="1" applyFont="1" applyBorder="1" applyAlignment="1">
      <alignment horizontal="center" vertical="center" wrapText="1"/>
    </xf>
    <xf numFmtId="0" fontId="14" fillId="0" borderId="1" xfId="656" applyNumberFormat="1" applyFont="1" applyBorder="1" applyAlignment="1">
      <alignment horizontal="center" vertical="center" wrapText="1"/>
    </xf>
    <xf numFmtId="0" fontId="12" fillId="0" borderId="1" xfId="656" applyNumberFormat="1" applyFont="1" applyBorder="1" applyAlignment="1">
      <alignment horizontal="center" vertical="center" wrapText="1"/>
    </xf>
    <xf numFmtId="0" fontId="13" fillId="0" borderId="1" xfId="656" applyNumberFormat="1" applyFont="1" applyBorder="1" applyAlignment="1">
      <alignment horizontal="center" vertical="center" wrapText="1"/>
    </xf>
    <xf numFmtId="0" fontId="21" fillId="0" borderId="1" xfId="737" applyNumberFormat="1" applyFont="1" applyBorder="1" applyAlignment="1">
      <alignment horizontal="center" vertical="center" wrapText="1"/>
    </xf>
    <xf numFmtId="0" fontId="12" fillId="0" borderId="1" xfId="737" applyNumberFormat="1" applyFont="1" applyBorder="1" applyAlignment="1">
      <alignment horizontal="center" vertical="center" wrapText="1"/>
    </xf>
    <xf numFmtId="0" fontId="21" fillId="0" borderId="1" xfId="635" applyNumberFormat="1" applyFont="1" applyBorder="1" applyAlignment="1">
      <alignment horizontal="center" vertical="center" wrapText="1"/>
    </xf>
    <xf numFmtId="0" fontId="12" fillId="0" borderId="1" xfId="635" applyNumberFormat="1" applyFont="1" applyBorder="1" applyAlignment="1">
      <alignment horizontal="center" vertical="center" wrapText="1"/>
    </xf>
    <xf numFmtId="0" fontId="12" fillId="0" borderId="1" xfId="905" applyNumberFormat="1" applyFont="1" applyBorder="1" applyAlignment="1">
      <alignment horizontal="center" vertical="center" wrapText="1"/>
    </xf>
    <xf numFmtId="0" fontId="21" fillId="0" borderId="1" xfId="873" applyNumberFormat="1" applyFont="1" applyBorder="1" applyAlignment="1">
      <alignment horizontal="center" vertical="center" wrapText="1"/>
    </xf>
    <xf numFmtId="0" fontId="12" fillId="0" borderId="1" xfId="873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1" fillId="0" borderId="2" xfId="656" applyNumberFormat="1" applyFont="1" applyBorder="1" applyAlignment="1">
      <alignment horizontal="center" vertical="center" wrapText="1"/>
    </xf>
    <xf numFmtId="0" fontId="12" fillId="0" borderId="6" xfId="656" applyNumberFormat="1" applyFont="1" applyBorder="1" applyAlignment="1">
      <alignment horizontal="center" vertical="center" wrapText="1"/>
    </xf>
    <xf numFmtId="0" fontId="12" fillId="0" borderId="3" xfId="656" applyNumberFormat="1" applyFont="1" applyBorder="1" applyAlignment="1">
      <alignment horizontal="center" vertical="center" wrapText="1"/>
    </xf>
    <xf numFmtId="0" fontId="21" fillId="5" borderId="1" xfId="648" applyNumberFormat="1" applyFont="1" applyFill="1" applyBorder="1" applyAlignment="1">
      <alignment horizontal="center" vertical="center" wrapText="1"/>
    </xf>
    <xf numFmtId="2" fontId="21" fillId="5" borderId="1" xfId="902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2" fontId="21" fillId="5" borderId="1" xfId="903" applyNumberFormat="1" applyFont="1" applyFill="1" applyBorder="1" applyAlignment="1">
      <alignment horizontal="center" vertical="center" wrapText="1"/>
    </xf>
    <xf numFmtId="0" fontId="21" fillId="0" borderId="6" xfId="648" applyNumberFormat="1" applyFont="1" applyFill="1" applyBorder="1" applyAlignment="1">
      <alignment horizontal="center" vertical="center" wrapText="1"/>
    </xf>
    <xf numFmtId="2" fontId="21" fillId="0" borderId="6" xfId="902" applyNumberFormat="1" applyFont="1" applyFill="1" applyBorder="1" applyAlignment="1">
      <alignment horizontal="center" vertical="center" wrapText="1"/>
    </xf>
    <xf numFmtId="2" fontId="21" fillId="0" borderId="6" xfId="903" applyNumberFormat="1" applyFont="1" applyFill="1" applyBorder="1" applyAlignment="1">
      <alignment horizontal="center" vertical="center" wrapText="1"/>
    </xf>
    <xf numFmtId="0" fontId="90" fillId="0" borderId="6" xfId="0" applyFont="1" applyBorder="1" applyAlignment="1">
      <alignment vertical="center" wrapText="1"/>
    </xf>
    <xf numFmtId="0" fontId="86" fillId="0" borderId="6" xfId="0" applyNumberFormat="1" applyFont="1" applyBorder="1" applyAlignment="1">
      <alignment horizontal="center" vertical="center" wrapText="1"/>
    </xf>
    <xf numFmtId="49" fontId="87" fillId="5" borderId="3" xfId="0" applyNumberFormat="1" applyFont="1" applyFill="1" applyBorder="1" applyAlignment="1">
      <alignment horizontal="center" vertical="center" wrapText="1"/>
    </xf>
    <xf numFmtId="49" fontId="68" fillId="5" borderId="8" xfId="0" applyNumberFormat="1" applyFont="1" applyFill="1" applyBorder="1" applyAlignment="1">
      <alignment horizontal="center" vertical="center" wrapText="1"/>
    </xf>
    <xf numFmtId="0" fontId="86" fillId="5" borderId="8" xfId="0" applyNumberFormat="1" applyFont="1" applyFill="1" applyBorder="1" applyAlignment="1">
      <alignment horizontal="center" vertical="center" wrapText="1"/>
    </xf>
    <xf numFmtId="2" fontId="86" fillId="5" borderId="8" xfId="0" applyNumberFormat="1" applyFont="1" applyFill="1" applyBorder="1" applyAlignment="1">
      <alignment horizontal="center" vertical="center" wrapText="1"/>
    </xf>
    <xf numFmtId="2" fontId="87" fillId="5" borderId="8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49" fontId="8" fillId="0" borderId="1" xfId="906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21" fillId="33" borderId="1" xfId="0" applyNumberFormat="1" applyFont="1" applyFill="1" applyBorder="1" applyAlignment="1">
      <alignment horizontal="center" vertical="center" wrapText="1"/>
    </xf>
    <xf numFmtId="0" fontId="13" fillId="33" borderId="1" xfId="0" applyNumberFormat="1" applyFont="1" applyFill="1" applyBorder="1" applyAlignment="1">
      <alignment horizontal="center" vertical="center" wrapText="1"/>
    </xf>
    <xf numFmtId="2" fontId="13" fillId="33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87" fillId="0" borderId="8" xfId="0" applyNumberFormat="1" applyFont="1" applyBorder="1" applyAlignment="1">
      <alignment horizontal="center" vertical="center" wrapText="1"/>
    </xf>
    <xf numFmtId="0" fontId="91" fillId="5" borderId="8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vertical="center" wrapText="1"/>
    </xf>
    <xf numFmtId="0" fontId="16" fillId="3" borderId="1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49" fontId="66" fillId="0" borderId="5" xfId="0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33" borderId="1" xfId="0" applyNumberFormat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vertical="center" wrapText="1"/>
    </xf>
    <xf numFmtId="49" fontId="21" fillId="0" borderId="1" xfId="2" applyNumberFormat="1" applyFont="1" applyFill="1" applyBorder="1" applyAlignment="1" applyProtection="1">
      <alignment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43" fontId="14" fillId="3" borderId="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49" fontId="16" fillId="33" borderId="1" xfId="0" applyNumberFormat="1" applyFont="1" applyFill="1" applyBorder="1" applyAlignment="1">
      <alignment horizontal="center" vertical="top" wrapText="1"/>
    </xf>
    <xf numFmtId="49" fontId="8" fillId="0" borderId="6" xfId="1" applyNumberFormat="1" applyFont="1" applyFill="1" applyBorder="1" applyAlignment="1">
      <alignment horizontal="center" vertical="center"/>
    </xf>
    <xf numFmtId="0" fontId="21" fillId="0" borderId="1" xfId="904" applyNumberFormat="1" applyFont="1" applyFill="1" applyBorder="1" applyAlignment="1">
      <alignment horizontal="center" vertical="center" wrapText="1"/>
    </xf>
    <xf numFmtId="0" fontId="21" fillId="0" borderId="1" xfId="656" applyNumberFormat="1" applyFont="1" applyFill="1" applyBorder="1" applyAlignment="1">
      <alignment horizontal="center" vertical="center" wrapText="1"/>
    </xf>
    <xf numFmtId="0" fontId="21" fillId="0" borderId="1" xfId="737" applyNumberFormat="1" applyFont="1" applyFill="1" applyBorder="1" applyAlignment="1">
      <alignment horizontal="center" vertical="center" wrapText="1"/>
    </xf>
    <xf numFmtId="0" fontId="12" fillId="33" borderId="1" xfId="796" applyNumberFormat="1" applyFont="1" applyFill="1" applyBorder="1" applyAlignment="1">
      <alignment horizontal="center" vertical="center" wrapText="1"/>
    </xf>
    <xf numFmtId="0" fontId="21" fillId="33" borderId="1" xfId="79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1" fillId="5" borderId="1" xfId="3" applyNumberFormat="1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49" fontId="88" fillId="0" borderId="0" xfId="0" applyNumberFormat="1" applyFont="1" applyFill="1" applyAlignment="1">
      <alignment horizontal="center" vertical="center"/>
    </xf>
    <xf numFmtId="9" fontId="14" fillId="34" borderId="6" xfId="0" applyNumberFormat="1" applyFont="1" applyFill="1" applyBorder="1" applyAlignment="1">
      <alignment horizontal="center" vertical="center" wrapText="1"/>
    </xf>
    <xf numFmtId="0" fontId="87" fillId="34" borderId="6" xfId="0" applyNumberFormat="1" applyFont="1" applyFill="1" applyBorder="1" applyAlignment="1">
      <alignment horizontal="center" vertical="center" wrapText="1"/>
    </xf>
    <xf numFmtId="0" fontId="87" fillId="34" borderId="8" xfId="0" applyNumberFormat="1" applyFont="1" applyFill="1" applyBorder="1" applyAlignment="1">
      <alignment horizontal="center" vertical="center" wrapText="1"/>
    </xf>
    <xf numFmtId="49" fontId="12" fillId="0" borderId="1" xfId="904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1" fillId="0" borderId="1" xfId="683" applyNumberFormat="1" applyFont="1" applyBorder="1" applyAlignment="1">
      <alignment horizontal="left" vertical="center" wrapText="1"/>
    </xf>
    <xf numFmtId="0" fontId="12" fillId="0" borderId="1" xfId="904" applyNumberFormat="1" applyFont="1" applyBorder="1" applyAlignment="1">
      <alignment horizontal="left" vertical="center" wrapText="1"/>
    </xf>
    <xf numFmtId="49" fontId="12" fillId="0" borderId="1" xfId="683" applyNumberFormat="1" applyFont="1" applyFill="1" applyBorder="1" applyAlignment="1">
      <alignment horizontal="left" vertical="center" wrapText="1"/>
    </xf>
    <xf numFmtId="0" fontId="21" fillId="0" borderId="1" xfId="904" applyNumberFormat="1" applyFont="1" applyBorder="1" applyAlignment="1">
      <alignment horizontal="left" vertical="center" wrapText="1"/>
    </xf>
    <xf numFmtId="0" fontId="14" fillId="0" borderId="1" xfId="656" applyNumberFormat="1" applyFont="1" applyBorder="1" applyAlignment="1">
      <alignment horizontal="left" vertical="center" wrapText="1"/>
    </xf>
    <xf numFmtId="0" fontId="21" fillId="0" borderId="1" xfId="737" applyNumberFormat="1" applyFont="1" applyBorder="1" applyAlignment="1">
      <alignment horizontal="left" vertical="center" wrapText="1"/>
    </xf>
    <xf numFmtId="0" fontId="12" fillId="0" borderId="1" xfId="737" applyNumberFormat="1" applyFont="1" applyBorder="1" applyAlignment="1">
      <alignment horizontal="left" vertical="center" wrapText="1"/>
    </xf>
    <xf numFmtId="49" fontId="8" fillId="0" borderId="1" xfId="904" applyNumberFormat="1" applyFont="1" applyFill="1" applyBorder="1" applyAlignment="1">
      <alignment horizontal="center" vertical="center" wrapText="1"/>
    </xf>
    <xf numFmtId="0" fontId="21" fillId="0" borderId="1" xfId="635" applyNumberFormat="1" applyFont="1" applyBorder="1" applyAlignment="1">
      <alignment vertical="center" wrapText="1"/>
    </xf>
    <xf numFmtId="0" fontId="12" fillId="0" borderId="1" xfId="635" applyNumberFormat="1" applyFont="1" applyBorder="1" applyAlignment="1">
      <alignment vertical="center" wrapText="1"/>
    </xf>
    <xf numFmtId="0" fontId="12" fillId="0" borderId="1" xfId="905" applyNumberFormat="1" applyFont="1" applyBorder="1" applyAlignment="1">
      <alignment vertical="center" wrapText="1"/>
    </xf>
    <xf numFmtId="0" fontId="21" fillId="0" borderId="1" xfId="873" applyNumberFormat="1" applyFont="1" applyBorder="1" applyAlignment="1">
      <alignment vertical="center" wrapText="1"/>
    </xf>
    <xf numFmtId="0" fontId="12" fillId="0" borderId="2" xfId="873" applyNumberFormat="1" applyFont="1" applyBorder="1" applyAlignment="1">
      <alignment vertical="center" wrapText="1"/>
    </xf>
    <xf numFmtId="0" fontId="21" fillId="0" borderId="2" xfId="656" applyNumberFormat="1" applyFont="1" applyBorder="1" applyAlignment="1">
      <alignment vertical="center" wrapText="1"/>
    </xf>
    <xf numFmtId="0" fontId="21" fillId="0" borderId="3" xfId="656" applyNumberFormat="1" applyFont="1" applyBorder="1" applyAlignment="1">
      <alignment vertical="center" wrapText="1"/>
    </xf>
    <xf numFmtId="0" fontId="12" fillId="0" borderId="3" xfId="656" applyNumberFormat="1" applyFont="1" applyBorder="1" applyAlignment="1">
      <alignment vertical="center" wrapText="1"/>
    </xf>
    <xf numFmtId="0" fontId="21" fillId="0" borderId="1" xfId="635" applyNumberFormat="1" applyFont="1" applyFill="1" applyBorder="1" applyAlignment="1">
      <alignment vertical="center" wrapText="1"/>
    </xf>
    <xf numFmtId="9" fontId="21" fillId="34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 wrapText="1"/>
    </xf>
    <xf numFmtId="2" fontId="13" fillId="0" borderId="19" xfId="0" applyNumberFormat="1" applyFont="1" applyFill="1" applyBorder="1" applyAlignment="1">
      <alignment vertical="center" wrapText="1"/>
    </xf>
    <xf numFmtId="2" fontId="13" fillId="0" borderId="20" xfId="0" applyNumberFormat="1" applyFont="1" applyFill="1" applyBorder="1" applyAlignment="1">
      <alignment vertical="center" wrapText="1"/>
    </xf>
    <xf numFmtId="2" fontId="13" fillId="0" borderId="23" xfId="0" applyNumberFormat="1" applyFont="1" applyFill="1" applyBorder="1" applyAlignment="1">
      <alignment vertical="center" wrapText="1"/>
    </xf>
    <xf numFmtId="2" fontId="13" fillId="0" borderId="24" xfId="0" applyNumberFormat="1" applyFont="1" applyFill="1" applyBorder="1" applyAlignment="1">
      <alignment vertical="center" wrapText="1"/>
    </xf>
    <xf numFmtId="2" fontId="13" fillId="0" borderId="8" xfId="0" applyNumberFormat="1" applyFont="1" applyFill="1" applyBorder="1" applyAlignment="1">
      <alignment vertical="center" wrapText="1"/>
    </xf>
    <xf numFmtId="2" fontId="12" fillId="0" borderId="9" xfId="0" applyNumberFormat="1" applyFont="1" applyFill="1" applyBorder="1" applyAlignment="1">
      <alignment vertical="center" wrapText="1"/>
    </xf>
    <xf numFmtId="2" fontId="12" fillId="0" borderId="19" xfId="0" applyNumberFormat="1" applyFont="1" applyFill="1" applyBorder="1" applyAlignment="1">
      <alignment vertical="center" wrapText="1"/>
    </xf>
    <xf numFmtId="2" fontId="12" fillId="0" borderId="20" xfId="0" applyNumberFormat="1" applyFont="1" applyFill="1" applyBorder="1" applyAlignment="1">
      <alignment vertical="center" wrapText="1"/>
    </xf>
    <xf numFmtId="2" fontId="12" fillId="0" borderId="21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2" fontId="12" fillId="0" borderId="22" xfId="0" applyNumberFormat="1" applyFont="1" applyFill="1" applyBorder="1" applyAlignment="1">
      <alignment vertical="center" wrapText="1"/>
    </xf>
    <xf numFmtId="2" fontId="12" fillId="0" borderId="23" xfId="0" applyNumberFormat="1" applyFont="1" applyFill="1" applyBorder="1" applyAlignment="1">
      <alignment vertical="center" wrapText="1"/>
    </xf>
    <xf numFmtId="2" fontId="12" fillId="0" borderId="24" xfId="0" applyNumberFormat="1" applyFont="1" applyFill="1" applyBorder="1" applyAlignment="1">
      <alignment vertical="center" wrapText="1"/>
    </xf>
    <xf numFmtId="2" fontId="12" fillId="0" borderId="8" xfId="0" applyNumberFormat="1" applyFont="1" applyFill="1" applyBorder="1" applyAlignment="1">
      <alignment vertical="center" wrapText="1"/>
    </xf>
    <xf numFmtId="2" fontId="12" fillId="0" borderId="9" xfId="1" applyNumberFormat="1" applyFont="1" applyFill="1" applyBorder="1" applyAlignment="1">
      <alignment vertical="center" wrapText="1"/>
    </xf>
    <xf numFmtId="2" fontId="12" fillId="0" borderId="19" xfId="1" applyNumberFormat="1" applyFont="1" applyFill="1" applyBorder="1" applyAlignment="1">
      <alignment vertical="center" wrapText="1"/>
    </xf>
    <xf numFmtId="2" fontId="12" fillId="0" borderId="20" xfId="1" applyNumberFormat="1" applyFont="1" applyFill="1" applyBorder="1" applyAlignment="1">
      <alignment vertical="center" wrapText="1"/>
    </xf>
    <xf numFmtId="2" fontId="12" fillId="0" borderId="21" xfId="1" applyNumberFormat="1" applyFont="1" applyFill="1" applyBorder="1" applyAlignment="1">
      <alignment vertical="center" wrapText="1"/>
    </xf>
    <xf numFmtId="2" fontId="12" fillId="0" borderId="0" xfId="1" applyNumberFormat="1" applyFont="1" applyFill="1" applyBorder="1" applyAlignment="1">
      <alignment vertical="center" wrapText="1"/>
    </xf>
    <xf numFmtId="2" fontId="12" fillId="0" borderId="22" xfId="1" applyNumberFormat="1" applyFont="1" applyFill="1" applyBorder="1" applyAlignment="1">
      <alignment vertical="center" wrapText="1"/>
    </xf>
    <xf numFmtId="2" fontId="12" fillId="0" borderId="23" xfId="1" applyNumberFormat="1" applyFont="1" applyFill="1" applyBorder="1" applyAlignment="1">
      <alignment vertical="center" wrapText="1"/>
    </xf>
    <xf numFmtId="2" fontId="12" fillId="0" borderId="24" xfId="1" applyNumberFormat="1" applyFont="1" applyFill="1" applyBorder="1" applyAlignment="1">
      <alignment vertical="center" wrapText="1"/>
    </xf>
    <xf numFmtId="2" fontId="12" fillId="0" borderId="8" xfId="1" applyNumberFormat="1" applyFont="1" applyFill="1" applyBorder="1" applyAlignment="1">
      <alignment vertical="center" wrapText="1"/>
    </xf>
    <xf numFmtId="49" fontId="12" fillId="0" borderId="3" xfId="1" applyNumberFormat="1" applyFont="1" applyFill="1" applyBorder="1" applyAlignment="1">
      <alignment vertical="center" wrapText="1"/>
    </xf>
    <xf numFmtId="2" fontId="13" fillId="0" borderId="21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2" fontId="13" fillId="0" borderId="22" xfId="0" applyNumberFormat="1" applyFont="1" applyFill="1" applyBorder="1" applyAlignment="1">
      <alignment vertical="center" wrapText="1"/>
    </xf>
    <xf numFmtId="0" fontId="14" fillId="0" borderId="0" xfId="0" applyNumberFormat="1" applyFont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66" fillId="0" borderId="0" xfId="0" applyNumberFormat="1" applyFont="1" applyFill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9" fontId="21" fillId="5" borderId="1" xfId="0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top" wrapText="1"/>
    </xf>
    <xf numFmtId="49" fontId="73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12" fillId="0" borderId="2" xfId="904" applyNumberFormat="1" applyFont="1" applyBorder="1" applyAlignment="1">
      <alignment horizontal="center" vertical="center" wrapText="1"/>
    </xf>
    <xf numFmtId="0" fontId="13" fillId="0" borderId="2" xfId="656" applyNumberFormat="1" applyFont="1" applyBorder="1" applyAlignment="1">
      <alignment horizontal="center" vertical="center" wrapText="1"/>
    </xf>
    <xf numFmtId="0" fontId="12" fillId="0" borderId="2" xfId="737" applyNumberFormat="1" applyFont="1" applyBorder="1" applyAlignment="1">
      <alignment horizontal="center" vertical="center" wrapText="1"/>
    </xf>
    <xf numFmtId="0" fontId="12" fillId="0" borderId="2" xfId="635" applyNumberFormat="1" applyFont="1" applyBorder="1" applyAlignment="1">
      <alignment horizontal="center" vertical="center" wrapText="1"/>
    </xf>
    <xf numFmtId="0" fontId="12" fillId="0" borderId="2" xfId="873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73" fillId="0" borderId="2" xfId="0" applyNumberFormat="1" applyFont="1" applyFill="1" applyBorder="1" applyAlignment="1">
      <alignment horizontal="center" vertical="top" wrapText="1"/>
    </xf>
    <xf numFmtId="49" fontId="73" fillId="0" borderId="4" xfId="0" applyNumberFormat="1" applyFont="1" applyFill="1" applyBorder="1" applyAlignment="1">
      <alignment horizontal="center" vertical="top" wrapText="1"/>
    </xf>
    <xf numFmtId="49" fontId="73" fillId="0" borderId="3" xfId="0" applyNumberFormat="1" applyFont="1" applyFill="1" applyBorder="1" applyAlignment="1">
      <alignment horizontal="center" vertical="top" wrapText="1"/>
    </xf>
    <xf numFmtId="49" fontId="76" fillId="0" borderId="1" xfId="0" applyNumberFormat="1" applyFont="1" applyFill="1" applyBorder="1" applyAlignment="1">
      <alignment horizontal="center" vertical="top" wrapText="1"/>
    </xf>
    <xf numFmtId="49" fontId="73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1" fillId="5" borderId="2" xfId="0" applyNumberFormat="1" applyFont="1" applyFill="1" applyBorder="1" applyAlignment="1">
      <alignment horizontal="left" vertical="center" wrapText="1"/>
    </xf>
    <xf numFmtId="49" fontId="21" fillId="5" borderId="3" xfId="0" applyNumberFormat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49" fontId="12" fillId="0" borderId="3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12" fillId="0" borderId="2" xfId="904" applyNumberFormat="1" applyFont="1" applyBorder="1" applyAlignment="1">
      <alignment horizontal="center" vertical="center" wrapText="1"/>
    </xf>
    <xf numFmtId="0" fontId="12" fillId="0" borderId="4" xfId="904" applyNumberFormat="1" applyFont="1" applyBorder="1" applyAlignment="1">
      <alignment horizontal="center" vertical="center" wrapText="1"/>
    </xf>
    <xf numFmtId="0" fontId="12" fillId="0" borderId="2" xfId="737" applyNumberFormat="1" applyFont="1" applyBorder="1" applyAlignment="1">
      <alignment horizontal="center" vertical="center" wrapText="1"/>
    </xf>
    <xf numFmtId="0" fontId="12" fillId="0" borderId="4" xfId="737" applyNumberFormat="1" applyFont="1" applyBorder="1" applyAlignment="1">
      <alignment horizontal="center" vertical="center" wrapText="1"/>
    </xf>
    <xf numFmtId="0" fontId="12" fillId="0" borderId="3" xfId="737" applyNumberFormat="1" applyFont="1" applyBorder="1" applyAlignment="1">
      <alignment horizontal="center" vertical="center" wrapText="1"/>
    </xf>
    <xf numFmtId="0" fontId="12" fillId="0" borderId="3" xfId="904" applyNumberFormat="1" applyFont="1" applyBorder="1" applyAlignment="1">
      <alignment horizontal="center" vertical="center" wrapText="1"/>
    </xf>
    <xf numFmtId="0" fontId="12" fillId="0" borderId="2" xfId="635" applyNumberFormat="1" applyFont="1" applyBorder="1" applyAlignment="1">
      <alignment horizontal="center" vertical="center" wrapText="1"/>
    </xf>
    <xf numFmtId="0" fontId="12" fillId="0" borderId="4" xfId="635" applyNumberFormat="1" applyFont="1" applyBorder="1" applyAlignment="1">
      <alignment horizontal="center" vertical="center" wrapText="1"/>
    </xf>
    <xf numFmtId="0" fontId="12" fillId="0" borderId="3" xfId="635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13" fillId="0" borderId="2" xfId="656" applyNumberFormat="1" applyFont="1" applyBorder="1" applyAlignment="1">
      <alignment horizontal="center" vertical="center" wrapText="1"/>
    </xf>
    <xf numFmtId="0" fontId="13" fillId="0" borderId="3" xfId="656" applyNumberFormat="1" applyFont="1" applyBorder="1" applyAlignment="1">
      <alignment horizontal="center" vertical="center" wrapText="1"/>
    </xf>
    <xf numFmtId="0" fontId="12" fillId="0" borderId="2" xfId="873" applyNumberFormat="1" applyFont="1" applyBorder="1" applyAlignment="1">
      <alignment horizontal="center" vertical="center" wrapText="1"/>
    </xf>
    <xf numFmtId="0" fontId="12" fillId="0" borderId="3" xfId="873" applyNumberFormat="1" applyFont="1" applyBorder="1" applyAlignment="1">
      <alignment horizontal="center" vertical="center" wrapText="1"/>
    </xf>
    <xf numFmtId="0" fontId="12" fillId="6" borderId="2" xfId="656" applyNumberFormat="1" applyFont="1" applyFill="1" applyBorder="1" applyAlignment="1">
      <alignment horizontal="center" vertical="center" wrapText="1"/>
    </xf>
    <xf numFmtId="0" fontId="12" fillId="6" borderId="4" xfId="656" applyNumberFormat="1" applyFont="1" applyFill="1" applyBorder="1" applyAlignment="1">
      <alignment horizontal="center" vertical="center" wrapText="1"/>
    </xf>
    <xf numFmtId="0" fontId="12" fillId="6" borderId="3" xfId="656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907">
    <cellStyle name="20% - Accent1" xfId="7"/>
    <cellStyle name="20% - Accent1 2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3" xfId="18"/>
    <cellStyle name="20% - Accent1 3 2" xfId="19"/>
    <cellStyle name="20% - Accent1 4" xfId="20"/>
    <cellStyle name="20% - Accent1 4 2" xfId="21"/>
    <cellStyle name="20% - Accent1 4 2 2" xfId="22"/>
    <cellStyle name="20% - Accent1 4 3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_Q.W. ADMINISTRACIULI SENOBA" xfId="30"/>
    <cellStyle name="20% - Accent2" xfId="31"/>
    <cellStyle name="20% - Accent2 2" xfId="32"/>
    <cellStyle name="20% - Accent2 2 2" xfId="33"/>
    <cellStyle name="20% - Accent2 2 2 2" xfId="34"/>
    <cellStyle name="20% - Accent2 2 3" xfId="35"/>
    <cellStyle name="20% - Accent2 2 3 2" xfId="36"/>
    <cellStyle name="20% - Accent2 2 4" xfId="37"/>
    <cellStyle name="20% - Accent2 2 4 2" xfId="38"/>
    <cellStyle name="20% - Accent2 2 5" xfId="39"/>
    <cellStyle name="20% - Accent2 2 5 2" xfId="40"/>
    <cellStyle name="20% - Accent2 2 6" xfId="41"/>
    <cellStyle name="20% - Accent2 3" xfId="42"/>
    <cellStyle name="20% - Accent2 3 2" xfId="43"/>
    <cellStyle name="20% - Accent2 4" xfId="44"/>
    <cellStyle name="20% - Accent2 4 2" xfId="45"/>
    <cellStyle name="20% - Accent2 4 2 2" xfId="46"/>
    <cellStyle name="20% - Accent2 4 3" xfId="47"/>
    <cellStyle name="20% - Accent2 5" xfId="48"/>
    <cellStyle name="20% - Accent2 5 2" xfId="49"/>
    <cellStyle name="20% - Accent2 6" xfId="50"/>
    <cellStyle name="20% - Accent2 6 2" xfId="51"/>
    <cellStyle name="20% - Accent2 7" xfId="52"/>
    <cellStyle name="20% - Accent2 7 2" xfId="53"/>
    <cellStyle name="20% - Accent2_Q.W. ADMINISTRACIULI SENOBA" xfId="54"/>
    <cellStyle name="20% - Accent3" xfId="55"/>
    <cellStyle name="20% - Accent3 2" xfId="56"/>
    <cellStyle name="20% - Accent3 2 2" xfId="57"/>
    <cellStyle name="20% - Accent3 2 2 2" xfId="58"/>
    <cellStyle name="20% - Accent3 2 3" xfId="59"/>
    <cellStyle name="20% - Accent3 2 3 2" xfId="60"/>
    <cellStyle name="20% - Accent3 2 4" xfId="61"/>
    <cellStyle name="20% - Accent3 2 4 2" xfId="62"/>
    <cellStyle name="20% - Accent3 2 5" xfId="63"/>
    <cellStyle name="20% - Accent3 2 5 2" xfId="64"/>
    <cellStyle name="20% - Accent3 2 6" xfId="65"/>
    <cellStyle name="20% - Accent3 3" xfId="66"/>
    <cellStyle name="20% - Accent3 3 2" xfId="67"/>
    <cellStyle name="20% - Accent3 4" xfId="68"/>
    <cellStyle name="20% - Accent3 4 2" xfId="69"/>
    <cellStyle name="20% - Accent3 4 2 2" xfId="70"/>
    <cellStyle name="20% - Accent3 4 3" xfId="71"/>
    <cellStyle name="20% - Accent3 5" xfId="72"/>
    <cellStyle name="20% - Accent3 5 2" xfId="73"/>
    <cellStyle name="20% - Accent3 6" xfId="74"/>
    <cellStyle name="20% - Accent3 6 2" xfId="75"/>
    <cellStyle name="20% - Accent3 7" xfId="76"/>
    <cellStyle name="20% - Accent3 7 2" xfId="77"/>
    <cellStyle name="20% - Accent3_Q.W. ADMINISTRACIULI SENOBA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2 3 2" xfId="84"/>
    <cellStyle name="20% - Accent4 2 4" xfId="85"/>
    <cellStyle name="20% - Accent4 2 4 2" xfId="86"/>
    <cellStyle name="20% - Accent4 2 5" xfId="87"/>
    <cellStyle name="20% - Accent4 2 5 2" xfId="88"/>
    <cellStyle name="20% - Accent4 2 6" xfId="89"/>
    <cellStyle name="20% - Accent4 3" xfId="90"/>
    <cellStyle name="20% - Accent4 3 2" xfId="91"/>
    <cellStyle name="20% - Accent4 4" xfId="92"/>
    <cellStyle name="20% - Accent4 4 2" xfId="93"/>
    <cellStyle name="20% - Accent4 4 2 2" xfId="94"/>
    <cellStyle name="20% - Accent4 4 3" xfId="95"/>
    <cellStyle name="20% - Accent4 5" xfId="96"/>
    <cellStyle name="20% - Accent4 5 2" xfId="97"/>
    <cellStyle name="20% - Accent4 6" xfId="98"/>
    <cellStyle name="20% - Accent4 6 2" xfId="99"/>
    <cellStyle name="20% - Accent4 7" xfId="100"/>
    <cellStyle name="20% - Accent4 7 2" xfId="101"/>
    <cellStyle name="20% - Accent4_Q.W. ADMINISTRACIULI SENOBA" xfId="102"/>
    <cellStyle name="20% - Accent5" xfId="103"/>
    <cellStyle name="20% - Accent5 2" xfId="104"/>
    <cellStyle name="20% - Accent5 2 2" xfId="105"/>
    <cellStyle name="20% - Accent5 2 2 2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2 5 2" xfId="112"/>
    <cellStyle name="20% - Accent5 2 6" xfId="113"/>
    <cellStyle name="20% - Accent5 3" xfId="114"/>
    <cellStyle name="20% - Accent5 3 2" xfId="115"/>
    <cellStyle name="20% - Accent5 4" xfId="116"/>
    <cellStyle name="20% - Accent5 4 2" xfId="117"/>
    <cellStyle name="20% - Accent5 4 2 2" xfId="118"/>
    <cellStyle name="20% - Accent5 4 3" xfId="119"/>
    <cellStyle name="20% - Accent5 5" xfId="120"/>
    <cellStyle name="20% - Accent5 5 2" xfId="121"/>
    <cellStyle name="20% - Accent5 6" xfId="122"/>
    <cellStyle name="20% - Accent5 6 2" xfId="123"/>
    <cellStyle name="20% - Accent5 7" xfId="124"/>
    <cellStyle name="20% - Accent5 7 2" xfId="125"/>
    <cellStyle name="20% - Accent5_Q.W. ADMINISTRACIULI SENOBA" xfId="126"/>
    <cellStyle name="20% - Accent6" xfId="127"/>
    <cellStyle name="20% - Accent6 2" xfId="128"/>
    <cellStyle name="20% - Accent6 2 2" xfId="129"/>
    <cellStyle name="20% - Accent6 2 2 2" xfId="130"/>
    <cellStyle name="20% - Accent6 2 3" xfId="131"/>
    <cellStyle name="20% - Accent6 2 3 2" xfId="132"/>
    <cellStyle name="20% - Accent6 2 4" xfId="133"/>
    <cellStyle name="20% - Accent6 2 4 2" xfId="134"/>
    <cellStyle name="20% - Accent6 2 5" xfId="135"/>
    <cellStyle name="20% - Accent6 2 5 2" xfId="136"/>
    <cellStyle name="20% - Accent6 2 6" xfId="137"/>
    <cellStyle name="20% - Accent6 3" xfId="138"/>
    <cellStyle name="20% - Accent6 3 2" xfId="139"/>
    <cellStyle name="20% - Accent6 4" xfId="140"/>
    <cellStyle name="20% - Accent6 4 2" xfId="141"/>
    <cellStyle name="20% - Accent6 4 2 2" xfId="142"/>
    <cellStyle name="20% - Accent6 4 3" xfId="143"/>
    <cellStyle name="20% - Accent6 5" xfId="144"/>
    <cellStyle name="20% - Accent6 5 2" xfId="145"/>
    <cellStyle name="20% - Accent6 6" xfId="146"/>
    <cellStyle name="20% - Accent6 6 2" xfId="147"/>
    <cellStyle name="20% - Accent6 7" xfId="148"/>
    <cellStyle name="20% - Accent6 7 2" xfId="149"/>
    <cellStyle name="20% - Accent6_Q.W. ADMINISTRACIULI SENOBA" xfId="150"/>
    <cellStyle name="40% - Accent1" xfId="151"/>
    <cellStyle name="40% - Accent1 2" xfId="152"/>
    <cellStyle name="40% - Accent1 2 2" xfId="153"/>
    <cellStyle name="40% - Accent1 2 2 2" xfId="154"/>
    <cellStyle name="40% - Accent1 2 3" xfId="155"/>
    <cellStyle name="40% - Accent1 2 3 2" xfId="156"/>
    <cellStyle name="40% - Accent1 2 4" xfId="157"/>
    <cellStyle name="40% - Accent1 2 4 2" xfId="158"/>
    <cellStyle name="40% - Accent1 2 5" xfId="159"/>
    <cellStyle name="40% - Accent1 2 5 2" xfId="160"/>
    <cellStyle name="40% - Accent1 2 6" xfId="161"/>
    <cellStyle name="40% - Accent1 3" xfId="162"/>
    <cellStyle name="40% - Accent1 3 2" xfId="163"/>
    <cellStyle name="40% - Accent1 4" xfId="164"/>
    <cellStyle name="40% - Accent1 4 2" xfId="165"/>
    <cellStyle name="40% - Accent1 4 2 2" xfId="166"/>
    <cellStyle name="40% - Accent1 4 3" xfId="167"/>
    <cellStyle name="40% - Accent1 5" xfId="168"/>
    <cellStyle name="40% - Accent1 5 2" xfId="169"/>
    <cellStyle name="40% - Accent1 6" xfId="170"/>
    <cellStyle name="40% - Accent1 6 2" xfId="171"/>
    <cellStyle name="40% - Accent1 7" xfId="172"/>
    <cellStyle name="40% - Accent1 7 2" xfId="173"/>
    <cellStyle name="40% - Accent1_Q.W. ADMINISTRACIULI SENOBA" xfId="174"/>
    <cellStyle name="40% - Accent2" xfId="175"/>
    <cellStyle name="40% - Accent2 2" xfId="176"/>
    <cellStyle name="40% - Accent2 2 2" xfId="177"/>
    <cellStyle name="40% - Accent2 2 2 2" xfId="178"/>
    <cellStyle name="40% - Accent2 2 3" xfId="179"/>
    <cellStyle name="40% - Accent2 2 3 2" xfId="180"/>
    <cellStyle name="40% - Accent2 2 4" xfId="181"/>
    <cellStyle name="40% - Accent2 2 4 2" xfId="182"/>
    <cellStyle name="40% - Accent2 2 5" xfId="183"/>
    <cellStyle name="40% - Accent2 2 5 2" xfId="184"/>
    <cellStyle name="40% - Accent2 2 6" xfId="185"/>
    <cellStyle name="40% - Accent2 3" xfId="186"/>
    <cellStyle name="40% - Accent2 3 2" xfId="187"/>
    <cellStyle name="40% - Accent2 4" xfId="188"/>
    <cellStyle name="40% - Accent2 4 2" xfId="189"/>
    <cellStyle name="40% - Accent2 4 2 2" xfId="190"/>
    <cellStyle name="40% - Accent2 4 3" xfId="191"/>
    <cellStyle name="40% - Accent2 5" xfId="192"/>
    <cellStyle name="40% - Accent2 5 2" xfId="193"/>
    <cellStyle name="40% - Accent2 6" xfId="194"/>
    <cellStyle name="40% - Accent2 6 2" xfId="195"/>
    <cellStyle name="40% - Accent2 7" xfId="196"/>
    <cellStyle name="40% - Accent2 7 2" xfId="197"/>
    <cellStyle name="40% - Accent2_Q.W. ADMINISTRACIULI SENOBA" xfId="198"/>
    <cellStyle name="40% - Accent3" xfId="199"/>
    <cellStyle name="40% - Accent3 2" xfId="200"/>
    <cellStyle name="40% - Accent3 2 2" xfId="201"/>
    <cellStyle name="40% - Accent3 2 2 2" xfId="202"/>
    <cellStyle name="40% - Accent3 2 3" xfId="203"/>
    <cellStyle name="40% - Accent3 2 3 2" xfId="204"/>
    <cellStyle name="40% - Accent3 2 4" xfId="205"/>
    <cellStyle name="40% - Accent3 2 4 2" xfId="206"/>
    <cellStyle name="40% - Accent3 2 5" xfId="207"/>
    <cellStyle name="40% - Accent3 2 5 2" xfId="208"/>
    <cellStyle name="40% - Accent3 2 6" xfId="209"/>
    <cellStyle name="40% - Accent3 3" xfId="210"/>
    <cellStyle name="40% - Accent3 3 2" xfId="211"/>
    <cellStyle name="40% - Accent3 4" xfId="212"/>
    <cellStyle name="40% - Accent3 4 2" xfId="213"/>
    <cellStyle name="40% - Accent3 4 2 2" xfId="214"/>
    <cellStyle name="40% - Accent3 4 3" xfId="215"/>
    <cellStyle name="40% - Accent3 5" xfId="216"/>
    <cellStyle name="40% - Accent3 5 2" xfId="217"/>
    <cellStyle name="40% - Accent3 6" xfId="218"/>
    <cellStyle name="40% - Accent3 6 2" xfId="219"/>
    <cellStyle name="40% - Accent3 7" xfId="220"/>
    <cellStyle name="40% - Accent3 7 2" xfId="221"/>
    <cellStyle name="40% - Accent3_Q.W. ADMINISTRACIULI SENOBA" xfId="222"/>
    <cellStyle name="40% - Accent4" xfId="223"/>
    <cellStyle name="40% - Accent4 2" xfId="224"/>
    <cellStyle name="40% - Accent4 2 2" xfId="225"/>
    <cellStyle name="40% - Accent4 2 2 2" xfId="226"/>
    <cellStyle name="40% - Accent4 2 3" xfId="227"/>
    <cellStyle name="40% - Accent4 2 3 2" xfId="228"/>
    <cellStyle name="40% - Accent4 2 4" xfId="229"/>
    <cellStyle name="40% - Accent4 2 4 2" xfId="230"/>
    <cellStyle name="40% - Accent4 2 5" xfId="231"/>
    <cellStyle name="40% - Accent4 2 5 2" xfId="232"/>
    <cellStyle name="40% - Accent4 2 6" xfId="233"/>
    <cellStyle name="40% - Accent4 3" xfId="234"/>
    <cellStyle name="40% - Accent4 3 2" xfId="235"/>
    <cellStyle name="40% - Accent4 4" xfId="236"/>
    <cellStyle name="40% - Accent4 4 2" xfId="237"/>
    <cellStyle name="40% - Accent4 4 2 2" xfId="238"/>
    <cellStyle name="40% - Accent4 4 3" xfId="239"/>
    <cellStyle name="40% - Accent4 5" xfId="240"/>
    <cellStyle name="40% - Accent4 5 2" xfId="241"/>
    <cellStyle name="40% - Accent4 6" xfId="242"/>
    <cellStyle name="40% - Accent4 6 2" xfId="243"/>
    <cellStyle name="40% - Accent4 7" xfId="244"/>
    <cellStyle name="40% - Accent4 7 2" xfId="245"/>
    <cellStyle name="40% - Accent4_Q.W. ADMINISTRACIULI SENOBA" xfId="246"/>
    <cellStyle name="40% - Accent5" xfId="247"/>
    <cellStyle name="40% - Accent5 2" xfId="248"/>
    <cellStyle name="40% - Accent5 2 2" xfId="249"/>
    <cellStyle name="40% - Accent5 2 2 2" xfId="250"/>
    <cellStyle name="40% - Accent5 2 3" xfId="251"/>
    <cellStyle name="40% - Accent5 2 3 2" xfId="252"/>
    <cellStyle name="40% - Accent5 2 4" xfId="253"/>
    <cellStyle name="40% - Accent5 2 4 2" xfId="254"/>
    <cellStyle name="40% - Accent5 2 5" xfId="255"/>
    <cellStyle name="40% - Accent5 2 5 2" xfId="256"/>
    <cellStyle name="40% - Accent5 2 6" xfId="257"/>
    <cellStyle name="40% - Accent5 3" xfId="258"/>
    <cellStyle name="40% - Accent5 3 2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6" xfId="266"/>
    <cellStyle name="40% - Accent5 6 2" xfId="267"/>
    <cellStyle name="40% - Accent5 7" xfId="268"/>
    <cellStyle name="40% - Accent5 7 2" xfId="269"/>
    <cellStyle name="40% - Accent5_Q.W. ADMINISTRACIULI SENOBA" xfId="270"/>
    <cellStyle name="40% - Accent6" xfId="271"/>
    <cellStyle name="40% - Accent6 2" xfId="272"/>
    <cellStyle name="40% - Accent6 2 2" xfId="273"/>
    <cellStyle name="40% - Accent6 2 2 2" xfId="274"/>
    <cellStyle name="40% - Accent6 2 3" xfId="275"/>
    <cellStyle name="40% - Accent6 2 3 2" xfId="276"/>
    <cellStyle name="40% - Accent6 2 4" xfId="277"/>
    <cellStyle name="40% - Accent6 2 4 2" xfId="278"/>
    <cellStyle name="40% - Accent6 2 5" xfId="279"/>
    <cellStyle name="40% - Accent6 2 5 2" xfId="280"/>
    <cellStyle name="40% - Accent6 2 6" xfId="281"/>
    <cellStyle name="40% - Accent6 3" xfId="282"/>
    <cellStyle name="40% - Accent6 3 2" xfId="283"/>
    <cellStyle name="40% - Accent6 4" xfId="284"/>
    <cellStyle name="40% - Accent6 4 2" xfId="285"/>
    <cellStyle name="40% - Accent6 4 2 2" xfId="286"/>
    <cellStyle name="40% - Accent6 4 3" xfId="287"/>
    <cellStyle name="40% - Accent6 5" xfId="288"/>
    <cellStyle name="40% - Accent6 5 2" xfId="289"/>
    <cellStyle name="40% - Accent6 6" xfId="290"/>
    <cellStyle name="40% - Accent6 6 2" xfId="291"/>
    <cellStyle name="40% - Accent6 7" xfId="292"/>
    <cellStyle name="40% - Accent6 7 2" xfId="293"/>
    <cellStyle name="40% - Accent6_Q.W. ADMINISTRACIULI SENOBA" xfId="294"/>
    <cellStyle name="60% - Accent1" xfId="295"/>
    <cellStyle name="60% - Accent1 2" xfId="296"/>
    <cellStyle name="60% - Accent1 2 2" xfId="297"/>
    <cellStyle name="60% - Accent1 2 3" xfId="298"/>
    <cellStyle name="60% - Accent1 2 4" xfId="299"/>
    <cellStyle name="60% - Accent1 2 5" xfId="300"/>
    <cellStyle name="60% - Accent1 3" xfId="301"/>
    <cellStyle name="60% - Accent1 4" xfId="302"/>
    <cellStyle name="60% - Accent1 4 2" xfId="303"/>
    <cellStyle name="60% - Accent1 5" xfId="304"/>
    <cellStyle name="60% - Accent1 6" xfId="305"/>
    <cellStyle name="60% - Accent1 7" xfId="306"/>
    <cellStyle name="60% - Accent2" xfId="307"/>
    <cellStyle name="60% - Accent2 2" xfId="308"/>
    <cellStyle name="60% - Accent2 2 2" xfId="309"/>
    <cellStyle name="60% - Accent2 2 3" xfId="310"/>
    <cellStyle name="60% - Accent2 2 4" xfId="311"/>
    <cellStyle name="60% - Accent2 2 5" xfId="312"/>
    <cellStyle name="60% - Accent2 3" xfId="313"/>
    <cellStyle name="60% - Accent2 4" xfId="314"/>
    <cellStyle name="60% - Accent2 4 2" xfId="315"/>
    <cellStyle name="60% - Accent2 5" xfId="316"/>
    <cellStyle name="60% - Accent2 6" xfId="317"/>
    <cellStyle name="60% - Accent2 7" xfId="318"/>
    <cellStyle name="60% - Accent3" xfId="319"/>
    <cellStyle name="60% - Accent3 2" xfId="320"/>
    <cellStyle name="60% - Accent3 2 2" xfId="321"/>
    <cellStyle name="60% - Accent3 2 3" xfId="322"/>
    <cellStyle name="60% - Accent3 2 4" xfId="323"/>
    <cellStyle name="60% - Accent3 2 5" xfId="324"/>
    <cellStyle name="60% - Accent3 3" xfId="325"/>
    <cellStyle name="60% - Accent3 4" xfId="326"/>
    <cellStyle name="60% - Accent3 4 2" xfId="327"/>
    <cellStyle name="60% - Accent3 5" xfId="328"/>
    <cellStyle name="60% - Accent3 6" xfId="329"/>
    <cellStyle name="60% - Accent3 7" xfId="330"/>
    <cellStyle name="60% - Accent4" xfId="331"/>
    <cellStyle name="60% - Accent4 2" xfId="332"/>
    <cellStyle name="60% - Accent4 2 2" xfId="333"/>
    <cellStyle name="60% - Accent4 2 3" xfId="334"/>
    <cellStyle name="60% - Accent4 2 4" xfId="335"/>
    <cellStyle name="60% - Accent4 2 5" xfId="336"/>
    <cellStyle name="60% - Accent4 3" xfId="337"/>
    <cellStyle name="60% - Accent4 4" xfId="338"/>
    <cellStyle name="60% - Accent4 4 2" xfId="339"/>
    <cellStyle name="60% - Accent4 5" xfId="340"/>
    <cellStyle name="60% - Accent4 6" xfId="341"/>
    <cellStyle name="60% - Accent4 7" xfId="342"/>
    <cellStyle name="60% - Accent5" xfId="343"/>
    <cellStyle name="60% - Accent5 2" xfId="344"/>
    <cellStyle name="60% - Accent5 2 2" xfId="345"/>
    <cellStyle name="60% - Accent5 2 3" xfId="346"/>
    <cellStyle name="60% - Accent5 2 4" xfId="347"/>
    <cellStyle name="60% - Accent5 2 5" xfId="348"/>
    <cellStyle name="60% - Accent5 3" xfId="349"/>
    <cellStyle name="60% - Accent5 4" xfId="350"/>
    <cellStyle name="60% - Accent5 4 2" xfId="351"/>
    <cellStyle name="60% - Accent5 5" xfId="352"/>
    <cellStyle name="60% - Accent5 6" xfId="353"/>
    <cellStyle name="60% - Accent5 7" xfId="354"/>
    <cellStyle name="60% - Accent6" xfId="355"/>
    <cellStyle name="60% - Accent6 2" xfId="356"/>
    <cellStyle name="60% - Accent6 2 2" xfId="357"/>
    <cellStyle name="60% - Accent6 2 3" xfId="358"/>
    <cellStyle name="60% - Accent6 2 4" xfId="359"/>
    <cellStyle name="60% - Accent6 2 5" xfId="360"/>
    <cellStyle name="60% - Accent6 3" xfId="361"/>
    <cellStyle name="60% - Accent6 4" xfId="362"/>
    <cellStyle name="60% - Accent6 4 2" xfId="363"/>
    <cellStyle name="60% - Accent6 5" xfId="364"/>
    <cellStyle name="60% - Accent6 6" xfId="365"/>
    <cellStyle name="60% - Accent6 7" xfId="366"/>
    <cellStyle name="Accent1" xfId="367"/>
    <cellStyle name="Accent1 2" xfId="368"/>
    <cellStyle name="Accent1 2 2" xfId="369"/>
    <cellStyle name="Accent1 2 3" xfId="370"/>
    <cellStyle name="Accent1 2 4" xfId="371"/>
    <cellStyle name="Accent1 2 5" xfId="372"/>
    <cellStyle name="Accent1 3" xfId="373"/>
    <cellStyle name="Accent1 4" xfId="374"/>
    <cellStyle name="Accent1 4 2" xfId="375"/>
    <cellStyle name="Accent1 5" xfId="376"/>
    <cellStyle name="Accent1 6" xfId="377"/>
    <cellStyle name="Accent1 7" xfId="378"/>
    <cellStyle name="Accent2" xfId="379"/>
    <cellStyle name="Accent2 2" xfId="380"/>
    <cellStyle name="Accent2 2 2" xfId="381"/>
    <cellStyle name="Accent2 2 3" xfId="382"/>
    <cellStyle name="Accent2 2 4" xfId="383"/>
    <cellStyle name="Accent2 2 5" xfId="384"/>
    <cellStyle name="Accent2 3" xfId="385"/>
    <cellStyle name="Accent2 4" xfId="386"/>
    <cellStyle name="Accent2 4 2" xfId="387"/>
    <cellStyle name="Accent2 5" xfId="388"/>
    <cellStyle name="Accent2 6" xfId="389"/>
    <cellStyle name="Accent2 7" xfId="390"/>
    <cellStyle name="Accent3" xfId="391"/>
    <cellStyle name="Accent3 2" xfId="392"/>
    <cellStyle name="Accent3 2 2" xfId="393"/>
    <cellStyle name="Accent3 2 3" xfId="394"/>
    <cellStyle name="Accent3 2 4" xfId="395"/>
    <cellStyle name="Accent3 2 5" xfId="396"/>
    <cellStyle name="Accent3 3" xfId="397"/>
    <cellStyle name="Accent3 4" xfId="398"/>
    <cellStyle name="Accent3 4 2" xfId="399"/>
    <cellStyle name="Accent3 5" xfId="400"/>
    <cellStyle name="Accent3 6" xfId="401"/>
    <cellStyle name="Accent3 7" xfId="402"/>
    <cellStyle name="Accent4" xfId="403"/>
    <cellStyle name="Accent4 2" xfId="404"/>
    <cellStyle name="Accent4 2 2" xfId="405"/>
    <cellStyle name="Accent4 2 3" xfId="406"/>
    <cellStyle name="Accent4 2 4" xfId="407"/>
    <cellStyle name="Accent4 2 5" xfId="408"/>
    <cellStyle name="Accent4 3" xfId="409"/>
    <cellStyle name="Accent4 4" xfId="410"/>
    <cellStyle name="Accent4 4 2" xfId="411"/>
    <cellStyle name="Accent4 5" xfId="412"/>
    <cellStyle name="Accent4 6" xfId="413"/>
    <cellStyle name="Accent4 7" xfId="414"/>
    <cellStyle name="Accent5" xfId="415"/>
    <cellStyle name="Accent5 2" xfId="416"/>
    <cellStyle name="Accent5 2 2" xfId="417"/>
    <cellStyle name="Accent5 2 3" xfId="418"/>
    <cellStyle name="Accent5 2 4" xfId="419"/>
    <cellStyle name="Accent5 2 5" xfId="420"/>
    <cellStyle name="Accent5 3" xfId="421"/>
    <cellStyle name="Accent5 4" xfId="422"/>
    <cellStyle name="Accent5 4 2" xfId="423"/>
    <cellStyle name="Accent5 5" xfId="424"/>
    <cellStyle name="Accent5 6" xfId="425"/>
    <cellStyle name="Accent5 7" xfId="426"/>
    <cellStyle name="Accent6" xfId="427"/>
    <cellStyle name="Accent6 2" xfId="428"/>
    <cellStyle name="Accent6 2 2" xfId="429"/>
    <cellStyle name="Accent6 2 3" xfId="430"/>
    <cellStyle name="Accent6 2 4" xfId="431"/>
    <cellStyle name="Accent6 2 5" xfId="432"/>
    <cellStyle name="Accent6 3" xfId="433"/>
    <cellStyle name="Accent6 4" xfId="434"/>
    <cellStyle name="Accent6 4 2" xfId="435"/>
    <cellStyle name="Accent6 5" xfId="436"/>
    <cellStyle name="Accent6 6" xfId="437"/>
    <cellStyle name="Accent6 7" xfId="438"/>
    <cellStyle name="Bad" xfId="439"/>
    <cellStyle name="Bad 2" xfId="440"/>
    <cellStyle name="Bad 2 2" xfId="441"/>
    <cellStyle name="Bad 2 3" xfId="442"/>
    <cellStyle name="Bad 2 4" xfId="443"/>
    <cellStyle name="Bad 2 5" xfId="444"/>
    <cellStyle name="Bad 3" xfId="445"/>
    <cellStyle name="Bad 4" xfId="446"/>
    <cellStyle name="Bad 4 2" xfId="447"/>
    <cellStyle name="Bad 5" xfId="448"/>
    <cellStyle name="Bad 6" xfId="449"/>
    <cellStyle name="Bad 7" xfId="450"/>
    <cellStyle name="Calculation" xfId="451"/>
    <cellStyle name="Calculation 2" xfId="452"/>
    <cellStyle name="Calculation 2 2" xfId="453"/>
    <cellStyle name="Calculation 2 3" xfId="454"/>
    <cellStyle name="Calculation 2 4" xfId="455"/>
    <cellStyle name="Calculation 2 5" xfId="456"/>
    <cellStyle name="Calculation 2_anakia II etapi.xls sm. defeqturi" xfId="457"/>
    <cellStyle name="Calculation 3" xfId="458"/>
    <cellStyle name="Calculation 4" xfId="459"/>
    <cellStyle name="Calculation 4 2" xfId="460"/>
    <cellStyle name="Calculation 4_anakia II etapi.xls sm. defeqturi" xfId="461"/>
    <cellStyle name="Calculation 5" xfId="462"/>
    <cellStyle name="Calculation 6" xfId="463"/>
    <cellStyle name="Calculation 7" xfId="464"/>
    <cellStyle name="Check Cell" xfId="465"/>
    <cellStyle name="Check Cell 2" xfId="466"/>
    <cellStyle name="Check Cell 2 2" xfId="467"/>
    <cellStyle name="Check Cell 2 3" xfId="468"/>
    <cellStyle name="Check Cell 2 4" xfId="469"/>
    <cellStyle name="Check Cell 2 5" xfId="470"/>
    <cellStyle name="Check Cell 2_anakia II etapi.xls sm. defeqturi" xfId="471"/>
    <cellStyle name="Check Cell 3" xfId="472"/>
    <cellStyle name="Check Cell 4" xfId="473"/>
    <cellStyle name="Check Cell 4 2" xfId="474"/>
    <cellStyle name="Check Cell 4_anakia II etapi.xls sm. defeqturi" xfId="475"/>
    <cellStyle name="Check Cell 5" xfId="476"/>
    <cellStyle name="Check Cell 6" xfId="477"/>
    <cellStyle name="Check Cell 7" xfId="478"/>
    <cellStyle name="Comma" xfId="1" builtinId="3"/>
    <cellStyle name="Comma 10" xfId="480"/>
    <cellStyle name="Comma 10 2" xfId="481"/>
    <cellStyle name="Comma 11" xfId="482"/>
    <cellStyle name="Comma 12" xfId="483"/>
    <cellStyle name="Comma 12 2" xfId="484"/>
    <cellStyle name="Comma 12 3" xfId="485"/>
    <cellStyle name="Comma 12 4" xfId="486"/>
    <cellStyle name="Comma 12 5" xfId="487"/>
    <cellStyle name="Comma 12 6" xfId="488"/>
    <cellStyle name="Comma 12 7" xfId="489"/>
    <cellStyle name="Comma 12 8" xfId="490"/>
    <cellStyle name="Comma 13" xfId="491"/>
    <cellStyle name="Comma 14" xfId="492"/>
    <cellStyle name="Comma 15" xfId="493"/>
    <cellStyle name="Comma 15 2" xfId="494"/>
    <cellStyle name="Comma 16" xfId="495"/>
    <cellStyle name="Comma 17" xfId="496"/>
    <cellStyle name="Comma 17 2" xfId="497"/>
    <cellStyle name="Comma 18" xfId="498"/>
    <cellStyle name="Comma 19" xfId="499"/>
    <cellStyle name="Comma 2" xfId="500"/>
    <cellStyle name="Comma 2 2" xfId="501"/>
    <cellStyle name="Comma 2 2 2" xfId="502"/>
    <cellStyle name="Comma 2 2 3" xfId="503"/>
    <cellStyle name="Comma 2 3" xfId="504"/>
    <cellStyle name="Comma 20" xfId="505"/>
    <cellStyle name="Comma 3" xfId="506"/>
    <cellStyle name="Comma 4" xfId="507"/>
    <cellStyle name="Comma 5" xfId="508"/>
    <cellStyle name="Comma 6" xfId="509"/>
    <cellStyle name="Comma 7" xfId="510"/>
    <cellStyle name="Comma 8" xfId="511"/>
    <cellStyle name="Comma 9" xfId="512"/>
    <cellStyle name="Explanatory Text" xfId="513"/>
    <cellStyle name="Explanatory Text 2" xfId="514"/>
    <cellStyle name="Explanatory Text 2 2" xfId="515"/>
    <cellStyle name="Explanatory Text 2 3" xfId="516"/>
    <cellStyle name="Explanatory Text 2 4" xfId="517"/>
    <cellStyle name="Explanatory Text 2 5" xfId="518"/>
    <cellStyle name="Explanatory Text 3" xfId="519"/>
    <cellStyle name="Explanatory Text 4" xfId="520"/>
    <cellStyle name="Explanatory Text 4 2" xfId="521"/>
    <cellStyle name="Explanatory Text 5" xfId="522"/>
    <cellStyle name="Explanatory Text 6" xfId="523"/>
    <cellStyle name="Explanatory Text 7" xfId="524"/>
    <cellStyle name="Good" xfId="525"/>
    <cellStyle name="Good 2" xfId="526"/>
    <cellStyle name="Good 2 2" xfId="527"/>
    <cellStyle name="Good 2 3" xfId="528"/>
    <cellStyle name="Good 2 4" xfId="529"/>
    <cellStyle name="Good 2 5" xfId="530"/>
    <cellStyle name="Good 3" xfId="531"/>
    <cellStyle name="Good 4" xfId="532"/>
    <cellStyle name="Good 4 2" xfId="533"/>
    <cellStyle name="Good 5" xfId="534"/>
    <cellStyle name="Good 6" xfId="535"/>
    <cellStyle name="Good 7" xfId="536"/>
    <cellStyle name="Heading 1" xfId="537"/>
    <cellStyle name="Heading 1 2" xfId="538"/>
    <cellStyle name="Heading 1 2 2" xfId="539"/>
    <cellStyle name="Heading 1 2 3" xfId="540"/>
    <cellStyle name="Heading 1 2 4" xfId="541"/>
    <cellStyle name="Heading 1 2 5" xfId="542"/>
    <cellStyle name="Heading 1 2_anakia II etapi.xls sm. defeqturi" xfId="543"/>
    <cellStyle name="Heading 1 3" xfId="544"/>
    <cellStyle name="Heading 1 4" xfId="545"/>
    <cellStyle name="Heading 1 4 2" xfId="546"/>
    <cellStyle name="Heading 1 4_anakia II etapi.xls sm. defeqturi" xfId="547"/>
    <cellStyle name="Heading 1 5" xfId="548"/>
    <cellStyle name="Heading 1 6" xfId="549"/>
    <cellStyle name="Heading 1 7" xfId="550"/>
    <cellStyle name="Heading 2" xfId="551"/>
    <cellStyle name="Heading 2 2" xfId="552"/>
    <cellStyle name="Heading 2 2 2" xfId="553"/>
    <cellStyle name="Heading 2 2 3" xfId="554"/>
    <cellStyle name="Heading 2 2 4" xfId="555"/>
    <cellStyle name="Heading 2 2 5" xfId="556"/>
    <cellStyle name="Heading 2 2_anakia II etapi.xls sm. defeqturi" xfId="557"/>
    <cellStyle name="Heading 2 3" xfId="558"/>
    <cellStyle name="Heading 2 4" xfId="559"/>
    <cellStyle name="Heading 2 4 2" xfId="560"/>
    <cellStyle name="Heading 2 4_anakia II etapi.xls sm. defeqturi" xfId="561"/>
    <cellStyle name="Heading 2 5" xfId="562"/>
    <cellStyle name="Heading 2 6" xfId="563"/>
    <cellStyle name="Heading 2 7" xfId="564"/>
    <cellStyle name="Heading 3" xfId="565"/>
    <cellStyle name="Heading 3 2" xfId="566"/>
    <cellStyle name="Heading 3 2 2" xfId="567"/>
    <cellStyle name="Heading 3 2 3" xfId="568"/>
    <cellStyle name="Heading 3 2 4" xfId="569"/>
    <cellStyle name="Heading 3 2 5" xfId="570"/>
    <cellStyle name="Heading 3 2_anakia II etapi.xls sm. defeqturi" xfId="571"/>
    <cellStyle name="Heading 3 3" xfId="572"/>
    <cellStyle name="Heading 3 4" xfId="573"/>
    <cellStyle name="Heading 3 4 2" xfId="574"/>
    <cellStyle name="Heading 3 4_anakia II etapi.xls sm. defeqturi" xfId="575"/>
    <cellStyle name="Heading 3 5" xfId="576"/>
    <cellStyle name="Heading 3 6" xfId="577"/>
    <cellStyle name="Heading 3 7" xfId="578"/>
    <cellStyle name="Heading 4" xfId="579"/>
    <cellStyle name="Heading 4 2" xfId="580"/>
    <cellStyle name="Heading 4 2 2" xfId="581"/>
    <cellStyle name="Heading 4 2 3" xfId="582"/>
    <cellStyle name="Heading 4 2 4" xfId="583"/>
    <cellStyle name="Heading 4 2 5" xfId="584"/>
    <cellStyle name="Heading 4 3" xfId="585"/>
    <cellStyle name="Heading 4 4" xfId="586"/>
    <cellStyle name="Heading 4 4 2" xfId="587"/>
    <cellStyle name="Heading 4 5" xfId="588"/>
    <cellStyle name="Heading 4 6" xfId="589"/>
    <cellStyle name="Heading 4 7" xfId="590"/>
    <cellStyle name="Hyperlink 2" xfId="591"/>
    <cellStyle name="Input" xfId="592"/>
    <cellStyle name="Input 2" xfId="593"/>
    <cellStyle name="Input 2 2" xfId="594"/>
    <cellStyle name="Input 2 3" xfId="595"/>
    <cellStyle name="Input 2 4" xfId="596"/>
    <cellStyle name="Input 2 5" xfId="597"/>
    <cellStyle name="Input 2_anakia II etapi.xls sm. defeqturi" xfId="598"/>
    <cellStyle name="Input 3" xfId="599"/>
    <cellStyle name="Input 4" xfId="600"/>
    <cellStyle name="Input 4 2" xfId="601"/>
    <cellStyle name="Input 4_anakia II etapi.xls sm. defeqturi" xfId="602"/>
    <cellStyle name="Input 5" xfId="603"/>
    <cellStyle name="Input 6" xfId="604"/>
    <cellStyle name="Input 7" xfId="605"/>
    <cellStyle name="Linked Cell" xfId="606"/>
    <cellStyle name="Linked Cell 2" xfId="607"/>
    <cellStyle name="Linked Cell 2 2" xfId="608"/>
    <cellStyle name="Linked Cell 2 3" xfId="609"/>
    <cellStyle name="Linked Cell 2 4" xfId="610"/>
    <cellStyle name="Linked Cell 2 5" xfId="611"/>
    <cellStyle name="Linked Cell 2_anakia II etapi.xls sm. defeqturi" xfId="612"/>
    <cellStyle name="Linked Cell 3" xfId="613"/>
    <cellStyle name="Linked Cell 4" xfId="614"/>
    <cellStyle name="Linked Cell 4 2" xfId="615"/>
    <cellStyle name="Linked Cell 4_anakia II etapi.xls sm. defeqturi" xfId="616"/>
    <cellStyle name="Linked Cell 5" xfId="617"/>
    <cellStyle name="Linked Cell 6" xfId="618"/>
    <cellStyle name="Linked Cell 7" xfId="619"/>
    <cellStyle name="Neutral" xfId="620"/>
    <cellStyle name="Neutral 2" xfId="621"/>
    <cellStyle name="Neutral 2 2" xfId="622"/>
    <cellStyle name="Neutral 2 3" xfId="623"/>
    <cellStyle name="Neutral 2 4" xfId="624"/>
    <cellStyle name="Neutral 2 5" xfId="625"/>
    <cellStyle name="Neutral 3" xfId="626"/>
    <cellStyle name="Neutral 4" xfId="627"/>
    <cellStyle name="Neutral 4 2" xfId="628"/>
    <cellStyle name="Neutral 5" xfId="629"/>
    <cellStyle name="Neutral 6" xfId="630"/>
    <cellStyle name="Neutral 7" xfId="631"/>
    <cellStyle name="Normal" xfId="0" builtinId="0"/>
    <cellStyle name="Normal 10" xfId="632"/>
    <cellStyle name="Normal 10 2" xfId="633"/>
    <cellStyle name="Normal 11" xfId="634"/>
    <cellStyle name="Normal 11 2" xfId="635"/>
    <cellStyle name="Normal 11 2 2" xfId="636"/>
    <cellStyle name="Normal 11 3" xfId="637"/>
    <cellStyle name="Normal 11_GAZI-2010" xfId="638"/>
    <cellStyle name="Normal 12" xfId="639"/>
    <cellStyle name="Normal 12 2" xfId="640"/>
    <cellStyle name="Normal 12_gazis gare qseli" xfId="641"/>
    <cellStyle name="Normal 13" xfId="642"/>
    <cellStyle name="Normal 13 2" xfId="643"/>
    <cellStyle name="Normal 13 2 2" xfId="644"/>
    <cellStyle name="Normal 13 2 3" xfId="645"/>
    <cellStyle name="Normal 13 3" xfId="646"/>
    <cellStyle name="Normal 13 3 2" xfId="647"/>
    <cellStyle name="Normal 13 3 3" xfId="648"/>
    <cellStyle name="Normal 13 3 3 2" xfId="649"/>
    <cellStyle name="Normal 13 3 3 3" xfId="650"/>
    <cellStyle name="Normal 13 3 4" xfId="651"/>
    <cellStyle name="Normal 13 3 5" xfId="652"/>
    <cellStyle name="Normal 13 4" xfId="653"/>
    <cellStyle name="Normal 13 5" xfId="654"/>
    <cellStyle name="Normal 13 5 2" xfId="655"/>
    <cellStyle name="Normal 13 5 3" xfId="656"/>
    <cellStyle name="Normal 13 5 3 2" xfId="657"/>
    <cellStyle name="Normal 13 5 3 3" xfId="658"/>
    <cellStyle name="Normal 13 5 3 4" xfId="659"/>
    <cellStyle name="Normal 13 5 4" xfId="660"/>
    <cellStyle name="Normal 13 6" xfId="661"/>
    <cellStyle name="Normal 13 7" xfId="662"/>
    <cellStyle name="Normal 13 8" xfId="663"/>
    <cellStyle name="Normal 13_# 6-1 27.01.12 - копия (1)" xfId="664"/>
    <cellStyle name="Normal 14" xfId="665"/>
    <cellStyle name="Normal 14 2" xfId="666"/>
    <cellStyle name="Normal 14 3" xfId="667"/>
    <cellStyle name="Normal 14 3 2" xfId="668"/>
    <cellStyle name="Normal 14 4" xfId="669"/>
    <cellStyle name="Normal 14 5" xfId="670"/>
    <cellStyle name="Normal 14 6" xfId="671"/>
    <cellStyle name="Normal 14_anakia II etapi.xls sm. defeqturi" xfId="672"/>
    <cellStyle name="Normal 15" xfId="673"/>
    <cellStyle name="Normal 16" xfId="674"/>
    <cellStyle name="Normal 16 2" xfId="675"/>
    <cellStyle name="Normal 16 3" xfId="676"/>
    <cellStyle name="Normal 16 4" xfId="677"/>
    <cellStyle name="Normal 16_# 6-1 27.01.12 - копия (1)" xfId="678"/>
    <cellStyle name="Normal 17" xfId="679"/>
    <cellStyle name="Normal 18" xfId="680"/>
    <cellStyle name="Normal 19" xfId="681"/>
    <cellStyle name="Normal 2" xfId="5"/>
    <cellStyle name="Normal 2 10" xfId="683"/>
    <cellStyle name="Normal 2 11" xfId="684"/>
    <cellStyle name="Normal 2 12" xfId="682"/>
    <cellStyle name="Normal 2 2" xfId="685"/>
    <cellStyle name="Normal 2 2 2" xfId="686"/>
    <cellStyle name="Normal 2 2 3" xfId="687"/>
    <cellStyle name="Normal 2 2 4" xfId="688"/>
    <cellStyle name="Normal 2 2 5" xfId="689"/>
    <cellStyle name="Normal 2 2 6" xfId="690"/>
    <cellStyle name="Normal 2 2 7" xfId="691"/>
    <cellStyle name="Normal 2 2_2D4CD000" xfId="692"/>
    <cellStyle name="Normal 2 3" xfId="693"/>
    <cellStyle name="Normal 2 4" xfId="694"/>
    <cellStyle name="Normal 2 5" xfId="695"/>
    <cellStyle name="Normal 2 6" xfId="696"/>
    <cellStyle name="Normal 2 7" xfId="697"/>
    <cellStyle name="Normal 2 7 2" xfId="698"/>
    <cellStyle name="Normal 2 7 3" xfId="699"/>
    <cellStyle name="Normal 2 7_anakia II etapi.xls sm. defeqturi" xfId="700"/>
    <cellStyle name="Normal 2 8" xfId="701"/>
    <cellStyle name="Normal 2 9" xfId="702"/>
    <cellStyle name="Normal 2_anakia II etapi.xls sm. defeqturi" xfId="703"/>
    <cellStyle name="Normal 20" xfId="704"/>
    <cellStyle name="Normal 21" xfId="705"/>
    <cellStyle name="Normal 22" xfId="706"/>
    <cellStyle name="Normal 23" xfId="707"/>
    <cellStyle name="Normal 24" xfId="708"/>
    <cellStyle name="Normal 25" xfId="709"/>
    <cellStyle name="Normal 26" xfId="710"/>
    <cellStyle name="Normal 27" xfId="711"/>
    <cellStyle name="Normal 28" xfId="712"/>
    <cellStyle name="Normal 29" xfId="713"/>
    <cellStyle name="Normal 29 2" xfId="714"/>
    <cellStyle name="Normal 3" xfId="2"/>
    <cellStyle name="Normal 3 2" xfId="715"/>
    <cellStyle name="Normal 3 2 2" xfId="716"/>
    <cellStyle name="Normal 3 2_anakia II etapi.xls sm. defeqturi" xfId="717"/>
    <cellStyle name="Normal 3 3" xfId="718"/>
    <cellStyle name="Normal 30" xfId="719"/>
    <cellStyle name="Normal 30 2" xfId="720"/>
    <cellStyle name="Normal 31" xfId="721"/>
    <cellStyle name="Normal 32" xfId="722"/>
    <cellStyle name="Normal 32 2" xfId="723"/>
    <cellStyle name="Normal 32 2 2" xfId="724"/>
    <cellStyle name="Normal 32 3" xfId="725"/>
    <cellStyle name="Normal 32 3 2" xfId="726"/>
    <cellStyle name="Normal 32 3 2 2" xfId="727"/>
    <cellStyle name="Normal 32 4" xfId="728"/>
    <cellStyle name="Normal 32_# 6-1 27.01.12 - копия (1)" xfId="729"/>
    <cellStyle name="Normal 33" xfId="730"/>
    <cellStyle name="Normal 33 2" xfId="731"/>
    <cellStyle name="Normal 34" xfId="732"/>
    <cellStyle name="Normal 35" xfId="733"/>
    <cellStyle name="Normal 35 2" xfId="734"/>
    <cellStyle name="Normal 35 3" xfId="735"/>
    <cellStyle name="Normal 36" xfId="736"/>
    <cellStyle name="Normal 36 2" xfId="737"/>
    <cellStyle name="Normal 36 2 2" xfId="738"/>
    <cellStyle name="Normal 36 2 2 2" xfId="904"/>
    <cellStyle name="Normal 36 2 3" xfId="739"/>
    <cellStyle name="Normal 36 2 4" xfId="740"/>
    <cellStyle name="Normal 36 3" xfId="741"/>
    <cellStyle name="Normal 36 4" xfId="742"/>
    <cellStyle name="Normal 37" xfId="743"/>
    <cellStyle name="Normal 37 2" xfId="744"/>
    <cellStyle name="Normal 38" xfId="745"/>
    <cellStyle name="Normal 38 2" xfId="746"/>
    <cellStyle name="Normal 38 2 2" xfId="747"/>
    <cellStyle name="Normal 38 3" xfId="748"/>
    <cellStyle name="Normal 38 3 2" xfId="749"/>
    <cellStyle name="Normal 38 4" xfId="750"/>
    <cellStyle name="Normal 39" xfId="751"/>
    <cellStyle name="Normal 39 2" xfId="752"/>
    <cellStyle name="Normal 4" xfId="753"/>
    <cellStyle name="Normal 4 2" xfId="754"/>
    <cellStyle name="Normal 4 3" xfId="755"/>
    <cellStyle name="Normal 40" xfId="756"/>
    <cellStyle name="Normal 40 2" xfId="757"/>
    <cellStyle name="Normal 40 3" xfId="758"/>
    <cellStyle name="Normal 41" xfId="759"/>
    <cellStyle name="Normal 41 2" xfId="760"/>
    <cellStyle name="Normal 42" xfId="761"/>
    <cellStyle name="Normal 42 2" xfId="762"/>
    <cellStyle name="Normal 42 3" xfId="763"/>
    <cellStyle name="Normal 43" xfId="764"/>
    <cellStyle name="Normal 44" xfId="765"/>
    <cellStyle name="Normal 45" xfId="766"/>
    <cellStyle name="Normal 46" xfId="767"/>
    <cellStyle name="Normal 47" xfId="768"/>
    <cellStyle name="Normal 47 2" xfId="769"/>
    <cellStyle name="Normal 47 3" xfId="770"/>
    <cellStyle name="Normal 47 3 2" xfId="771"/>
    <cellStyle name="Normal 47 3 3" xfId="772"/>
    <cellStyle name="Normal 47 4" xfId="773"/>
    <cellStyle name="Normal 5" xfId="774"/>
    <cellStyle name="Normal 5 2" xfId="775"/>
    <cellStyle name="Normal 5 2 2" xfId="776"/>
    <cellStyle name="Normal 5 3" xfId="777"/>
    <cellStyle name="Normal 5 4" xfId="778"/>
    <cellStyle name="Normal 5 4 2" xfId="779"/>
    <cellStyle name="Normal 5 4 3" xfId="780"/>
    <cellStyle name="Normal 5 5" xfId="781"/>
    <cellStyle name="Normal 5_Copy of SAN2010" xfId="782"/>
    <cellStyle name="Normal 50" xfId="906"/>
    <cellStyle name="Normal 6" xfId="783"/>
    <cellStyle name="Normal 7" xfId="784"/>
    <cellStyle name="Normal 75" xfId="785"/>
    <cellStyle name="Normal 8" xfId="786"/>
    <cellStyle name="Normal 8 2" xfId="787"/>
    <cellStyle name="Normal 8_2D4CD000" xfId="788"/>
    <cellStyle name="Normal 9" xfId="789"/>
    <cellStyle name="Normal 9 2" xfId="790"/>
    <cellStyle name="Normal 9 2 2" xfId="791"/>
    <cellStyle name="Normal 9 2 3" xfId="792"/>
    <cellStyle name="Normal 9 2 4" xfId="793"/>
    <cellStyle name="Normal 9 2_anakia II etapi.xls sm. defeqturi" xfId="794"/>
    <cellStyle name="Normal 9_2D4CD000" xfId="795"/>
    <cellStyle name="Normal_Book1_axalqalaqis skola " xfId="905"/>
    <cellStyle name="Normal_gare wyalsadfenigagarini 2 2" xfId="796"/>
    <cellStyle name="Normal_gare wyalsadfenigagarini_SUSTI DENEBI_axalqalaqis skola " xfId="903"/>
    <cellStyle name="Normal_qavtarazis mravalfunqciuri kompleqsis xarjTaRricxva" xfId="4"/>
    <cellStyle name="Normal_SUSTI DENEBI" xfId="902"/>
    <cellStyle name="Note" xfId="797"/>
    <cellStyle name="Note 2" xfId="798"/>
    <cellStyle name="Note 2 2" xfId="799"/>
    <cellStyle name="Note 2 3" xfId="800"/>
    <cellStyle name="Note 2 4" xfId="801"/>
    <cellStyle name="Note 2 5" xfId="802"/>
    <cellStyle name="Note 2_anakia II etapi.xls sm. defeqturi" xfId="803"/>
    <cellStyle name="Note 3" xfId="804"/>
    <cellStyle name="Note 4" xfId="805"/>
    <cellStyle name="Note 4 2" xfId="806"/>
    <cellStyle name="Note 4_anakia II etapi.xls sm. defeqturi" xfId="807"/>
    <cellStyle name="Note 5" xfId="808"/>
    <cellStyle name="Note 6" xfId="809"/>
    <cellStyle name="Note 7" xfId="810"/>
    <cellStyle name="Output" xfId="811"/>
    <cellStyle name="Output 2" xfId="812"/>
    <cellStyle name="Output 2 2" xfId="813"/>
    <cellStyle name="Output 2 3" xfId="814"/>
    <cellStyle name="Output 2 4" xfId="815"/>
    <cellStyle name="Output 2 5" xfId="816"/>
    <cellStyle name="Output 2_anakia II etapi.xls sm. defeqturi" xfId="817"/>
    <cellStyle name="Output 3" xfId="818"/>
    <cellStyle name="Output 4" xfId="819"/>
    <cellStyle name="Output 4 2" xfId="820"/>
    <cellStyle name="Output 4_anakia II etapi.xls sm. defeqturi" xfId="821"/>
    <cellStyle name="Output 5" xfId="822"/>
    <cellStyle name="Output 6" xfId="823"/>
    <cellStyle name="Output 7" xfId="824"/>
    <cellStyle name="Percent 2" xfId="825"/>
    <cellStyle name="Percent 3" xfId="826"/>
    <cellStyle name="Percent 3 2" xfId="827"/>
    <cellStyle name="Percent 4" xfId="828"/>
    <cellStyle name="Percent 5" xfId="829"/>
    <cellStyle name="Percent 6" xfId="830"/>
    <cellStyle name="Style 1" xfId="831"/>
    <cellStyle name="Title" xfId="832"/>
    <cellStyle name="Title 2" xfId="833"/>
    <cellStyle name="Title 2 2" xfId="834"/>
    <cellStyle name="Title 2 3" xfId="835"/>
    <cellStyle name="Title 2 4" xfId="836"/>
    <cellStyle name="Title 2 5" xfId="837"/>
    <cellStyle name="Title 3" xfId="838"/>
    <cellStyle name="Title 4" xfId="839"/>
    <cellStyle name="Title 4 2" xfId="840"/>
    <cellStyle name="Title 5" xfId="841"/>
    <cellStyle name="Title 6" xfId="842"/>
    <cellStyle name="Title 7" xfId="843"/>
    <cellStyle name="Total" xfId="844"/>
    <cellStyle name="Total 2" xfId="845"/>
    <cellStyle name="Total 2 2" xfId="846"/>
    <cellStyle name="Total 2 3" xfId="847"/>
    <cellStyle name="Total 2 4" xfId="848"/>
    <cellStyle name="Total 2 5" xfId="849"/>
    <cellStyle name="Total 2_anakia II etapi.xls sm. defeqturi" xfId="850"/>
    <cellStyle name="Total 3" xfId="851"/>
    <cellStyle name="Total 4" xfId="852"/>
    <cellStyle name="Total 4 2" xfId="853"/>
    <cellStyle name="Total 4_anakia II etapi.xls sm. defeqturi" xfId="854"/>
    <cellStyle name="Total 5" xfId="855"/>
    <cellStyle name="Total 6" xfId="856"/>
    <cellStyle name="Total 7" xfId="857"/>
    <cellStyle name="Warning Text" xfId="858"/>
    <cellStyle name="Warning Text 2" xfId="859"/>
    <cellStyle name="Warning Text 2 2" xfId="860"/>
    <cellStyle name="Warning Text 2 3" xfId="861"/>
    <cellStyle name="Warning Text 2 4" xfId="862"/>
    <cellStyle name="Warning Text 2 5" xfId="863"/>
    <cellStyle name="Warning Text 3" xfId="864"/>
    <cellStyle name="Warning Text 4" xfId="865"/>
    <cellStyle name="Warning Text 4 2" xfId="866"/>
    <cellStyle name="Warning Text 5" xfId="867"/>
    <cellStyle name="Warning Text 6" xfId="868"/>
    <cellStyle name="Warning Text 7" xfId="869"/>
    <cellStyle name="Обычный 10" xfId="870"/>
    <cellStyle name="Обычный 10 2" xfId="871"/>
    <cellStyle name="Обычный 11" xfId="6"/>
    <cellStyle name="Обычный 2" xfId="3"/>
    <cellStyle name="Обычный 2 2" xfId="872"/>
    <cellStyle name="Обычный 3" xfId="873"/>
    <cellStyle name="Обычный 3 2" xfId="874"/>
    <cellStyle name="Обычный 3 3" xfId="875"/>
    <cellStyle name="Обычный 4" xfId="876"/>
    <cellStyle name="Обычный 4 2" xfId="877"/>
    <cellStyle name="Обычный 4 3" xfId="878"/>
    <cellStyle name="Обычный 4 4" xfId="879"/>
    <cellStyle name="Обычный 5" xfId="880"/>
    <cellStyle name="Обычный 5 2" xfId="881"/>
    <cellStyle name="Обычный 5 2 2" xfId="882"/>
    <cellStyle name="Обычный 5 3" xfId="883"/>
    <cellStyle name="Обычный 5 4" xfId="884"/>
    <cellStyle name="Обычный 5 4 2" xfId="885"/>
    <cellStyle name="Обычный 5 5" xfId="886"/>
    <cellStyle name="Обычный 6" xfId="887"/>
    <cellStyle name="Обычный 6 2" xfId="888"/>
    <cellStyle name="Обычный 7" xfId="889"/>
    <cellStyle name="Обычный 8" xfId="890"/>
    <cellStyle name="Обычный 8 2" xfId="891"/>
    <cellStyle name="Обычный 9" xfId="892"/>
    <cellStyle name="Плохой 2" xfId="893"/>
    <cellStyle name="Процентный 2" xfId="894"/>
    <cellStyle name="Процентный 3" xfId="895"/>
    <cellStyle name="Процентный 3 2" xfId="896"/>
    <cellStyle name="Финансовый 2" xfId="897"/>
    <cellStyle name="Финансовый 2 2" xfId="898"/>
    <cellStyle name="Финансовый 3" xfId="899"/>
    <cellStyle name="Финансовый 4" xfId="900"/>
    <cellStyle name="Финансовый 5" xfId="901"/>
    <cellStyle name="Финансовый 6" xfId="479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FFCCFF"/>
      <color rgb="FF00FF99"/>
      <color rgb="FF66FFCC"/>
      <color rgb="FF9900FF"/>
      <color rgb="FFFF99FF"/>
      <color rgb="FFFF66FF"/>
      <color rgb="FFFED2A2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zoomScale="80" zoomScaleNormal="80" workbookViewId="0">
      <selection activeCell="C23" sqref="C23"/>
    </sheetView>
  </sheetViews>
  <sheetFormatPr defaultColWidth="8.85546875" defaultRowHeight="15"/>
  <cols>
    <col min="1" max="1" width="8.28515625" style="14" customWidth="1"/>
    <col min="2" max="2" width="20.28515625" style="14" customWidth="1"/>
    <col min="3" max="3" width="42.28515625" style="14" customWidth="1"/>
    <col min="4" max="4" width="28.85546875" style="17" customWidth="1"/>
    <col min="5" max="5" width="29.140625" style="17" customWidth="1"/>
    <col min="6" max="6" width="21.5703125" style="3" customWidth="1"/>
    <col min="7" max="16384" width="8.85546875" style="3"/>
  </cols>
  <sheetData>
    <row r="1" spans="1:6" ht="25.15" customHeight="1">
      <c r="A1" s="494" t="s">
        <v>42</v>
      </c>
      <c r="B1" s="494"/>
      <c r="C1" s="494"/>
      <c r="D1" s="494"/>
      <c r="E1" s="494"/>
    </row>
    <row r="2" spans="1:6" ht="15.75">
      <c r="A2" s="20"/>
      <c r="B2" s="20"/>
      <c r="C2" s="20"/>
      <c r="D2" s="22"/>
      <c r="E2" s="22"/>
    </row>
    <row r="3" spans="1:6" ht="52.5" customHeight="1">
      <c r="A3" s="494" t="s">
        <v>178</v>
      </c>
      <c r="B3" s="494"/>
      <c r="C3" s="494"/>
      <c r="D3" s="494"/>
      <c r="E3" s="494"/>
    </row>
    <row r="4" spans="1:6" ht="11.45" customHeight="1">
      <c r="A4" s="20"/>
      <c r="B4" s="20"/>
      <c r="C4" s="20"/>
      <c r="D4" s="22"/>
      <c r="E4" s="22"/>
    </row>
    <row r="5" spans="1:6" ht="63.75" customHeight="1">
      <c r="A5" s="495" t="s">
        <v>0</v>
      </c>
      <c r="B5" s="495" t="s">
        <v>43</v>
      </c>
      <c r="C5" s="495" t="s">
        <v>44</v>
      </c>
      <c r="D5" s="496" t="s">
        <v>45</v>
      </c>
      <c r="E5" s="496"/>
    </row>
    <row r="6" spans="1:6" ht="26.25" customHeight="1">
      <c r="A6" s="495"/>
      <c r="B6" s="495"/>
      <c r="C6" s="495"/>
      <c r="D6" s="497" t="s">
        <v>24</v>
      </c>
      <c r="E6" s="498"/>
    </row>
    <row r="7" spans="1:6" ht="15.75">
      <c r="A7" s="261">
        <v>1</v>
      </c>
      <c r="B7" s="261">
        <v>2</v>
      </c>
      <c r="C7" s="261">
        <v>3</v>
      </c>
      <c r="D7" s="261">
        <v>4</v>
      </c>
      <c r="E7" s="261" t="s">
        <v>38</v>
      </c>
    </row>
    <row r="8" spans="1:6" ht="15.75">
      <c r="A8" s="261">
        <v>1</v>
      </c>
      <c r="B8" s="261" t="s">
        <v>46</v>
      </c>
      <c r="C8" s="261" t="str">
        <f>'#1'!C11</f>
        <v>saerTo samSeneblo samuSaoebi</v>
      </c>
      <c r="D8" s="372"/>
      <c r="E8" s="384"/>
      <c r="F8" s="173"/>
    </row>
    <row r="9" spans="1:6" ht="15.75">
      <c r="A9" s="261">
        <v>2</v>
      </c>
      <c r="B9" s="261" t="s">
        <v>47</v>
      </c>
      <c r="C9" s="261" t="str">
        <f>'#2'!C10</f>
        <v>eleqtro montaJis samuSaoebi</v>
      </c>
      <c r="D9" s="372"/>
      <c r="E9" s="384"/>
    </row>
    <row r="10" spans="1:6" ht="15.75">
      <c r="A10" s="261">
        <v>3</v>
      </c>
      <c r="B10" s="261" t="s">
        <v>50</v>
      </c>
      <c r="C10" s="261" t="str">
        <f>'#3'!C10</f>
        <v>inventaris SeZena montaJi</v>
      </c>
      <c r="D10" s="262"/>
      <c r="E10" s="384"/>
    </row>
    <row r="11" spans="1:6" ht="15.75">
      <c r="A11" s="261"/>
      <c r="B11" s="261"/>
      <c r="C11" s="261"/>
      <c r="D11" s="262"/>
      <c r="E11" s="384"/>
    </row>
    <row r="12" spans="1:6" ht="15.75">
      <c r="A12" s="249"/>
      <c r="B12" s="249"/>
      <c r="C12" s="196" t="s">
        <v>48</v>
      </c>
      <c r="D12" s="219"/>
      <c r="E12" s="385"/>
    </row>
    <row r="13" spans="1:6" ht="15.75">
      <c r="A13" s="20"/>
      <c r="B13" s="20"/>
      <c r="C13" s="253"/>
      <c r="D13" s="29"/>
      <c r="E13" s="22"/>
    </row>
    <row r="14" spans="1:6">
      <c r="C14" s="24"/>
      <c r="D14" s="27"/>
    </row>
    <row r="15" spans="1:6" ht="15.75">
      <c r="C15" s="51"/>
      <c r="D15" s="250"/>
    </row>
  </sheetData>
  <mergeCells count="7">
    <mergeCell ref="A1:E1"/>
    <mergeCell ref="A3:E3"/>
    <mergeCell ref="A5:A6"/>
    <mergeCell ref="B5:B6"/>
    <mergeCell ref="C5:C6"/>
    <mergeCell ref="D5:E5"/>
    <mergeCell ref="D6:E6"/>
  </mergeCells>
  <pageMargins left="1.1299999999999999" right="0.39" top="0.23" bottom="0.23" header="0.19685039370078741" footer="0.16"/>
  <pageSetup paperSize="9" orientation="landscape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231"/>
  <sheetViews>
    <sheetView topLeftCell="A3" zoomScale="90" zoomScaleNormal="90" workbookViewId="0">
      <selection activeCell="C229" sqref="C229"/>
    </sheetView>
  </sheetViews>
  <sheetFormatPr defaultColWidth="8.85546875" defaultRowHeight="15"/>
  <cols>
    <col min="1" max="1" width="6" style="304" customWidth="1"/>
    <col min="2" max="2" width="8.28515625" style="6" customWidth="1"/>
    <col min="3" max="3" width="30.5703125" style="14" customWidth="1"/>
    <col min="4" max="4" width="6.42578125" style="6" customWidth="1"/>
    <col min="5" max="5" width="8" style="33" customWidth="1"/>
    <col min="6" max="6" width="13.28515625" style="253" customWidth="1"/>
    <col min="7" max="7" width="9.140625" style="17" customWidth="1"/>
    <col min="8" max="8" width="11.28515625" style="17" customWidth="1"/>
    <col min="9" max="9" width="6.5703125" style="17" customWidth="1"/>
    <col min="10" max="10" width="13.7109375" style="17" customWidth="1"/>
    <col min="11" max="11" width="6.85546875" style="17" customWidth="1"/>
    <col min="12" max="12" width="10.140625" style="17" customWidth="1"/>
    <col min="13" max="13" width="18.7109375" style="17" customWidth="1"/>
    <col min="14" max="14" width="35.42578125" style="3" customWidth="1"/>
    <col min="15" max="15" width="35.42578125" style="33" customWidth="1"/>
    <col min="16" max="16384" width="8.85546875" style="3"/>
  </cols>
  <sheetData>
    <row r="1" spans="1:14" ht="51.6" customHeight="1">
      <c r="A1" s="494" t="str">
        <f>krebsiti!A3</f>
        <v xml:space="preserve">q.dmanisSi Wuberis q.III Cixi #4a-s mimdebared sportuli moednis mowyobis samuSaoebi 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50"/>
    </row>
    <row r="2" spans="1:14" ht="15.75">
      <c r="A2" s="300"/>
      <c r="B2" s="195"/>
      <c r="C2" s="195"/>
      <c r="D2" s="195"/>
      <c r="E2" s="174"/>
      <c r="F2" s="174"/>
      <c r="G2" s="207"/>
      <c r="H2" s="207"/>
      <c r="I2" s="207"/>
      <c r="J2" s="207"/>
      <c r="K2" s="207"/>
      <c r="L2" s="207"/>
      <c r="M2" s="207"/>
    </row>
    <row r="3" spans="1:14" ht="15.75">
      <c r="A3" s="494" t="s">
        <v>15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4" spans="1:14" ht="15.75">
      <c r="A4" s="300"/>
      <c r="B4" s="195"/>
      <c r="C4" s="195"/>
      <c r="D4" s="195"/>
      <c r="E4" s="174"/>
      <c r="F4" s="174"/>
      <c r="G4" s="207"/>
      <c r="H4" s="207"/>
      <c r="I4" s="207"/>
      <c r="J4" s="207"/>
      <c r="K4" s="207"/>
      <c r="L4" s="207"/>
      <c r="M4" s="207"/>
    </row>
    <row r="5" spans="1:14" ht="15.75">
      <c r="A5" s="494" t="s">
        <v>204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</row>
    <row r="6" spans="1:14" ht="15.75">
      <c r="A6" s="301"/>
      <c r="B6" s="187"/>
      <c r="C6" s="195"/>
      <c r="D6" s="187"/>
      <c r="E6" s="181"/>
      <c r="F6" s="174"/>
      <c r="G6" s="207"/>
      <c r="H6" s="207"/>
      <c r="I6" s="207"/>
      <c r="J6" s="207"/>
      <c r="K6" s="207"/>
      <c r="L6" s="207"/>
      <c r="M6" s="207"/>
    </row>
    <row r="8" spans="1:14" ht="40.5" customHeight="1">
      <c r="A8" s="499" t="s">
        <v>0</v>
      </c>
      <c r="B8" s="528" t="s">
        <v>1</v>
      </c>
      <c r="C8" s="530" t="s">
        <v>2</v>
      </c>
      <c r="D8" s="528" t="s">
        <v>3</v>
      </c>
      <c r="E8" s="532" t="s">
        <v>4</v>
      </c>
      <c r="F8" s="534" t="s">
        <v>5</v>
      </c>
      <c r="G8" s="497" t="s">
        <v>6</v>
      </c>
      <c r="H8" s="498"/>
      <c r="I8" s="497" t="s">
        <v>7</v>
      </c>
      <c r="J8" s="498"/>
      <c r="K8" s="497" t="s">
        <v>30</v>
      </c>
      <c r="L8" s="498"/>
      <c r="M8" s="536" t="s">
        <v>8</v>
      </c>
    </row>
    <row r="9" spans="1:14" ht="45.75" customHeight="1">
      <c r="A9" s="500"/>
      <c r="B9" s="529"/>
      <c r="C9" s="531"/>
      <c r="D9" s="529"/>
      <c r="E9" s="533"/>
      <c r="F9" s="535"/>
      <c r="G9" s="176" t="s">
        <v>9</v>
      </c>
      <c r="H9" s="176" t="s">
        <v>10</v>
      </c>
      <c r="I9" s="176" t="s">
        <v>9</v>
      </c>
      <c r="J9" s="176" t="s">
        <v>10</v>
      </c>
      <c r="K9" s="176" t="s">
        <v>9</v>
      </c>
      <c r="L9" s="176" t="s">
        <v>10</v>
      </c>
      <c r="M9" s="537"/>
    </row>
    <row r="10" spans="1:14" ht="15.75">
      <c r="A10" s="302">
        <v>1</v>
      </c>
      <c r="B10" s="182">
        <v>2</v>
      </c>
      <c r="C10" s="175">
        <v>3</v>
      </c>
      <c r="D10" s="182">
        <v>4</v>
      </c>
      <c r="E10" s="183">
        <v>5</v>
      </c>
      <c r="F10" s="184">
        <v>6</v>
      </c>
      <c r="G10" s="183">
        <v>7</v>
      </c>
      <c r="H10" s="184">
        <v>8</v>
      </c>
      <c r="I10" s="183">
        <v>9</v>
      </c>
      <c r="J10" s="184">
        <v>10</v>
      </c>
      <c r="K10" s="183">
        <v>11</v>
      </c>
      <c r="L10" s="184">
        <v>12</v>
      </c>
      <c r="M10" s="183">
        <v>13</v>
      </c>
    </row>
    <row r="11" spans="1:14" ht="31.5">
      <c r="A11" s="314" t="s">
        <v>205</v>
      </c>
      <c r="B11" s="39"/>
      <c r="C11" s="196" t="s">
        <v>56</v>
      </c>
      <c r="D11" s="39"/>
      <c r="E11" s="92"/>
      <c r="F11" s="208"/>
      <c r="G11" s="262"/>
      <c r="H11" s="262"/>
      <c r="I11" s="262"/>
      <c r="J11" s="262"/>
      <c r="K11" s="262"/>
      <c r="L11" s="262"/>
      <c r="M11" s="262"/>
    </row>
    <row r="12" spans="1:14" ht="31.5">
      <c r="A12" s="389"/>
      <c r="B12" s="91"/>
      <c r="C12" s="198" t="s">
        <v>227</v>
      </c>
      <c r="D12" s="91"/>
      <c r="E12" s="93"/>
      <c r="F12" s="191"/>
      <c r="G12" s="262"/>
      <c r="H12" s="262"/>
      <c r="I12" s="262"/>
      <c r="J12" s="262"/>
      <c r="K12" s="262"/>
      <c r="L12" s="262"/>
      <c r="M12" s="262"/>
    </row>
    <row r="13" spans="1:14" ht="54">
      <c r="A13" s="499" t="s">
        <v>100</v>
      </c>
      <c r="B13" s="501" t="s">
        <v>36</v>
      </c>
      <c r="C13" s="46" t="s">
        <v>228</v>
      </c>
      <c r="D13" s="274" t="s">
        <v>11</v>
      </c>
      <c r="E13" s="277"/>
      <c r="F13" s="86">
        <f>(27.9+16.75)*2</f>
        <v>89.3</v>
      </c>
      <c r="G13" s="386"/>
      <c r="H13" s="386"/>
      <c r="I13" s="386"/>
      <c r="J13" s="280"/>
      <c r="K13" s="386"/>
      <c r="L13" s="280"/>
      <c r="M13" s="280"/>
    </row>
    <row r="14" spans="1:14" ht="47.25">
      <c r="A14" s="500"/>
      <c r="B14" s="502"/>
      <c r="C14" s="168" t="s">
        <v>232</v>
      </c>
      <c r="D14" s="275"/>
      <c r="E14" s="278"/>
      <c r="F14" s="54"/>
      <c r="G14" s="387"/>
      <c r="H14" s="387"/>
      <c r="I14" s="387"/>
      <c r="J14" s="281"/>
      <c r="K14" s="387"/>
      <c r="L14" s="281"/>
      <c r="M14" s="281"/>
    </row>
    <row r="15" spans="1:14" ht="47.25">
      <c r="A15" s="499" t="s">
        <v>57</v>
      </c>
      <c r="B15" s="263" t="s">
        <v>233</v>
      </c>
      <c r="C15" s="107" t="s">
        <v>229</v>
      </c>
      <c r="D15" s="264" t="s">
        <v>18</v>
      </c>
      <c r="E15" s="267"/>
      <c r="F15" s="192">
        <f>(27.9+16.75)*2*0.3*0.5</f>
        <v>13.395</v>
      </c>
      <c r="G15" s="262"/>
      <c r="H15" s="262"/>
      <c r="I15" s="262"/>
      <c r="J15" s="262"/>
      <c r="K15" s="262"/>
      <c r="L15" s="262"/>
      <c r="M15" s="262"/>
    </row>
    <row r="16" spans="1:14" ht="27">
      <c r="A16" s="503"/>
      <c r="B16" s="264"/>
      <c r="C16" s="201" t="s">
        <v>32</v>
      </c>
      <c r="D16" s="94" t="s">
        <v>28</v>
      </c>
      <c r="E16" s="388">
        <v>22</v>
      </c>
      <c r="F16" s="209">
        <f>F15*E16</f>
        <v>294.69</v>
      </c>
      <c r="G16" s="116"/>
      <c r="H16" s="61"/>
      <c r="I16" s="116"/>
      <c r="J16" s="61"/>
      <c r="K16" s="61"/>
      <c r="L16" s="61"/>
      <c r="M16" s="61"/>
    </row>
    <row r="17" spans="1:15" ht="15.75">
      <c r="A17" s="500"/>
      <c r="B17" s="264"/>
      <c r="C17" s="168" t="s">
        <v>33</v>
      </c>
      <c r="D17" s="264" t="s">
        <v>24</v>
      </c>
      <c r="E17" s="267">
        <v>16.8</v>
      </c>
      <c r="F17" s="269">
        <f>F15*E17</f>
        <v>225.036</v>
      </c>
      <c r="G17" s="262"/>
      <c r="H17" s="262"/>
      <c r="I17" s="262"/>
      <c r="J17" s="262"/>
      <c r="K17" s="262"/>
      <c r="L17" s="262"/>
      <c r="M17" s="61"/>
    </row>
    <row r="18" spans="1:15" ht="110.25">
      <c r="A18" s="504" t="s">
        <v>102</v>
      </c>
      <c r="B18" s="225" t="s">
        <v>124</v>
      </c>
      <c r="C18" s="156" t="s">
        <v>230</v>
      </c>
      <c r="D18" s="273" t="s">
        <v>60</v>
      </c>
      <c r="E18" s="57"/>
      <c r="F18" s="58">
        <f>F13*3*0.003+5</f>
        <v>5.8037000000000001</v>
      </c>
      <c r="G18" s="61"/>
      <c r="H18" s="61"/>
      <c r="I18" s="61"/>
      <c r="J18" s="61"/>
      <c r="K18" s="61"/>
      <c r="L18" s="61"/>
      <c r="M18" s="61"/>
    </row>
    <row r="19" spans="1:15" ht="27">
      <c r="A19" s="504"/>
      <c r="B19" s="263"/>
      <c r="C19" s="197" t="s">
        <v>32</v>
      </c>
      <c r="D19" s="94" t="s">
        <v>28</v>
      </c>
      <c r="E19" s="388">
        <v>0.6</v>
      </c>
      <c r="F19" s="209">
        <f>F18*E19</f>
        <v>3.4822199999999999</v>
      </c>
      <c r="G19" s="116"/>
      <c r="H19" s="61"/>
      <c r="I19" s="116"/>
      <c r="J19" s="61"/>
      <c r="K19" s="61"/>
      <c r="L19" s="61"/>
      <c r="M19" s="61"/>
    </row>
    <row r="20" spans="1:15" ht="47.25">
      <c r="A20" s="504"/>
      <c r="B20" s="225" t="s">
        <v>105</v>
      </c>
      <c r="C20" s="381" t="s">
        <v>61</v>
      </c>
      <c r="D20" s="273" t="s">
        <v>21</v>
      </c>
      <c r="E20" s="388"/>
      <c r="F20" s="131">
        <f>F13*3*0.003*7.8+F15*2.4+5*1.65</f>
        <v>46.666859999999993</v>
      </c>
      <c r="G20" s="116"/>
      <c r="H20" s="61"/>
      <c r="I20" s="116"/>
      <c r="J20" s="61"/>
      <c r="K20" s="116"/>
      <c r="L20" s="61"/>
      <c r="M20" s="61"/>
    </row>
    <row r="21" spans="1:15" ht="27">
      <c r="A21" s="504"/>
      <c r="B21" s="244"/>
      <c r="C21" s="201" t="s">
        <v>35</v>
      </c>
      <c r="D21" s="94" t="s">
        <v>28</v>
      </c>
      <c r="E21" s="388">
        <v>0.53</v>
      </c>
      <c r="F21" s="209">
        <f>F20*E21</f>
        <v>24.733435799999999</v>
      </c>
      <c r="G21" s="116"/>
      <c r="H21" s="61"/>
      <c r="I21" s="116"/>
      <c r="J21" s="61"/>
      <c r="K21" s="116"/>
      <c r="L21" s="61"/>
      <c r="M21" s="61"/>
    </row>
    <row r="22" spans="1:15" ht="31.5">
      <c r="A22" s="504"/>
      <c r="B22" s="263" t="s">
        <v>231</v>
      </c>
      <c r="C22" s="199" t="s">
        <v>200</v>
      </c>
      <c r="D22" s="273" t="s">
        <v>21</v>
      </c>
      <c r="E22" s="388"/>
      <c r="F22" s="131">
        <f>F20</f>
        <v>46.666859999999993</v>
      </c>
      <c r="G22" s="116"/>
      <c r="H22" s="61"/>
      <c r="I22" s="116"/>
      <c r="J22" s="61"/>
      <c r="K22" s="116"/>
      <c r="L22" s="61"/>
      <c r="M22" s="61"/>
    </row>
    <row r="23" spans="1:15" ht="15.75">
      <c r="A23" s="302"/>
      <c r="B23" s="264"/>
      <c r="C23" s="261"/>
      <c r="D23" s="264"/>
      <c r="E23" s="267"/>
      <c r="F23" s="269"/>
      <c r="G23" s="267"/>
      <c r="H23" s="269"/>
      <c r="I23" s="267"/>
      <c r="J23" s="269"/>
      <c r="K23" s="267"/>
      <c r="L23" s="269"/>
      <c r="M23" s="267"/>
    </row>
    <row r="24" spans="1:15" ht="31.5">
      <c r="A24" s="325" t="s">
        <v>49</v>
      </c>
      <c r="B24" s="91"/>
      <c r="C24" s="198" t="s">
        <v>283</v>
      </c>
      <c r="D24" s="91"/>
      <c r="E24" s="93"/>
      <c r="F24" s="191"/>
      <c r="G24" s="67"/>
      <c r="H24" s="67"/>
      <c r="I24" s="67"/>
      <c r="J24" s="67"/>
      <c r="K24" s="67"/>
      <c r="L24" s="67"/>
      <c r="M24" s="67"/>
    </row>
    <row r="25" spans="1:15" ht="47.25">
      <c r="A25" s="508" t="s">
        <v>100</v>
      </c>
      <c r="B25" s="113" t="s">
        <v>88</v>
      </c>
      <c r="C25" s="110" t="s">
        <v>141</v>
      </c>
      <c r="D25" s="179" t="s">
        <v>125</v>
      </c>
      <c r="E25" s="36"/>
      <c r="F25" s="58">
        <f>(33*20.3)*0.15+0.5*0.5*1*(42+2+6)</f>
        <v>112.985</v>
      </c>
      <c r="G25" s="111"/>
      <c r="H25" s="67"/>
      <c r="I25" s="111"/>
      <c r="J25" s="67"/>
      <c r="K25" s="111"/>
      <c r="L25" s="67"/>
      <c r="M25" s="67"/>
      <c r="N25" s="260" t="s">
        <v>265</v>
      </c>
    </row>
    <row r="26" spans="1:15" ht="27">
      <c r="A26" s="508"/>
      <c r="B26" s="114"/>
      <c r="C26" s="406" t="s">
        <v>97</v>
      </c>
      <c r="D26" s="114" t="s">
        <v>131</v>
      </c>
      <c r="E26" s="115">
        <v>3.88</v>
      </c>
      <c r="F26" s="130">
        <f>F25*E26</f>
        <v>438.3818</v>
      </c>
      <c r="G26" s="60"/>
      <c r="H26" s="67"/>
      <c r="I26" s="60"/>
      <c r="J26" s="67"/>
      <c r="K26" s="62"/>
      <c r="L26" s="67"/>
      <c r="M26" s="67"/>
    </row>
    <row r="27" spans="1:15" ht="47.25">
      <c r="A27" s="510" t="s">
        <v>101</v>
      </c>
      <c r="B27" s="157" t="s">
        <v>105</v>
      </c>
      <c r="C27" s="110" t="s">
        <v>108</v>
      </c>
      <c r="D27" s="18" t="s">
        <v>84</v>
      </c>
      <c r="E27" s="97"/>
      <c r="F27" s="158">
        <f>F25*1.95</f>
        <v>220.32075</v>
      </c>
      <c r="G27" s="61"/>
      <c r="H27" s="67"/>
      <c r="I27" s="61"/>
      <c r="J27" s="67"/>
      <c r="K27" s="61"/>
      <c r="L27" s="67"/>
      <c r="M27" s="67"/>
    </row>
    <row r="28" spans="1:15" ht="27">
      <c r="A28" s="511"/>
      <c r="B28" s="185"/>
      <c r="C28" s="159" t="s">
        <v>32</v>
      </c>
      <c r="D28" s="15" t="s">
        <v>28</v>
      </c>
      <c r="E28" s="96">
        <v>0.53</v>
      </c>
      <c r="F28" s="160">
        <f>F27*E28</f>
        <v>116.7699975</v>
      </c>
      <c r="G28" s="61"/>
      <c r="H28" s="67"/>
      <c r="I28" s="61"/>
      <c r="J28" s="67"/>
      <c r="K28" s="61"/>
      <c r="L28" s="67"/>
      <c r="M28" s="67"/>
    </row>
    <row r="29" spans="1:15" ht="15.75">
      <c r="A29" s="303" t="s">
        <v>57</v>
      </c>
      <c r="B29" s="100"/>
      <c r="C29" s="110" t="s">
        <v>179</v>
      </c>
      <c r="D29" s="179" t="s">
        <v>74</v>
      </c>
      <c r="E29" s="34">
        <v>1.95</v>
      </c>
      <c r="F29" s="131">
        <f>E29*(F25)</f>
        <v>220.32075</v>
      </c>
      <c r="G29" s="111"/>
      <c r="H29" s="67"/>
      <c r="I29" s="111"/>
      <c r="J29" s="67"/>
      <c r="K29" s="236"/>
      <c r="L29" s="67"/>
      <c r="M29" s="67"/>
    </row>
    <row r="30" spans="1:15" ht="78.75">
      <c r="A30" s="509" t="s">
        <v>102</v>
      </c>
      <c r="B30" s="179" t="s">
        <v>85</v>
      </c>
      <c r="C30" s="110" t="s">
        <v>132</v>
      </c>
      <c r="D30" s="179" t="s">
        <v>125</v>
      </c>
      <c r="E30" s="36"/>
      <c r="F30" s="58">
        <f>(33*20.3)*0.15+0.5*0.5*0.1*(42+2+6)</f>
        <v>101.735</v>
      </c>
      <c r="G30" s="111"/>
      <c r="H30" s="67"/>
      <c r="I30" s="111"/>
      <c r="J30" s="67"/>
      <c r="K30" s="111"/>
      <c r="L30" s="67"/>
      <c r="M30" s="67"/>
      <c r="O30" s="32"/>
    </row>
    <row r="31" spans="1:15" ht="27">
      <c r="A31" s="509"/>
      <c r="B31" s="182"/>
      <c r="C31" s="117" t="s">
        <v>26</v>
      </c>
      <c r="D31" s="182" t="s">
        <v>28</v>
      </c>
      <c r="E31" s="183">
        <v>3.52</v>
      </c>
      <c r="F31" s="109">
        <f>F30*E31</f>
        <v>358.10719999999998</v>
      </c>
      <c r="G31" s="67"/>
      <c r="H31" s="67"/>
      <c r="I31" s="67"/>
      <c r="J31" s="67"/>
      <c r="K31" s="67"/>
      <c r="L31" s="67"/>
      <c r="M31" s="67"/>
    </row>
    <row r="32" spans="1:15" ht="15.75">
      <c r="A32" s="509"/>
      <c r="B32" s="182"/>
      <c r="C32" s="117" t="s">
        <v>33</v>
      </c>
      <c r="D32" s="182" t="s">
        <v>24</v>
      </c>
      <c r="E32" s="183">
        <v>1.06</v>
      </c>
      <c r="F32" s="109">
        <f>F30*E32</f>
        <v>107.8391</v>
      </c>
      <c r="G32" s="67"/>
      <c r="H32" s="67"/>
      <c r="I32" s="67"/>
      <c r="J32" s="67"/>
      <c r="K32" s="67"/>
      <c r="L32" s="67"/>
      <c r="M32" s="67"/>
    </row>
    <row r="33" spans="1:15" ht="15.75">
      <c r="A33" s="509"/>
      <c r="B33" s="118"/>
      <c r="C33" s="117" t="s">
        <v>75</v>
      </c>
      <c r="D33" s="182" t="s">
        <v>18</v>
      </c>
      <c r="E33" s="183">
        <f>0.18+0.09+0.97</f>
        <v>1.24</v>
      </c>
      <c r="F33" s="109">
        <f>F30*E33</f>
        <v>126.1514</v>
      </c>
      <c r="G33" s="61"/>
      <c r="H33" s="67"/>
      <c r="I33" s="67"/>
      <c r="J33" s="67"/>
      <c r="K33" s="67"/>
      <c r="L33" s="67"/>
      <c r="M33" s="67"/>
    </row>
    <row r="34" spans="1:15" ht="15.75">
      <c r="A34" s="509"/>
      <c r="B34" s="182"/>
      <c r="C34" s="117" t="s">
        <v>34</v>
      </c>
      <c r="D34" s="182" t="s">
        <v>24</v>
      </c>
      <c r="E34" s="183">
        <v>0.02</v>
      </c>
      <c r="F34" s="109">
        <f>F30*E34</f>
        <v>2.0347</v>
      </c>
      <c r="G34" s="67"/>
      <c r="H34" s="67"/>
      <c r="I34" s="67"/>
      <c r="J34" s="67"/>
      <c r="K34" s="67"/>
      <c r="L34" s="67"/>
      <c r="M34" s="67"/>
    </row>
    <row r="35" spans="1:15" s="7" customFormat="1" ht="63">
      <c r="A35" s="509" t="s">
        <v>38</v>
      </c>
      <c r="B35" s="180" t="s">
        <v>76</v>
      </c>
      <c r="C35" s="110" t="s">
        <v>133</v>
      </c>
      <c r="D35" s="180" t="s">
        <v>125</v>
      </c>
      <c r="E35" s="43"/>
      <c r="F35" s="132">
        <f>(0.5*0.5*1)*(42+2+6)</f>
        <v>12.5</v>
      </c>
      <c r="G35" s="111"/>
      <c r="H35" s="67"/>
      <c r="I35" s="111"/>
      <c r="J35" s="67"/>
      <c r="K35" s="111"/>
      <c r="L35" s="67"/>
      <c r="M35" s="67"/>
      <c r="N35" s="396" t="s">
        <v>280</v>
      </c>
      <c r="O35" s="32"/>
    </row>
    <row r="36" spans="1:15" s="7" customFormat="1" ht="15.75">
      <c r="A36" s="509"/>
      <c r="B36" s="180"/>
      <c r="C36" s="119" t="s">
        <v>53</v>
      </c>
      <c r="D36" s="178" t="s">
        <v>62</v>
      </c>
      <c r="E36" s="44">
        <v>6.66</v>
      </c>
      <c r="F36" s="120">
        <f>E36*F35</f>
        <v>83.25</v>
      </c>
      <c r="G36" s="121"/>
      <c r="H36" s="67"/>
      <c r="I36" s="121"/>
      <c r="J36" s="67"/>
      <c r="K36" s="121"/>
      <c r="L36" s="67"/>
      <c r="M36" s="67"/>
      <c r="O36" s="32"/>
    </row>
    <row r="37" spans="1:15" s="7" customFormat="1" ht="15.75">
      <c r="A37" s="509"/>
      <c r="B37" s="180"/>
      <c r="C37" s="122" t="s">
        <v>27</v>
      </c>
      <c r="D37" s="40" t="s">
        <v>24</v>
      </c>
      <c r="E37" s="44">
        <v>0.59</v>
      </c>
      <c r="F37" s="120">
        <f>E37*F35</f>
        <v>7.375</v>
      </c>
      <c r="G37" s="121"/>
      <c r="H37" s="67"/>
      <c r="I37" s="121"/>
      <c r="J37" s="67"/>
      <c r="K37" s="121"/>
      <c r="L37" s="67"/>
      <c r="M37" s="67"/>
      <c r="O37" s="32"/>
    </row>
    <row r="38" spans="1:15" s="7" customFormat="1" ht="15.75">
      <c r="A38" s="509"/>
      <c r="B38" s="178"/>
      <c r="C38" s="119" t="s">
        <v>59</v>
      </c>
      <c r="D38" s="178" t="s">
        <v>126</v>
      </c>
      <c r="E38" s="44">
        <v>1.0149999999999999</v>
      </c>
      <c r="F38" s="120">
        <f>E38*F35</f>
        <v>12.687499999999998</v>
      </c>
      <c r="G38" s="121"/>
      <c r="H38" s="67"/>
      <c r="I38" s="121"/>
      <c r="J38" s="67"/>
      <c r="K38" s="121"/>
      <c r="L38" s="67"/>
      <c r="M38" s="67"/>
      <c r="O38" s="32"/>
    </row>
    <row r="39" spans="1:15" ht="15.75">
      <c r="A39" s="509"/>
      <c r="B39" s="178"/>
      <c r="C39" s="119" t="s">
        <v>77</v>
      </c>
      <c r="D39" s="178" t="s">
        <v>127</v>
      </c>
      <c r="E39" s="44">
        <v>1.6</v>
      </c>
      <c r="F39" s="120">
        <f>E39*F35</f>
        <v>20</v>
      </c>
      <c r="G39" s="121"/>
      <c r="H39" s="67"/>
      <c r="I39" s="121"/>
      <c r="J39" s="67"/>
      <c r="K39" s="121"/>
      <c r="L39" s="67"/>
      <c r="M39" s="67"/>
    </row>
    <row r="40" spans="1:15" ht="15.75">
      <c r="A40" s="509"/>
      <c r="B40" s="178"/>
      <c r="C40" s="119" t="s">
        <v>78</v>
      </c>
      <c r="D40" s="178" t="s">
        <v>126</v>
      </c>
      <c r="E40" s="44">
        <v>1.83E-2</v>
      </c>
      <c r="F40" s="120">
        <f>E40*F35</f>
        <v>0.22875000000000001</v>
      </c>
      <c r="G40" s="121"/>
      <c r="H40" s="67"/>
      <c r="I40" s="121"/>
      <c r="J40" s="67"/>
      <c r="K40" s="121"/>
      <c r="L40" s="67"/>
      <c r="M40" s="67"/>
    </row>
    <row r="41" spans="1:15" ht="15.75">
      <c r="A41" s="509"/>
      <c r="B41" s="178"/>
      <c r="C41" s="122" t="s">
        <v>34</v>
      </c>
      <c r="D41" s="123" t="s">
        <v>24</v>
      </c>
      <c r="E41" s="44">
        <v>0.4</v>
      </c>
      <c r="F41" s="120">
        <f>E41*F35</f>
        <v>5</v>
      </c>
      <c r="G41" s="121"/>
      <c r="H41" s="67"/>
      <c r="I41" s="121"/>
      <c r="J41" s="67"/>
      <c r="K41" s="121"/>
      <c r="L41" s="67"/>
      <c r="M41" s="67"/>
    </row>
    <row r="42" spans="1:15" ht="15.75">
      <c r="A42" s="509"/>
      <c r="B42" s="178"/>
      <c r="C42" s="124" t="s">
        <v>134</v>
      </c>
      <c r="D42" s="178" t="s">
        <v>21</v>
      </c>
      <c r="E42" s="44">
        <v>0.03</v>
      </c>
      <c r="F42" s="125">
        <f>0.5*4*2*(42+2+6)*1.03*0.395/1000</f>
        <v>8.1369999999999998E-2</v>
      </c>
      <c r="G42" s="121"/>
      <c r="H42" s="67"/>
      <c r="I42" s="121"/>
      <c r="J42" s="67"/>
      <c r="K42" s="121"/>
      <c r="L42" s="67"/>
      <c r="M42" s="67"/>
    </row>
    <row r="43" spans="1:15" ht="15.75" hidden="1">
      <c r="A43" s="509"/>
      <c r="B43" s="178"/>
      <c r="C43" s="124" t="s">
        <v>135</v>
      </c>
      <c r="D43" s="178" t="s">
        <v>21</v>
      </c>
      <c r="E43" s="44">
        <v>1.03</v>
      </c>
      <c r="F43" s="125">
        <v>0</v>
      </c>
      <c r="G43" s="121"/>
      <c r="H43" s="67"/>
      <c r="I43" s="121"/>
      <c r="J43" s="67"/>
      <c r="K43" s="121"/>
      <c r="L43" s="67"/>
      <c r="M43" s="67"/>
    </row>
    <row r="44" spans="1:15" ht="63">
      <c r="A44" s="505" t="s">
        <v>96</v>
      </c>
      <c r="B44" s="180" t="s">
        <v>139</v>
      </c>
      <c r="C44" s="110" t="s">
        <v>140</v>
      </c>
      <c r="D44" s="180" t="s">
        <v>125</v>
      </c>
      <c r="E44" s="43"/>
      <c r="F44" s="132">
        <f>0.3*0.3*(33+20.3)*2</f>
        <v>9.5939999999999994</v>
      </c>
      <c r="G44" s="111"/>
      <c r="H44" s="67"/>
      <c r="I44" s="111"/>
      <c r="J44" s="67"/>
      <c r="K44" s="111"/>
      <c r="L44" s="67"/>
      <c r="M44" s="67"/>
    </row>
    <row r="45" spans="1:15" ht="15.75">
      <c r="A45" s="506"/>
      <c r="B45" s="178"/>
      <c r="C45" s="119" t="s">
        <v>53</v>
      </c>
      <c r="D45" s="178" t="s">
        <v>62</v>
      </c>
      <c r="E45" s="44">
        <v>11.11</v>
      </c>
      <c r="F45" s="120">
        <f>E45*F44</f>
        <v>106.58933999999999</v>
      </c>
      <c r="G45" s="121"/>
      <c r="H45" s="67"/>
      <c r="I45" s="121"/>
      <c r="J45" s="67"/>
      <c r="K45" s="121"/>
      <c r="L45" s="67"/>
      <c r="M45" s="67"/>
    </row>
    <row r="46" spans="1:15" ht="15.75">
      <c r="A46" s="506"/>
      <c r="B46" s="178"/>
      <c r="C46" s="122" t="s">
        <v>27</v>
      </c>
      <c r="D46" s="40" t="s">
        <v>24</v>
      </c>
      <c r="E46" s="44">
        <v>0.96</v>
      </c>
      <c r="F46" s="120">
        <f>E46*F44</f>
        <v>9.2102399999999989</v>
      </c>
      <c r="G46" s="121"/>
      <c r="H46" s="67"/>
      <c r="I46" s="121"/>
      <c r="J46" s="67"/>
      <c r="K46" s="121"/>
      <c r="L46" s="67"/>
      <c r="M46" s="67"/>
    </row>
    <row r="47" spans="1:15" ht="15.75">
      <c r="A47" s="506"/>
      <c r="B47" s="178"/>
      <c r="C47" s="119" t="s">
        <v>59</v>
      </c>
      <c r="D47" s="178" t="s">
        <v>126</v>
      </c>
      <c r="E47" s="44">
        <v>1.0149999999999999</v>
      </c>
      <c r="F47" s="120">
        <f>E47*F44</f>
        <v>9.7379099999999976</v>
      </c>
      <c r="G47" s="121"/>
      <c r="H47" s="67"/>
      <c r="I47" s="121"/>
      <c r="J47" s="67"/>
      <c r="K47" s="121"/>
      <c r="L47" s="67"/>
      <c r="M47" s="67"/>
    </row>
    <row r="48" spans="1:15" ht="15.75">
      <c r="A48" s="506"/>
      <c r="B48" s="178"/>
      <c r="C48" s="119" t="s">
        <v>77</v>
      </c>
      <c r="D48" s="178" t="s">
        <v>127</v>
      </c>
      <c r="E48" s="44">
        <v>2.0499999999999998</v>
      </c>
      <c r="F48" s="120">
        <f>E48*F44</f>
        <v>19.667699999999996</v>
      </c>
      <c r="G48" s="121"/>
      <c r="H48" s="67"/>
      <c r="I48" s="121"/>
      <c r="J48" s="67"/>
      <c r="K48" s="121"/>
      <c r="L48" s="67"/>
      <c r="M48" s="67"/>
    </row>
    <row r="49" spans="1:14" ht="15.75">
      <c r="A49" s="506"/>
      <c r="B49" s="178"/>
      <c r="C49" s="119" t="s">
        <v>78</v>
      </c>
      <c r="D49" s="178" t="s">
        <v>126</v>
      </c>
      <c r="E49" s="44">
        <f>(0.3+2.78)/100</f>
        <v>3.0799999999999998E-2</v>
      </c>
      <c r="F49" s="120">
        <f>E49*F44</f>
        <v>0.29549519999999996</v>
      </c>
      <c r="G49" s="121"/>
      <c r="H49" s="67"/>
      <c r="I49" s="121"/>
      <c r="J49" s="67"/>
      <c r="K49" s="121"/>
      <c r="L49" s="67"/>
      <c r="M49" s="67"/>
    </row>
    <row r="50" spans="1:14" ht="15.75">
      <c r="A50" s="506"/>
      <c r="B50" s="178"/>
      <c r="C50" s="119" t="s">
        <v>54</v>
      </c>
      <c r="D50" s="178" t="s">
        <v>20</v>
      </c>
      <c r="E50" s="44">
        <v>1.7</v>
      </c>
      <c r="F50" s="120">
        <f>F44*E50</f>
        <v>16.309799999999999</v>
      </c>
      <c r="G50" s="121"/>
      <c r="H50" s="67"/>
      <c r="I50" s="121"/>
      <c r="J50" s="67"/>
      <c r="K50" s="121"/>
      <c r="L50" s="67"/>
      <c r="M50" s="67"/>
    </row>
    <row r="51" spans="1:14" ht="15.75">
      <c r="A51" s="506"/>
      <c r="B51" s="178"/>
      <c r="C51" s="119" t="s">
        <v>34</v>
      </c>
      <c r="D51" s="178" t="s">
        <v>24</v>
      </c>
      <c r="E51" s="44">
        <v>0.7</v>
      </c>
      <c r="F51" s="120">
        <f>F44*E51</f>
        <v>6.7157999999999989</v>
      </c>
      <c r="G51" s="121"/>
      <c r="H51" s="67"/>
      <c r="I51" s="121"/>
      <c r="J51" s="67"/>
      <c r="K51" s="121"/>
      <c r="L51" s="67"/>
      <c r="M51" s="67"/>
    </row>
    <row r="52" spans="1:14" ht="15.75">
      <c r="A52" s="506"/>
      <c r="B52" s="178"/>
      <c r="C52" s="124" t="s">
        <v>134</v>
      </c>
      <c r="D52" s="178" t="s">
        <v>21</v>
      </c>
      <c r="E52" s="44">
        <v>0.03</v>
      </c>
      <c r="F52" s="125">
        <f>(4*(33+20.3)*2*1.03*0.888/1000)</f>
        <v>0.39000249600000003</v>
      </c>
      <c r="G52" s="121"/>
      <c r="H52" s="67"/>
      <c r="I52" s="121"/>
      <c r="J52" s="67"/>
      <c r="K52" s="121"/>
      <c r="L52" s="67"/>
      <c r="M52" s="67"/>
    </row>
    <row r="53" spans="1:14" ht="15.75">
      <c r="A53" s="507"/>
      <c r="B53" s="178"/>
      <c r="C53" s="124" t="s">
        <v>135</v>
      </c>
      <c r="D53" s="178" t="s">
        <v>21</v>
      </c>
      <c r="E53" s="44">
        <v>1.03</v>
      </c>
      <c r="F53" s="125">
        <f>((0.3+0.3)*2*(((33+20.3)*2)/0.15+1))*1.03*0.222/1000</f>
        <v>0.19527563999999997</v>
      </c>
      <c r="G53" s="121"/>
      <c r="H53" s="67"/>
      <c r="I53" s="121"/>
      <c r="J53" s="67"/>
      <c r="K53" s="121"/>
      <c r="L53" s="67"/>
      <c r="M53" s="67"/>
    </row>
    <row r="54" spans="1:14" ht="47.25">
      <c r="A54" s="505" t="s">
        <v>103</v>
      </c>
      <c r="B54" s="180" t="s">
        <v>79</v>
      </c>
      <c r="C54" s="126" t="s">
        <v>136</v>
      </c>
      <c r="D54" s="42" t="s">
        <v>18</v>
      </c>
      <c r="E54" s="44"/>
      <c r="F54" s="132">
        <f>(32.7*20)*0.15</f>
        <v>98.1</v>
      </c>
      <c r="G54" s="121"/>
      <c r="H54" s="67"/>
      <c r="I54" s="121"/>
      <c r="J54" s="67"/>
      <c r="K54" s="121"/>
      <c r="L54" s="67"/>
      <c r="M54" s="67"/>
    </row>
    <row r="55" spans="1:14" ht="15.75">
      <c r="A55" s="506"/>
      <c r="B55" s="180"/>
      <c r="C55" s="119" t="s">
        <v>53</v>
      </c>
      <c r="D55" s="178" t="s">
        <v>62</v>
      </c>
      <c r="E55" s="44">
        <v>8.4</v>
      </c>
      <c r="F55" s="120">
        <f>E55*F54</f>
        <v>824.04</v>
      </c>
      <c r="G55" s="121"/>
      <c r="H55" s="67"/>
      <c r="I55" s="121"/>
      <c r="J55" s="67"/>
      <c r="K55" s="121"/>
      <c r="L55" s="67"/>
      <c r="M55" s="67"/>
    </row>
    <row r="56" spans="1:14" ht="15.75">
      <c r="A56" s="506"/>
      <c r="B56" s="180"/>
      <c r="C56" s="122" t="s">
        <v>27</v>
      </c>
      <c r="D56" s="40" t="s">
        <v>24</v>
      </c>
      <c r="E56" s="44">
        <v>0.81</v>
      </c>
      <c r="F56" s="120">
        <f>E56*F54</f>
        <v>79.460999999999999</v>
      </c>
      <c r="G56" s="121"/>
      <c r="H56" s="67"/>
      <c r="I56" s="121"/>
      <c r="J56" s="67"/>
      <c r="K56" s="121"/>
      <c r="L56" s="67"/>
      <c r="M56" s="67"/>
    </row>
    <row r="57" spans="1:14" ht="15.75">
      <c r="A57" s="506"/>
      <c r="B57" s="178"/>
      <c r="C57" s="119" t="s">
        <v>137</v>
      </c>
      <c r="D57" s="178" t="s">
        <v>126</v>
      </c>
      <c r="E57" s="44">
        <v>1.0149999999999999</v>
      </c>
      <c r="F57" s="120">
        <f>E57*F54</f>
        <v>99.571499999999986</v>
      </c>
      <c r="G57" s="121"/>
      <c r="H57" s="67"/>
      <c r="I57" s="121"/>
      <c r="J57" s="67"/>
      <c r="K57" s="121"/>
      <c r="L57" s="67"/>
      <c r="M57" s="67"/>
    </row>
    <row r="58" spans="1:14" ht="15.75">
      <c r="A58" s="506"/>
      <c r="B58" s="178"/>
      <c r="C58" s="119" t="s">
        <v>138</v>
      </c>
      <c r="D58" s="178" t="s">
        <v>18</v>
      </c>
      <c r="E58" s="44">
        <v>1.37</v>
      </c>
      <c r="F58" s="120">
        <f>F54*E58</f>
        <v>134.39699999999999</v>
      </c>
      <c r="G58" s="121"/>
      <c r="H58" s="67"/>
      <c r="I58" s="121"/>
      <c r="J58" s="67"/>
      <c r="K58" s="121"/>
      <c r="L58" s="67"/>
      <c r="M58" s="67"/>
    </row>
    <row r="59" spans="1:14" ht="15.75">
      <c r="A59" s="506"/>
      <c r="B59" s="178"/>
      <c r="C59" s="119" t="s">
        <v>81</v>
      </c>
      <c r="D59" s="178" t="s">
        <v>18</v>
      </c>
      <c r="E59" s="44">
        <f>(0.84+2.56+0.26)/100</f>
        <v>3.6600000000000001E-2</v>
      </c>
      <c r="F59" s="120">
        <f>F54*E59</f>
        <v>3.5904599999999998</v>
      </c>
      <c r="G59" s="121"/>
      <c r="H59" s="67"/>
      <c r="I59" s="121"/>
      <c r="J59" s="67"/>
      <c r="K59" s="121"/>
      <c r="L59" s="67"/>
      <c r="M59" s="67"/>
    </row>
    <row r="60" spans="1:14" ht="15.75">
      <c r="A60" s="506"/>
      <c r="B60" s="180"/>
      <c r="C60" s="122" t="s">
        <v>34</v>
      </c>
      <c r="D60" s="40" t="s">
        <v>24</v>
      </c>
      <c r="E60" s="44">
        <v>0.39</v>
      </c>
      <c r="F60" s="120">
        <f>E60*F54</f>
        <v>38.259</v>
      </c>
      <c r="G60" s="121"/>
      <c r="H60" s="67"/>
      <c r="I60" s="121"/>
      <c r="J60" s="67"/>
      <c r="K60" s="121"/>
      <c r="L60" s="67"/>
      <c r="M60" s="67"/>
    </row>
    <row r="61" spans="1:14" ht="15.75">
      <c r="A61" s="506"/>
      <c r="B61" s="178"/>
      <c r="C61" s="124" t="s">
        <v>134</v>
      </c>
      <c r="D61" s="178" t="s">
        <v>21</v>
      </c>
      <c r="E61" s="44">
        <v>0.03</v>
      </c>
      <c r="F61" s="125">
        <f>(32.7*20)*16*1 *1.03*0.395/1000</f>
        <v>4.2572784000000006</v>
      </c>
      <c r="G61" s="121"/>
      <c r="H61" s="67"/>
      <c r="I61" s="121"/>
      <c r="J61" s="67"/>
      <c r="K61" s="121"/>
      <c r="L61" s="67"/>
      <c r="M61" s="67"/>
    </row>
    <row r="62" spans="1:14" ht="15.75" hidden="1">
      <c r="A62" s="507"/>
      <c r="B62" s="178"/>
      <c r="C62" s="124" t="s">
        <v>135</v>
      </c>
      <c r="D62" s="178" t="s">
        <v>21</v>
      </c>
      <c r="E62" s="44">
        <v>1.03</v>
      </c>
      <c r="F62" s="125">
        <v>0</v>
      </c>
      <c r="G62" s="121"/>
      <c r="H62" s="67"/>
      <c r="I62" s="121"/>
      <c r="J62" s="67"/>
      <c r="K62" s="121"/>
      <c r="L62" s="67"/>
      <c r="M62" s="67"/>
    </row>
    <row r="63" spans="1:14" s="2" customFormat="1" ht="31.5">
      <c r="A63" s="512" t="s">
        <v>99</v>
      </c>
      <c r="B63" s="12" t="s">
        <v>144</v>
      </c>
      <c r="C63" s="255" t="s">
        <v>177</v>
      </c>
      <c r="D63" s="268"/>
      <c r="E63" s="41"/>
      <c r="F63" s="109"/>
      <c r="G63" s="67"/>
      <c r="H63" s="67"/>
      <c r="I63" s="67"/>
      <c r="J63" s="67"/>
      <c r="K63" s="67"/>
      <c r="L63" s="67"/>
      <c r="M63" s="67"/>
    </row>
    <row r="64" spans="1:14" s="2" customFormat="1" ht="31.5">
      <c r="A64" s="513"/>
      <c r="B64" s="268"/>
      <c r="C64" s="256" t="s">
        <v>146</v>
      </c>
      <c r="D64" s="268" t="s">
        <v>11</v>
      </c>
      <c r="E64" s="41"/>
      <c r="F64" s="109">
        <f>((4.5+0.15+1.15)*(42+2)*1.1)</f>
        <v>280.72000000000008</v>
      </c>
      <c r="G64" s="441"/>
      <c r="H64" s="442"/>
      <c r="I64" s="442"/>
      <c r="J64" s="442"/>
      <c r="K64" s="442"/>
      <c r="L64" s="442"/>
      <c r="M64" s="443"/>
      <c r="N64" s="2" t="s">
        <v>272</v>
      </c>
    </row>
    <row r="65" spans="1:14" s="2" customFormat="1" ht="16.5">
      <c r="A65" s="513"/>
      <c r="B65" s="268"/>
      <c r="C65" s="257"/>
      <c r="D65" s="268" t="s">
        <v>21</v>
      </c>
      <c r="E65" s="41"/>
      <c r="F65" s="109">
        <f>F64*0.00942</f>
        <v>2.6443824000000005</v>
      </c>
      <c r="G65" s="444"/>
      <c r="H65" s="445"/>
      <c r="I65" s="445"/>
      <c r="J65" s="445"/>
      <c r="K65" s="445"/>
      <c r="L65" s="445"/>
      <c r="M65" s="446"/>
    </row>
    <row r="66" spans="1:14" s="2" customFormat="1" ht="31.5">
      <c r="A66" s="513"/>
      <c r="B66" s="429"/>
      <c r="C66" s="256" t="s">
        <v>271</v>
      </c>
      <c r="D66" s="429" t="s">
        <v>11</v>
      </c>
      <c r="E66" s="41"/>
      <c r="F66" s="109">
        <f>((5+1.15)*(6)*1.1)</f>
        <v>40.590000000000011</v>
      </c>
      <c r="G66" s="444"/>
      <c r="H66" s="445"/>
      <c r="I66" s="445"/>
      <c r="J66" s="445"/>
      <c r="K66" s="445"/>
      <c r="L66" s="445"/>
      <c r="M66" s="446"/>
      <c r="N66" s="2">
        <v>6</v>
      </c>
    </row>
    <row r="67" spans="1:14" s="2" customFormat="1" ht="16.5">
      <c r="A67" s="513"/>
      <c r="B67" s="429"/>
      <c r="C67" s="257"/>
      <c r="D67" s="429" t="s">
        <v>21</v>
      </c>
      <c r="E67" s="41"/>
      <c r="F67" s="109">
        <f>F66*0.01413</f>
        <v>0.57353670000000012</v>
      </c>
      <c r="G67" s="444"/>
      <c r="H67" s="445"/>
      <c r="I67" s="445"/>
      <c r="J67" s="445"/>
      <c r="K67" s="445"/>
      <c r="L67" s="445"/>
      <c r="M67" s="446"/>
    </row>
    <row r="68" spans="1:14" s="2" customFormat="1" ht="31.5">
      <c r="A68" s="513"/>
      <c r="B68" s="268"/>
      <c r="C68" s="200" t="s">
        <v>260</v>
      </c>
      <c r="D68" s="268" t="s">
        <v>11</v>
      </c>
      <c r="E68" s="41"/>
      <c r="F68" s="57">
        <f>(6*(33+20.3)*2)*1.1</f>
        <v>703.56</v>
      </c>
      <c r="G68" s="444"/>
      <c r="H68" s="445"/>
      <c r="I68" s="445"/>
      <c r="J68" s="445"/>
      <c r="K68" s="445"/>
      <c r="L68" s="445"/>
      <c r="M68" s="446"/>
    </row>
    <row r="69" spans="1:14" s="2" customFormat="1" ht="16.5">
      <c r="A69" s="513"/>
      <c r="B69" s="268"/>
      <c r="C69" s="146"/>
      <c r="D69" s="268" t="s">
        <v>21</v>
      </c>
      <c r="E69" s="41"/>
      <c r="F69" s="57">
        <f>F68*0.00377</f>
        <v>2.6524211999999996</v>
      </c>
      <c r="G69" s="444"/>
      <c r="H69" s="445"/>
      <c r="I69" s="445"/>
      <c r="J69" s="445"/>
      <c r="K69" s="445"/>
      <c r="L69" s="445"/>
      <c r="M69" s="446"/>
    </row>
    <row r="70" spans="1:14" s="2" customFormat="1" ht="31.5">
      <c r="A70" s="513"/>
      <c r="B70" s="268"/>
      <c r="C70" s="256" t="s">
        <v>143</v>
      </c>
      <c r="D70" s="268" t="s">
        <v>11</v>
      </c>
      <c r="E70" s="41"/>
      <c r="F70" s="109">
        <f>(1.2+2.4)*2*2*1.1</f>
        <v>15.84</v>
      </c>
      <c r="G70" s="444"/>
      <c r="H70" s="445"/>
      <c r="I70" s="445"/>
      <c r="J70" s="445"/>
      <c r="K70" s="445"/>
      <c r="L70" s="445"/>
      <c r="M70" s="446"/>
    </row>
    <row r="71" spans="1:14" s="2" customFormat="1" ht="16.5">
      <c r="A71" s="513"/>
      <c r="B71" s="268"/>
      <c r="C71" s="257"/>
      <c r="D71" s="268" t="s">
        <v>21</v>
      </c>
      <c r="E71" s="41"/>
      <c r="F71" s="109">
        <f>F70*0.004</f>
        <v>6.336E-2</v>
      </c>
      <c r="G71" s="444"/>
      <c r="H71" s="445"/>
      <c r="I71" s="445"/>
      <c r="J71" s="445"/>
      <c r="K71" s="445"/>
      <c r="L71" s="445"/>
      <c r="M71" s="446"/>
    </row>
    <row r="72" spans="1:14" s="2" customFormat="1" ht="31.5">
      <c r="A72" s="513"/>
      <c r="B72" s="45"/>
      <c r="C72" s="69" t="s">
        <v>270</v>
      </c>
      <c r="D72" s="12" t="s">
        <v>21</v>
      </c>
      <c r="E72" s="31"/>
      <c r="F72" s="133">
        <f>F65+F67+F69+F71</f>
        <v>5.9337003000000008</v>
      </c>
      <c r="G72" s="447"/>
      <c r="H72" s="448"/>
      <c r="I72" s="448"/>
      <c r="J72" s="448"/>
      <c r="K72" s="448"/>
      <c r="L72" s="448"/>
      <c r="M72" s="449"/>
    </row>
    <row r="73" spans="1:14" s="2" customFormat="1" ht="27">
      <c r="A73" s="513"/>
      <c r="B73" s="285"/>
      <c r="C73" s="168" t="s">
        <v>26</v>
      </c>
      <c r="D73" s="285" t="s">
        <v>28</v>
      </c>
      <c r="E73" s="288">
        <v>34.9</v>
      </c>
      <c r="F73" s="109">
        <f>F72*E73</f>
        <v>207.08614047000003</v>
      </c>
      <c r="G73" s="67"/>
      <c r="H73" s="67"/>
      <c r="I73" s="67"/>
      <c r="J73" s="67"/>
      <c r="K73" s="67"/>
      <c r="L73" s="67"/>
      <c r="M73" s="67"/>
    </row>
    <row r="74" spans="1:14" s="2" customFormat="1" ht="16.5">
      <c r="A74" s="513"/>
      <c r="B74" s="285"/>
      <c r="C74" s="168" t="s">
        <v>27</v>
      </c>
      <c r="D74" s="285" t="s">
        <v>24</v>
      </c>
      <c r="E74" s="288">
        <v>4.07</v>
      </c>
      <c r="F74" s="109">
        <f>F72*E74</f>
        <v>24.150160221000004</v>
      </c>
      <c r="G74" s="67"/>
      <c r="H74" s="67"/>
      <c r="I74" s="67"/>
      <c r="J74" s="67"/>
      <c r="K74" s="67"/>
      <c r="L74" s="67"/>
      <c r="M74" s="67"/>
    </row>
    <row r="75" spans="1:14" s="2" customFormat="1" ht="16.5">
      <c r="A75" s="513"/>
      <c r="B75" s="285"/>
      <c r="C75" s="127" t="s">
        <v>145</v>
      </c>
      <c r="D75" s="13" t="s">
        <v>21</v>
      </c>
      <c r="E75" s="31">
        <v>1</v>
      </c>
      <c r="F75" s="57">
        <f>F72*E75</f>
        <v>5.9337003000000008</v>
      </c>
      <c r="G75" s="67"/>
      <c r="H75" s="67"/>
      <c r="I75" s="67"/>
      <c r="J75" s="67"/>
      <c r="K75" s="67"/>
      <c r="L75" s="67"/>
      <c r="M75" s="67"/>
    </row>
    <row r="76" spans="1:14" s="2" customFormat="1" ht="31.5">
      <c r="A76" s="513"/>
      <c r="B76" s="285"/>
      <c r="C76" s="258" t="s">
        <v>146</v>
      </c>
      <c r="D76" s="268" t="s">
        <v>21</v>
      </c>
      <c r="E76" s="31"/>
      <c r="F76" s="57">
        <f>F65</f>
        <v>2.6443824000000005</v>
      </c>
      <c r="G76" s="67"/>
      <c r="H76" s="67"/>
      <c r="I76" s="67"/>
      <c r="J76" s="67"/>
      <c r="K76" s="67"/>
      <c r="L76" s="67"/>
      <c r="M76" s="67"/>
    </row>
    <row r="77" spans="1:14" s="2" customFormat="1" ht="31.5">
      <c r="A77" s="513"/>
      <c r="B77" s="433"/>
      <c r="C77" s="258" t="s">
        <v>271</v>
      </c>
      <c r="D77" s="429" t="s">
        <v>21</v>
      </c>
      <c r="E77" s="31"/>
      <c r="F77" s="57">
        <f>F67</f>
        <v>0.57353670000000012</v>
      </c>
      <c r="G77" s="67"/>
      <c r="H77" s="67"/>
      <c r="I77" s="67"/>
      <c r="J77" s="67"/>
      <c r="K77" s="67"/>
      <c r="L77" s="67"/>
      <c r="M77" s="67"/>
    </row>
    <row r="78" spans="1:14" s="2" customFormat="1" ht="31.5">
      <c r="A78" s="513"/>
      <c r="B78" s="285"/>
      <c r="C78" s="112" t="s">
        <v>147</v>
      </c>
      <c r="D78" s="268" t="s">
        <v>21</v>
      </c>
      <c r="E78" s="31"/>
      <c r="F78" s="57">
        <f>F69</f>
        <v>2.6524211999999996</v>
      </c>
      <c r="G78" s="67"/>
      <c r="H78" s="67"/>
      <c r="I78" s="67"/>
      <c r="J78" s="67"/>
      <c r="K78" s="67"/>
      <c r="L78" s="67"/>
      <c r="M78" s="67"/>
    </row>
    <row r="79" spans="1:14" s="2" customFormat="1" ht="31.5">
      <c r="A79" s="513"/>
      <c r="B79" s="285"/>
      <c r="C79" s="258" t="s">
        <v>143</v>
      </c>
      <c r="D79" s="268" t="s">
        <v>21</v>
      </c>
      <c r="E79" s="288"/>
      <c r="F79" s="109">
        <f>F71</f>
        <v>6.336E-2</v>
      </c>
      <c r="G79" s="67"/>
      <c r="H79" s="67"/>
      <c r="I79" s="67"/>
      <c r="J79" s="67"/>
      <c r="K79" s="67"/>
      <c r="L79" s="67"/>
      <c r="M79" s="67"/>
    </row>
    <row r="80" spans="1:14" s="2" customFormat="1" ht="31.5">
      <c r="A80" s="513"/>
      <c r="B80" s="271"/>
      <c r="C80" s="162" t="s">
        <v>114</v>
      </c>
      <c r="D80" s="265" t="s">
        <v>20</v>
      </c>
      <c r="E80" s="44">
        <v>3.3</v>
      </c>
      <c r="F80" s="120">
        <f>F72*E80</f>
        <v>19.581210990000002</v>
      </c>
      <c r="G80" s="67"/>
      <c r="H80" s="67"/>
      <c r="I80" s="67"/>
      <c r="J80" s="67"/>
      <c r="K80" s="67"/>
      <c r="L80" s="67"/>
      <c r="M80" s="67"/>
    </row>
    <row r="81" spans="1:13" s="2" customFormat="1" ht="16.5">
      <c r="A81" s="513"/>
      <c r="B81" s="271"/>
      <c r="C81" s="162" t="s">
        <v>54</v>
      </c>
      <c r="D81" s="265" t="s">
        <v>20</v>
      </c>
      <c r="E81" s="44">
        <v>15.2</v>
      </c>
      <c r="F81" s="120">
        <f>F72*E81</f>
        <v>90.192244560000006</v>
      </c>
      <c r="G81" s="67"/>
      <c r="H81" s="67"/>
      <c r="I81" s="67"/>
      <c r="J81" s="67"/>
      <c r="K81" s="67"/>
      <c r="L81" s="67"/>
      <c r="M81" s="67"/>
    </row>
    <row r="82" spans="1:13" s="2" customFormat="1" ht="16.5">
      <c r="A82" s="514"/>
      <c r="B82" s="271"/>
      <c r="C82" s="162" t="s">
        <v>34</v>
      </c>
      <c r="D82" s="265" t="s">
        <v>24</v>
      </c>
      <c r="E82" s="44">
        <v>2.78</v>
      </c>
      <c r="F82" s="120">
        <f>F72*E82</f>
        <v>16.495686834000001</v>
      </c>
      <c r="G82" s="67"/>
      <c r="H82" s="67"/>
      <c r="I82" s="67"/>
      <c r="J82" s="67"/>
      <c r="K82" s="67"/>
      <c r="L82" s="67"/>
      <c r="M82" s="67"/>
    </row>
    <row r="83" spans="1:13" s="2" customFormat="1" ht="47.25">
      <c r="A83" s="515" t="s">
        <v>129</v>
      </c>
      <c r="B83" s="273" t="s">
        <v>92</v>
      </c>
      <c r="C83" s="163" t="s">
        <v>116</v>
      </c>
      <c r="D83" s="265" t="s">
        <v>19</v>
      </c>
      <c r="E83" s="48"/>
      <c r="F83" s="132">
        <f>(0.1+0.1)*2*F64/1.1+(0.15+0.15)*2*F66/1.1+(0.05+0.03)*2*F68/1.1+(0.06*4*F70/1.1)</f>
        <v>230.012</v>
      </c>
      <c r="G83" s="281"/>
      <c r="H83" s="67"/>
      <c r="I83" s="67"/>
      <c r="J83" s="67"/>
      <c r="K83" s="67"/>
      <c r="L83" s="67"/>
      <c r="M83" s="67"/>
    </row>
    <row r="84" spans="1:13" s="2" customFormat="1" ht="27">
      <c r="A84" s="516"/>
      <c r="B84" s="275"/>
      <c r="C84" s="165" t="s">
        <v>26</v>
      </c>
      <c r="D84" s="106" t="s">
        <v>28</v>
      </c>
      <c r="E84" s="278">
        <f>68*0.01</f>
        <v>0.68</v>
      </c>
      <c r="F84" s="153">
        <f>F83*E84</f>
        <v>156.40816000000001</v>
      </c>
      <c r="G84" s="281"/>
      <c r="H84" s="67"/>
      <c r="I84" s="67"/>
      <c r="J84" s="67"/>
      <c r="K84" s="67"/>
      <c r="L84" s="67"/>
      <c r="M84" s="67"/>
    </row>
    <row r="85" spans="1:13" s="2" customFormat="1" ht="16.5">
      <c r="A85" s="516"/>
      <c r="B85" s="273"/>
      <c r="C85" s="136" t="s">
        <v>27</v>
      </c>
      <c r="D85" s="287" t="s">
        <v>24</v>
      </c>
      <c r="E85" s="278">
        <v>2.9999999999999997E-4</v>
      </c>
      <c r="F85" s="279">
        <f>F83*E85</f>
        <v>6.9003599999999998E-2</v>
      </c>
      <c r="G85" s="281"/>
      <c r="H85" s="67"/>
      <c r="I85" s="67"/>
      <c r="J85" s="67"/>
      <c r="K85" s="67"/>
      <c r="L85" s="67"/>
      <c r="M85" s="67"/>
    </row>
    <row r="86" spans="1:13" s="2" customFormat="1" ht="16.5">
      <c r="A86" s="516"/>
      <c r="B86" s="273"/>
      <c r="C86" s="136" t="s">
        <v>93</v>
      </c>
      <c r="D86" s="286" t="s">
        <v>64</v>
      </c>
      <c r="E86" s="82">
        <v>0.35</v>
      </c>
      <c r="F86" s="57">
        <f>E86*F83</f>
        <v>80.504199999999997</v>
      </c>
      <c r="G86" s="281"/>
      <c r="H86" s="67"/>
      <c r="I86" s="67"/>
      <c r="J86" s="67"/>
      <c r="K86" s="67"/>
      <c r="L86" s="67"/>
      <c r="M86" s="67"/>
    </row>
    <row r="87" spans="1:13" s="2" customFormat="1" ht="16.5">
      <c r="A87" s="516"/>
      <c r="B87" s="273"/>
      <c r="C87" s="112" t="s">
        <v>193</v>
      </c>
      <c r="D87" s="471" t="s">
        <v>20</v>
      </c>
      <c r="E87" s="34">
        <f>2.7*0.01</f>
        <v>2.7000000000000003E-2</v>
      </c>
      <c r="F87" s="57">
        <f>E87*F83</f>
        <v>6.2103240000000008</v>
      </c>
      <c r="G87" s="72"/>
      <c r="H87" s="72"/>
      <c r="I87" s="72"/>
      <c r="J87" s="72"/>
      <c r="K87" s="72"/>
      <c r="L87" s="72"/>
      <c r="M87" s="72"/>
    </row>
    <row r="88" spans="1:13" s="2" customFormat="1" ht="16.5">
      <c r="A88" s="516"/>
      <c r="B88" s="273"/>
      <c r="C88" s="136" t="s">
        <v>34</v>
      </c>
      <c r="D88" s="287" t="s">
        <v>24</v>
      </c>
      <c r="E88" s="278">
        <v>1.9E-3</v>
      </c>
      <c r="F88" s="279">
        <f>F83*E88</f>
        <v>0.43702279999999999</v>
      </c>
      <c r="G88" s="281"/>
      <c r="H88" s="67"/>
      <c r="I88" s="67"/>
      <c r="J88" s="67"/>
      <c r="K88" s="67"/>
      <c r="L88" s="67"/>
      <c r="M88" s="67"/>
    </row>
    <row r="89" spans="1:13" s="2" customFormat="1" ht="27">
      <c r="A89" s="501" t="s">
        <v>109</v>
      </c>
      <c r="B89" s="287" t="s">
        <v>36</v>
      </c>
      <c r="C89" s="524" t="s">
        <v>240</v>
      </c>
      <c r="D89" s="287" t="s">
        <v>11</v>
      </c>
      <c r="E89" s="34"/>
      <c r="F89" s="58">
        <f>(33+20.3)*2</f>
        <v>106.6</v>
      </c>
      <c r="G89" s="435"/>
      <c r="H89" s="436"/>
      <c r="I89" s="436"/>
      <c r="J89" s="436"/>
      <c r="K89" s="436"/>
      <c r="L89" s="436"/>
      <c r="M89" s="437"/>
    </row>
    <row r="90" spans="1:13" s="2" customFormat="1" ht="16.5">
      <c r="A90" s="517"/>
      <c r="B90" s="287"/>
      <c r="C90" s="525"/>
      <c r="D90" s="287" t="s">
        <v>19</v>
      </c>
      <c r="E90" s="34"/>
      <c r="F90" s="58">
        <f>F89*4.5</f>
        <v>479.7</v>
      </c>
      <c r="G90" s="438"/>
      <c r="H90" s="439"/>
      <c r="I90" s="439"/>
      <c r="J90" s="439"/>
      <c r="K90" s="439"/>
      <c r="L90" s="439"/>
      <c r="M90" s="440"/>
    </row>
    <row r="91" spans="1:13" s="2" customFormat="1" ht="16.5">
      <c r="A91" s="517"/>
      <c r="B91" s="287"/>
      <c r="C91" s="168" t="s">
        <v>53</v>
      </c>
      <c r="D91" s="287" t="s">
        <v>19</v>
      </c>
      <c r="E91" s="41">
        <v>1</v>
      </c>
      <c r="F91" s="109">
        <f>F90*E91</f>
        <v>479.7</v>
      </c>
      <c r="G91" s="67"/>
      <c r="H91" s="67"/>
      <c r="I91" s="67"/>
      <c r="J91" s="67"/>
      <c r="K91" s="67"/>
      <c r="L91" s="284"/>
      <c r="M91" s="284"/>
    </row>
    <row r="92" spans="1:13" s="2" customFormat="1" ht="47.25">
      <c r="A92" s="502"/>
      <c r="B92" s="287"/>
      <c r="C92" s="112" t="s">
        <v>176</v>
      </c>
      <c r="D92" s="287" t="s">
        <v>19</v>
      </c>
      <c r="E92" s="34">
        <v>1.05</v>
      </c>
      <c r="F92" s="57">
        <f>F90*E92</f>
        <v>503.685</v>
      </c>
      <c r="G92" s="67"/>
      <c r="H92" s="67"/>
      <c r="I92" s="67"/>
      <c r="J92" s="67"/>
      <c r="K92" s="67"/>
      <c r="L92" s="284"/>
      <c r="M92" s="284"/>
    </row>
    <row r="93" spans="1:13" s="2" customFormat="1" ht="47.25">
      <c r="A93" s="397" t="s">
        <v>241</v>
      </c>
      <c r="B93" s="266" t="s">
        <v>130</v>
      </c>
      <c r="C93" s="255" t="s">
        <v>201</v>
      </c>
      <c r="D93" s="268"/>
      <c r="E93" s="41"/>
      <c r="F93" s="190"/>
      <c r="G93" s="67"/>
      <c r="H93" s="67"/>
      <c r="I93" s="67"/>
      <c r="J93" s="67"/>
      <c r="K93" s="67"/>
      <c r="L93" s="67"/>
      <c r="M93" s="67"/>
    </row>
    <row r="94" spans="1:13" s="2" customFormat="1" ht="31.5">
      <c r="A94" s="398"/>
      <c r="B94" s="285"/>
      <c r="C94" s="258" t="s">
        <v>268</v>
      </c>
      <c r="D94" s="268" t="s">
        <v>11</v>
      </c>
      <c r="E94" s="41"/>
      <c r="F94" s="190">
        <f>(29*2+13*0.8)*1.1</f>
        <v>75.240000000000009</v>
      </c>
      <c r="G94" s="435"/>
      <c r="H94" s="436"/>
      <c r="I94" s="436"/>
      <c r="J94" s="436"/>
      <c r="K94" s="436"/>
      <c r="L94" s="436"/>
      <c r="M94" s="437"/>
    </row>
    <row r="95" spans="1:13" s="2" customFormat="1" ht="16.5">
      <c r="A95" s="398"/>
      <c r="B95" s="433"/>
      <c r="C95" s="74" t="s">
        <v>266</v>
      </c>
      <c r="D95" s="296" t="s">
        <v>19</v>
      </c>
      <c r="E95" s="147"/>
      <c r="F95" s="71">
        <f xml:space="preserve"> (0.15*0.15*13)*1.1</f>
        <v>0.32174999999999998</v>
      </c>
      <c r="G95" s="460"/>
      <c r="H95" s="461"/>
      <c r="I95" s="461"/>
      <c r="J95" s="461"/>
      <c r="K95" s="461"/>
      <c r="L95" s="461"/>
      <c r="M95" s="462"/>
    </row>
    <row r="96" spans="1:13" s="2" customFormat="1" ht="31.5">
      <c r="A96" s="398"/>
      <c r="B96" s="285"/>
      <c r="C96" s="69" t="s">
        <v>270</v>
      </c>
      <c r="D96" s="12" t="s">
        <v>21</v>
      </c>
      <c r="E96" s="31"/>
      <c r="F96" s="133">
        <f>(F94*5.65+F95*74.5)/1000</f>
        <v>0.44907637500000003</v>
      </c>
      <c r="G96" s="438"/>
      <c r="H96" s="439"/>
      <c r="I96" s="439"/>
      <c r="J96" s="439"/>
      <c r="K96" s="439"/>
      <c r="L96" s="439"/>
      <c r="M96" s="440"/>
    </row>
    <row r="97" spans="1:13" s="2" customFormat="1" ht="27">
      <c r="A97" s="398"/>
      <c r="B97" s="285"/>
      <c r="C97" s="168" t="s">
        <v>26</v>
      </c>
      <c r="D97" s="285" t="s">
        <v>28</v>
      </c>
      <c r="E97" s="288">
        <v>34.9</v>
      </c>
      <c r="F97" s="291">
        <f>F96*E97</f>
        <v>15.6727654875</v>
      </c>
      <c r="G97" s="67"/>
      <c r="H97" s="67"/>
      <c r="I97" s="67"/>
      <c r="J97" s="67"/>
      <c r="K97" s="67"/>
      <c r="L97" s="67"/>
      <c r="M97" s="67"/>
    </row>
    <row r="98" spans="1:13" s="2" customFormat="1" ht="16.5">
      <c r="A98" s="398"/>
      <c r="B98" s="285"/>
      <c r="C98" s="168" t="s">
        <v>33</v>
      </c>
      <c r="D98" s="285" t="s">
        <v>24</v>
      </c>
      <c r="E98" s="288">
        <v>4.07</v>
      </c>
      <c r="F98" s="291">
        <f>F96*E98</f>
        <v>1.8277408462500002</v>
      </c>
      <c r="G98" s="67"/>
      <c r="H98" s="67"/>
      <c r="I98" s="67"/>
      <c r="J98" s="67"/>
      <c r="K98" s="67"/>
      <c r="L98" s="67"/>
      <c r="M98" s="67"/>
    </row>
    <row r="99" spans="1:13" s="2" customFormat="1" ht="16.5">
      <c r="A99" s="398"/>
      <c r="B99" s="285"/>
      <c r="C99" s="107" t="s">
        <v>115</v>
      </c>
      <c r="D99" s="285" t="s">
        <v>21</v>
      </c>
      <c r="E99" s="288">
        <v>1</v>
      </c>
      <c r="F99" s="291"/>
      <c r="G99" s="67"/>
      <c r="H99" s="67"/>
      <c r="I99" s="67"/>
      <c r="J99" s="67"/>
      <c r="K99" s="67"/>
      <c r="L99" s="67"/>
      <c r="M99" s="67"/>
    </row>
    <row r="100" spans="1:13" s="2" customFormat="1" ht="31.5">
      <c r="A100" s="398"/>
      <c r="B100" s="285"/>
      <c r="C100" s="258" t="s">
        <v>268</v>
      </c>
      <c r="D100" s="268" t="s">
        <v>21</v>
      </c>
      <c r="E100" s="288"/>
      <c r="F100" s="291">
        <f>F94*0.00565</f>
        <v>0.42510600000000004</v>
      </c>
      <c r="G100" s="67"/>
      <c r="H100" s="67"/>
      <c r="I100" s="67"/>
      <c r="J100" s="67"/>
      <c r="K100" s="67"/>
      <c r="L100" s="67"/>
      <c r="M100" s="67"/>
    </row>
    <row r="101" spans="1:13" s="2" customFormat="1" ht="16.5">
      <c r="A101" s="398"/>
      <c r="B101" s="433"/>
      <c r="C101" s="74" t="s">
        <v>266</v>
      </c>
      <c r="D101" s="296" t="s">
        <v>19</v>
      </c>
      <c r="E101" s="434"/>
      <c r="F101" s="432">
        <f>F95*0.0745</f>
        <v>2.3970374999999999E-2</v>
      </c>
      <c r="G101" s="67"/>
      <c r="H101" s="67"/>
      <c r="I101" s="67"/>
      <c r="J101" s="67"/>
      <c r="K101" s="67"/>
      <c r="L101" s="67"/>
      <c r="M101" s="67"/>
    </row>
    <row r="102" spans="1:13" s="2" customFormat="1" ht="47.25">
      <c r="A102" s="398"/>
      <c r="B102" s="285"/>
      <c r="C102" s="127" t="s">
        <v>202</v>
      </c>
      <c r="D102" s="13" t="s">
        <v>20</v>
      </c>
      <c r="E102" s="31">
        <v>3.3</v>
      </c>
      <c r="F102" s="128">
        <f>F96*E102</f>
        <v>1.4819520374999999</v>
      </c>
      <c r="G102" s="67"/>
      <c r="H102" s="67"/>
      <c r="I102" s="67"/>
      <c r="J102" s="67"/>
      <c r="K102" s="67"/>
      <c r="L102" s="67"/>
      <c r="M102" s="67"/>
    </row>
    <row r="103" spans="1:13" s="2" customFormat="1" ht="16.5">
      <c r="A103" s="398"/>
      <c r="B103" s="285"/>
      <c r="C103" s="127" t="s">
        <v>54</v>
      </c>
      <c r="D103" s="13" t="s">
        <v>20</v>
      </c>
      <c r="E103" s="31">
        <v>15.2</v>
      </c>
      <c r="F103" s="128">
        <f>F96*E103</f>
        <v>6.8259609000000001</v>
      </c>
      <c r="G103" s="67"/>
      <c r="H103" s="67"/>
      <c r="I103" s="67"/>
      <c r="J103" s="67"/>
      <c r="K103" s="67"/>
      <c r="L103" s="67"/>
      <c r="M103" s="67"/>
    </row>
    <row r="104" spans="1:13" s="2" customFormat="1" ht="16.5">
      <c r="A104" s="399"/>
      <c r="B104" s="285"/>
      <c r="C104" s="168" t="s">
        <v>34</v>
      </c>
      <c r="D104" s="285" t="s">
        <v>24</v>
      </c>
      <c r="E104" s="288">
        <v>2.78</v>
      </c>
      <c r="F104" s="291">
        <f>F96*E104</f>
        <v>1.2484323225</v>
      </c>
      <c r="G104" s="67"/>
      <c r="H104" s="67"/>
      <c r="I104" s="67"/>
      <c r="J104" s="67"/>
      <c r="K104" s="67"/>
      <c r="L104" s="67"/>
      <c r="M104" s="67"/>
    </row>
    <row r="105" spans="1:13" s="2" customFormat="1" ht="27">
      <c r="A105" s="501" t="s">
        <v>117</v>
      </c>
      <c r="B105" s="431" t="s">
        <v>36</v>
      </c>
      <c r="C105" s="524" t="s">
        <v>240</v>
      </c>
      <c r="D105" s="431" t="s">
        <v>11</v>
      </c>
      <c r="E105" s="34"/>
      <c r="F105" s="58">
        <v>29</v>
      </c>
      <c r="G105" s="67"/>
      <c r="H105" s="67"/>
      <c r="I105" s="67"/>
      <c r="J105" s="67"/>
      <c r="K105" s="67"/>
      <c r="L105" s="426"/>
      <c r="M105" s="426"/>
    </row>
    <row r="106" spans="1:13" s="2" customFormat="1" ht="16.5">
      <c r="A106" s="517"/>
      <c r="B106" s="431"/>
      <c r="C106" s="525"/>
      <c r="D106" s="431" t="s">
        <v>19</v>
      </c>
      <c r="E106" s="34"/>
      <c r="F106" s="58">
        <f>F105*0.8</f>
        <v>23.200000000000003</v>
      </c>
      <c r="G106" s="67"/>
      <c r="H106" s="67"/>
      <c r="I106" s="67"/>
      <c r="J106" s="67"/>
      <c r="K106" s="67"/>
      <c r="L106" s="426"/>
      <c r="M106" s="426"/>
    </row>
    <row r="107" spans="1:13" s="2" customFormat="1" ht="16.5">
      <c r="A107" s="517"/>
      <c r="B107" s="431"/>
      <c r="C107" s="168" t="s">
        <v>53</v>
      </c>
      <c r="D107" s="431" t="s">
        <v>19</v>
      </c>
      <c r="E107" s="41">
        <v>1</v>
      </c>
      <c r="F107" s="109">
        <f>F106*E107</f>
        <v>23.200000000000003</v>
      </c>
      <c r="G107" s="67"/>
      <c r="H107" s="67"/>
      <c r="I107" s="67"/>
      <c r="J107" s="67"/>
      <c r="K107" s="67"/>
      <c r="L107" s="426"/>
      <c r="M107" s="426"/>
    </row>
    <row r="108" spans="1:13" s="2" customFormat="1" ht="47.25">
      <c r="A108" s="502"/>
      <c r="B108" s="431"/>
      <c r="C108" s="112" t="s">
        <v>176</v>
      </c>
      <c r="D108" s="431" t="s">
        <v>19</v>
      </c>
      <c r="E108" s="34">
        <v>1.05</v>
      </c>
      <c r="F108" s="57">
        <f>F106*E108</f>
        <v>24.360000000000003</v>
      </c>
      <c r="G108" s="67"/>
      <c r="H108" s="67"/>
      <c r="I108" s="67"/>
      <c r="J108" s="67"/>
      <c r="K108" s="67"/>
      <c r="L108" s="426"/>
      <c r="M108" s="426"/>
    </row>
    <row r="109" spans="1:13" s="2" customFormat="1" ht="16.5">
      <c r="A109" s="429"/>
      <c r="B109" s="433"/>
      <c r="C109" s="168"/>
      <c r="D109" s="433"/>
      <c r="E109" s="434"/>
      <c r="F109" s="432"/>
      <c r="G109" s="67"/>
      <c r="H109" s="67"/>
      <c r="I109" s="67"/>
      <c r="J109" s="67"/>
      <c r="K109" s="67"/>
      <c r="L109" s="67"/>
      <c r="M109" s="67"/>
    </row>
    <row r="110" spans="1:13" s="2" customFormat="1" ht="78.75">
      <c r="A110" s="522" t="s">
        <v>243</v>
      </c>
      <c r="B110" s="105" t="s">
        <v>92</v>
      </c>
      <c r="C110" s="400" t="s">
        <v>242</v>
      </c>
      <c r="D110" s="285" t="s">
        <v>19</v>
      </c>
      <c r="E110" s="41"/>
      <c r="F110" s="190">
        <f>(0.04+0.08)*2*F94/1.1+F95/1.1</f>
        <v>16.708500000000001</v>
      </c>
      <c r="G110" s="67"/>
      <c r="H110" s="67"/>
      <c r="I110" s="67"/>
      <c r="J110" s="67"/>
      <c r="K110" s="67"/>
      <c r="L110" s="67"/>
      <c r="M110" s="67"/>
    </row>
    <row r="111" spans="1:13" s="2" customFormat="1" ht="27">
      <c r="A111" s="522"/>
      <c r="B111" s="275"/>
      <c r="C111" s="165" t="s">
        <v>26</v>
      </c>
      <c r="D111" s="106" t="s">
        <v>28</v>
      </c>
      <c r="E111" s="278">
        <f>68*0.01</f>
        <v>0.68</v>
      </c>
      <c r="F111" s="153">
        <f>F110*E111</f>
        <v>11.361780000000001</v>
      </c>
      <c r="G111" s="67"/>
      <c r="H111" s="67"/>
      <c r="I111" s="61"/>
      <c r="J111" s="67"/>
      <c r="K111" s="67"/>
      <c r="L111" s="67"/>
      <c r="M111" s="67"/>
    </row>
    <row r="112" spans="1:13" s="2" customFormat="1" ht="16.5">
      <c r="A112" s="522"/>
      <c r="B112" s="273"/>
      <c r="C112" s="136" t="s">
        <v>27</v>
      </c>
      <c r="D112" s="287" t="s">
        <v>24</v>
      </c>
      <c r="E112" s="278">
        <v>2.9999999999999997E-4</v>
      </c>
      <c r="F112" s="279">
        <f>F110*E112</f>
        <v>5.0125500000000002E-3</v>
      </c>
      <c r="G112" s="67"/>
      <c r="H112" s="67"/>
      <c r="I112" s="67"/>
      <c r="J112" s="67"/>
      <c r="K112" s="67"/>
      <c r="L112" s="67"/>
      <c r="M112" s="67"/>
    </row>
    <row r="113" spans="1:13" s="2" customFormat="1" ht="16.5">
      <c r="A113" s="522"/>
      <c r="B113" s="273"/>
      <c r="C113" s="136" t="s">
        <v>93</v>
      </c>
      <c r="D113" s="286" t="s">
        <v>64</v>
      </c>
      <c r="E113" s="82">
        <v>0.35</v>
      </c>
      <c r="F113" s="57">
        <f>E113*F110</f>
        <v>5.8479749999999999</v>
      </c>
      <c r="G113" s="67"/>
      <c r="H113" s="67"/>
      <c r="I113" s="67"/>
      <c r="J113" s="67"/>
      <c r="K113" s="67"/>
      <c r="L113" s="67"/>
      <c r="M113" s="67"/>
    </row>
    <row r="114" spans="1:13" s="2" customFormat="1" ht="16.5">
      <c r="A114" s="522"/>
      <c r="B114" s="273"/>
      <c r="C114" s="112" t="s">
        <v>193</v>
      </c>
      <c r="D114" s="471" t="s">
        <v>20</v>
      </c>
      <c r="E114" s="34">
        <f>2.7*0.01</f>
        <v>2.7000000000000003E-2</v>
      </c>
      <c r="F114" s="57">
        <f>E114*F110</f>
        <v>0.45112950000000007</v>
      </c>
      <c r="G114" s="72"/>
      <c r="H114" s="72"/>
      <c r="I114" s="72"/>
      <c r="J114" s="72"/>
      <c r="K114" s="72"/>
      <c r="L114" s="72"/>
      <c r="M114" s="72"/>
    </row>
    <row r="115" spans="1:13" s="2" customFormat="1" ht="16.5">
      <c r="A115" s="522"/>
      <c r="B115" s="273"/>
      <c r="C115" s="136" t="s">
        <v>34</v>
      </c>
      <c r="D115" s="287" t="s">
        <v>24</v>
      </c>
      <c r="E115" s="278">
        <v>1.9E-3</v>
      </c>
      <c r="F115" s="279">
        <f>F110*E115</f>
        <v>3.1746150000000001E-2</v>
      </c>
      <c r="G115" s="67"/>
      <c r="H115" s="67"/>
      <c r="I115" s="67"/>
      <c r="J115" s="67"/>
      <c r="K115" s="67"/>
      <c r="L115" s="67"/>
      <c r="M115" s="67"/>
    </row>
    <row r="116" spans="1:13" s="2" customFormat="1" ht="16.5">
      <c r="A116" s="286"/>
      <c r="B116" s="167"/>
      <c r="C116" s="146"/>
      <c r="D116" s="103"/>
      <c r="E116" s="41"/>
      <c r="F116" s="109"/>
      <c r="G116" s="67"/>
      <c r="H116" s="67"/>
      <c r="I116" s="67"/>
      <c r="J116" s="67"/>
      <c r="K116" s="67"/>
      <c r="L116" s="67"/>
      <c r="M116" s="67"/>
    </row>
    <row r="117" spans="1:13" s="2" customFormat="1" ht="78.75">
      <c r="A117" s="523" t="s">
        <v>243</v>
      </c>
      <c r="B117" s="87" t="s">
        <v>148</v>
      </c>
      <c r="C117" s="69" t="s">
        <v>244</v>
      </c>
      <c r="D117" s="134" t="s">
        <v>149</v>
      </c>
      <c r="E117" s="34"/>
      <c r="F117" s="71">
        <f>33*20.3</f>
        <v>669.9</v>
      </c>
      <c r="G117" s="135"/>
      <c r="H117" s="72"/>
      <c r="I117" s="135"/>
      <c r="J117" s="72"/>
      <c r="K117" s="135"/>
      <c r="L117" s="72"/>
      <c r="M117" s="72"/>
    </row>
    <row r="118" spans="1:13" s="2" customFormat="1" ht="30">
      <c r="A118" s="523"/>
      <c r="B118" s="78"/>
      <c r="C118" s="74" t="s">
        <v>53</v>
      </c>
      <c r="D118" s="78" t="s">
        <v>65</v>
      </c>
      <c r="E118" s="34">
        <f>41.5*0.01</f>
        <v>0.41500000000000004</v>
      </c>
      <c r="F118" s="57">
        <f>F117*E118</f>
        <v>278.00850000000003</v>
      </c>
      <c r="G118" s="135"/>
      <c r="H118" s="72"/>
      <c r="I118" s="135"/>
      <c r="J118" s="72"/>
      <c r="K118" s="135"/>
      <c r="L118" s="72"/>
      <c r="M118" s="72"/>
    </row>
    <row r="119" spans="1:13" s="2" customFormat="1" ht="27">
      <c r="A119" s="523"/>
      <c r="B119" s="287"/>
      <c r="C119" s="136" t="s">
        <v>33</v>
      </c>
      <c r="D119" s="287" t="s">
        <v>29</v>
      </c>
      <c r="E119" s="34">
        <f>0.03*0.01</f>
        <v>2.9999999999999997E-4</v>
      </c>
      <c r="F119" s="57">
        <f>F117*E119</f>
        <v>0.20096999999999998</v>
      </c>
      <c r="G119" s="72"/>
      <c r="H119" s="72"/>
      <c r="I119" s="72"/>
      <c r="J119" s="72"/>
      <c r="K119" s="72"/>
      <c r="L119" s="72"/>
      <c r="M119" s="72"/>
    </row>
    <row r="120" spans="1:13" s="2" customFormat="1" ht="16.5">
      <c r="A120" s="523"/>
      <c r="B120" s="293"/>
      <c r="C120" s="77" t="s">
        <v>150</v>
      </c>
      <c r="D120" s="78" t="s">
        <v>67</v>
      </c>
      <c r="E120" s="34">
        <f>(0.19*0.01)*100</f>
        <v>0.19</v>
      </c>
      <c r="F120" s="57">
        <f>F117*E120</f>
        <v>127.28099999999999</v>
      </c>
      <c r="G120" s="135"/>
      <c r="H120" s="72"/>
      <c r="I120" s="135"/>
      <c r="J120" s="72"/>
      <c r="K120" s="135"/>
      <c r="L120" s="72"/>
      <c r="M120" s="72"/>
    </row>
    <row r="121" spans="1:13" s="2" customFormat="1" ht="31.5">
      <c r="A121" s="523"/>
      <c r="B121" s="287"/>
      <c r="C121" s="74" t="s">
        <v>245</v>
      </c>
      <c r="D121" s="78" t="s">
        <v>151</v>
      </c>
      <c r="E121" s="34">
        <v>1.02</v>
      </c>
      <c r="F121" s="57">
        <f>F117*E121</f>
        <v>683.298</v>
      </c>
      <c r="G121" s="135"/>
      <c r="H121" s="72"/>
      <c r="I121" s="135"/>
      <c r="J121" s="72"/>
      <c r="K121" s="135"/>
      <c r="L121" s="72"/>
      <c r="M121" s="72"/>
    </row>
    <row r="122" spans="1:13" s="2" customFormat="1" ht="16.5">
      <c r="A122" s="523"/>
      <c r="B122" s="78"/>
      <c r="C122" s="137" t="s">
        <v>31</v>
      </c>
      <c r="D122" s="78" t="s">
        <v>152</v>
      </c>
      <c r="E122" s="34">
        <v>0.08</v>
      </c>
      <c r="F122" s="57">
        <f>F117*E122</f>
        <v>53.591999999999999</v>
      </c>
      <c r="G122" s="135"/>
      <c r="H122" s="72"/>
      <c r="I122" s="135"/>
      <c r="J122" s="72"/>
      <c r="K122" s="135"/>
      <c r="L122" s="72"/>
      <c r="M122" s="72"/>
    </row>
    <row r="123" spans="1:13" s="2" customFormat="1" ht="16.5">
      <c r="A123" s="286"/>
      <c r="B123" s="167"/>
      <c r="C123" s="146"/>
      <c r="D123" s="103"/>
      <c r="E123" s="41"/>
      <c r="F123" s="109"/>
      <c r="G123" s="67"/>
      <c r="H123" s="67"/>
      <c r="I123" s="67"/>
      <c r="J123" s="67"/>
      <c r="K123" s="67"/>
      <c r="L123" s="67"/>
      <c r="M123" s="67"/>
    </row>
    <row r="124" spans="1:13" s="2" customFormat="1" ht="78.75">
      <c r="A124" s="519" t="s">
        <v>254</v>
      </c>
      <c r="B124" s="68" t="s">
        <v>180</v>
      </c>
      <c r="C124" s="294" t="s">
        <v>284</v>
      </c>
      <c r="D124" s="295" t="s">
        <v>11</v>
      </c>
      <c r="E124" s="143"/>
      <c r="F124" s="71">
        <v>23</v>
      </c>
      <c r="G124" s="450"/>
      <c r="H124" s="451"/>
      <c r="I124" s="451"/>
      <c r="J124" s="451"/>
      <c r="K124" s="451"/>
      <c r="L124" s="451"/>
      <c r="M124" s="452"/>
    </row>
    <row r="125" spans="1:13" s="2" customFormat="1" ht="16.5">
      <c r="A125" s="520"/>
      <c r="B125" s="296"/>
      <c r="C125" s="74" t="s">
        <v>182</v>
      </c>
      <c r="D125" s="296" t="s">
        <v>11</v>
      </c>
      <c r="E125" s="147"/>
      <c r="F125" s="71">
        <f xml:space="preserve"> (24*0.35+23)*1.1</f>
        <v>34.54</v>
      </c>
      <c r="G125" s="453"/>
      <c r="H125" s="454"/>
      <c r="I125" s="454"/>
      <c r="J125" s="454"/>
      <c r="K125" s="454"/>
      <c r="L125" s="454"/>
      <c r="M125" s="455"/>
    </row>
    <row r="126" spans="1:13" s="2" customFormat="1" ht="16.5">
      <c r="A126" s="520"/>
      <c r="B126" s="296"/>
      <c r="C126" s="74" t="s">
        <v>183</v>
      </c>
      <c r="D126" s="296" t="s">
        <v>11</v>
      </c>
      <c r="E126" s="147"/>
      <c r="F126" s="71">
        <v>0</v>
      </c>
      <c r="G126" s="453"/>
      <c r="H126" s="454"/>
      <c r="I126" s="454"/>
      <c r="J126" s="454"/>
      <c r="K126" s="454"/>
      <c r="L126" s="454"/>
      <c r="M126" s="455"/>
    </row>
    <row r="127" spans="1:13" s="2" customFormat="1" ht="16.5">
      <c r="A127" s="520"/>
      <c r="B127" s="296"/>
      <c r="C127" s="74" t="s">
        <v>184</v>
      </c>
      <c r="D127" s="296" t="s">
        <v>11</v>
      </c>
      <c r="E127" s="147"/>
      <c r="F127" s="71">
        <f>(0.34*(F124/0.25)+1)*1.1</f>
        <v>35.508000000000003</v>
      </c>
      <c r="G127" s="453"/>
      <c r="H127" s="454"/>
      <c r="I127" s="454"/>
      <c r="J127" s="454"/>
      <c r="K127" s="454"/>
      <c r="L127" s="454"/>
      <c r="M127" s="455"/>
    </row>
    <row r="128" spans="1:13" s="2" customFormat="1" ht="16.5">
      <c r="A128" s="520"/>
      <c r="B128" s="296"/>
      <c r="C128" s="74" t="s">
        <v>266</v>
      </c>
      <c r="D128" s="296" t="s">
        <v>19</v>
      </c>
      <c r="E128" s="147"/>
      <c r="F128" s="71">
        <f xml:space="preserve"> (0.15*0.15*24)*1.1</f>
        <v>0.59400000000000008</v>
      </c>
      <c r="G128" s="453"/>
      <c r="H128" s="454"/>
      <c r="I128" s="454"/>
      <c r="J128" s="454"/>
      <c r="K128" s="454"/>
      <c r="L128" s="454"/>
      <c r="M128" s="455"/>
    </row>
    <row r="129" spans="1:13" s="2" customFormat="1" ht="31.5">
      <c r="A129" s="520"/>
      <c r="B129" s="296"/>
      <c r="C129" s="69" t="s">
        <v>270</v>
      </c>
      <c r="D129" s="68" t="s">
        <v>21</v>
      </c>
      <c r="E129" s="147"/>
      <c r="F129" s="141">
        <f>(F125*5.65+F126*1.25+F127*1.49+F128*73.5)/1000</f>
        <v>0.29171691999999999</v>
      </c>
      <c r="G129" s="456"/>
      <c r="H129" s="457"/>
      <c r="I129" s="457"/>
      <c r="J129" s="457"/>
      <c r="K129" s="457"/>
      <c r="L129" s="457"/>
      <c r="M129" s="458"/>
    </row>
    <row r="130" spans="1:13" s="2" customFormat="1" ht="27">
      <c r="A130" s="520"/>
      <c r="B130" s="293"/>
      <c r="C130" s="74" t="s">
        <v>26</v>
      </c>
      <c r="D130" s="293" t="s">
        <v>28</v>
      </c>
      <c r="E130" s="147">
        <v>23.6</v>
      </c>
      <c r="F130" s="76">
        <f>F129*E130</f>
        <v>6.8845193120000001</v>
      </c>
      <c r="G130" s="72"/>
      <c r="H130" s="72"/>
      <c r="I130" s="72"/>
      <c r="J130" s="72"/>
      <c r="K130" s="72"/>
      <c r="L130" s="72"/>
      <c r="M130" s="72"/>
    </row>
    <row r="131" spans="1:13" s="2" customFormat="1" ht="27">
      <c r="A131" s="520"/>
      <c r="B131" s="273" t="s">
        <v>94</v>
      </c>
      <c r="C131" s="74" t="s">
        <v>187</v>
      </c>
      <c r="D131" s="293" t="s">
        <v>29</v>
      </c>
      <c r="E131" s="147">
        <v>2.87</v>
      </c>
      <c r="F131" s="76">
        <f>F129*E131</f>
        <v>0.83722756040000001</v>
      </c>
      <c r="G131" s="72"/>
      <c r="H131" s="72"/>
      <c r="I131" s="72"/>
      <c r="J131" s="72"/>
      <c r="K131" s="72"/>
      <c r="L131" s="72"/>
      <c r="M131" s="72"/>
    </row>
    <row r="132" spans="1:13" s="2" customFormat="1" ht="16.5">
      <c r="A132" s="520"/>
      <c r="B132" s="293"/>
      <c r="C132" s="74" t="s">
        <v>27</v>
      </c>
      <c r="D132" s="293" t="s">
        <v>24</v>
      </c>
      <c r="E132" s="147">
        <v>4.0199999999999996</v>
      </c>
      <c r="F132" s="76">
        <f>F129*E132</f>
        <v>1.1727020183999999</v>
      </c>
      <c r="G132" s="72"/>
      <c r="H132" s="72"/>
      <c r="I132" s="72"/>
      <c r="J132" s="72"/>
      <c r="K132" s="72"/>
      <c r="L132" s="72"/>
      <c r="M132" s="72"/>
    </row>
    <row r="133" spans="1:13" s="2" customFormat="1" ht="16.5">
      <c r="A133" s="520"/>
      <c r="B133" s="296"/>
      <c r="C133" s="69" t="s">
        <v>115</v>
      </c>
      <c r="D133" s="296" t="s">
        <v>21</v>
      </c>
      <c r="E133" s="147">
        <v>1</v>
      </c>
      <c r="F133" s="71">
        <f>F129*E133</f>
        <v>0.29171691999999999</v>
      </c>
      <c r="G133" s="72"/>
      <c r="H133" s="72"/>
      <c r="I133" s="72"/>
      <c r="J133" s="72"/>
      <c r="K133" s="72"/>
      <c r="L133" s="72"/>
      <c r="M133" s="72"/>
    </row>
    <row r="134" spans="1:13" s="2" customFormat="1" ht="16.5">
      <c r="A134" s="520"/>
      <c r="B134" s="296"/>
      <c r="C134" s="74" t="s">
        <v>188</v>
      </c>
      <c r="D134" s="296" t="s">
        <v>21</v>
      </c>
      <c r="E134" s="147"/>
      <c r="F134" s="71">
        <f>F125*5.65/1000</f>
        <v>0.19515100000000002</v>
      </c>
      <c r="G134" s="72"/>
      <c r="H134" s="72"/>
      <c r="I134" s="72"/>
      <c r="J134" s="72"/>
      <c r="K134" s="72"/>
      <c r="L134" s="72"/>
      <c r="M134" s="72"/>
    </row>
    <row r="135" spans="1:13" s="2" customFormat="1" ht="16.5">
      <c r="A135" s="520"/>
      <c r="B135" s="296"/>
      <c r="C135" s="74" t="s">
        <v>189</v>
      </c>
      <c r="D135" s="296" t="s">
        <v>21</v>
      </c>
      <c r="E135" s="147"/>
      <c r="F135" s="71">
        <f>F127*1.49/1000</f>
        <v>5.290692000000001E-2</v>
      </c>
      <c r="G135" s="72"/>
      <c r="H135" s="72"/>
      <c r="I135" s="72"/>
      <c r="J135" s="72"/>
      <c r="K135" s="72"/>
      <c r="L135" s="72"/>
      <c r="M135" s="72"/>
    </row>
    <row r="136" spans="1:13" s="2" customFormat="1" ht="16.5">
      <c r="A136" s="520"/>
      <c r="B136" s="296"/>
      <c r="C136" s="74" t="s">
        <v>266</v>
      </c>
      <c r="D136" s="296" t="s">
        <v>21</v>
      </c>
      <c r="E136" s="147"/>
      <c r="F136" s="71">
        <f>(F128)*0.0745</f>
        <v>4.4253000000000008E-2</v>
      </c>
      <c r="G136" s="72"/>
      <c r="H136" s="72"/>
      <c r="I136" s="72"/>
      <c r="J136" s="72"/>
      <c r="K136" s="72"/>
      <c r="L136" s="72"/>
      <c r="M136" s="72"/>
    </row>
    <row r="137" spans="1:13" s="2" customFormat="1" ht="31.5">
      <c r="A137" s="520"/>
      <c r="B137" s="293"/>
      <c r="C137" s="74" t="s">
        <v>190</v>
      </c>
      <c r="D137" s="293" t="s">
        <v>20</v>
      </c>
      <c r="E137" s="147">
        <v>22.9</v>
      </c>
      <c r="F137" s="76">
        <f>F129*E137</f>
        <v>6.6803174679999993</v>
      </c>
      <c r="G137" s="72"/>
      <c r="H137" s="72"/>
      <c r="I137" s="72"/>
      <c r="J137" s="72"/>
      <c r="K137" s="72"/>
      <c r="L137" s="72"/>
      <c r="M137" s="72"/>
    </row>
    <row r="138" spans="1:13" s="2" customFormat="1" ht="16.5">
      <c r="A138" s="520"/>
      <c r="B138" s="293"/>
      <c r="C138" s="74" t="s">
        <v>191</v>
      </c>
      <c r="D138" s="293" t="s">
        <v>20</v>
      </c>
      <c r="E138" s="147">
        <v>8.6</v>
      </c>
      <c r="F138" s="76">
        <f>F129*E138</f>
        <v>2.5087655119999996</v>
      </c>
      <c r="G138" s="72"/>
      <c r="H138" s="72"/>
      <c r="I138" s="72"/>
      <c r="J138" s="72"/>
      <c r="K138" s="72"/>
      <c r="L138" s="72"/>
      <c r="M138" s="72"/>
    </row>
    <row r="139" spans="1:13" s="2" customFormat="1" ht="16.5">
      <c r="A139" s="520"/>
      <c r="B139" s="293"/>
      <c r="C139" s="77" t="s">
        <v>54</v>
      </c>
      <c r="D139" s="293" t="s">
        <v>20</v>
      </c>
      <c r="E139" s="147"/>
      <c r="F139" s="76">
        <v>25</v>
      </c>
      <c r="G139" s="72"/>
      <c r="H139" s="72"/>
      <c r="I139" s="72"/>
      <c r="J139" s="72"/>
      <c r="K139" s="72"/>
      <c r="L139" s="72"/>
      <c r="M139" s="72"/>
    </row>
    <row r="140" spans="1:13" s="2" customFormat="1" ht="16.5">
      <c r="A140" s="521"/>
      <c r="B140" s="293"/>
      <c r="C140" s="74" t="s">
        <v>34</v>
      </c>
      <c r="D140" s="293" t="s">
        <v>24</v>
      </c>
      <c r="E140" s="147">
        <v>2.78</v>
      </c>
      <c r="F140" s="76">
        <f>F129*E140</f>
        <v>0.81097303759999995</v>
      </c>
      <c r="G140" s="72"/>
      <c r="H140" s="72"/>
      <c r="I140" s="72"/>
      <c r="J140" s="72"/>
      <c r="K140" s="72"/>
      <c r="L140" s="72"/>
      <c r="M140" s="72"/>
    </row>
    <row r="141" spans="1:13" s="2" customFormat="1" ht="94.5">
      <c r="A141" s="519" t="s">
        <v>255</v>
      </c>
      <c r="B141" s="273" t="s">
        <v>91</v>
      </c>
      <c r="C141" s="69" t="s">
        <v>192</v>
      </c>
      <c r="D141" s="293" t="s">
        <v>19</v>
      </c>
      <c r="E141" s="147"/>
      <c r="F141" s="71">
        <f>(0.08+0.04)*2*F125/1.1+(0.02+0.02)*2*F126/1.1+(0.02+0.03)*2*F127/1.1+F128*2/1.1</f>
        <v>11.843999999999999</v>
      </c>
      <c r="G141" s="72"/>
      <c r="H141" s="72"/>
      <c r="I141" s="72"/>
      <c r="J141" s="72"/>
      <c r="K141" s="72"/>
      <c r="L141" s="72"/>
      <c r="M141" s="72"/>
    </row>
    <row r="142" spans="1:13" s="2" customFormat="1" ht="27">
      <c r="A142" s="520"/>
      <c r="B142" s="293"/>
      <c r="C142" s="77" t="s">
        <v>53</v>
      </c>
      <c r="D142" s="293" t="s">
        <v>28</v>
      </c>
      <c r="E142" s="34">
        <v>0.38800000000000001</v>
      </c>
      <c r="F142" s="57">
        <f>F141*E142</f>
        <v>4.595472</v>
      </c>
      <c r="G142" s="72"/>
      <c r="H142" s="72"/>
      <c r="I142" s="72"/>
      <c r="J142" s="72"/>
      <c r="K142" s="72"/>
      <c r="L142" s="72"/>
      <c r="M142" s="72"/>
    </row>
    <row r="143" spans="1:13" s="2" customFormat="1" ht="27">
      <c r="A143" s="520"/>
      <c r="B143" s="293"/>
      <c r="C143" s="77" t="s">
        <v>33</v>
      </c>
      <c r="D143" s="293" t="s">
        <v>29</v>
      </c>
      <c r="E143" s="34">
        <f>0.03*0.01</f>
        <v>2.9999999999999997E-4</v>
      </c>
      <c r="F143" s="57">
        <f>F141*E143</f>
        <v>3.5531999999999994E-3</v>
      </c>
      <c r="G143" s="72"/>
      <c r="H143" s="72"/>
      <c r="I143" s="72"/>
      <c r="J143" s="72"/>
      <c r="K143" s="72"/>
      <c r="L143" s="72"/>
      <c r="M143" s="72"/>
    </row>
    <row r="144" spans="1:13" s="2" customFormat="1" ht="16.5">
      <c r="A144" s="520"/>
      <c r="B144" s="293"/>
      <c r="C144" s="77" t="s">
        <v>93</v>
      </c>
      <c r="D144" s="293" t="s">
        <v>20</v>
      </c>
      <c r="E144" s="82">
        <v>0.35</v>
      </c>
      <c r="F144" s="57">
        <f>F141*E144</f>
        <v>4.1453999999999995</v>
      </c>
      <c r="G144" s="72"/>
      <c r="H144" s="72"/>
      <c r="I144" s="72"/>
      <c r="J144" s="72"/>
      <c r="K144" s="72"/>
      <c r="L144" s="72"/>
      <c r="M144" s="72"/>
    </row>
    <row r="145" spans="1:13" s="2" customFormat="1" ht="16.5">
      <c r="A145" s="520"/>
      <c r="B145" s="287"/>
      <c r="C145" s="112" t="s">
        <v>193</v>
      </c>
      <c r="D145" s="287" t="s">
        <v>20</v>
      </c>
      <c r="E145" s="34">
        <f>2.7*0.01</f>
        <v>2.7000000000000003E-2</v>
      </c>
      <c r="F145" s="57">
        <f>E145*F141</f>
        <v>0.31978800000000002</v>
      </c>
      <c r="G145" s="72"/>
      <c r="H145" s="72"/>
      <c r="I145" s="72"/>
      <c r="J145" s="72"/>
      <c r="K145" s="72"/>
      <c r="L145" s="72"/>
      <c r="M145" s="72"/>
    </row>
    <row r="146" spans="1:13" s="2" customFormat="1" ht="16.5">
      <c r="A146" s="521"/>
      <c r="B146" s="293"/>
      <c r="C146" s="77" t="s">
        <v>31</v>
      </c>
      <c r="D146" s="293" t="s">
        <v>24</v>
      </c>
      <c r="E146" s="34">
        <f>0.19*0.01</f>
        <v>1.9E-3</v>
      </c>
      <c r="F146" s="57">
        <f>F141*E146</f>
        <v>2.2503599999999999E-2</v>
      </c>
      <c r="G146" s="72"/>
      <c r="H146" s="72"/>
      <c r="I146" s="72"/>
      <c r="J146" s="72"/>
      <c r="K146" s="72"/>
      <c r="L146" s="72"/>
      <c r="M146" s="72"/>
    </row>
    <row r="147" spans="1:13" s="2" customFormat="1" ht="31.5">
      <c r="A147" s="519" t="s">
        <v>256</v>
      </c>
      <c r="B147" s="273" t="s">
        <v>194</v>
      </c>
      <c r="C147" s="150" t="s">
        <v>195</v>
      </c>
      <c r="D147" s="273" t="s">
        <v>60</v>
      </c>
      <c r="E147" s="34"/>
      <c r="F147" s="58">
        <f>(4*F124)*0.06*0.04</f>
        <v>0.2208</v>
      </c>
      <c r="G147" s="292"/>
      <c r="H147" s="72"/>
      <c r="I147" s="73"/>
      <c r="J147" s="72"/>
      <c r="K147" s="73"/>
      <c r="L147" s="72"/>
      <c r="M147" s="72"/>
    </row>
    <row r="148" spans="1:13" s="2" customFormat="1" ht="27">
      <c r="A148" s="520"/>
      <c r="B148" s="286"/>
      <c r="C148" s="146" t="s">
        <v>26</v>
      </c>
      <c r="D148" s="106" t="s">
        <v>28</v>
      </c>
      <c r="E148" s="278">
        <v>19.2</v>
      </c>
      <c r="F148" s="153">
        <f>F147*E148</f>
        <v>4.2393599999999996</v>
      </c>
      <c r="G148" s="292"/>
      <c r="H148" s="72"/>
      <c r="I148" s="73"/>
      <c r="J148" s="72"/>
      <c r="K148" s="73"/>
      <c r="L148" s="72"/>
      <c r="M148" s="72"/>
    </row>
    <row r="149" spans="1:13" s="2" customFormat="1" ht="16.5">
      <c r="A149" s="520"/>
      <c r="B149" s="287"/>
      <c r="C149" s="200" t="s">
        <v>27</v>
      </c>
      <c r="D149" s="287" t="s">
        <v>24</v>
      </c>
      <c r="E149" s="278">
        <v>1.31</v>
      </c>
      <c r="F149" s="279">
        <f>F147*E149</f>
        <v>0.28924800000000001</v>
      </c>
      <c r="G149" s="292"/>
      <c r="H149" s="72"/>
      <c r="I149" s="73"/>
      <c r="J149" s="72"/>
      <c r="K149" s="73"/>
      <c r="L149" s="72"/>
      <c r="M149" s="72"/>
    </row>
    <row r="150" spans="1:13" s="2" customFormat="1" ht="16.5">
      <c r="A150" s="520"/>
      <c r="B150" s="221"/>
      <c r="C150" s="200" t="s">
        <v>267</v>
      </c>
      <c r="D150" s="297" t="s">
        <v>11</v>
      </c>
      <c r="E150" s="34">
        <v>1.1000000000000001</v>
      </c>
      <c r="F150" s="57">
        <f>(4*F124)*E150</f>
        <v>101.2</v>
      </c>
      <c r="G150" s="292"/>
      <c r="H150" s="72"/>
      <c r="I150" s="73"/>
      <c r="J150" s="72"/>
      <c r="K150" s="73"/>
      <c r="L150" s="72"/>
      <c r="M150" s="72"/>
    </row>
    <row r="151" spans="1:13" s="2" customFormat="1" ht="16.5">
      <c r="A151" s="520"/>
      <c r="B151" s="287"/>
      <c r="C151" s="112" t="s">
        <v>196</v>
      </c>
      <c r="D151" s="167" t="s">
        <v>14</v>
      </c>
      <c r="E151" s="34"/>
      <c r="F151" s="57">
        <f>4*((F124/0.25)+1)</f>
        <v>372</v>
      </c>
      <c r="G151" s="292"/>
      <c r="H151" s="72"/>
      <c r="I151" s="72"/>
      <c r="J151" s="72"/>
      <c r="K151" s="292"/>
      <c r="L151" s="72"/>
      <c r="M151" s="72"/>
    </row>
    <row r="152" spans="1:13" s="2" customFormat="1" ht="16.5">
      <c r="A152" s="521"/>
      <c r="B152" s="287"/>
      <c r="C152" s="112" t="s">
        <v>34</v>
      </c>
      <c r="D152" s="287" t="s">
        <v>24</v>
      </c>
      <c r="E152" s="278">
        <v>2.1800000000000002</v>
      </c>
      <c r="F152" s="279">
        <f>F147*E152</f>
        <v>0.48134400000000005</v>
      </c>
      <c r="G152" s="292"/>
      <c r="H152" s="72"/>
      <c r="I152" s="73"/>
      <c r="J152" s="72"/>
      <c r="K152" s="73"/>
      <c r="L152" s="72"/>
      <c r="M152" s="72"/>
    </row>
    <row r="153" spans="1:13" s="2" customFormat="1" ht="47.25">
      <c r="A153" s="519" t="s">
        <v>257</v>
      </c>
      <c r="B153" s="273" t="s">
        <v>197</v>
      </c>
      <c r="C153" s="80" t="s">
        <v>198</v>
      </c>
      <c r="D153" s="68" t="s">
        <v>128</v>
      </c>
      <c r="E153" s="143"/>
      <c r="F153" s="71">
        <f>(0.06+0.04)*2*(F124)*4</f>
        <v>18.400000000000002</v>
      </c>
      <c r="G153" s="292"/>
      <c r="H153" s="72"/>
      <c r="I153" s="73"/>
      <c r="J153" s="72"/>
      <c r="K153" s="73"/>
      <c r="L153" s="72"/>
      <c r="M153" s="72"/>
    </row>
    <row r="154" spans="1:13" s="2" customFormat="1" ht="27">
      <c r="A154" s="520"/>
      <c r="B154" s="289"/>
      <c r="C154" s="298" t="s">
        <v>26</v>
      </c>
      <c r="D154" s="289" t="s">
        <v>86</v>
      </c>
      <c r="E154" s="299">
        <v>2.02</v>
      </c>
      <c r="F154" s="164">
        <f>F153*E154</f>
        <v>37.168000000000006</v>
      </c>
      <c r="G154" s="292"/>
      <c r="H154" s="72"/>
      <c r="I154" s="73"/>
      <c r="J154" s="72"/>
      <c r="K154" s="73"/>
      <c r="L154" s="72"/>
      <c r="M154" s="72"/>
    </row>
    <row r="155" spans="1:13" s="2" customFormat="1" ht="16.5">
      <c r="A155" s="520"/>
      <c r="B155" s="289"/>
      <c r="C155" s="298" t="s">
        <v>27</v>
      </c>
      <c r="D155" s="293" t="s">
        <v>24</v>
      </c>
      <c r="E155" s="299">
        <v>0</v>
      </c>
      <c r="F155" s="164">
        <f>F153*E155</f>
        <v>0</v>
      </c>
      <c r="G155" s="292"/>
      <c r="H155" s="72"/>
      <c r="I155" s="73"/>
      <c r="J155" s="72"/>
      <c r="K155" s="292"/>
      <c r="L155" s="72"/>
      <c r="M155" s="72"/>
    </row>
    <row r="156" spans="1:13" s="2" customFormat="1" ht="16.5">
      <c r="A156" s="520"/>
      <c r="B156" s="293"/>
      <c r="C156" s="74" t="s">
        <v>22</v>
      </c>
      <c r="D156" s="293" t="s">
        <v>19</v>
      </c>
      <c r="E156" s="299">
        <v>0.05</v>
      </c>
      <c r="F156" s="164">
        <f>F153*E156</f>
        <v>0.92000000000000015</v>
      </c>
      <c r="G156" s="292"/>
      <c r="H156" s="72"/>
      <c r="I156" s="73"/>
      <c r="J156" s="72"/>
      <c r="K156" s="73"/>
      <c r="L156" s="72"/>
      <c r="M156" s="72"/>
    </row>
    <row r="157" spans="1:13" s="2" customFormat="1" ht="16.5">
      <c r="A157" s="520"/>
      <c r="B157" s="167"/>
      <c r="C157" s="146" t="s">
        <v>199</v>
      </c>
      <c r="D157" s="103" t="s">
        <v>20</v>
      </c>
      <c r="E157" s="34">
        <f>(25.3+2.5)*0.01</f>
        <v>0.27800000000000002</v>
      </c>
      <c r="F157" s="57">
        <f>F153*E157</f>
        <v>5.1152000000000006</v>
      </c>
      <c r="G157" s="292"/>
      <c r="H157" s="72"/>
      <c r="I157" s="73"/>
      <c r="J157" s="72"/>
      <c r="K157" s="73"/>
      <c r="L157" s="72"/>
      <c r="M157" s="72"/>
    </row>
    <row r="158" spans="1:13" s="2" customFormat="1" ht="16.5">
      <c r="A158" s="521"/>
      <c r="B158" s="167"/>
      <c r="C158" s="162" t="s">
        <v>34</v>
      </c>
      <c r="D158" s="265" t="s">
        <v>24</v>
      </c>
      <c r="E158" s="44">
        <v>1.8E-3</v>
      </c>
      <c r="F158" s="120">
        <f>F153*E158</f>
        <v>3.3120000000000004E-2</v>
      </c>
      <c r="G158" s="73"/>
      <c r="H158" s="72"/>
      <c r="I158" s="73"/>
      <c r="J158" s="72"/>
      <c r="K158" s="73"/>
      <c r="L158" s="72"/>
      <c r="M158" s="72"/>
    </row>
    <row r="159" spans="1:13" ht="15.75">
      <c r="A159" s="290"/>
      <c r="B159" s="167"/>
      <c r="C159" s="146"/>
      <c r="D159" s="103"/>
      <c r="E159" s="41"/>
      <c r="F159" s="109"/>
      <c r="G159" s="67"/>
      <c r="H159" s="67"/>
      <c r="I159" s="67"/>
      <c r="J159" s="67"/>
      <c r="K159" s="67"/>
      <c r="L159" s="67"/>
      <c r="M159" s="67"/>
    </row>
    <row r="160" spans="1:13" ht="47.25">
      <c r="A160" s="138" t="s">
        <v>243</v>
      </c>
      <c r="B160" s="138"/>
      <c r="C160" s="139" t="s">
        <v>153</v>
      </c>
      <c r="D160" s="138" t="s">
        <v>14</v>
      </c>
      <c r="E160" s="140"/>
      <c r="F160" s="141">
        <v>2</v>
      </c>
      <c r="G160" s="61"/>
      <c r="H160" s="61"/>
      <c r="I160" s="61"/>
      <c r="J160" s="61"/>
      <c r="K160" s="61"/>
      <c r="L160" s="61"/>
      <c r="M160" s="61"/>
    </row>
    <row r="161" spans="1:13" ht="78.75">
      <c r="A161" s="526" t="s">
        <v>246</v>
      </c>
      <c r="B161" s="68" t="s">
        <v>83</v>
      </c>
      <c r="C161" s="142" t="s">
        <v>154</v>
      </c>
      <c r="D161" s="68" t="s">
        <v>18</v>
      </c>
      <c r="E161" s="143"/>
      <c r="F161" s="71">
        <f>0.9*0.9*1*F160</f>
        <v>1.62</v>
      </c>
      <c r="G161" s="61"/>
      <c r="H161" s="61"/>
      <c r="I161" s="61"/>
      <c r="J161" s="61"/>
      <c r="K161" s="61"/>
      <c r="L161" s="61"/>
      <c r="M161" s="61"/>
    </row>
    <row r="162" spans="1:13" ht="30">
      <c r="A162" s="527"/>
      <c r="B162" s="68"/>
      <c r="C162" s="77" t="s">
        <v>53</v>
      </c>
      <c r="D162" s="144" t="s">
        <v>65</v>
      </c>
      <c r="E162" s="34">
        <v>2.06</v>
      </c>
      <c r="F162" s="57">
        <f>F161*E162</f>
        <v>3.3372000000000002</v>
      </c>
      <c r="G162" s="135"/>
      <c r="H162" s="72"/>
      <c r="I162" s="135"/>
      <c r="J162" s="72"/>
      <c r="K162" s="135"/>
      <c r="L162" s="72"/>
      <c r="M162" s="72"/>
    </row>
    <row r="163" spans="1:13" ht="63">
      <c r="A163" s="501" t="s">
        <v>247</v>
      </c>
      <c r="B163" s="431" t="s">
        <v>85</v>
      </c>
      <c r="C163" s="145" t="s">
        <v>155</v>
      </c>
      <c r="D163" s="431" t="s">
        <v>18</v>
      </c>
      <c r="E163" s="57"/>
      <c r="F163" s="155">
        <f>0.9*0.9*0.2*F160</f>
        <v>0.32400000000000007</v>
      </c>
      <c r="G163" s="61"/>
      <c r="H163" s="61"/>
      <c r="I163" s="61"/>
      <c r="J163" s="61"/>
      <c r="K163" s="61"/>
      <c r="L163" s="61"/>
      <c r="M163" s="61"/>
    </row>
    <row r="164" spans="1:13" ht="30">
      <c r="A164" s="517"/>
      <c r="B164" s="431"/>
      <c r="C164" s="77" t="s">
        <v>53</v>
      </c>
      <c r="D164" s="144" t="s">
        <v>65</v>
      </c>
      <c r="E164" s="34">
        <v>3.52</v>
      </c>
      <c r="F164" s="57">
        <f>F163*E164</f>
        <v>1.1404800000000002</v>
      </c>
      <c r="G164" s="135"/>
      <c r="H164" s="72"/>
      <c r="I164" s="135"/>
      <c r="J164" s="72"/>
      <c r="K164" s="135"/>
      <c r="L164" s="72"/>
      <c r="M164" s="72"/>
    </row>
    <row r="165" spans="1:13" ht="27">
      <c r="A165" s="517"/>
      <c r="B165" s="431"/>
      <c r="C165" s="112" t="s">
        <v>33</v>
      </c>
      <c r="D165" s="431" t="s">
        <v>29</v>
      </c>
      <c r="E165" s="34">
        <v>1.06</v>
      </c>
      <c r="F165" s="57">
        <f>F163*E165</f>
        <v>0.34344000000000008</v>
      </c>
      <c r="G165" s="72"/>
      <c r="H165" s="72"/>
      <c r="I165" s="72"/>
      <c r="J165" s="72"/>
      <c r="K165" s="72"/>
      <c r="L165" s="72"/>
      <c r="M165" s="72"/>
    </row>
    <row r="166" spans="1:13" ht="15.75">
      <c r="A166" s="517"/>
      <c r="B166" s="431"/>
      <c r="C166" s="146" t="s">
        <v>75</v>
      </c>
      <c r="D166" s="431" t="s">
        <v>18</v>
      </c>
      <c r="E166" s="57">
        <f>0.18+0.09+0.97</f>
        <v>1.24</v>
      </c>
      <c r="F166" s="356">
        <f>F163*E166</f>
        <v>0.40176000000000006</v>
      </c>
      <c r="G166" s="61"/>
      <c r="H166" s="61"/>
      <c r="I166" s="61"/>
      <c r="J166" s="61"/>
      <c r="K166" s="61"/>
      <c r="L166" s="61"/>
      <c r="M166" s="72"/>
    </row>
    <row r="167" spans="1:13" ht="15.75">
      <c r="A167" s="502"/>
      <c r="B167" s="431"/>
      <c r="C167" s="146" t="s">
        <v>156</v>
      </c>
      <c r="D167" s="431" t="s">
        <v>24</v>
      </c>
      <c r="E167" s="57">
        <v>0.02</v>
      </c>
      <c r="F167" s="356">
        <f>F163*E167</f>
        <v>6.4800000000000014E-3</v>
      </c>
      <c r="G167" s="61"/>
      <c r="H167" s="61"/>
      <c r="I167" s="61"/>
      <c r="J167" s="61"/>
      <c r="K167" s="61"/>
      <c r="L167" s="61"/>
      <c r="M167" s="72"/>
    </row>
    <row r="168" spans="1:13" ht="78.75">
      <c r="A168" s="501" t="s">
        <v>248</v>
      </c>
      <c r="B168" s="431" t="s">
        <v>95</v>
      </c>
      <c r="C168" s="145" t="s">
        <v>157</v>
      </c>
      <c r="D168" s="431" t="s">
        <v>18</v>
      </c>
      <c r="E168" s="57"/>
      <c r="F168" s="155">
        <f>0.1*F160</f>
        <v>0.2</v>
      </c>
      <c r="G168" s="61"/>
      <c r="H168" s="61"/>
      <c r="I168" s="61"/>
      <c r="J168" s="61"/>
      <c r="K168" s="61"/>
      <c r="L168" s="61"/>
      <c r="M168" s="61"/>
    </row>
    <row r="169" spans="1:13" ht="30">
      <c r="A169" s="517"/>
      <c r="B169" s="431"/>
      <c r="C169" s="77" t="s">
        <v>53</v>
      </c>
      <c r="D169" s="144" t="s">
        <v>65</v>
      </c>
      <c r="E169" s="34">
        <v>1.37</v>
      </c>
      <c r="F169" s="57">
        <f>F168*E169</f>
        <v>0.27400000000000002</v>
      </c>
      <c r="G169" s="135"/>
      <c r="H169" s="72"/>
      <c r="I169" s="135"/>
      <c r="J169" s="72"/>
      <c r="K169" s="135"/>
      <c r="L169" s="72"/>
      <c r="M169" s="72"/>
    </row>
    <row r="170" spans="1:13" ht="27">
      <c r="A170" s="517"/>
      <c r="B170" s="431"/>
      <c r="C170" s="112" t="s">
        <v>33</v>
      </c>
      <c r="D170" s="431" t="s">
        <v>29</v>
      </c>
      <c r="E170" s="34">
        <v>0.28299999999999997</v>
      </c>
      <c r="F170" s="57">
        <f>F168*E170</f>
        <v>5.6599999999999998E-2</v>
      </c>
      <c r="G170" s="72"/>
      <c r="H170" s="72"/>
      <c r="I170" s="72"/>
      <c r="J170" s="72"/>
      <c r="K170" s="72"/>
      <c r="L170" s="72"/>
      <c r="M170" s="72"/>
    </row>
    <row r="171" spans="1:13" ht="15.75">
      <c r="A171" s="517"/>
      <c r="B171" s="431"/>
      <c r="C171" s="146" t="s">
        <v>82</v>
      </c>
      <c r="D171" s="431" t="s">
        <v>18</v>
      </c>
      <c r="E171" s="57">
        <v>1.02</v>
      </c>
      <c r="F171" s="356">
        <f>F168*E171</f>
        <v>0.20400000000000001</v>
      </c>
      <c r="G171" s="61"/>
      <c r="H171" s="61"/>
      <c r="I171" s="61"/>
      <c r="J171" s="61"/>
      <c r="K171" s="61"/>
      <c r="L171" s="61"/>
      <c r="M171" s="72"/>
    </row>
    <row r="172" spans="1:13" ht="15.75">
      <c r="A172" s="502"/>
      <c r="B172" s="431"/>
      <c r="C172" s="146" t="s">
        <v>156</v>
      </c>
      <c r="D172" s="431" t="s">
        <v>24</v>
      </c>
      <c r="E172" s="57">
        <v>0.62</v>
      </c>
      <c r="F172" s="356">
        <f>F168*E172</f>
        <v>0.124</v>
      </c>
      <c r="G172" s="61"/>
      <c r="H172" s="61"/>
      <c r="I172" s="61"/>
      <c r="J172" s="61"/>
      <c r="K172" s="61"/>
      <c r="L172" s="61"/>
      <c r="M172" s="72"/>
    </row>
    <row r="173" spans="1:13" ht="47.25">
      <c r="A173" s="501" t="s">
        <v>249</v>
      </c>
      <c r="B173" s="431" t="s">
        <v>158</v>
      </c>
      <c r="C173" s="145" t="s">
        <v>159</v>
      </c>
      <c r="D173" s="431" t="s">
        <v>18</v>
      </c>
      <c r="E173" s="57"/>
      <c r="F173" s="155">
        <f>0.42*F160</f>
        <v>0.84</v>
      </c>
      <c r="G173" s="61"/>
      <c r="H173" s="61"/>
      <c r="I173" s="61"/>
      <c r="J173" s="61"/>
      <c r="K173" s="61"/>
      <c r="L173" s="61"/>
      <c r="M173" s="61"/>
    </row>
    <row r="174" spans="1:13" ht="30">
      <c r="A174" s="517"/>
      <c r="B174" s="431"/>
      <c r="C174" s="77" t="s">
        <v>53</v>
      </c>
      <c r="D174" s="144" t="s">
        <v>65</v>
      </c>
      <c r="E174" s="34">
        <v>6.66</v>
      </c>
      <c r="F174" s="57">
        <f>F173*E174</f>
        <v>5.5944000000000003</v>
      </c>
      <c r="G174" s="135"/>
      <c r="H174" s="72"/>
      <c r="I174" s="135"/>
      <c r="J174" s="72"/>
      <c r="K174" s="135"/>
      <c r="L174" s="72"/>
      <c r="M174" s="72"/>
    </row>
    <row r="175" spans="1:13" ht="27">
      <c r="A175" s="517"/>
      <c r="B175" s="431"/>
      <c r="C175" s="112" t="s">
        <v>33</v>
      </c>
      <c r="D175" s="431" t="s">
        <v>29</v>
      </c>
      <c r="E175" s="34">
        <v>0.59</v>
      </c>
      <c r="F175" s="57">
        <f>F173*E175</f>
        <v>0.49559999999999993</v>
      </c>
      <c r="G175" s="72"/>
      <c r="H175" s="72"/>
      <c r="I175" s="72"/>
      <c r="J175" s="72"/>
      <c r="K175" s="72"/>
      <c r="L175" s="72"/>
      <c r="M175" s="72"/>
    </row>
    <row r="176" spans="1:13" ht="15.75">
      <c r="A176" s="517"/>
      <c r="B176" s="431"/>
      <c r="C176" s="146" t="s">
        <v>160</v>
      </c>
      <c r="D176" s="431" t="s">
        <v>18</v>
      </c>
      <c r="E176" s="57">
        <v>1.0149999999999999</v>
      </c>
      <c r="F176" s="356">
        <f>F173*E176</f>
        <v>0.85259999999999991</v>
      </c>
      <c r="G176" s="61"/>
      <c r="H176" s="61"/>
      <c r="I176" s="61"/>
      <c r="J176" s="61"/>
      <c r="K176" s="61"/>
      <c r="L176" s="61"/>
      <c r="M176" s="72"/>
    </row>
    <row r="177" spans="1:13" ht="15.75">
      <c r="A177" s="517"/>
      <c r="B177" s="431"/>
      <c r="C177" s="146" t="s">
        <v>138</v>
      </c>
      <c r="D177" s="431" t="s">
        <v>19</v>
      </c>
      <c r="E177" s="57">
        <v>1.6</v>
      </c>
      <c r="F177" s="76">
        <f>F173*E177</f>
        <v>1.3440000000000001</v>
      </c>
      <c r="G177" s="61"/>
      <c r="H177" s="61"/>
      <c r="I177" s="61"/>
      <c r="J177" s="61"/>
      <c r="K177" s="61"/>
      <c r="L177" s="61"/>
      <c r="M177" s="72"/>
    </row>
    <row r="178" spans="1:13" ht="15.75">
      <c r="A178" s="517"/>
      <c r="B178" s="431"/>
      <c r="C178" s="146" t="s">
        <v>81</v>
      </c>
      <c r="D178" s="431" t="s">
        <v>18</v>
      </c>
      <c r="E178" s="57">
        <v>1.83E-2</v>
      </c>
      <c r="F178" s="76">
        <f>F173*E178</f>
        <v>1.5372E-2</v>
      </c>
      <c r="G178" s="61"/>
      <c r="H178" s="61"/>
      <c r="I178" s="61"/>
      <c r="J178" s="61"/>
      <c r="K178" s="61"/>
      <c r="L178" s="61"/>
      <c r="M178" s="72"/>
    </row>
    <row r="179" spans="1:13" ht="15.75">
      <c r="A179" s="517"/>
      <c r="B179" s="431"/>
      <c r="C179" s="146" t="s">
        <v>31</v>
      </c>
      <c r="D179" s="431" t="s">
        <v>24</v>
      </c>
      <c r="E179" s="57">
        <v>0.4</v>
      </c>
      <c r="F179" s="76">
        <f>F173*E179</f>
        <v>0.33600000000000002</v>
      </c>
      <c r="G179" s="61"/>
      <c r="H179" s="61"/>
      <c r="I179" s="61"/>
      <c r="J179" s="61"/>
      <c r="K179" s="61"/>
      <c r="L179" s="61"/>
      <c r="M179" s="72"/>
    </row>
    <row r="180" spans="1:13" ht="15.75">
      <c r="A180" s="502"/>
      <c r="B180" s="431"/>
      <c r="C180" s="146" t="s">
        <v>161</v>
      </c>
      <c r="D180" s="431" t="s">
        <v>21</v>
      </c>
      <c r="E180" s="57">
        <v>1.03</v>
      </c>
      <c r="F180" s="76">
        <f>0.022*F160</f>
        <v>4.3999999999999997E-2</v>
      </c>
      <c r="G180" s="61"/>
      <c r="H180" s="61"/>
      <c r="I180" s="61"/>
      <c r="J180" s="61"/>
      <c r="K180" s="61"/>
      <c r="L180" s="61"/>
      <c r="M180" s="61"/>
    </row>
    <row r="181" spans="1:13" ht="47.25">
      <c r="A181" s="519" t="s">
        <v>250</v>
      </c>
      <c r="B181" s="68" t="s">
        <v>142</v>
      </c>
      <c r="C181" s="69" t="s">
        <v>162</v>
      </c>
      <c r="D181" s="427"/>
      <c r="E181" s="147"/>
      <c r="F181" s="76"/>
      <c r="G181" s="450"/>
      <c r="H181" s="451"/>
      <c r="I181" s="451"/>
      <c r="J181" s="451"/>
      <c r="K181" s="451"/>
      <c r="L181" s="451"/>
      <c r="M181" s="452"/>
    </row>
    <row r="182" spans="1:13" ht="15.75">
      <c r="A182" s="520"/>
      <c r="B182" s="523"/>
      <c r="C182" s="538" t="s">
        <v>163</v>
      </c>
      <c r="D182" s="427" t="s">
        <v>11</v>
      </c>
      <c r="E182" s="147">
        <v>1.05</v>
      </c>
      <c r="F182" s="76">
        <f>6*F160*E182</f>
        <v>12.600000000000001</v>
      </c>
      <c r="G182" s="453"/>
      <c r="H182" s="454"/>
      <c r="I182" s="454"/>
      <c r="J182" s="454"/>
      <c r="K182" s="454"/>
      <c r="L182" s="454"/>
      <c r="M182" s="455"/>
    </row>
    <row r="183" spans="1:13" ht="15.75">
      <c r="A183" s="520"/>
      <c r="B183" s="523"/>
      <c r="C183" s="539"/>
      <c r="D183" s="148" t="s">
        <v>21</v>
      </c>
      <c r="E183" s="149"/>
      <c r="F183" s="76">
        <f>F182*28.26/1000</f>
        <v>0.35607600000000006</v>
      </c>
      <c r="G183" s="453"/>
      <c r="H183" s="454"/>
      <c r="I183" s="454"/>
      <c r="J183" s="454"/>
      <c r="K183" s="454"/>
      <c r="L183" s="454"/>
      <c r="M183" s="455"/>
    </row>
    <row r="184" spans="1:13" ht="31.5">
      <c r="A184" s="520"/>
      <c r="B184" s="427"/>
      <c r="C184" s="151" t="s">
        <v>164</v>
      </c>
      <c r="D184" s="148" t="s">
        <v>19</v>
      </c>
      <c r="E184" s="149"/>
      <c r="F184" s="76">
        <f>0.02*F160</f>
        <v>0.04</v>
      </c>
      <c r="G184" s="453"/>
      <c r="H184" s="454"/>
      <c r="I184" s="454"/>
      <c r="J184" s="454"/>
      <c r="K184" s="454"/>
      <c r="L184" s="454"/>
      <c r="M184" s="455"/>
    </row>
    <row r="185" spans="1:13" ht="15.75">
      <c r="A185" s="520"/>
      <c r="B185" s="427"/>
      <c r="C185" s="459"/>
      <c r="D185" s="148" t="s">
        <v>21</v>
      </c>
      <c r="E185" s="149"/>
      <c r="F185" s="76">
        <f>0.01*F160</f>
        <v>0.02</v>
      </c>
      <c r="G185" s="453"/>
      <c r="H185" s="454"/>
      <c r="I185" s="454"/>
      <c r="J185" s="454"/>
      <c r="K185" s="454"/>
      <c r="L185" s="454"/>
      <c r="M185" s="455"/>
    </row>
    <row r="186" spans="1:13" ht="31.5">
      <c r="A186" s="520"/>
      <c r="B186" s="427"/>
      <c r="C186" s="151" t="s">
        <v>165</v>
      </c>
      <c r="D186" s="148" t="s">
        <v>19</v>
      </c>
      <c r="E186" s="149"/>
      <c r="F186" s="76">
        <f>0.13*F160</f>
        <v>0.26</v>
      </c>
      <c r="G186" s="453"/>
      <c r="H186" s="454"/>
      <c r="I186" s="454"/>
      <c r="J186" s="454"/>
      <c r="K186" s="454"/>
      <c r="L186" s="454"/>
      <c r="M186" s="455"/>
    </row>
    <row r="187" spans="1:13" ht="15.75">
      <c r="A187" s="520"/>
      <c r="B187" s="427"/>
      <c r="C187" s="459"/>
      <c r="D187" s="148" t="s">
        <v>21</v>
      </c>
      <c r="E187" s="149"/>
      <c r="F187" s="76">
        <f>0.013*F160</f>
        <v>2.5999999999999999E-2</v>
      </c>
      <c r="G187" s="453"/>
      <c r="H187" s="454"/>
      <c r="I187" s="454"/>
      <c r="J187" s="454"/>
      <c r="K187" s="454"/>
      <c r="L187" s="454"/>
      <c r="M187" s="455"/>
    </row>
    <row r="188" spans="1:13" ht="63">
      <c r="A188" s="520"/>
      <c r="B188" s="427"/>
      <c r="C188" s="74" t="s">
        <v>269</v>
      </c>
      <c r="D188" s="427" t="s">
        <v>14</v>
      </c>
      <c r="E188" s="149"/>
      <c r="F188" s="76">
        <f>4*F160</f>
        <v>8</v>
      </c>
      <c r="G188" s="453"/>
      <c r="H188" s="454"/>
      <c r="I188" s="454"/>
      <c r="J188" s="454"/>
      <c r="K188" s="454"/>
      <c r="L188" s="454"/>
      <c r="M188" s="455"/>
    </row>
    <row r="189" spans="1:13" ht="31.5">
      <c r="A189" s="520"/>
      <c r="B189" s="427"/>
      <c r="C189" s="69" t="s">
        <v>270</v>
      </c>
      <c r="D189" s="68" t="s">
        <v>21</v>
      </c>
      <c r="E189" s="149"/>
      <c r="F189" s="141">
        <f>F183+F185+F187</f>
        <v>0.4020760000000001</v>
      </c>
      <c r="G189" s="456"/>
      <c r="H189" s="457"/>
      <c r="I189" s="457"/>
      <c r="J189" s="457"/>
      <c r="K189" s="457"/>
      <c r="L189" s="457"/>
      <c r="M189" s="458"/>
    </row>
    <row r="190" spans="1:13" ht="27">
      <c r="A190" s="520"/>
      <c r="B190" s="427"/>
      <c r="C190" s="74" t="s">
        <v>26</v>
      </c>
      <c r="D190" s="427" t="s">
        <v>28</v>
      </c>
      <c r="E190" s="147">
        <v>5.78</v>
      </c>
      <c r="F190" s="76">
        <f>F189*E190</f>
        <v>2.3239992800000007</v>
      </c>
      <c r="G190" s="72"/>
      <c r="H190" s="72"/>
      <c r="I190" s="72"/>
      <c r="J190" s="72"/>
      <c r="K190" s="72"/>
      <c r="L190" s="72"/>
      <c r="M190" s="72"/>
    </row>
    <row r="191" spans="1:13" ht="27">
      <c r="A191" s="520"/>
      <c r="B191" s="273" t="s">
        <v>185</v>
      </c>
      <c r="C191" s="74" t="s">
        <v>186</v>
      </c>
      <c r="D191" s="427" t="s">
        <v>29</v>
      </c>
      <c r="E191" s="147">
        <v>0.74</v>
      </c>
      <c r="F191" s="76">
        <f>F189*E191</f>
        <v>0.29753624000000006</v>
      </c>
      <c r="G191" s="72"/>
      <c r="H191" s="72"/>
      <c r="I191" s="72"/>
      <c r="J191" s="72"/>
      <c r="K191" s="72"/>
      <c r="L191" s="72"/>
      <c r="M191" s="72"/>
    </row>
    <row r="192" spans="1:13" ht="27">
      <c r="A192" s="520"/>
      <c r="B192" s="273" t="s">
        <v>251</v>
      </c>
      <c r="C192" s="74" t="s">
        <v>187</v>
      </c>
      <c r="D192" s="427" t="s">
        <v>29</v>
      </c>
      <c r="E192" s="147">
        <v>0.95</v>
      </c>
      <c r="F192" s="76">
        <f>F189*E192</f>
        <v>0.38197220000000009</v>
      </c>
      <c r="G192" s="72"/>
      <c r="H192" s="72"/>
      <c r="I192" s="72"/>
      <c r="J192" s="72"/>
      <c r="K192" s="72"/>
      <c r="L192" s="72"/>
      <c r="M192" s="72"/>
    </row>
    <row r="193" spans="1:13" ht="15.75">
      <c r="A193" s="520"/>
      <c r="B193" s="427"/>
      <c r="C193" s="74" t="s">
        <v>27</v>
      </c>
      <c r="D193" s="427" t="s">
        <v>24</v>
      </c>
      <c r="E193" s="147">
        <v>1.17</v>
      </c>
      <c r="F193" s="76">
        <f>F189*E193</f>
        <v>0.47042892000000008</v>
      </c>
      <c r="G193" s="72"/>
      <c r="H193" s="72"/>
      <c r="I193" s="72"/>
      <c r="J193" s="72"/>
      <c r="K193" s="72"/>
      <c r="L193" s="72"/>
      <c r="M193" s="72"/>
    </row>
    <row r="194" spans="1:13" ht="31.5">
      <c r="A194" s="520"/>
      <c r="B194" s="427"/>
      <c r="C194" s="401" t="s">
        <v>163</v>
      </c>
      <c r="D194" s="427" t="s">
        <v>21</v>
      </c>
      <c r="E194" s="147"/>
      <c r="F194" s="76">
        <f>F183</f>
        <v>0.35607600000000006</v>
      </c>
      <c r="G194" s="72"/>
      <c r="H194" s="72"/>
      <c r="I194" s="72"/>
      <c r="J194" s="72"/>
      <c r="K194" s="72"/>
      <c r="L194" s="72"/>
      <c r="M194" s="72"/>
    </row>
    <row r="195" spans="1:13" ht="31.5">
      <c r="A195" s="520"/>
      <c r="B195" s="427"/>
      <c r="C195" s="151" t="s">
        <v>164</v>
      </c>
      <c r="D195" s="427" t="s">
        <v>21</v>
      </c>
      <c r="E195" s="147"/>
      <c r="F195" s="76">
        <f>F185</f>
        <v>0.02</v>
      </c>
      <c r="G195" s="72"/>
      <c r="H195" s="72"/>
      <c r="I195" s="72"/>
      <c r="J195" s="72"/>
      <c r="K195" s="72"/>
      <c r="L195" s="72"/>
      <c r="M195" s="72"/>
    </row>
    <row r="196" spans="1:13" ht="31.5">
      <c r="A196" s="520"/>
      <c r="B196" s="427"/>
      <c r="C196" s="151" t="s">
        <v>165</v>
      </c>
      <c r="D196" s="427" t="s">
        <v>21</v>
      </c>
      <c r="E196" s="147"/>
      <c r="F196" s="76">
        <f>F187</f>
        <v>2.5999999999999999E-2</v>
      </c>
      <c r="G196" s="72"/>
      <c r="H196" s="72"/>
      <c r="I196" s="72"/>
      <c r="J196" s="72"/>
      <c r="K196" s="72"/>
      <c r="L196" s="72"/>
      <c r="M196" s="72"/>
    </row>
    <row r="197" spans="1:13" ht="63">
      <c r="A197" s="520"/>
      <c r="B197" s="427"/>
      <c r="C197" s="74" t="s">
        <v>269</v>
      </c>
      <c r="D197" s="427" t="s">
        <v>14</v>
      </c>
      <c r="E197" s="147"/>
      <c r="F197" s="76">
        <f>F188</f>
        <v>8</v>
      </c>
      <c r="G197" s="72"/>
      <c r="H197" s="72"/>
      <c r="I197" s="72"/>
      <c r="J197" s="72"/>
      <c r="K197" s="72"/>
      <c r="L197" s="72"/>
      <c r="M197" s="72"/>
    </row>
    <row r="198" spans="1:13" ht="15.75">
      <c r="A198" s="520"/>
      <c r="B198" s="427"/>
      <c r="C198" s="77" t="s">
        <v>54</v>
      </c>
      <c r="D198" s="427" t="s">
        <v>20</v>
      </c>
      <c r="E198" s="147"/>
      <c r="F198" s="76">
        <f>3*F160</f>
        <v>6</v>
      </c>
      <c r="G198" s="72"/>
      <c r="H198" s="72"/>
      <c r="I198" s="72"/>
      <c r="J198" s="72"/>
      <c r="K198" s="72"/>
      <c r="L198" s="72"/>
      <c r="M198" s="72"/>
    </row>
    <row r="199" spans="1:13" ht="15.75">
      <c r="A199" s="520"/>
      <c r="B199" s="427"/>
      <c r="C199" s="77" t="s">
        <v>252</v>
      </c>
      <c r="D199" s="427" t="s">
        <v>20</v>
      </c>
      <c r="E199" s="147">
        <v>4</v>
      </c>
      <c r="F199" s="76">
        <f>F189*E199</f>
        <v>1.6083040000000004</v>
      </c>
      <c r="G199" s="72"/>
      <c r="H199" s="72"/>
      <c r="I199" s="72"/>
      <c r="J199" s="72"/>
      <c r="K199" s="72"/>
      <c r="L199" s="72"/>
      <c r="M199" s="72"/>
    </row>
    <row r="200" spans="1:13" ht="15.75">
      <c r="A200" s="521"/>
      <c r="B200" s="427"/>
      <c r="C200" s="74" t="s">
        <v>34</v>
      </c>
      <c r="D200" s="427" t="s">
        <v>24</v>
      </c>
      <c r="E200" s="147">
        <v>2.78</v>
      </c>
      <c r="F200" s="76">
        <f>F189*E200</f>
        <v>1.1177712800000001</v>
      </c>
      <c r="G200" s="72"/>
      <c r="H200" s="72"/>
      <c r="I200" s="72"/>
      <c r="J200" s="72"/>
      <c r="K200" s="72"/>
      <c r="L200" s="72"/>
      <c r="M200" s="72"/>
    </row>
    <row r="201" spans="1:13" ht="78.75">
      <c r="A201" s="519" t="s">
        <v>253</v>
      </c>
      <c r="B201" s="21" t="s">
        <v>92</v>
      </c>
      <c r="C201" s="428" t="s">
        <v>166</v>
      </c>
      <c r="D201" s="427" t="s">
        <v>19</v>
      </c>
      <c r="E201" s="147"/>
      <c r="F201" s="71">
        <f>0.15*4*F182/E182+F184+F186</f>
        <v>7.5</v>
      </c>
      <c r="G201" s="72"/>
      <c r="H201" s="72"/>
      <c r="I201" s="72"/>
      <c r="J201" s="72"/>
      <c r="K201" s="72"/>
      <c r="L201" s="72"/>
      <c r="M201" s="72"/>
    </row>
    <row r="202" spans="1:13" ht="27">
      <c r="A202" s="520"/>
      <c r="B202" s="427"/>
      <c r="C202" s="152" t="s">
        <v>26</v>
      </c>
      <c r="D202" s="106" t="s">
        <v>28</v>
      </c>
      <c r="E202" s="278">
        <f>68*0.01</f>
        <v>0.68</v>
      </c>
      <c r="F202" s="153">
        <f>F201*E202</f>
        <v>5.1000000000000005</v>
      </c>
      <c r="G202" s="61"/>
      <c r="H202" s="61"/>
      <c r="I202" s="61"/>
      <c r="J202" s="61"/>
      <c r="K202" s="61"/>
      <c r="L202" s="61"/>
      <c r="M202" s="61"/>
    </row>
    <row r="203" spans="1:13" ht="15.75">
      <c r="A203" s="520"/>
      <c r="B203" s="427"/>
      <c r="C203" s="81" t="s">
        <v>27</v>
      </c>
      <c r="D203" s="271" t="s">
        <v>24</v>
      </c>
      <c r="E203" s="53">
        <f>0.03*0.01</f>
        <v>2.9999999999999997E-4</v>
      </c>
      <c r="F203" s="154">
        <f>F201*E203</f>
        <v>2.2499999999999998E-3</v>
      </c>
      <c r="G203" s="61"/>
      <c r="H203" s="61"/>
      <c r="I203" s="61"/>
      <c r="J203" s="61"/>
      <c r="K203" s="61"/>
      <c r="L203" s="61"/>
      <c r="M203" s="61"/>
    </row>
    <row r="204" spans="1:13" ht="15.75">
      <c r="A204" s="520"/>
      <c r="B204" s="427"/>
      <c r="C204" s="81" t="s">
        <v>93</v>
      </c>
      <c r="D204" s="186" t="s">
        <v>64</v>
      </c>
      <c r="E204" s="82">
        <v>0.35</v>
      </c>
      <c r="F204" s="82">
        <f>E204*F201</f>
        <v>2.625</v>
      </c>
      <c r="G204" s="61"/>
      <c r="H204" s="61"/>
      <c r="I204" s="61"/>
      <c r="J204" s="61"/>
      <c r="K204" s="61"/>
      <c r="L204" s="61"/>
      <c r="M204" s="61"/>
    </row>
    <row r="205" spans="1:13" ht="15.75">
      <c r="A205" s="520"/>
      <c r="B205" s="470"/>
      <c r="C205" s="112" t="s">
        <v>193</v>
      </c>
      <c r="D205" s="471" t="s">
        <v>20</v>
      </c>
      <c r="E205" s="34">
        <f>2.7*0.01</f>
        <v>2.7000000000000003E-2</v>
      </c>
      <c r="F205" s="57">
        <f>E205*F201</f>
        <v>0.20250000000000001</v>
      </c>
      <c r="G205" s="72"/>
      <c r="H205" s="72"/>
      <c r="I205" s="72"/>
      <c r="J205" s="72"/>
      <c r="K205" s="72"/>
      <c r="L205" s="72"/>
      <c r="M205" s="72"/>
    </row>
    <row r="206" spans="1:13" ht="15.75">
      <c r="A206" s="521"/>
      <c r="B206" s="427"/>
      <c r="C206" s="81" t="s">
        <v>34</v>
      </c>
      <c r="D206" s="271" t="s">
        <v>24</v>
      </c>
      <c r="E206" s="53">
        <v>1.9E-3</v>
      </c>
      <c r="F206" s="154">
        <f>F201*E206</f>
        <v>1.4250000000000001E-2</v>
      </c>
      <c r="G206" s="61"/>
      <c r="H206" s="61"/>
      <c r="I206" s="61"/>
      <c r="J206" s="61"/>
      <c r="K206" s="61"/>
      <c r="L206" s="61"/>
      <c r="M206" s="61"/>
    </row>
    <row r="207" spans="1:13" ht="15.75">
      <c r="A207" s="430"/>
      <c r="B207" s="167"/>
      <c r="C207" s="146"/>
      <c r="D207" s="103"/>
      <c r="E207" s="41"/>
      <c r="F207" s="109"/>
      <c r="G207" s="67"/>
      <c r="H207" s="67"/>
      <c r="I207" s="67"/>
      <c r="J207" s="67"/>
      <c r="K207" s="67"/>
      <c r="L207" s="67"/>
      <c r="M207" s="67"/>
    </row>
    <row r="208" spans="1:13" ht="141.75">
      <c r="A208" s="518" t="s">
        <v>258</v>
      </c>
      <c r="B208" s="225" t="s">
        <v>124</v>
      </c>
      <c r="C208" s="156" t="s">
        <v>259</v>
      </c>
      <c r="D208" s="273" t="s">
        <v>60</v>
      </c>
      <c r="E208" s="57"/>
      <c r="F208" s="190">
        <v>7</v>
      </c>
      <c r="G208" s="67"/>
      <c r="H208" s="67"/>
      <c r="I208" s="61"/>
      <c r="J208" s="67"/>
      <c r="K208" s="67"/>
      <c r="L208" s="67"/>
      <c r="M208" s="67"/>
    </row>
    <row r="209" spans="1:15" ht="27">
      <c r="A209" s="518"/>
      <c r="B209" s="287"/>
      <c r="C209" s="197" t="s">
        <v>32</v>
      </c>
      <c r="D209" s="94" t="s">
        <v>28</v>
      </c>
      <c r="E209" s="388">
        <v>0.6</v>
      </c>
      <c r="F209" s="209">
        <f>F208*E209</f>
        <v>4.2</v>
      </c>
      <c r="G209" s="116"/>
      <c r="H209" s="67"/>
      <c r="I209" s="116"/>
      <c r="J209" s="67"/>
      <c r="K209" s="67"/>
      <c r="L209" s="67"/>
      <c r="M209" s="67"/>
    </row>
    <row r="210" spans="1:15" ht="47.25">
      <c r="A210" s="518"/>
      <c r="B210" s="402" t="s">
        <v>105</v>
      </c>
      <c r="C210" s="381" t="s">
        <v>61</v>
      </c>
      <c r="D210" s="273" t="s">
        <v>21</v>
      </c>
      <c r="E210" s="388"/>
      <c r="F210" s="131">
        <f>F208*1.65</f>
        <v>11.549999999999999</v>
      </c>
      <c r="G210" s="116"/>
      <c r="H210" s="61"/>
      <c r="I210" s="116"/>
      <c r="J210" s="61"/>
      <c r="K210" s="116"/>
      <c r="L210" s="61"/>
      <c r="M210" s="61"/>
    </row>
    <row r="211" spans="1:15" ht="27">
      <c r="A211" s="518"/>
      <c r="B211" s="244"/>
      <c r="C211" s="201" t="s">
        <v>35</v>
      </c>
      <c r="D211" s="94" t="s">
        <v>28</v>
      </c>
      <c r="E211" s="388">
        <v>0.53</v>
      </c>
      <c r="F211" s="209">
        <f>F210*E211</f>
        <v>6.1215000000000002</v>
      </c>
      <c r="G211" s="116"/>
      <c r="H211" s="61"/>
      <c r="I211" s="116"/>
      <c r="J211" s="61"/>
      <c r="K211" s="116"/>
      <c r="L211" s="61"/>
      <c r="M211" s="61"/>
    </row>
    <row r="212" spans="1:15" ht="31.5">
      <c r="A212" s="518"/>
      <c r="B212" s="285" t="s">
        <v>37</v>
      </c>
      <c r="C212" s="199" t="s">
        <v>200</v>
      </c>
      <c r="D212" s="285" t="s">
        <v>21</v>
      </c>
      <c r="E212" s="95"/>
      <c r="F212" s="131">
        <f>F208</f>
        <v>7</v>
      </c>
      <c r="G212" s="116"/>
      <c r="H212" s="67"/>
      <c r="I212" s="116"/>
      <c r="J212" s="67"/>
      <c r="K212" s="116"/>
      <c r="L212" s="67"/>
      <c r="M212" s="67"/>
      <c r="N212" s="173"/>
    </row>
    <row r="213" spans="1:15" s="30" customFormat="1" ht="15.75">
      <c r="A213" s="312"/>
      <c r="B213" s="268"/>
      <c r="C213" s="199"/>
      <c r="D213" s="268"/>
      <c r="E213" s="95"/>
      <c r="F213" s="131"/>
      <c r="G213" s="116"/>
      <c r="H213" s="67"/>
      <c r="I213" s="116"/>
      <c r="J213" s="67"/>
      <c r="K213" s="116"/>
      <c r="L213" s="67"/>
      <c r="M213" s="67"/>
      <c r="N213" s="310"/>
      <c r="O213" s="311"/>
    </row>
    <row r="214" spans="1:15" s="30" customFormat="1" ht="31.5">
      <c r="A214" s="224"/>
      <c r="B214" s="91"/>
      <c r="C214" s="198" t="s">
        <v>167</v>
      </c>
      <c r="D214" s="91"/>
      <c r="E214" s="93"/>
      <c r="F214" s="191"/>
      <c r="G214" s="316"/>
      <c r="H214" s="316"/>
      <c r="I214" s="316"/>
      <c r="J214" s="316"/>
      <c r="K214" s="316"/>
      <c r="L214" s="316"/>
      <c r="M214" s="316"/>
      <c r="N214" s="310">
        <f>H214+J214+L214</f>
        <v>0</v>
      </c>
      <c r="O214" s="311"/>
    </row>
    <row r="215" spans="1:15" s="30" customFormat="1" ht="31.5">
      <c r="A215" s="268"/>
      <c r="B215" s="169"/>
      <c r="C215" s="202" t="s">
        <v>170</v>
      </c>
      <c r="D215" s="169"/>
      <c r="E215" s="170"/>
      <c r="F215" s="403" t="s">
        <v>287</v>
      </c>
      <c r="G215" s="211"/>
      <c r="H215" s="211"/>
      <c r="I215" s="211"/>
      <c r="J215" s="211"/>
      <c r="K215" s="211"/>
      <c r="L215" s="211"/>
      <c r="M215" s="210"/>
      <c r="N215" s="310"/>
      <c r="O215" s="311"/>
    </row>
    <row r="216" spans="1:15" s="30" customFormat="1" ht="15.75">
      <c r="A216" s="268"/>
      <c r="B216" s="169"/>
      <c r="C216" s="203" t="s">
        <v>48</v>
      </c>
      <c r="D216" s="169"/>
      <c r="E216" s="170"/>
      <c r="F216" s="212"/>
      <c r="G216" s="211"/>
      <c r="H216" s="211"/>
      <c r="I216" s="211"/>
      <c r="J216" s="211"/>
      <c r="K216" s="211"/>
      <c r="L216" s="211"/>
      <c r="M216" s="210"/>
      <c r="N216" s="310"/>
      <c r="O216" s="311"/>
    </row>
    <row r="217" spans="1:15" s="30" customFormat="1" ht="15.75">
      <c r="A217" s="222"/>
      <c r="B217" s="101"/>
      <c r="C217" s="204" t="s">
        <v>51</v>
      </c>
      <c r="D217" s="9"/>
      <c r="E217" s="98"/>
      <c r="F217" s="404" t="s">
        <v>287</v>
      </c>
      <c r="G217" s="213"/>
      <c r="H217" s="213"/>
      <c r="I217" s="213"/>
      <c r="J217" s="213"/>
      <c r="K217" s="213"/>
      <c r="L217" s="213"/>
      <c r="M217" s="213"/>
      <c r="N217" s="310"/>
      <c r="O217" s="311"/>
    </row>
    <row r="218" spans="1:15" s="30" customFormat="1" ht="15.75">
      <c r="A218" s="223"/>
      <c r="B218" s="102"/>
      <c r="C218" s="203" t="s">
        <v>48</v>
      </c>
      <c r="D218" s="10"/>
      <c r="E218" s="49"/>
      <c r="F218" s="214"/>
      <c r="G218" s="215"/>
      <c r="H218" s="215"/>
      <c r="I218" s="215"/>
      <c r="J218" s="215"/>
      <c r="K218" s="215"/>
      <c r="L218" s="215"/>
      <c r="M218" s="215"/>
      <c r="N218" s="310"/>
      <c r="O218" s="311"/>
    </row>
    <row r="219" spans="1:15" s="30" customFormat="1" ht="15.75">
      <c r="A219" s="223"/>
      <c r="B219" s="102"/>
      <c r="C219" s="205" t="s">
        <v>40</v>
      </c>
      <c r="D219" s="10"/>
      <c r="E219" s="49"/>
      <c r="F219" s="405" t="s">
        <v>287</v>
      </c>
      <c r="G219" s="215"/>
      <c r="H219" s="215"/>
      <c r="I219" s="215"/>
      <c r="J219" s="215"/>
      <c r="K219" s="215"/>
      <c r="L219" s="215"/>
      <c r="M219" s="215"/>
      <c r="N219" s="310"/>
      <c r="O219" s="311"/>
    </row>
    <row r="220" spans="1:15" s="30" customFormat="1" ht="31.5">
      <c r="A220" s="317"/>
      <c r="B220" s="318"/>
      <c r="C220" s="198" t="s">
        <v>173</v>
      </c>
      <c r="D220" s="320"/>
      <c r="E220" s="321"/>
      <c r="F220" s="322"/>
      <c r="G220" s="323"/>
      <c r="H220" s="323"/>
      <c r="I220" s="323"/>
      <c r="J220" s="323"/>
      <c r="K220" s="323"/>
      <c r="L220" s="323"/>
      <c r="M220" s="216"/>
      <c r="N220" s="310"/>
      <c r="O220" s="311"/>
    </row>
    <row r="221" spans="1:15" s="30" customFormat="1" ht="31.5">
      <c r="A221" s="223"/>
      <c r="B221" s="102"/>
      <c r="C221" s="205" t="s">
        <v>12</v>
      </c>
      <c r="D221" s="10"/>
      <c r="E221" s="49"/>
      <c r="F221" s="217" t="s">
        <v>89</v>
      </c>
      <c r="G221" s="215"/>
      <c r="H221" s="215"/>
      <c r="I221" s="215"/>
      <c r="J221" s="215"/>
      <c r="K221" s="215"/>
      <c r="L221" s="215"/>
      <c r="M221" s="215"/>
      <c r="N221" s="310"/>
      <c r="O221" s="311"/>
    </row>
    <row r="222" spans="1:15" s="30" customFormat="1" ht="15.75">
      <c r="A222" s="223"/>
      <c r="B222" s="102"/>
      <c r="C222" s="203" t="s">
        <v>48</v>
      </c>
      <c r="D222" s="10"/>
      <c r="E222" s="49"/>
      <c r="F222" s="218"/>
      <c r="G222" s="215"/>
      <c r="H222" s="215"/>
      <c r="I222" s="215"/>
      <c r="J222" s="215"/>
      <c r="K222" s="215"/>
      <c r="L222" s="215"/>
      <c r="M222" s="215"/>
      <c r="N222" s="310"/>
      <c r="O222" s="311"/>
    </row>
    <row r="223" spans="1:15" s="30" customFormat="1" ht="31.5">
      <c r="A223" s="223"/>
      <c r="B223" s="102"/>
      <c r="C223" s="324" t="s">
        <v>203</v>
      </c>
      <c r="D223" s="10"/>
      <c r="E223" s="49"/>
      <c r="F223" s="313">
        <v>0.02</v>
      </c>
      <c r="G223" s="215"/>
      <c r="H223" s="215"/>
      <c r="I223" s="215"/>
      <c r="J223" s="215"/>
      <c r="K223" s="215"/>
      <c r="L223" s="215"/>
      <c r="M223" s="215"/>
      <c r="N223" s="310"/>
      <c r="O223" s="311"/>
    </row>
    <row r="224" spans="1:15" s="30" customFormat="1" ht="15.75">
      <c r="A224" s="223"/>
      <c r="B224" s="102"/>
      <c r="C224" s="203" t="s">
        <v>48</v>
      </c>
      <c r="D224" s="10"/>
      <c r="E224" s="49"/>
      <c r="F224" s="218"/>
      <c r="G224" s="215"/>
      <c r="H224" s="215"/>
      <c r="I224" s="215"/>
      <c r="J224" s="215"/>
      <c r="K224" s="215"/>
      <c r="L224" s="215"/>
      <c r="M224" s="215"/>
      <c r="N224" s="310"/>
      <c r="O224" s="311"/>
    </row>
    <row r="225" spans="1:15" s="30" customFormat="1" ht="15.75">
      <c r="A225" s="223"/>
      <c r="B225" s="102"/>
      <c r="C225" s="205" t="s">
        <v>13</v>
      </c>
      <c r="D225" s="10"/>
      <c r="E225" s="49"/>
      <c r="F225" s="217" t="s">
        <v>90</v>
      </c>
      <c r="G225" s="215"/>
      <c r="H225" s="215"/>
      <c r="I225" s="215"/>
      <c r="J225" s="215"/>
      <c r="K225" s="215"/>
      <c r="L225" s="215"/>
      <c r="M225" s="215"/>
      <c r="N225" s="310"/>
      <c r="O225" s="311"/>
    </row>
    <row r="226" spans="1:15" s="30" customFormat="1" ht="31.5">
      <c r="A226" s="224"/>
      <c r="B226" s="91"/>
      <c r="C226" s="198" t="s">
        <v>173</v>
      </c>
      <c r="D226" s="91"/>
      <c r="E226" s="93"/>
      <c r="F226" s="191"/>
      <c r="G226" s="316"/>
      <c r="H226" s="316"/>
      <c r="I226" s="316"/>
      <c r="J226" s="316"/>
      <c r="K226" s="316"/>
      <c r="L226" s="316"/>
      <c r="M226" s="219"/>
      <c r="N226" s="310"/>
      <c r="O226" s="311"/>
    </row>
    <row r="227" spans="1:15" s="30" customFormat="1" ht="15.75">
      <c r="A227" s="306"/>
      <c r="B227" s="307"/>
      <c r="C227" s="308"/>
      <c r="D227" s="307"/>
      <c r="E227" s="305"/>
      <c r="F227" s="309"/>
      <c r="G227" s="251"/>
      <c r="H227" s="252"/>
      <c r="I227" s="251"/>
      <c r="J227" s="252"/>
      <c r="K227" s="251"/>
      <c r="L227" s="252"/>
      <c r="M227" s="252"/>
      <c r="N227" s="310"/>
      <c r="O227" s="311"/>
    </row>
    <row r="228" spans="1:15">
      <c r="B228" s="11"/>
      <c r="C228" s="254"/>
      <c r="D228" s="23"/>
      <c r="E228" s="55"/>
    </row>
    <row r="229" spans="1:15" ht="15.75">
      <c r="B229" s="11"/>
      <c r="C229" s="51"/>
      <c r="D229" s="99"/>
      <c r="E229" s="37"/>
      <c r="F229" s="7"/>
      <c r="G229" s="22"/>
      <c r="H229" s="22"/>
      <c r="I229" s="242"/>
      <c r="J229" s="242"/>
    </row>
    <row r="230" spans="1:15">
      <c r="B230" s="11"/>
      <c r="C230" s="24"/>
      <c r="D230" s="26"/>
      <c r="E230" s="38"/>
    </row>
    <row r="231" spans="1:15">
      <c r="B231" s="25"/>
      <c r="C231" s="248"/>
      <c r="D231" s="248"/>
      <c r="E231" s="248"/>
    </row>
  </sheetData>
  <mergeCells count="44">
    <mergeCell ref="B182:B183"/>
    <mergeCell ref="C182:C183"/>
    <mergeCell ref="A201:A206"/>
    <mergeCell ref="A163:A167"/>
    <mergeCell ref="A168:A172"/>
    <mergeCell ref="A173:A180"/>
    <mergeCell ref="A181:A200"/>
    <mergeCell ref="C105:C106"/>
    <mergeCell ref="A161:A162"/>
    <mergeCell ref="A1:M1"/>
    <mergeCell ref="A3:M3"/>
    <mergeCell ref="A5:M5"/>
    <mergeCell ref="A8:A9"/>
    <mergeCell ref="B8:B9"/>
    <mergeCell ref="C8:C9"/>
    <mergeCell ref="D8:D9"/>
    <mergeCell ref="E8:E9"/>
    <mergeCell ref="F8:F9"/>
    <mergeCell ref="G8:H8"/>
    <mergeCell ref="K8:L8"/>
    <mergeCell ref="M8:M9"/>
    <mergeCell ref="I8:J8"/>
    <mergeCell ref="C89:C90"/>
    <mergeCell ref="A63:A82"/>
    <mergeCell ref="A83:A88"/>
    <mergeCell ref="A89:A92"/>
    <mergeCell ref="A208:A212"/>
    <mergeCell ref="A124:A140"/>
    <mergeCell ref="A141:A146"/>
    <mergeCell ref="A147:A152"/>
    <mergeCell ref="A153:A158"/>
    <mergeCell ref="A110:A115"/>
    <mergeCell ref="A117:A122"/>
    <mergeCell ref="A105:A108"/>
    <mergeCell ref="A13:A14"/>
    <mergeCell ref="B13:B14"/>
    <mergeCell ref="A15:A17"/>
    <mergeCell ref="A18:A22"/>
    <mergeCell ref="A54:A62"/>
    <mergeCell ref="A44:A53"/>
    <mergeCell ref="A25:A26"/>
    <mergeCell ref="A30:A34"/>
    <mergeCell ref="A35:A43"/>
    <mergeCell ref="A27:A28"/>
  </mergeCells>
  <conditionalFormatting sqref="C121">
    <cfRule type="cellIs" dxfId="6" priority="5" stopIfTrue="1" operator="equal">
      <formula>8223.307275</formula>
    </cfRule>
  </conditionalFormatting>
  <conditionalFormatting sqref="D117:D118 C117 D120:D122 C122">
    <cfRule type="cellIs" dxfId="5" priority="10" stopIfTrue="1" operator="equal">
      <formula>8223.307275</formula>
    </cfRule>
  </conditionalFormatting>
  <conditionalFormatting sqref="D164">
    <cfRule type="cellIs" dxfId="4" priority="4" stopIfTrue="1" operator="equal">
      <formula>8223.307275</formula>
    </cfRule>
  </conditionalFormatting>
  <conditionalFormatting sqref="D169">
    <cfRule type="cellIs" dxfId="3" priority="3" stopIfTrue="1" operator="equal">
      <formula>8223.307275</formula>
    </cfRule>
  </conditionalFormatting>
  <conditionalFormatting sqref="D174">
    <cfRule type="cellIs" dxfId="2" priority="2" stopIfTrue="1" operator="equal">
      <formula>8223.307275</formula>
    </cfRule>
  </conditionalFormatting>
  <conditionalFormatting sqref="D162">
    <cfRule type="cellIs" dxfId="1" priority="1" stopIfTrue="1" operator="equal">
      <formula>8223.307275</formula>
    </cfRule>
  </conditionalFormatting>
  <pageMargins left="0.6692913385826772" right="0.12" top="0.54" bottom="0.47244094488188981" header="0.31496062992125984" footer="0.31496062992125984"/>
  <pageSetup paperSize="9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89"/>
  <sheetViews>
    <sheetView topLeftCell="A58" zoomScale="80" zoomScaleNormal="80" workbookViewId="0">
      <selection activeCell="F37" sqref="F37"/>
    </sheetView>
  </sheetViews>
  <sheetFormatPr defaultColWidth="8.85546875" defaultRowHeight="15.75"/>
  <cols>
    <col min="1" max="1" width="5.85546875" style="11" customWidth="1"/>
    <col min="2" max="2" width="9.85546875" style="11" customWidth="1"/>
    <col min="3" max="3" width="31.140625" style="20" customWidth="1"/>
    <col min="4" max="4" width="7.140625" style="11" customWidth="1"/>
    <col min="5" max="5" width="8.42578125" style="32" customWidth="1"/>
    <col min="6" max="6" width="9.85546875" style="241" bestFit="1" customWidth="1"/>
    <col min="7" max="7" width="9" style="22" customWidth="1"/>
    <col min="8" max="8" width="9.85546875" style="22" customWidth="1"/>
    <col min="9" max="9" width="7" style="22" customWidth="1"/>
    <col min="10" max="10" width="10.140625" style="22" customWidth="1"/>
    <col min="11" max="11" width="7.28515625" style="22" customWidth="1"/>
    <col min="12" max="12" width="11" style="22" customWidth="1"/>
    <col min="13" max="13" width="11.5703125" style="22" customWidth="1"/>
    <col min="14" max="14" width="36.7109375" style="5" customWidth="1"/>
    <col min="15" max="15" width="23" style="5" customWidth="1"/>
    <col min="16" max="16384" width="8.85546875" style="5"/>
  </cols>
  <sheetData>
    <row r="1" spans="1:14" ht="46.9" customHeight="1">
      <c r="A1" s="494" t="str">
        <f>krebsiti!A3</f>
        <v xml:space="preserve">q.dmanisSi Wuberis q.III Cixi #4a-s mimdebared sportuli moednis mowyobis samuSaoebi 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35"/>
    </row>
    <row r="2" spans="1:14">
      <c r="A2" s="20"/>
      <c r="B2" s="20"/>
      <c r="C2" s="195"/>
      <c r="D2" s="195"/>
      <c r="E2" s="463"/>
      <c r="F2" s="233"/>
      <c r="G2" s="207"/>
      <c r="H2" s="207"/>
      <c r="I2" s="207"/>
      <c r="J2" s="207"/>
      <c r="K2" s="207"/>
      <c r="L2" s="207"/>
      <c r="M2" s="207"/>
    </row>
    <row r="3" spans="1:14">
      <c r="A3" s="494" t="s">
        <v>55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4" spans="1:14">
      <c r="A4" s="20"/>
      <c r="B4" s="20"/>
      <c r="C4" s="195"/>
      <c r="D4" s="195"/>
      <c r="E4" s="463"/>
      <c r="F4" s="233"/>
      <c r="G4" s="207"/>
      <c r="H4" s="207"/>
      <c r="I4" s="207"/>
      <c r="J4" s="207"/>
      <c r="K4" s="207"/>
      <c r="L4" s="207"/>
      <c r="M4" s="207"/>
    </row>
    <row r="5" spans="1:14">
      <c r="A5" s="494" t="s">
        <v>119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</row>
    <row r="6" spans="1:14">
      <c r="A6" s="6"/>
      <c r="B6" s="6"/>
      <c r="C6" s="14"/>
      <c r="D6" s="6"/>
      <c r="E6" s="33"/>
      <c r="F6" s="234"/>
      <c r="G6" s="17"/>
      <c r="H6" s="17"/>
      <c r="I6" s="17"/>
      <c r="J6" s="17"/>
      <c r="K6" s="17"/>
      <c r="L6" s="17"/>
      <c r="M6" s="17"/>
    </row>
    <row r="7" spans="1:14" ht="43.15" customHeight="1">
      <c r="A7" s="528" t="s">
        <v>0</v>
      </c>
      <c r="B7" s="528" t="s">
        <v>1</v>
      </c>
      <c r="C7" s="530" t="s">
        <v>2</v>
      </c>
      <c r="D7" s="528" t="s">
        <v>3</v>
      </c>
      <c r="E7" s="540" t="s">
        <v>72</v>
      </c>
      <c r="F7" s="540"/>
      <c r="G7" s="497" t="s">
        <v>6</v>
      </c>
      <c r="H7" s="498"/>
      <c r="I7" s="497" t="s">
        <v>7</v>
      </c>
      <c r="J7" s="498"/>
      <c r="K7" s="497" t="s">
        <v>30</v>
      </c>
      <c r="L7" s="498"/>
      <c r="M7" s="536" t="s">
        <v>8</v>
      </c>
    </row>
    <row r="8" spans="1:14" ht="31.5">
      <c r="A8" s="529"/>
      <c r="B8" s="529"/>
      <c r="C8" s="531"/>
      <c r="D8" s="529"/>
      <c r="E8" s="467" t="s">
        <v>73</v>
      </c>
      <c r="F8" s="466" t="s">
        <v>23</v>
      </c>
      <c r="G8" s="176" t="s">
        <v>9</v>
      </c>
      <c r="H8" s="176" t="s">
        <v>10</v>
      </c>
      <c r="I8" s="176" t="s">
        <v>9</v>
      </c>
      <c r="J8" s="176" t="s">
        <v>10</v>
      </c>
      <c r="K8" s="176" t="s">
        <v>9</v>
      </c>
      <c r="L8" s="176" t="s">
        <v>10</v>
      </c>
      <c r="M8" s="537"/>
    </row>
    <row r="9" spans="1:14">
      <c r="A9" s="177">
        <v>1</v>
      </c>
      <c r="B9" s="177">
        <v>2</v>
      </c>
      <c r="C9" s="227">
        <v>3</v>
      </c>
      <c r="D9" s="177">
        <v>4</v>
      </c>
      <c r="E9" s="465">
        <v>5</v>
      </c>
      <c r="F9" s="235">
        <v>6</v>
      </c>
      <c r="G9" s="188">
        <v>7</v>
      </c>
      <c r="H9" s="235">
        <v>8</v>
      </c>
      <c r="I9" s="188">
        <v>9</v>
      </c>
      <c r="J9" s="235">
        <v>10</v>
      </c>
      <c r="K9" s="188">
        <v>11</v>
      </c>
      <c r="L9" s="235">
        <v>12</v>
      </c>
      <c r="M9" s="188">
        <v>13</v>
      </c>
    </row>
    <row r="10" spans="1:14" ht="31.5">
      <c r="A10" s="39" t="s">
        <v>175</v>
      </c>
      <c r="B10" s="369"/>
      <c r="C10" s="196" t="s">
        <v>119</v>
      </c>
      <c r="D10" s="369"/>
      <c r="E10" s="370"/>
      <c r="F10" s="371"/>
      <c r="G10" s="243"/>
      <c r="H10" s="236"/>
      <c r="I10" s="176"/>
      <c r="J10" s="236"/>
      <c r="K10" s="176"/>
      <c r="L10" s="236"/>
      <c r="M10" s="176"/>
    </row>
    <row r="11" spans="1:14" ht="31.5">
      <c r="A11" s="394"/>
      <c r="B11" s="394"/>
      <c r="C11" s="395" t="s">
        <v>206</v>
      </c>
      <c r="D11" s="394"/>
      <c r="E11" s="394"/>
      <c r="F11" s="394"/>
      <c r="G11" s="60"/>
      <c r="H11" s="67"/>
      <c r="I11" s="60"/>
      <c r="J11" s="67"/>
      <c r="K11" s="62"/>
      <c r="L11" s="67"/>
      <c r="M11" s="67"/>
    </row>
    <row r="12" spans="1:14" ht="31.5">
      <c r="A12" s="542">
        <v>1</v>
      </c>
      <c r="B12" s="326" t="s">
        <v>83</v>
      </c>
      <c r="C12" s="411" t="s">
        <v>207</v>
      </c>
      <c r="D12" s="327" t="s">
        <v>18</v>
      </c>
      <c r="E12" s="327"/>
      <c r="F12" s="391">
        <f>120*0.25*0.7</f>
        <v>21</v>
      </c>
      <c r="G12" s="60"/>
      <c r="H12" s="61"/>
      <c r="I12" s="60"/>
      <c r="J12" s="61"/>
      <c r="K12" s="62"/>
      <c r="L12" s="67"/>
      <c r="M12" s="67"/>
      <c r="N12" s="407" t="s">
        <v>261</v>
      </c>
    </row>
    <row r="13" spans="1:14" ht="31.5">
      <c r="A13" s="543"/>
      <c r="B13" s="327"/>
      <c r="C13" s="409" t="s">
        <v>69</v>
      </c>
      <c r="D13" s="327" t="s">
        <v>28</v>
      </c>
      <c r="E13" s="327">
        <v>2.06</v>
      </c>
      <c r="F13" s="63">
        <f>F12*E13</f>
        <v>43.26</v>
      </c>
      <c r="G13" s="60"/>
      <c r="H13" s="61"/>
      <c r="I13" s="60"/>
      <c r="J13" s="61"/>
      <c r="K13" s="62"/>
      <c r="L13" s="67"/>
      <c r="M13" s="67"/>
    </row>
    <row r="14" spans="1:14" ht="31.5">
      <c r="A14" s="552">
        <v>3</v>
      </c>
      <c r="B14" s="328" t="s">
        <v>83</v>
      </c>
      <c r="C14" s="412" t="s">
        <v>111</v>
      </c>
      <c r="D14" s="327" t="s">
        <v>18</v>
      </c>
      <c r="E14" s="329"/>
      <c r="F14" s="392">
        <f>(F12)*10%</f>
        <v>2.1</v>
      </c>
      <c r="G14" s="60"/>
      <c r="H14" s="61"/>
      <c r="I14" s="60"/>
      <c r="J14" s="61"/>
      <c r="K14" s="62"/>
      <c r="L14" s="67"/>
      <c r="M14" s="67"/>
    </row>
    <row r="15" spans="1:14" ht="31.5">
      <c r="A15" s="553"/>
      <c r="B15" s="330"/>
      <c r="C15" s="409" t="s">
        <v>97</v>
      </c>
      <c r="D15" s="330" t="s">
        <v>131</v>
      </c>
      <c r="E15" s="329">
        <v>2.06</v>
      </c>
      <c r="F15" s="161">
        <f>F14*E15</f>
        <v>4.3260000000000005</v>
      </c>
      <c r="G15" s="60"/>
      <c r="H15" s="61"/>
      <c r="I15" s="60"/>
      <c r="J15" s="61"/>
      <c r="K15" s="62"/>
      <c r="L15" s="67"/>
      <c r="M15" s="67"/>
    </row>
    <row r="16" spans="1:14" ht="31.5">
      <c r="A16" s="544">
        <v>4</v>
      </c>
      <c r="B16" s="331" t="s">
        <v>208</v>
      </c>
      <c r="C16" s="413" t="s">
        <v>112</v>
      </c>
      <c r="D16" s="332" t="s">
        <v>209</v>
      </c>
      <c r="E16" s="332"/>
      <c r="F16" s="393">
        <f>120*0.25*0.25</f>
        <v>7.5</v>
      </c>
      <c r="G16" s="60"/>
      <c r="H16" s="61"/>
      <c r="I16" s="60"/>
      <c r="J16" s="61"/>
      <c r="K16" s="62"/>
      <c r="L16" s="67"/>
      <c r="M16" s="67"/>
    </row>
    <row r="17" spans="1:14" ht="31.5">
      <c r="A17" s="545"/>
      <c r="B17" s="332"/>
      <c r="C17" s="414" t="s">
        <v>69</v>
      </c>
      <c r="D17" s="332" t="s">
        <v>28</v>
      </c>
      <c r="E17" s="332">
        <v>1.8</v>
      </c>
      <c r="F17" s="59">
        <f>F16*E17</f>
        <v>13.5</v>
      </c>
      <c r="G17" s="60"/>
      <c r="H17" s="61"/>
      <c r="I17" s="60"/>
      <c r="J17" s="61"/>
      <c r="K17" s="62"/>
      <c r="L17" s="67"/>
      <c r="M17" s="67"/>
    </row>
    <row r="18" spans="1:14">
      <c r="A18" s="546"/>
      <c r="B18" s="332"/>
      <c r="C18" s="414" t="s">
        <v>210</v>
      </c>
      <c r="D18" s="332" t="s">
        <v>209</v>
      </c>
      <c r="E18" s="332">
        <v>1.1000000000000001</v>
      </c>
      <c r="F18" s="59">
        <f>F16*E18</f>
        <v>8.25</v>
      </c>
      <c r="G18" s="60"/>
      <c r="H18" s="61"/>
      <c r="I18" s="60"/>
      <c r="J18" s="61"/>
      <c r="K18" s="62"/>
      <c r="L18" s="67"/>
      <c r="M18" s="67"/>
    </row>
    <row r="19" spans="1:14" ht="47.25">
      <c r="A19" s="542">
        <v>5</v>
      </c>
      <c r="B19" s="326" t="s">
        <v>211</v>
      </c>
      <c r="C19" s="408" t="s">
        <v>262</v>
      </c>
      <c r="D19" s="327" t="s">
        <v>63</v>
      </c>
      <c r="E19" s="327"/>
      <c r="F19" s="391">
        <v>120</v>
      </c>
      <c r="G19" s="60"/>
      <c r="H19" s="61"/>
      <c r="I19" s="60"/>
      <c r="J19" s="61"/>
      <c r="K19" s="62"/>
      <c r="L19" s="67"/>
      <c r="M19" s="67"/>
    </row>
    <row r="20" spans="1:14" ht="31.5">
      <c r="A20" s="543"/>
      <c r="B20" s="327"/>
      <c r="C20" s="409" t="s">
        <v>69</v>
      </c>
      <c r="D20" s="327" t="s">
        <v>28</v>
      </c>
      <c r="E20" s="327">
        <v>0.105</v>
      </c>
      <c r="F20" s="63">
        <f>F19*E20</f>
        <v>12.6</v>
      </c>
      <c r="G20" s="60"/>
      <c r="H20" s="61"/>
      <c r="I20" s="60"/>
      <c r="J20" s="61"/>
      <c r="K20" s="62"/>
      <c r="L20" s="67"/>
      <c r="M20" s="67"/>
    </row>
    <row r="21" spans="1:14">
      <c r="A21" s="543"/>
      <c r="B21" s="327"/>
      <c r="C21" s="409" t="s">
        <v>33</v>
      </c>
      <c r="D21" s="327" t="s">
        <v>24</v>
      </c>
      <c r="E21" s="327">
        <v>5.3800000000000001E-2</v>
      </c>
      <c r="F21" s="63">
        <f>F19*E21</f>
        <v>6.4560000000000004</v>
      </c>
      <c r="G21" s="60"/>
      <c r="H21" s="61"/>
      <c r="I21" s="60"/>
      <c r="J21" s="61"/>
      <c r="K21" s="62"/>
      <c r="L21" s="67"/>
      <c r="M21" s="67"/>
    </row>
    <row r="22" spans="1:14" ht="30.75">
      <c r="A22" s="543"/>
      <c r="B22" s="327"/>
      <c r="C22" s="410" t="s">
        <v>263</v>
      </c>
      <c r="D22" s="415" t="s">
        <v>264</v>
      </c>
      <c r="E22" s="327">
        <v>1.01</v>
      </c>
      <c r="F22" s="63">
        <f>F19*E22</f>
        <v>121.2</v>
      </c>
      <c r="G22" s="60"/>
      <c r="H22" s="61"/>
      <c r="I22" s="60"/>
      <c r="J22" s="61"/>
      <c r="K22" s="62"/>
      <c r="L22" s="67"/>
      <c r="M22" s="67"/>
    </row>
    <row r="23" spans="1:14">
      <c r="A23" s="547"/>
      <c r="B23" s="327"/>
      <c r="C23" s="409" t="s">
        <v>31</v>
      </c>
      <c r="D23" s="327" t="s">
        <v>24</v>
      </c>
      <c r="E23" s="327">
        <v>1.1999999999999999E-3</v>
      </c>
      <c r="F23" s="63">
        <f>F19*E23</f>
        <v>0.14399999999999999</v>
      </c>
      <c r="G23" s="60"/>
      <c r="H23" s="61"/>
      <c r="I23" s="60"/>
      <c r="J23" s="61"/>
      <c r="K23" s="62"/>
      <c r="L23" s="67"/>
      <c r="M23" s="67"/>
    </row>
    <row r="24" spans="1:14" ht="31.5">
      <c r="A24" s="548">
        <v>6</v>
      </c>
      <c r="B24" s="333" t="s">
        <v>36</v>
      </c>
      <c r="C24" s="416" t="s">
        <v>113</v>
      </c>
      <c r="D24" s="334" t="s">
        <v>71</v>
      </c>
      <c r="E24" s="334"/>
      <c r="F24" s="166">
        <v>120</v>
      </c>
      <c r="G24" s="60"/>
      <c r="H24" s="61"/>
      <c r="I24" s="60"/>
      <c r="J24" s="61"/>
      <c r="K24" s="62"/>
      <c r="L24" s="67"/>
      <c r="M24" s="67"/>
    </row>
    <row r="25" spans="1:14">
      <c r="A25" s="549"/>
      <c r="B25" s="334"/>
      <c r="C25" s="417" t="s">
        <v>69</v>
      </c>
      <c r="D25" s="334" t="s">
        <v>71</v>
      </c>
      <c r="E25" s="334">
        <v>1</v>
      </c>
      <c r="F25" s="82">
        <f>F24*E25</f>
        <v>120</v>
      </c>
      <c r="G25" s="60"/>
      <c r="H25" s="61"/>
      <c r="I25" s="60"/>
      <c r="J25" s="61"/>
      <c r="K25" s="62"/>
      <c r="L25" s="67"/>
      <c r="M25" s="67"/>
    </row>
    <row r="26" spans="1:14">
      <c r="A26" s="550"/>
      <c r="B26" s="335"/>
      <c r="C26" s="418" t="s">
        <v>212</v>
      </c>
      <c r="D26" s="335" t="s">
        <v>71</v>
      </c>
      <c r="E26" s="335"/>
      <c r="F26" s="83">
        <f>F24</f>
        <v>120</v>
      </c>
      <c r="G26" s="60"/>
      <c r="H26" s="61"/>
      <c r="I26" s="60"/>
      <c r="J26" s="61"/>
      <c r="K26" s="62"/>
      <c r="L26" s="67"/>
      <c r="M26" s="67"/>
    </row>
    <row r="27" spans="1:14" ht="31.5">
      <c r="A27" s="554">
        <v>7</v>
      </c>
      <c r="B27" s="336" t="s">
        <v>104</v>
      </c>
      <c r="C27" s="419" t="s">
        <v>274</v>
      </c>
      <c r="D27" s="337" t="s">
        <v>213</v>
      </c>
      <c r="E27" s="337"/>
      <c r="F27" s="66">
        <f>120*0.25*(0.75-0.25)</f>
        <v>15</v>
      </c>
      <c r="G27" s="60"/>
      <c r="H27" s="61"/>
      <c r="I27" s="60"/>
      <c r="J27" s="61"/>
      <c r="K27" s="62"/>
      <c r="L27" s="67"/>
      <c r="M27" s="67"/>
    </row>
    <row r="28" spans="1:14" ht="31.5">
      <c r="A28" s="555"/>
      <c r="B28" s="337"/>
      <c r="C28" s="420" t="s">
        <v>69</v>
      </c>
      <c r="D28" s="337" t="s">
        <v>28</v>
      </c>
      <c r="E28" s="337">
        <v>1.21</v>
      </c>
      <c r="F28" s="65">
        <f>F27*E28</f>
        <v>18.149999999999999</v>
      </c>
      <c r="G28" s="60"/>
      <c r="H28" s="61"/>
      <c r="I28" s="60"/>
      <c r="J28" s="61"/>
      <c r="K28" s="62"/>
      <c r="L28" s="67"/>
      <c r="M28" s="67"/>
    </row>
    <row r="29" spans="1:14" ht="47.25">
      <c r="A29" s="556">
        <v>9</v>
      </c>
      <c r="B29" s="339" t="s">
        <v>214</v>
      </c>
      <c r="C29" s="421" t="s">
        <v>215</v>
      </c>
      <c r="D29" s="340" t="s">
        <v>18</v>
      </c>
      <c r="E29" s="329"/>
      <c r="F29" s="392">
        <f>120*0.25*0.25</f>
        <v>7.5</v>
      </c>
      <c r="G29" s="60"/>
      <c r="H29" s="61"/>
      <c r="I29" s="60"/>
      <c r="J29" s="61"/>
      <c r="K29" s="62"/>
      <c r="L29" s="67"/>
      <c r="M29" s="67"/>
      <c r="N29" s="22"/>
    </row>
    <row r="30" spans="1:14">
      <c r="A30" s="557"/>
      <c r="B30" s="341"/>
      <c r="C30" s="422"/>
      <c r="D30" s="340" t="s">
        <v>80</v>
      </c>
      <c r="E30" s="329">
        <v>1.95</v>
      </c>
      <c r="F30" s="392">
        <f>F29*E30</f>
        <v>14.625</v>
      </c>
      <c r="G30" s="60"/>
      <c r="H30" s="61"/>
      <c r="I30" s="60"/>
      <c r="J30" s="61"/>
      <c r="K30" s="62"/>
      <c r="L30" s="67"/>
      <c r="M30" s="67"/>
    </row>
    <row r="31" spans="1:14" ht="31.5">
      <c r="A31" s="558"/>
      <c r="B31" s="329"/>
      <c r="C31" s="423" t="s">
        <v>69</v>
      </c>
      <c r="D31" s="329" t="s">
        <v>28</v>
      </c>
      <c r="E31" s="329">
        <v>0.53</v>
      </c>
      <c r="F31" s="161">
        <f>F30*E31</f>
        <v>7.7512500000000006</v>
      </c>
      <c r="G31" s="60"/>
      <c r="H31" s="61"/>
      <c r="I31" s="60"/>
      <c r="J31" s="61"/>
      <c r="K31" s="62"/>
      <c r="L31" s="67"/>
      <c r="M31" s="67"/>
    </row>
    <row r="32" spans="1:14" ht="31.5">
      <c r="A32" s="247">
        <v>10</v>
      </c>
      <c r="B32" s="266" t="s">
        <v>216</v>
      </c>
      <c r="C32" s="424" t="s">
        <v>234</v>
      </c>
      <c r="D32" s="334" t="s">
        <v>80</v>
      </c>
      <c r="E32" s="334"/>
      <c r="F32" s="166">
        <f>F30</f>
        <v>14.625</v>
      </c>
      <c r="G32" s="60"/>
      <c r="H32" s="61"/>
      <c r="I32" s="60"/>
      <c r="J32" s="61"/>
      <c r="K32" s="62"/>
      <c r="L32" s="67"/>
      <c r="M32" s="67"/>
    </row>
    <row r="33" spans="1:14">
      <c r="A33" s="269"/>
      <c r="B33" s="264"/>
      <c r="C33" s="237"/>
      <c r="D33" s="237"/>
      <c r="E33" s="237"/>
      <c r="F33" s="468"/>
      <c r="G33" s="60"/>
      <c r="H33" s="61"/>
      <c r="I33" s="60"/>
      <c r="J33" s="61"/>
      <c r="K33" s="62"/>
      <c r="L33" s="67"/>
      <c r="M33" s="67"/>
    </row>
    <row r="34" spans="1:14">
      <c r="A34" s="108"/>
      <c r="B34" s="16"/>
      <c r="C34" s="342" t="s">
        <v>58</v>
      </c>
      <c r="D34" s="342"/>
      <c r="E34" s="342"/>
      <c r="F34" s="133"/>
      <c r="G34" s="343"/>
      <c r="H34" s="344"/>
      <c r="I34" s="343"/>
      <c r="J34" s="344"/>
      <c r="K34" s="345"/>
      <c r="L34" s="344"/>
      <c r="M34" s="344"/>
      <c r="N34" s="22">
        <f>H34+J34+L34</f>
        <v>0</v>
      </c>
    </row>
    <row r="35" spans="1:14" ht="40.5">
      <c r="A35" s="169"/>
      <c r="B35" s="169"/>
      <c r="C35" s="171" t="s">
        <v>217</v>
      </c>
      <c r="D35" s="169"/>
      <c r="E35" s="170"/>
      <c r="F35" s="403" t="s">
        <v>287</v>
      </c>
      <c r="G35" s="211"/>
      <c r="H35" s="211"/>
      <c r="I35" s="211"/>
      <c r="J35" s="211"/>
      <c r="K35" s="211"/>
      <c r="L35" s="211"/>
      <c r="M35" s="211"/>
    </row>
    <row r="36" spans="1:14">
      <c r="A36" s="190"/>
      <c r="B36" s="169"/>
      <c r="C36" s="346"/>
      <c r="D36" s="346"/>
      <c r="E36" s="346"/>
      <c r="F36" s="56"/>
      <c r="G36" s="347"/>
      <c r="H36" s="211"/>
      <c r="I36" s="347"/>
      <c r="J36" s="211"/>
      <c r="K36" s="348"/>
      <c r="L36" s="211"/>
      <c r="M36" s="211"/>
    </row>
    <row r="37" spans="1:14" ht="16.5">
      <c r="A37" s="315"/>
      <c r="B37" s="9"/>
      <c r="C37" s="349" t="s">
        <v>51</v>
      </c>
      <c r="D37" s="9"/>
      <c r="E37" s="350"/>
      <c r="F37" s="404" t="s">
        <v>287</v>
      </c>
      <c r="G37" s="213"/>
      <c r="H37" s="213"/>
      <c r="I37" s="213"/>
      <c r="J37" s="213"/>
      <c r="K37" s="213"/>
      <c r="L37" s="213"/>
      <c r="M37" s="213"/>
    </row>
    <row r="38" spans="1:14" ht="16.5">
      <c r="A38" s="351"/>
      <c r="B38" s="352"/>
      <c r="C38" s="368" t="s">
        <v>118</v>
      </c>
      <c r="D38" s="352"/>
      <c r="E38" s="353"/>
      <c r="F38" s="353"/>
      <c r="G38" s="354"/>
      <c r="H38" s="354"/>
      <c r="I38" s="354"/>
      <c r="J38" s="354"/>
      <c r="K38" s="354"/>
      <c r="L38" s="354"/>
      <c r="M38" s="355"/>
    </row>
    <row r="39" spans="1:14">
      <c r="A39" s="269"/>
      <c r="B39" s="264"/>
      <c r="C39" s="237"/>
      <c r="D39" s="237"/>
      <c r="E39" s="237"/>
      <c r="F39" s="468"/>
      <c r="G39" s="238"/>
      <c r="H39" s="262"/>
      <c r="I39" s="238"/>
      <c r="J39" s="262"/>
      <c r="K39" s="239"/>
      <c r="L39" s="262"/>
      <c r="M39" s="262"/>
    </row>
    <row r="40" spans="1:14">
      <c r="A40" s="394"/>
      <c r="B40" s="394"/>
      <c r="C40" s="395" t="s">
        <v>218</v>
      </c>
      <c r="D40" s="394"/>
      <c r="E40" s="394"/>
      <c r="F40" s="394"/>
      <c r="G40" s="238"/>
      <c r="H40" s="262"/>
      <c r="I40" s="238"/>
      <c r="J40" s="262"/>
      <c r="K40" s="239"/>
      <c r="L40" s="262"/>
      <c r="M40" s="262"/>
    </row>
    <row r="41" spans="1:14" ht="47.25">
      <c r="A41" s="559" t="s">
        <v>106</v>
      </c>
      <c r="B41" s="84" t="s">
        <v>219</v>
      </c>
      <c r="C41" s="156" t="s">
        <v>220</v>
      </c>
      <c r="D41" s="263" t="s">
        <v>25</v>
      </c>
      <c r="E41" s="57"/>
      <c r="F41" s="58">
        <f>6*2</f>
        <v>12</v>
      </c>
      <c r="G41" s="61"/>
      <c r="H41" s="61"/>
      <c r="I41" s="61"/>
      <c r="J41" s="61"/>
      <c r="K41" s="61"/>
      <c r="L41" s="61"/>
      <c r="M41" s="61"/>
    </row>
    <row r="42" spans="1:14">
      <c r="A42" s="559"/>
      <c r="B42" s="64"/>
      <c r="C42" s="228" t="s">
        <v>120</v>
      </c>
      <c r="D42" s="64" t="s">
        <v>65</v>
      </c>
      <c r="E42" s="65">
        <v>1</v>
      </c>
      <c r="F42" s="65">
        <f>F41*E42</f>
        <v>12</v>
      </c>
      <c r="G42" s="60"/>
      <c r="H42" s="61"/>
      <c r="I42" s="60"/>
      <c r="J42" s="61"/>
      <c r="K42" s="62"/>
      <c r="L42" s="61"/>
      <c r="M42" s="61"/>
    </row>
    <row r="43" spans="1:14">
      <c r="A43" s="559"/>
      <c r="B43" s="64"/>
      <c r="C43" s="228" t="s">
        <v>27</v>
      </c>
      <c r="D43" s="64" t="s">
        <v>24</v>
      </c>
      <c r="E43" s="65">
        <v>1.1599999999999999</v>
      </c>
      <c r="F43" s="65">
        <f>F41*E43</f>
        <v>13.919999999999998</v>
      </c>
      <c r="G43" s="60"/>
      <c r="H43" s="61"/>
      <c r="I43" s="60"/>
      <c r="J43" s="61"/>
      <c r="K43" s="62"/>
      <c r="L43" s="61"/>
      <c r="M43" s="61"/>
    </row>
    <row r="44" spans="1:14" ht="31.5">
      <c r="A44" s="559"/>
      <c r="B44" s="263"/>
      <c r="C44" s="136" t="s">
        <v>239</v>
      </c>
      <c r="D44" s="263" t="s">
        <v>98</v>
      </c>
      <c r="E44" s="57"/>
      <c r="F44" s="57">
        <f>F41</f>
        <v>12</v>
      </c>
      <c r="G44" s="61"/>
      <c r="H44" s="61"/>
      <c r="I44" s="60"/>
      <c r="J44" s="61"/>
      <c r="K44" s="61"/>
      <c r="L44" s="61"/>
      <c r="M44" s="61"/>
    </row>
    <row r="45" spans="1:14">
      <c r="A45" s="559"/>
      <c r="B45" s="263"/>
      <c r="C45" s="136" t="s">
        <v>31</v>
      </c>
      <c r="D45" s="263" t="s">
        <v>24</v>
      </c>
      <c r="E45" s="57">
        <v>0.05</v>
      </c>
      <c r="F45" s="57">
        <f>F41*E45</f>
        <v>0.60000000000000009</v>
      </c>
      <c r="G45" s="61"/>
      <c r="H45" s="61"/>
      <c r="I45" s="60"/>
      <c r="J45" s="61"/>
      <c r="K45" s="61"/>
      <c r="L45" s="61"/>
      <c r="M45" s="61"/>
    </row>
    <row r="46" spans="1:14" ht="47.25">
      <c r="A46" s="501" t="s">
        <v>107</v>
      </c>
      <c r="B46" s="273" t="s">
        <v>221</v>
      </c>
      <c r="C46" s="156" t="s">
        <v>285</v>
      </c>
      <c r="D46" s="263" t="s">
        <v>66</v>
      </c>
      <c r="E46" s="57"/>
      <c r="F46" s="58">
        <f>F49+F50</f>
        <v>150</v>
      </c>
      <c r="G46" s="61"/>
      <c r="H46" s="61"/>
      <c r="I46" s="60"/>
      <c r="J46" s="61"/>
      <c r="K46" s="61"/>
      <c r="L46" s="61"/>
      <c r="M46" s="61"/>
    </row>
    <row r="47" spans="1:14">
      <c r="A47" s="517"/>
      <c r="B47" s="84"/>
      <c r="C47" s="228" t="s">
        <v>120</v>
      </c>
      <c r="D47" s="64" t="s">
        <v>65</v>
      </c>
      <c r="E47" s="65">
        <v>0.05</v>
      </c>
      <c r="F47" s="65">
        <f>F46*E47</f>
        <v>7.5</v>
      </c>
      <c r="G47" s="60"/>
      <c r="H47" s="61"/>
      <c r="I47" s="60"/>
      <c r="J47" s="61"/>
      <c r="K47" s="62"/>
      <c r="L47" s="61"/>
      <c r="M47" s="61"/>
    </row>
    <row r="48" spans="1:14">
      <c r="A48" s="517"/>
      <c r="B48" s="84"/>
      <c r="C48" s="228" t="s">
        <v>27</v>
      </c>
      <c r="D48" s="64" t="s">
        <v>24</v>
      </c>
      <c r="E48" s="65">
        <v>4.8399999999999999E-2</v>
      </c>
      <c r="F48" s="65">
        <f>F46*E48</f>
        <v>7.26</v>
      </c>
      <c r="G48" s="60"/>
      <c r="H48" s="61"/>
      <c r="I48" s="60"/>
      <c r="J48" s="61"/>
      <c r="K48" s="62"/>
      <c r="L48" s="61"/>
      <c r="M48" s="61"/>
    </row>
    <row r="49" spans="1:13">
      <c r="A49" s="517"/>
      <c r="B49" s="357"/>
      <c r="C49" s="136" t="s">
        <v>275</v>
      </c>
      <c r="D49" s="64" t="s">
        <v>11</v>
      </c>
      <c r="E49" s="85"/>
      <c r="F49" s="65">
        <v>100</v>
      </c>
      <c r="G49" s="60"/>
      <c r="H49" s="61"/>
      <c r="I49" s="60"/>
      <c r="J49" s="61"/>
      <c r="K49" s="62"/>
      <c r="L49" s="61"/>
      <c r="M49" s="61"/>
    </row>
    <row r="50" spans="1:13">
      <c r="A50" s="517"/>
      <c r="B50" s="357"/>
      <c r="C50" s="136" t="s">
        <v>235</v>
      </c>
      <c r="D50" s="64" t="s">
        <v>11</v>
      </c>
      <c r="E50" s="65">
        <v>1.02</v>
      </c>
      <c r="F50" s="65">
        <v>50</v>
      </c>
      <c r="G50" s="60"/>
      <c r="H50" s="61"/>
      <c r="I50" s="60"/>
      <c r="J50" s="61"/>
      <c r="K50" s="62"/>
      <c r="L50" s="61"/>
      <c r="M50" s="61"/>
    </row>
    <row r="51" spans="1:13">
      <c r="A51" s="502"/>
      <c r="B51" s="273"/>
      <c r="C51" s="136" t="s">
        <v>31</v>
      </c>
      <c r="D51" s="263" t="s">
        <v>24</v>
      </c>
      <c r="E51" s="57">
        <v>3.5000000000000001E-3</v>
      </c>
      <c r="F51" s="57">
        <f>F46*E51</f>
        <v>0.52500000000000002</v>
      </c>
      <c r="G51" s="61"/>
      <c r="H51" s="61"/>
      <c r="I51" s="60"/>
      <c r="J51" s="61"/>
      <c r="K51" s="61"/>
      <c r="L51" s="61"/>
      <c r="M51" s="61"/>
    </row>
    <row r="52" spans="1:13" ht="31.5">
      <c r="A52" s="510" t="s">
        <v>101</v>
      </c>
      <c r="B52" s="263" t="s">
        <v>87</v>
      </c>
      <c r="C52" s="156" t="s">
        <v>121</v>
      </c>
      <c r="D52" s="263"/>
      <c r="E52" s="34"/>
      <c r="F52" s="65">
        <v>1</v>
      </c>
      <c r="G52" s="61"/>
      <c r="H52" s="67"/>
      <c r="I52" s="60"/>
      <c r="J52" s="61"/>
      <c r="K52" s="61"/>
      <c r="L52" s="61"/>
      <c r="M52" s="61"/>
    </row>
    <row r="53" spans="1:13">
      <c r="A53" s="551"/>
      <c r="B53" s="263"/>
      <c r="C53" s="136" t="s">
        <v>35</v>
      </c>
      <c r="D53" s="263" t="s">
        <v>68</v>
      </c>
      <c r="E53" s="34">
        <v>7.05</v>
      </c>
      <c r="F53" s="57">
        <f>F52*E53</f>
        <v>7.05</v>
      </c>
      <c r="G53" s="61"/>
      <c r="H53" s="67"/>
      <c r="I53" s="61"/>
      <c r="J53" s="67"/>
      <c r="K53" s="61"/>
      <c r="L53" s="67"/>
      <c r="M53" s="67"/>
    </row>
    <row r="54" spans="1:13" ht="31.5">
      <c r="A54" s="551"/>
      <c r="B54" s="263"/>
      <c r="C54" s="136" t="s">
        <v>237</v>
      </c>
      <c r="D54" s="263" t="s">
        <v>14</v>
      </c>
      <c r="E54" s="34"/>
      <c r="F54" s="65">
        <v>6</v>
      </c>
      <c r="G54" s="61"/>
      <c r="H54" s="61"/>
      <c r="I54" s="60"/>
      <c r="J54" s="61"/>
      <c r="K54" s="61"/>
      <c r="L54" s="61"/>
      <c r="M54" s="61"/>
    </row>
    <row r="55" spans="1:13" ht="30.75">
      <c r="A55" s="551"/>
      <c r="B55" s="263"/>
      <c r="C55" s="136" t="s">
        <v>236</v>
      </c>
      <c r="D55" s="263" t="s">
        <v>14</v>
      </c>
      <c r="E55" s="34"/>
      <c r="F55" s="65">
        <v>6</v>
      </c>
      <c r="G55" s="61"/>
      <c r="H55" s="61"/>
      <c r="I55" s="60"/>
      <c r="J55" s="61"/>
      <c r="K55" s="61"/>
      <c r="L55" s="61"/>
      <c r="M55" s="61"/>
    </row>
    <row r="56" spans="1:13">
      <c r="A56" s="270"/>
      <c r="B56" s="263"/>
      <c r="C56" s="136"/>
      <c r="D56" s="263"/>
      <c r="E56" s="34"/>
      <c r="F56" s="65"/>
      <c r="G56" s="61"/>
      <c r="H56" s="61"/>
      <c r="I56" s="60"/>
      <c r="J56" s="61"/>
      <c r="K56" s="61"/>
      <c r="L56" s="61"/>
      <c r="M56" s="61"/>
    </row>
    <row r="57" spans="1:13" ht="40.5">
      <c r="A57" s="526" t="s">
        <v>276</v>
      </c>
      <c r="B57" s="68" t="s">
        <v>110</v>
      </c>
      <c r="C57" s="69" t="s">
        <v>277</v>
      </c>
      <c r="D57" s="70" t="s">
        <v>14</v>
      </c>
      <c r="E57" s="230"/>
      <c r="F57" s="71">
        <f>F60</f>
        <v>6</v>
      </c>
      <c r="G57" s="72"/>
      <c r="H57" s="73"/>
      <c r="I57" s="73"/>
      <c r="J57" s="73"/>
      <c r="K57" s="73"/>
      <c r="L57" s="73"/>
      <c r="M57" s="73"/>
    </row>
    <row r="58" spans="1:13">
      <c r="A58" s="541"/>
      <c r="B58" s="464"/>
      <c r="C58" s="74" t="s">
        <v>26</v>
      </c>
      <c r="D58" s="70" t="s">
        <v>28</v>
      </c>
      <c r="E58" s="231">
        <v>0.9</v>
      </c>
      <c r="F58" s="76">
        <f>E58*F57</f>
        <v>5.4</v>
      </c>
      <c r="G58" s="72"/>
      <c r="H58" s="73"/>
      <c r="I58" s="73"/>
      <c r="J58" s="73"/>
      <c r="K58" s="73"/>
      <c r="L58" s="73"/>
      <c r="M58" s="61"/>
    </row>
    <row r="59" spans="1:13">
      <c r="A59" s="541"/>
      <c r="B59" s="464"/>
      <c r="C59" s="77" t="s">
        <v>27</v>
      </c>
      <c r="D59" s="70" t="s">
        <v>24</v>
      </c>
      <c r="E59" s="231">
        <v>7.0000000000000007E-2</v>
      </c>
      <c r="F59" s="75">
        <f>E59*F57</f>
        <v>0.42000000000000004</v>
      </c>
      <c r="G59" s="72"/>
      <c r="H59" s="73"/>
      <c r="I59" s="73"/>
      <c r="J59" s="73"/>
      <c r="K59" s="73"/>
      <c r="L59" s="73"/>
      <c r="M59" s="61"/>
    </row>
    <row r="60" spans="1:13" ht="31.5">
      <c r="A60" s="541"/>
      <c r="B60" s="78" t="s">
        <v>278</v>
      </c>
      <c r="C60" s="77" t="s">
        <v>223</v>
      </c>
      <c r="D60" s="79" t="s">
        <v>14</v>
      </c>
      <c r="E60" s="232"/>
      <c r="F60" s="76">
        <v>6</v>
      </c>
      <c r="G60" s="72"/>
      <c r="H60" s="73"/>
      <c r="I60" s="73"/>
      <c r="J60" s="73"/>
      <c r="K60" s="73"/>
      <c r="L60" s="73"/>
      <c r="M60" s="61"/>
    </row>
    <row r="61" spans="1:13">
      <c r="A61" s="527"/>
      <c r="B61" s="464"/>
      <c r="C61" s="74" t="s">
        <v>34</v>
      </c>
      <c r="D61" s="70" t="s">
        <v>24</v>
      </c>
      <c r="E61" s="231">
        <v>0.14000000000000001</v>
      </c>
      <c r="F61" s="76">
        <f>E61*F57</f>
        <v>0.84000000000000008</v>
      </c>
      <c r="G61" s="72"/>
      <c r="H61" s="73"/>
      <c r="I61" s="72"/>
      <c r="J61" s="73"/>
      <c r="K61" s="72"/>
      <c r="L61" s="73"/>
      <c r="M61" s="61"/>
    </row>
    <row r="62" spans="1:13" ht="63">
      <c r="A62" s="526" t="s">
        <v>279</v>
      </c>
      <c r="B62" s="68" t="s">
        <v>122</v>
      </c>
      <c r="C62" s="69" t="s">
        <v>123</v>
      </c>
      <c r="D62" s="79" t="s">
        <v>11</v>
      </c>
      <c r="E62" s="230"/>
      <c r="F62" s="71">
        <f>F65</f>
        <v>12</v>
      </c>
      <c r="G62" s="72"/>
      <c r="H62" s="73"/>
      <c r="I62" s="73"/>
      <c r="J62" s="73"/>
      <c r="K62" s="73"/>
      <c r="L62" s="73"/>
      <c r="M62" s="61"/>
    </row>
    <row r="63" spans="1:13">
      <c r="A63" s="541"/>
      <c r="B63" s="464"/>
      <c r="C63" s="74" t="s">
        <v>26</v>
      </c>
      <c r="D63" s="70" t="s">
        <v>28</v>
      </c>
      <c r="E63" s="231">
        <v>0.26</v>
      </c>
      <c r="F63" s="76">
        <f>E63*F62</f>
        <v>3.12</v>
      </c>
      <c r="G63" s="72"/>
      <c r="H63" s="73"/>
      <c r="I63" s="73"/>
      <c r="J63" s="73"/>
      <c r="K63" s="73"/>
      <c r="L63" s="73"/>
      <c r="M63" s="61"/>
    </row>
    <row r="64" spans="1:13">
      <c r="A64" s="541"/>
      <c r="B64" s="464"/>
      <c r="C64" s="77" t="s">
        <v>27</v>
      </c>
      <c r="D64" s="70" t="s">
        <v>24</v>
      </c>
      <c r="E64" s="231">
        <v>1.6E-2</v>
      </c>
      <c r="F64" s="75">
        <f>E64*F62</f>
        <v>0.192</v>
      </c>
      <c r="G64" s="72"/>
      <c r="H64" s="73"/>
      <c r="I64" s="73"/>
      <c r="J64" s="73"/>
      <c r="K64" s="73"/>
      <c r="L64" s="73"/>
      <c r="M64" s="61"/>
    </row>
    <row r="65" spans="1:14" ht="31.5">
      <c r="A65" s="541"/>
      <c r="B65" s="78"/>
      <c r="C65" s="77" t="s">
        <v>238</v>
      </c>
      <c r="D65" s="79" t="s">
        <v>11</v>
      </c>
      <c r="E65" s="232"/>
      <c r="F65" s="71">
        <v>12</v>
      </c>
      <c r="G65" s="72"/>
      <c r="H65" s="73"/>
      <c r="I65" s="73"/>
      <c r="J65" s="73"/>
      <c r="K65" s="73"/>
      <c r="L65" s="73"/>
      <c r="M65" s="61"/>
    </row>
    <row r="66" spans="1:14">
      <c r="A66" s="527"/>
      <c r="B66" s="464"/>
      <c r="C66" s="74" t="s">
        <v>34</v>
      </c>
      <c r="D66" s="70" t="s">
        <v>24</v>
      </c>
      <c r="E66" s="231">
        <v>0.35299999999999998</v>
      </c>
      <c r="F66" s="76">
        <f>E66*F62</f>
        <v>4.2359999999999998</v>
      </c>
      <c r="G66" s="72"/>
      <c r="H66" s="73"/>
      <c r="I66" s="72"/>
      <c r="J66" s="73"/>
      <c r="K66" s="72"/>
      <c r="L66" s="73"/>
      <c r="M66" s="61"/>
    </row>
    <row r="67" spans="1:14">
      <c r="A67" s="276"/>
      <c r="B67" s="276"/>
      <c r="C67" s="74"/>
      <c r="D67" s="390"/>
      <c r="E67" s="75"/>
      <c r="F67" s="76"/>
      <c r="G67" s="72"/>
      <c r="H67" s="73"/>
      <c r="I67" s="72"/>
      <c r="J67" s="73"/>
      <c r="K67" s="72"/>
      <c r="L67" s="73"/>
      <c r="M67" s="73"/>
    </row>
    <row r="68" spans="1:14" ht="16.5">
      <c r="A68" s="258"/>
      <c r="B68" s="268"/>
      <c r="C68" s="338"/>
      <c r="D68" s="358"/>
      <c r="E68" s="338"/>
      <c r="F68" s="359"/>
      <c r="G68" s="360"/>
      <c r="H68" s="67"/>
      <c r="I68" s="60"/>
      <c r="J68" s="67"/>
      <c r="K68" s="67"/>
      <c r="L68" s="67"/>
      <c r="M68" s="67"/>
    </row>
    <row r="69" spans="1:14">
      <c r="A69" s="269"/>
      <c r="B69" s="264"/>
      <c r="C69" s="237"/>
      <c r="D69" s="237"/>
      <c r="E69" s="237"/>
      <c r="F69" s="468"/>
      <c r="G69" s="238"/>
      <c r="H69" s="67"/>
      <c r="I69" s="238"/>
      <c r="J69" s="67"/>
      <c r="K69" s="67"/>
      <c r="L69" s="262"/>
      <c r="M69" s="262"/>
    </row>
    <row r="70" spans="1:14">
      <c r="A70" s="108"/>
      <c r="B70" s="108"/>
      <c r="C70" s="108" t="s">
        <v>225</v>
      </c>
      <c r="D70" s="108"/>
      <c r="E70" s="108"/>
      <c r="F70" s="133"/>
      <c r="G70" s="344"/>
      <c r="H70" s="344"/>
      <c r="I70" s="344"/>
      <c r="J70" s="344"/>
      <c r="K70" s="344"/>
      <c r="L70" s="344"/>
      <c r="M70" s="344"/>
      <c r="N70" s="22">
        <f>H70+J70+L70</f>
        <v>0</v>
      </c>
    </row>
    <row r="71" spans="1:14" ht="40.5">
      <c r="A71" s="169"/>
      <c r="B71" s="169"/>
      <c r="C71" s="361" t="s">
        <v>217</v>
      </c>
      <c r="D71" s="169"/>
      <c r="E71" s="170"/>
      <c r="F71" s="403" t="s">
        <v>287</v>
      </c>
      <c r="G71" s="211"/>
      <c r="H71" s="211"/>
      <c r="I71" s="211"/>
      <c r="J71" s="211"/>
      <c r="K71" s="211"/>
      <c r="L71" s="211"/>
      <c r="M71" s="211"/>
    </row>
    <row r="72" spans="1:14" ht="47.25">
      <c r="A72" s="269"/>
      <c r="B72" s="269"/>
      <c r="C72" s="362" t="s">
        <v>39</v>
      </c>
      <c r="D72" s="269"/>
      <c r="E72" s="466"/>
      <c r="F72" s="425" t="s">
        <v>287</v>
      </c>
      <c r="G72" s="262"/>
      <c r="H72" s="262"/>
      <c r="I72" s="262"/>
      <c r="J72" s="262"/>
      <c r="K72" s="262"/>
      <c r="L72" s="262"/>
      <c r="M72" s="262"/>
    </row>
    <row r="73" spans="1:14">
      <c r="A73" s="108"/>
      <c r="B73" s="108"/>
      <c r="C73" s="108" t="s">
        <v>171</v>
      </c>
      <c r="D73" s="108"/>
      <c r="E73" s="108"/>
      <c r="F73" s="472"/>
      <c r="G73" s="344"/>
      <c r="H73" s="344"/>
      <c r="I73" s="344"/>
      <c r="J73" s="344"/>
      <c r="K73" s="344"/>
      <c r="L73" s="344"/>
      <c r="M73" s="344"/>
    </row>
    <row r="74" spans="1:14">
      <c r="A74" s="191"/>
      <c r="B74" s="191"/>
      <c r="C74" s="191" t="s">
        <v>224</v>
      </c>
      <c r="D74" s="191"/>
      <c r="E74" s="191"/>
      <c r="F74" s="363"/>
      <c r="G74" s="316"/>
      <c r="H74" s="316"/>
      <c r="I74" s="316"/>
      <c r="J74" s="316"/>
      <c r="K74" s="316"/>
      <c r="L74" s="316"/>
      <c r="M74" s="316"/>
    </row>
    <row r="75" spans="1:14">
      <c r="A75" s="269"/>
      <c r="B75" s="269"/>
      <c r="C75" s="269" t="s">
        <v>40</v>
      </c>
      <c r="D75" s="269"/>
      <c r="E75" s="466"/>
      <c r="F75" s="425" t="s">
        <v>287</v>
      </c>
      <c r="G75" s="262"/>
      <c r="H75" s="262"/>
      <c r="I75" s="262"/>
      <c r="J75" s="262"/>
      <c r="K75" s="262"/>
      <c r="L75" s="262"/>
      <c r="M75" s="262"/>
    </row>
    <row r="76" spans="1:14" ht="31.5">
      <c r="A76" s="364"/>
      <c r="B76" s="364"/>
      <c r="C76" s="191" t="s">
        <v>172</v>
      </c>
      <c r="D76" s="364"/>
      <c r="E76" s="364"/>
      <c r="F76" s="363"/>
      <c r="G76" s="365"/>
      <c r="H76" s="365"/>
      <c r="I76" s="365"/>
      <c r="J76" s="319"/>
      <c r="K76" s="365"/>
      <c r="L76" s="365"/>
      <c r="M76" s="219"/>
    </row>
    <row r="77" spans="1:14" ht="31.5">
      <c r="A77" s="269"/>
      <c r="B77" s="269"/>
      <c r="C77" s="269" t="s">
        <v>12</v>
      </c>
      <c r="D77" s="269"/>
      <c r="E77" s="466"/>
      <c r="F77" s="473">
        <v>0.03</v>
      </c>
      <c r="G77" s="262"/>
      <c r="H77" s="262"/>
      <c r="I77" s="262"/>
      <c r="J77" s="366"/>
      <c r="K77" s="262"/>
      <c r="L77" s="262"/>
      <c r="M77" s="262"/>
    </row>
    <row r="78" spans="1:14">
      <c r="A78" s="269"/>
      <c r="B78" s="269"/>
      <c r="C78" s="203" t="s">
        <v>48</v>
      </c>
      <c r="D78" s="269"/>
      <c r="E78" s="466"/>
      <c r="F78" s="240"/>
      <c r="G78" s="262"/>
      <c r="H78" s="262"/>
      <c r="I78" s="262"/>
      <c r="J78" s="203"/>
      <c r="K78" s="262"/>
      <c r="L78" s="262"/>
      <c r="M78" s="262"/>
    </row>
    <row r="79" spans="1:14" ht="31.5">
      <c r="A79" s="223"/>
      <c r="B79" s="102"/>
      <c r="C79" s="324" t="s">
        <v>203</v>
      </c>
      <c r="D79" s="10"/>
      <c r="E79" s="49"/>
      <c r="F79" s="313">
        <v>0.02</v>
      </c>
      <c r="G79" s="215"/>
      <c r="H79" s="215"/>
      <c r="I79" s="215"/>
      <c r="J79" s="367"/>
      <c r="K79" s="215"/>
      <c r="L79" s="215"/>
      <c r="M79" s="215"/>
    </row>
    <row r="80" spans="1:14">
      <c r="A80" s="223"/>
      <c r="B80" s="102"/>
      <c r="C80" s="203" t="s">
        <v>48</v>
      </c>
      <c r="D80" s="10"/>
      <c r="E80" s="49"/>
      <c r="F80" s="218"/>
      <c r="G80" s="215"/>
      <c r="H80" s="215"/>
      <c r="I80" s="215"/>
      <c r="J80" s="203"/>
      <c r="K80" s="215"/>
      <c r="L80" s="215"/>
      <c r="M80" s="215"/>
    </row>
    <row r="81" spans="1:13">
      <c r="A81" s="269"/>
      <c r="B81" s="269"/>
      <c r="C81" s="269" t="s">
        <v>13</v>
      </c>
      <c r="D81" s="269"/>
      <c r="E81" s="466"/>
      <c r="F81" s="473">
        <v>0.18</v>
      </c>
      <c r="G81" s="262"/>
      <c r="H81" s="262"/>
      <c r="I81" s="262"/>
      <c r="J81" s="366"/>
      <c r="K81" s="262"/>
      <c r="L81" s="262"/>
      <c r="M81" s="262"/>
    </row>
    <row r="82" spans="1:13" ht="41.25" customHeight="1">
      <c r="A82" s="364"/>
      <c r="B82" s="364"/>
      <c r="C82" s="191" t="s">
        <v>172</v>
      </c>
      <c r="D82" s="364"/>
      <c r="E82" s="364"/>
      <c r="F82" s="363"/>
      <c r="G82" s="365"/>
      <c r="H82" s="365"/>
      <c r="I82" s="365"/>
      <c r="J82" s="316"/>
      <c r="K82" s="365"/>
      <c r="L82" s="365"/>
      <c r="M82" s="219"/>
    </row>
    <row r="84" spans="1:13">
      <c r="A84" s="23"/>
      <c r="C84" s="51"/>
      <c r="D84" s="99"/>
      <c r="E84" s="37"/>
      <c r="I84" s="242"/>
      <c r="J84" s="242"/>
    </row>
    <row r="85" spans="1:13">
      <c r="C85" s="24"/>
      <c r="D85" s="26"/>
      <c r="E85" s="38"/>
    </row>
    <row r="86" spans="1:13">
      <c r="B86" s="226"/>
      <c r="C86" s="248"/>
      <c r="D86" s="248"/>
      <c r="E86" s="469"/>
    </row>
    <row r="87" spans="1:13">
      <c r="C87" s="195"/>
      <c r="D87" s="187"/>
      <c r="E87" s="181"/>
    </row>
    <row r="89" spans="1:13">
      <c r="C89" s="195"/>
    </row>
  </sheetData>
  <mergeCells count="24">
    <mergeCell ref="A57:A61"/>
    <mergeCell ref="A62:A66"/>
    <mergeCell ref="A12:A13"/>
    <mergeCell ref="A16:A18"/>
    <mergeCell ref="A19:A23"/>
    <mergeCell ref="A24:A26"/>
    <mergeCell ref="A52:A55"/>
    <mergeCell ref="A14:A15"/>
    <mergeCell ref="A27:A28"/>
    <mergeCell ref="A29:A31"/>
    <mergeCell ref="A41:A45"/>
    <mergeCell ref="A46:A51"/>
    <mergeCell ref="A1:M1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E7:F7"/>
  </mergeCells>
  <pageMargins left="0.55118110236220474" right="0.14000000000000001" top="0.55000000000000004" bottom="0.49" header="0.4" footer="0.27"/>
  <pageSetup paperSize="9" orientation="landscape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N29"/>
  <sheetViews>
    <sheetView tabSelected="1" zoomScale="80" zoomScaleNormal="80" workbookViewId="0">
      <selection activeCell="F19" sqref="F19"/>
    </sheetView>
  </sheetViews>
  <sheetFormatPr defaultColWidth="8.85546875" defaultRowHeight="15"/>
  <cols>
    <col min="1" max="1" width="5.140625" style="6" customWidth="1"/>
    <col min="2" max="2" width="7.7109375" style="6" customWidth="1"/>
    <col min="3" max="3" width="33.7109375" style="14" customWidth="1"/>
    <col min="4" max="4" width="6.140625" style="6" customWidth="1"/>
    <col min="5" max="5" width="10" style="33" customWidth="1"/>
    <col min="6" max="6" width="9.85546875" style="234" customWidth="1"/>
    <col min="7" max="7" width="9.5703125" style="17" customWidth="1"/>
    <col min="8" max="8" width="10.7109375" style="17" customWidth="1"/>
    <col min="9" max="9" width="8.42578125" style="17" customWidth="1"/>
    <col min="10" max="10" width="10.140625" style="17" customWidth="1"/>
    <col min="11" max="11" width="7" style="17" customWidth="1"/>
    <col min="12" max="12" width="10.140625" style="17" customWidth="1"/>
    <col min="13" max="13" width="12" style="17" customWidth="1"/>
    <col min="14" max="14" width="25.85546875" style="3" customWidth="1"/>
    <col min="15" max="15" width="26.85546875" style="3" customWidth="1"/>
    <col min="16" max="16384" width="8.85546875" style="3"/>
  </cols>
  <sheetData>
    <row r="1" spans="1:14" ht="54" customHeight="1">
      <c r="A1" s="494" t="str">
        <f>krebsiti!A3</f>
        <v xml:space="preserve">q.dmanisSi Wuberis q.III Cixi #4a-s mimdebared sportuli moednis mowyobis samuSaoebi 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50"/>
    </row>
    <row r="2" spans="1:14" ht="15.75">
      <c r="A2" s="20"/>
      <c r="B2" s="195"/>
      <c r="C2" s="195"/>
      <c r="D2" s="195"/>
      <c r="E2" s="174"/>
      <c r="F2" s="233"/>
      <c r="G2" s="207"/>
      <c r="H2" s="207"/>
      <c r="I2" s="207"/>
      <c r="J2" s="207"/>
      <c r="K2" s="207"/>
      <c r="L2" s="207"/>
      <c r="M2" s="207"/>
    </row>
    <row r="3" spans="1:14" ht="27" customHeight="1">
      <c r="A3" s="494" t="s">
        <v>41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4" spans="1:14" ht="15.75">
      <c r="A4" s="20"/>
      <c r="B4" s="195"/>
      <c r="C4" s="195"/>
      <c r="D4" s="195"/>
      <c r="E4" s="174"/>
      <c r="F4" s="233"/>
      <c r="G4" s="207"/>
      <c r="H4" s="207"/>
      <c r="I4" s="207"/>
      <c r="J4" s="207"/>
      <c r="K4" s="207"/>
      <c r="L4" s="207"/>
      <c r="M4" s="207"/>
    </row>
    <row r="5" spans="1:14" ht="31.15" customHeight="1">
      <c r="A5" s="494" t="s">
        <v>226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</row>
    <row r="7" spans="1:14" ht="41.45" customHeight="1">
      <c r="A7" s="560" t="s">
        <v>0</v>
      </c>
      <c r="B7" s="560" t="s">
        <v>1</v>
      </c>
      <c r="C7" s="495" t="s">
        <v>2</v>
      </c>
      <c r="D7" s="560" t="s">
        <v>3</v>
      </c>
      <c r="E7" s="561" t="s">
        <v>4</v>
      </c>
      <c r="F7" s="562" t="s">
        <v>5</v>
      </c>
      <c r="G7" s="496" t="s">
        <v>6</v>
      </c>
      <c r="H7" s="496"/>
      <c r="I7" s="496" t="s">
        <v>7</v>
      </c>
      <c r="J7" s="496"/>
      <c r="K7" s="496" t="s">
        <v>30</v>
      </c>
      <c r="L7" s="496"/>
      <c r="M7" s="496" t="s">
        <v>8</v>
      </c>
    </row>
    <row r="8" spans="1:14" ht="60" customHeight="1">
      <c r="A8" s="560"/>
      <c r="B8" s="560"/>
      <c r="C8" s="495"/>
      <c r="D8" s="560"/>
      <c r="E8" s="561"/>
      <c r="F8" s="562"/>
      <c r="G8" s="176" t="s">
        <v>9</v>
      </c>
      <c r="H8" s="176" t="s">
        <v>10</v>
      </c>
      <c r="I8" s="176" t="s">
        <v>9</v>
      </c>
      <c r="J8" s="176" t="s">
        <v>10</v>
      </c>
      <c r="K8" s="176" t="s">
        <v>9</v>
      </c>
      <c r="L8" s="176" t="s">
        <v>10</v>
      </c>
      <c r="M8" s="496"/>
    </row>
    <row r="9" spans="1:14" ht="15.75">
      <c r="A9" s="182">
        <v>1</v>
      </c>
      <c r="B9" s="182">
        <v>2</v>
      </c>
      <c r="C9" s="175">
        <v>3</v>
      </c>
      <c r="D9" s="182">
        <v>4</v>
      </c>
      <c r="E9" s="183">
        <v>5</v>
      </c>
      <c r="F9" s="189">
        <v>6</v>
      </c>
      <c r="G9" s="183">
        <v>7</v>
      </c>
      <c r="H9" s="189">
        <v>8</v>
      </c>
      <c r="I9" s="183">
        <v>9</v>
      </c>
      <c r="J9" s="189">
        <v>10</v>
      </c>
      <c r="K9" s="183">
        <v>11</v>
      </c>
      <c r="L9" s="189">
        <v>12</v>
      </c>
      <c r="M9" s="183">
        <v>13</v>
      </c>
    </row>
    <row r="10" spans="1:14" ht="31.5">
      <c r="A10" s="382" t="s">
        <v>286</v>
      </c>
      <c r="B10" s="39"/>
      <c r="C10" s="196" t="s">
        <v>226</v>
      </c>
      <c r="D10" s="383"/>
      <c r="E10" s="92"/>
      <c r="F10" s="194"/>
      <c r="G10" s="267"/>
      <c r="H10" s="272"/>
      <c r="I10" s="267"/>
      <c r="J10" s="272"/>
      <c r="K10" s="267"/>
      <c r="L10" s="272"/>
      <c r="M10" s="267"/>
    </row>
    <row r="11" spans="1:14" ht="47.25">
      <c r="A11" s="282" t="s">
        <v>100</v>
      </c>
      <c r="B11" s="129" t="s">
        <v>36</v>
      </c>
      <c r="C11" s="240" t="s">
        <v>168</v>
      </c>
      <c r="D11" s="373" t="s">
        <v>52</v>
      </c>
      <c r="E11" s="109"/>
      <c r="F11" s="190">
        <v>2</v>
      </c>
      <c r="G11" s="109"/>
      <c r="H11" s="67"/>
      <c r="I11" s="109"/>
      <c r="J11" s="67"/>
      <c r="K11" s="109"/>
      <c r="L11" s="262"/>
      <c r="M11" s="262"/>
    </row>
    <row r="12" spans="1:14" ht="66">
      <c r="A12" s="263" t="s">
        <v>101</v>
      </c>
      <c r="B12" s="263" t="s">
        <v>36</v>
      </c>
      <c r="C12" s="104" t="s">
        <v>273</v>
      </c>
      <c r="D12" s="374" t="s">
        <v>169</v>
      </c>
      <c r="E12" s="57"/>
      <c r="F12" s="190">
        <v>2</v>
      </c>
      <c r="G12" s="61"/>
      <c r="H12" s="61"/>
      <c r="I12" s="61"/>
      <c r="J12" s="61"/>
      <c r="K12" s="61"/>
      <c r="L12" s="61"/>
      <c r="M12" s="61"/>
    </row>
    <row r="13" spans="1:14" ht="16.5">
      <c r="A13" s="375"/>
      <c r="B13" s="376"/>
      <c r="C13" s="377"/>
      <c r="D13" s="376"/>
      <c r="E13" s="193"/>
      <c r="F13" s="57"/>
      <c r="G13" s="57"/>
      <c r="H13" s="67"/>
      <c r="I13" s="109"/>
      <c r="J13" s="67"/>
      <c r="K13" s="109"/>
      <c r="L13" s="67"/>
      <c r="M13" s="262"/>
    </row>
    <row r="14" spans="1:14" ht="16.5">
      <c r="A14" s="191"/>
      <c r="B14" s="93"/>
      <c r="C14" s="379" t="s">
        <v>58</v>
      </c>
      <c r="D14" s="93"/>
      <c r="E14" s="191"/>
      <c r="F14" s="191"/>
      <c r="G14" s="191"/>
      <c r="H14" s="316"/>
      <c r="I14" s="316"/>
      <c r="J14" s="316"/>
      <c r="K14" s="316"/>
      <c r="L14" s="316"/>
      <c r="M14" s="316"/>
      <c r="N14" s="173">
        <f>H14+J14+L14</f>
        <v>0</v>
      </c>
    </row>
    <row r="15" spans="1:14" ht="40.5">
      <c r="A15" s="169"/>
      <c r="B15" s="169"/>
      <c r="C15" s="361" t="s">
        <v>217</v>
      </c>
      <c r="D15" s="169"/>
      <c r="E15" s="170"/>
      <c r="F15" s="403" t="s">
        <v>287</v>
      </c>
      <c r="G15" s="211"/>
      <c r="H15" s="211"/>
      <c r="I15" s="211"/>
      <c r="J15" s="211"/>
      <c r="K15" s="211"/>
      <c r="L15" s="211"/>
      <c r="M15" s="211"/>
    </row>
    <row r="16" spans="1:14" ht="15.75">
      <c r="A16" s="190"/>
      <c r="B16" s="47"/>
      <c r="C16" s="203" t="s">
        <v>48</v>
      </c>
      <c r="D16" s="47"/>
      <c r="E16" s="190"/>
      <c r="F16" s="190"/>
      <c r="G16" s="190"/>
      <c r="H16" s="246"/>
      <c r="I16" s="246"/>
      <c r="J16" s="246"/>
      <c r="K16" s="246"/>
      <c r="L16" s="246"/>
      <c r="M16" s="246"/>
    </row>
    <row r="17" spans="1:13" ht="49.5">
      <c r="A17" s="269"/>
      <c r="B17" s="267"/>
      <c r="C17" s="378" t="s">
        <v>39</v>
      </c>
      <c r="D17" s="267"/>
      <c r="E17" s="269"/>
      <c r="F17" s="425" t="s">
        <v>287</v>
      </c>
      <c r="G17" s="269"/>
      <c r="H17" s="269"/>
      <c r="I17" s="269"/>
      <c r="J17" s="262"/>
      <c r="K17" s="262"/>
      <c r="L17" s="262"/>
      <c r="M17" s="262"/>
    </row>
    <row r="18" spans="1:13" ht="15.75">
      <c r="A18" s="269"/>
      <c r="B18" s="267"/>
      <c r="C18" s="203" t="s">
        <v>48</v>
      </c>
      <c r="D18" s="267"/>
      <c r="E18" s="269"/>
      <c r="F18" s="240"/>
      <c r="G18" s="269"/>
      <c r="H18" s="269"/>
      <c r="I18" s="269"/>
      <c r="J18" s="262"/>
      <c r="K18" s="262"/>
      <c r="L18" s="262"/>
      <c r="M18" s="262"/>
    </row>
    <row r="19" spans="1:13" ht="49.5">
      <c r="A19" s="269"/>
      <c r="B19" s="267"/>
      <c r="C19" s="378" t="s">
        <v>281</v>
      </c>
      <c r="D19" s="267"/>
      <c r="E19" s="269"/>
      <c r="F19" s="425" t="s">
        <v>287</v>
      </c>
      <c r="G19" s="269"/>
      <c r="H19" s="269"/>
      <c r="I19" s="269"/>
      <c r="J19" s="262"/>
      <c r="K19" s="262"/>
      <c r="L19" s="262"/>
      <c r="M19" s="262"/>
    </row>
    <row r="20" spans="1:13" ht="16.5">
      <c r="A20" s="364"/>
      <c r="B20" s="229"/>
      <c r="C20" s="379" t="s">
        <v>174</v>
      </c>
      <c r="D20" s="229"/>
      <c r="E20" s="364"/>
      <c r="F20" s="363"/>
      <c r="G20" s="364"/>
      <c r="H20" s="364"/>
      <c r="I20" s="364"/>
      <c r="J20" s="365"/>
      <c r="K20" s="365"/>
      <c r="L20" s="365"/>
      <c r="M20" s="219"/>
    </row>
    <row r="21" spans="1:13" ht="15.75">
      <c r="A21" s="223"/>
      <c r="B21" s="102"/>
      <c r="C21" s="205" t="s">
        <v>12</v>
      </c>
      <c r="D21" s="10"/>
      <c r="E21" s="49"/>
      <c r="F21" s="217" t="s">
        <v>89</v>
      </c>
      <c r="G21" s="215"/>
      <c r="H21" s="215"/>
      <c r="I21" s="215"/>
      <c r="J21" s="215"/>
      <c r="K21" s="215"/>
      <c r="L21" s="215"/>
      <c r="M21" s="215"/>
    </row>
    <row r="22" spans="1:13" ht="15.75">
      <c r="A22" s="223"/>
      <c r="B22" s="102"/>
      <c r="C22" s="203" t="s">
        <v>48</v>
      </c>
      <c r="D22" s="10"/>
      <c r="E22" s="49"/>
      <c r="F22" s="218"/>
      <c r="G22" s="215"/>
      <c r="H22" s="215"/>
      <c r="I22" s="215"/>
      <c r="J22" s="215"/>
      <c r="K22" s="215"/>
      <c r="L22" s="215"/>
      <c r="M22" s="215"/>
    </row>
    <row r="23" spans="1:13" ht="31.5">
      <c r="A23" s="223"/>
      <c r="B23" s="102"/>
      <c r="C23" s="324" t="s">
        <v>203</v>
      </c>
      <c r="D23" s="10"/>
      <c r="E23" s="49"/>
      <c r="F23" s="313">
        <v>0.02</v>
      </c>
      <c r="G23" s="215"/>
      <c r="H23" s="215"/>
      <c r="I23" s="215"/>
      <c r="J23" s="215"/>
      <c r="K23" s="215"/>
      <c r="L23" s="215"/>
      <c r="M23" s="215"/>
    </row>
    <row r="24" spans="1:13" ht="15.75">
      <c r="A24" s="223"/>
      <c r="B24" s="102"/>
      <c r="C24" s="203" t="s">
        <v>48</v>
      </c>
      <c r="D24" s="10"/>
      <c r="E24" s="49"/>
      <c r="F24" s="218"/>
      <c r="G24" s="215"/>
      <c r="H24" s="215"/>
      <c r="I24" s="215"/>
      <c r="J24" s="215"/>
      <c r="K24" s="215"/>
      <c r="L24" s="215"/>
      <c r="M24" s="215"/>
    </row>
    <row r="25" spans="1:13" ht="15.75">
      <c r="A25" s="223"/>
      <c r="B25" s="102"/>
      <c r="C25" s="205" t="s">
        <v>13</v>
      </c>
      <c r="D25" s="10"/>
      <c r="E25" s="49"/>
      <c r="F25" s="217" t="s">
        <v>90</v>
      </c>
      <c r="G25" s="215"/>
      <c r="H25" s="215"/>
      <c r="I25" s="215"/>
      <c r="J25" s="215"/>
      <c r="K25" s="215"/>
      <c r="L25" s="215"/>
      <c r="M25" s="215"/>
    </row>
    <row r="26" spans="1:13" ht="27" customHeight="1">
      <c r="A26" s="224"/>
      <c r="B26" s="91"/>
      <c r="C26" s="198" t="s">
        <v>174</v>
      </c>
      <c r="D26" s="91"/>
      <c r="E26" s="93"/>
      <c r="F26" s="191"/>
      <c r="G26" s="316"/>
      <c r="H26" s="316"/>
      <c r="I26" s="316"/>
      <c r="J26" s="316"/>
      <c r="K26" s="316"/>
      <c r="L26" s="316"/>
      <c r="M26" s="219"/>
    </row>
    <row r="27" spans="1:13" ht="15.75">
      <c r="B27" s="11"/>
      <c r="C27" s="51"/>
      <c r="D27" s="99"/>
      <c r="E27" s="37"/>
      <c r="F27" s="241"/>
      <c r="G27" s="22"/>
      <c r="H27" s="22"/>
      <c r="I27" s="242"/>
      <c r="J27" s="242"/>
      <c r="K27" s="242"/>
      <c r="L27" s="242"/>
      <c r="M27" s="242"/>
    </row>
    <row r="28" spans="1:13">
      <c r="B28" s="11"/>
      <c r="C28" s="206"/>
      <c r="D28" s="52"/>
      <c r="E28" s="245"/>
    </row>
    <row r="29" spans="1:13" ht="15.75">
      <c r="B29" s="25"/>
      <c r="C29" s="51"/>
      <c r="D29" s="172"/>
      <c r="E29" s="172"/>
    </row>
  </sheetData>
  <mergeCells count="13">
    <mergeCell ref="M7:M8"/>
    <mergeCell ref="A1:M1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</mergeCells>
  <pageMargins left="0.47244094488188981" right="0.17" top="0.59055118110236227" bottom="0.35433070866141736" header="0.31496062992125984" footer="0.23622047244094491"/>
  <pageSetup paperSize="9" orientation="landscape" r:id="rId1"/>
  <headerFooter>
    <oddHeader>&amp;R&amp;P--&amp;N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3"/>
  <sheetViews>
    <sheetView zoomScale="80" zoomScaleNormal="80" workbookViewId="0">
      <selection activeCell="B111" sqref="B111"/>
    </sheetView>
  </sheetViews>
  <sheetFormatPr defaultColWidth="8.85546875" defaultRowHeight="16.5"/>
  <cols>
    <col min="1" max="1" width="9" style="5" customWidth="1"/>
    <col min="2" max="2" width="42" style="5" customWidth="1"/>
    <col min="3" max="3" width="11.85546875" style="5" customWidth="1"/>
    <col min="4" max="4" width="16.5703125" style="260" customWidth="1"/>
    <col min="5" max="5" width="13.5703125" style="2" customWidth="1"/>
    <col min="6" max="16384" width="8.85546875" style="1"/>
  </cols>
  <sheetData>
    <row r="1" spans="1:5" ht="42" customHeight="1">
      <c r="A1" s="564" t="str">
        <f>krebsiti!A3</f>
        <v xml:space="preserve">q.dmanisSi Wuberis q.III Cixi #4a-s mimdebared sportuli moednis mowyobis samuSaoebi </v>
      </c>
      <c r="B1" s="564"/>
      <c r="C1" s="564"/>
      <c r="D1" s="564"/>
      <c r="E1" s="564"/>
    </row>
    <row r="3" spans="1:5" ht="21">
      <c r="A3" s="565" t="s">
        <v>17</v>
      </c>
      <c r="B3" s="565"/>
      <c r="C3" s="565"/>
      <c r="D3" s="565"/>
      <c r="E3" s="565"/>
    </row>
    <row r="5" spans="1:5" ht="31.5">
      <c r="A5" s="259" t="s">
        <v>0</v>
      </c>
      <c r="B5" s="184" t="s">
        <v>2</v>
      </c>
      <c r="C5" s="184" t="s">
        <v>3</v>
      </c>
      <c r="D5" s="109" t="s">
        <v>5</v>
      </c>
      <c r="E5" s="19" t="s">
        <v>16</v>
      </c>
    </row>
    <row r="6" spans="1:5">
      <c r="A6" s="184">
        <v>1</v>
      </c>
      <c r="B6" s="184">
        <v>2</v>
      </c>
      <c r="C6" s="184">
        <v>3</v>
      </c>
      <c r="D6" s="109">
        <v>4</v>
      </c>
      <c r="E6" s="19">
        <v>5</v>
      </c>
    </row>
    <row r="7" spans="1:5" s="4" customFormat="1">
      <c r="A7" s="314" t="s">
        <v>205</v>
      </c>
      <c r="B7" s="196" t="s">
        <v>56</v>
      </c>
      <c r="C7" s="39"/>
      <c r="D7" s="208"/>
      <c r="E7" s="8"/>
    </row>
    <row r="8" spans="1:5" s="4" customFormat="1">
      <c r="A8" s="389"/>
      <c r="B8" s="198" t="s">
        <v>227</v>
      </c>
      <c r="C8" s="91"/>
      <c r="D8" s="191"/>
      <c r="E8" s="8"/>
    </row>
    <row r="9" spans="1:5" s="4" customFormat="1" ht="40.5">
      <c r="A9" s="499" t="s">
        <v>100</v>
      </c>
      <c r="B9" s="46" t="s">
        <v>228</v>
      </c>
      <c r="C9" s="274" t="s">
        <v>11</v>
      </c>
      <c r="D9" s="86">
        <v>89.3</v>
      </c>
      <c r="E9" s="8"/>
    </row>
    <row r="10" spans="1:5" s="4" customFormat="1" ht="47.25">
      <c r="A10" s="500"/>
      <c r="B10" s="168" t="s">
        <v>232</v>
      </c>
      <c r="C10" s="275"/>
      <c r="D10" s="54"/>
      <c r="E10" s="8"/>
    </row>
    <row r="11" spans="1:5" s="4" customFormat="1" ht="47.25">
      <c r="A11" s="480" t="s">
        <v>57</v>
      </c>
      <c r="B11" s="107" t="s">
        <v>229</v>
      </c>
      <c r="C11" s="493" t="s">
        <v>18</v>
      </c>
      <c r="D11" s="192">
        <v>13.395</v>
      </c>
      <c r="E11" s="8"/>
    </row>
    <row r="12" spans="1:5" s="4" customFormat="1" ht="94.5">
      <c r="A12" s="504" t="s">
        <v>102</v>
      </c>
      <c r="B12" s="156" t="s">
        <v>230</v>
      </c>
      <c r="C12" s="273" t="s">
        <v>60</v>
      </c>
      <c r="D12" s="58">
        <v>5.8037000000000001</v>
      </c>
      <c r="E12" s="8"/>
    </row>
    <row r="13" spans="1:5" s="4" customFormat="1" ht="31.5">
      <c r="A13" s="504"/>
      <c r="B13" s="381" t="s">
        <v>61</v>
      </c>
      <c r="C13" s="273" t="s">
        <v>21</v>
      </c>
      <c r="D13" s="131">
        <v>46.666859999999993</v>
      </c>
      <c r="E13" s="8"/>
    </row>
    <row r="14" spans="1:5" s="4" customFormat="1" ht="31.5">
      <c r="A14" s="504"/>
      <c r="B14" s="199" t="s">
        <v>200</v>
      </c>
      <c r="C14" s="273" t="s">
        <v>21</v>
      </c>
      <c r="D14" s="131">
        <v>46.666859999999993</v>
      </c>
      <c r="E14" s="8"/>
    </row>
    <row r="15" spans="1:5" s="4" customFormat="1">
      <c r="A15" s="302"/>
      <c r="B15" s="474"/>
      <c r="C15" s="493"/>
      <c r="D15" s="492"/>
      <c r="E15" s="8"/>
    </row>
    <row r="16" spans="1:5" s="4" customFormat="1" ht="31.5">
      <c r="A16" s="325" t="s">
        <v>49</v>
      </c>
      <c r="B16" s="198" t="s">
        <v>282</v>
      </c>
      <c r="C16" s="91"/>
      <c r="D16" s="191"/>
      <c r="E16" s="8"/>
    </row>
    <row r="17" spans="1:5" s="4" customFormat="1" ht="47.25">
      <c r="A17" s="483" t="s">
        <v>100</v>
      </c>
      <c r="B17" s="110" t="s">
        <v>141</v>
      </c>
      <c r="C17" s="273" t="s">
        <v>125</v>
      </c>
      <c r="D17" s="58">
        <v>112.985</v>
      </c>
      <c r="E17" s="8"/>
    </row>
    <row r="18" spans="1:5" s="4" customFormat="1" ht="31.5">
      <c r="A18" s="485" t="s">
        <v>101</v>
      </c>
      <c r="B18" s="110" t="s">
        <v>108</v>
      </c>
      <c r="C18" s="18" t="s">
        <v>84</v>
      </c>
      <c r="D18" s="158">
        <v>220.32075</v>
      </c>
      <c r="E18" s="8"/>
    </row>
    <row r="19" spans="1:5" s="4" customFormat="1">
      <c r="A19" s="483" t="s">
        <v>57</v>
      </c>
      <c r="B19" s="110" t="s">
        <v>179</v>
      </c>
      <c r="C19" s="273" t="s">
        <v>74</v>
      </c>
      <c r="D19" s="131">
        <v>220.32075</v>
      </c>
      <c r="E19" s="8"/>
    </row>
    <row r="20" spans="1:5" s="4" customFormat="1" ht="47.25">
      <c r="A20" s="484" t="s">
        <v>102</v>
      </c>
      <c r="B20" s="110" t="s">
        <v>132</v>
      </c>
      <c r="C20" s="273" t="s">
        <v>125</v>
      </c>
      <c r="D20" s="58">
        <v>101.735</v>
      </c>
      <c r="E20" s="8"/>
    </row>
    <row r="21" spans="1:5" s="4" customFormat="1" ht="47.25">
      <c r="A21" s="509" t="s">
        <v>38</v>
      </c>
      <c r="B21" s="110" t="s">
        <v>133</v>
      </c>
      <c r="C21" s="180" t="s">
        <v>125</v>
      </c>
      <c r="D21" s="132">
        <v>12.5</v>
      </c>
      <c r="E21" s="8"/>
    </row>
    <row r="22" spans="1:5" s="4" customFormat="1">
      <c r="A22" s="509"/>
      <c r="B22" s="124" t="s">
        <v>134</v>
      </c>
      <c r="C22" s="265" t="s">
        <v>21</v>
      </c>
      <c r="D22" s="125">
        <v>8.1369999999999998E-2</v>
      </c>
      <c r="E22" s="8"/>
    </row>
    <row r="23" spans="1:5" s="4" customFormat="1" hidden="1">
      <c r="A23" s="509"/>
      <c r="B23" s="124" t="s">
        <v>135</v>
      </c>
      <c r="C23" s="265" t="s">
        <v>21</v>
      </c>
      <c r="D23" s="125">
        <v>0</v>
      </c>
      <c r="E23" s="8"/>
    </row>
    <row r="24" spans="1:5" s="4" customFormat="1" ht="47.25">
      <c r="A24" s="505" t="s">
        <v>96</v>
      </c>
      <c r="B24" s="110" t="s">
        <v>140</v>
      </c>
      <c r="C24" s="180" t="s">
        <v>125</v>
      </c>
      <c r="D24" s="132">
        <v>9.5939999999999994</v>
      </c>
      <c r="E24" s="8"/>
    </row>
    <row r="25" spans="1:5" s="4" customFormat="1">
      <c r="A25" s="506"/>
      <c r="B25" s="124" t="s">
        <v>134</v>
      </c>
      <c r="C25" s="265" t="s">
        <v>21</v>
      </c>
      <c r="D25" s="125">
        <v>0.39000249600000003</v>
      </c>
      <c r="E25" s="8"/>
    </row>
    <row r="26" spans="1:5" s="4" customFormat="1">
      <c r="A26" s="507"/>
      <c r="B26" s="124" t="s">
        <v>135</v>
      </c>
      <c r="C26" s="265" t="s">
        <v>21</v>
      </c>
      <c r="D26" s="125">
        <v>0.19527563999999997</v>
      </c>
      <c r="E26" s="8"/>
    </row>
    <row r="27" spans="1:5" s="4" customFormat="1" ht="31.5">
      <c r="A27" s="505" t="s">
        <v>103</v>
      </c>
      <c r="B27" s="126" t="s">
        <v>136</v>
      </c>
      <c r="C27" s="42" t="s">
        <v>18</v>
      </c>
      <c r="D27" s="132">
        <v>98.1</v>
      </c>
      <c r="E27" s="8"/>
    </row>
    <row r="28" spans="1:5" s="4" customFormat="1">
      <c r="A28" s="506"/>
      <c r="B28" s="124" t="s">
        <v>134</v>
      </c>
      <c r="C28" s="265" t="s">
        <v>21</v>
      </c>
      <c r="D28" s="125">
        <v>4.2572784000000006</v>
      </c>
      <c r="E28" s="8"/>
    </row>
    <row r="29" spans="1:5" s="4" customFormat="1" hidden="1">
      <c r="A29" s="507"/>
      <c r="B29" s="124" t="s">
        <v>135</v>
      </c>
      <c r="C29" s="265" t="s">
        <v>21</v>
      </c>
      <c r="D29" s="125">
        <v>0</v>
      </c>
      <c r="E29" s="8"/>
    </row>
    <row r="30" spans="1:5" s="4" customFormat="1" ht="31.5">
      <c r="A30" s="512" t="s">
        <v>99</v>
      </c>
      <c r="B30" s="255" t="s">
        <v>177</v>
      </c>
      <c r="C30" s="482"/>
      <c r="D30" s="109"/>
      <c r="E30" s="8"/>
    </row>
    <row r="31" spans="1:5" s="4" customFormat="1" ht="31.5">
      <c r="A31" s="513"/>
      <c r="B31" s="256" t="s">
        <v>146</v>
      </c>
      <c r="C31" s="482" t="s">
        <v>11</v>
      </c>
      <c r="D31" s="109">
        <v>280.72000000000008</v>
      </c>
      <c r="E31" s="8"/>
    </row>
    <row r="32" spans="1:5" s="4" customFormat="1">
      <c r="A32" s="513"/>
      <c r="B32" s="257"/>
      <c r="C32" s="482" t="s">
        <v>21</v>
      </c>
      <c r="D32" s="109">
        <v>2.6443824000000005</v>
      </c>
      <c r="E32" s="8"/>
    </row>
    <row r="33" spans="1:5" s="4" customFormat="1" ht="31.5">
      <c r="A33" s="513"/>
      <c r="B33" s="256" t="s">
        <v>271</v>
      </c>
      <c r="C33" s="482" t="s">
        <v>11</v>
      </c>
      <c r="D33" s="109">
        <v>40.590000000000011</v>
      </c>
      <c r="E33" s="8"/>
    </row>
    <row r="34" spans="1:5" s="4" customFormat="1">
      <c r="A34" s="513"/>
      <c r="B34" s="257"/>
      <c r="C34" s="482" t="s">
        <v>21</v>
      </c>
      <c r="D34" s="109">
        <v>0.57353670000000012</v>
      </c>
      <c r="E34" s="8"/>
    </row>
    <row r="35" spans="1:5" s="4" customFormat="1" ht="31.5">
      <c r="A35" s="513"/>
      <c r="B35" s="200" t="s">
        <v>260</v>
      </c>
      <c r="C35" s="482" t="s">
        <v>11</v>
      </c>
      <c r="D35" s="57">
        <v>703.56</v>
      </c>
      <c r="E35" s="8"/>
    </row>
    <row r="36" spans="1:5" s="4" customFormat="1">
      <c r="A36" s="513"/>
      <c r="B36" s="146"/>
      <c r="C36" s="482" t="s">
        <v>21</v>
      </c>
      <c r="D36" s="57">
        <v>2.6524211999999996</v>
      </c>
      <c r="E36" s="8"/>
    </row>
    <row r="37" spans="1:5" s="4" customFormat="1">
      <c r="A37" s="513"/>
      <c r="B37" s="256" t="s">
        <v>143</v>
      </c>
      <c r="C37" s="482" t="s">
        <v>11</v>
      </c>
      <c r="D37" s="109">
        <v>15.84</v>
      </c>
      <c r="E37" s="8"/>
    </row>
    <row r="38" spans="1:5" s="4" customFormat="1">
      <c r="A38" s="513"/>
      <c r="B38" s="257"/>
      <c r="C38" s="482" t="s">
        <v>21</v>
      </c>
      <c r="D38" s="109">
        <v>6.336E-2</v>
      </c>
      <c r="E38" s="8"/>
    </row>
    <row r="39" spans="1:5" s="4" customFormat="1">
      <c r="A39" s="513"/>
      <c r="B39" s="69" t="s">
        <v>270</v>
      </c>
      <c r="C39" s="12" t="s">
        <v>21</v>
      </c>
      <c r="D39" s="133">
        <v>5.9337003000000008</v>
      </c>
      <c r="E39" s="8"/>
    </row>
    <row r="40" spans="1:5" s="4" customFormat="1" ht="31.5">
      <c r="A40" s="481" t="s">
        <v>129</v>
      </c>
      <c r="B40" s="163" t="s">
        <v>116</v>
      </c>
      <c r="C40" s="265" t="s">
        <v>19</v>
      </c>
      <c r="D40" s="132">
        <v>230.012</v>
      </c>
      <c r="E40" s="8"/>
    </row>
    <row r="41" spans="1:5" s="4" customFormat="1" ht="24.75" customHeight="1">
      <c r="A41" s="501" t="s">
        <v>109</v>
      </c>
      <c r="B41" s="524" t="s">
        <v>240</v>
      </c>
      <c r="C41" s="491" t="s">
        <v>11</v>
      </c>
      <c r="D41" s="58">
        <v>106.6</v>
      </c>
      <c r="E41" s="8"/>
    </row>
    <row r="42" spans="1:5" s="4" customFormat="1" ht="24.75" customHeight="1">
      <c r="A42" s="517"/>
      <c r="B42" s="525"/>
      <c r="C42" s="491" t="s">
        <v>19</v>
      </c>
      <c r="D42" s="58">
        <v>479.7</v>
      </c>
      <c r="E42" s="8"/>
    </row>
    <row r="43" spans="1:5" s="4" customFormat="1" ht="31.5">
      <c r="A43" s="502"/>
      <c r="B43" s="112" t="s">
        <v>176</v>
      </c>
      <c r="C43" s="491"/>
      <c r="D43" s="57"/>
      <c r="E43" s="8"/>
    </row>
    <row r="44" spans="1:5" s="4" customFormat="1" ht="31.5">
      <c r="A44" s="397" t="s">
        <v>241</v>
      </c>
      <c r="B44" s="255" t="s">
        <v>201</v>
      </c>
      <c r="C44" s="482"/>
      <c r="D44" s="190"/>
      <c r="E44" s="8"/>
    </row>
    <row r="45" spans="1:5" s="4" customFormat="1" ht="31.5">
      <c r="A45" s="398"/>
      <c r="B45" s="258" t="s">
        <v>268</v>
      </c>
      <c r="C45" s="482" t="s">
        <v>11</v>
      </c>
      <c r="D45" s="190">
        <v>75.240000000000009</v>
      </c>
      <c r="E45" s="8"/>
    </row>
    <row r="46" spans="1:5" s="4" customFormat="1">
      <c r="A46" s="398"/>
      <c r="B46" s="74" t="s">
        <v>266</v>
      </c>
      <c r="C46" s="296" t="s">
        <v>19</v>
      </c>
      <c r="D46" s="71">
        <v>0.32174999999999998</v>
      </c>
      <c r="E46" s="8"/>
    </row>
    <row r="47" spans="1:5" s="4" customFormat="1">
      <c r="A47" s="398"/>
      <c r="B47" s="69" t="s">
        <v>270</v>
      </c>
      <c r="C47" s="12" t="s">
        <v>21</v>
      </c>
      <c r="D47" s="133">
        <v>0.44907637500000003</v>
      </c>
      <c r="E47" s="8"/>
    </row>
    <row r="48" spans="1:5" s="4" customFormat="1" ht="30.75" customHeight="1">
      <c r="A48" s="501" t="s">
        <v>117</v>
      </c>
      <c r="B48" s="524" t="s">
        <v>240</v>
      </c>
      <c r="C48" s="491" t="s">
        <v>11</v>
      </c>
      <c r="D48" s="58">
        <v>29</v>
      </c>
      <c r="E48" s="8"/>
    </row>
    <row r="49" spans="1:5" s="4" customFormat="1" ht="30.75" customHeight="1">
      <c r="A49" s="517"/>
      <c r="B49" s="525"/>
      <c r="C49" s="491" t="s">
        <v>19</v>
      </c>
      <c r="D49" s="58">
        <v>23.200000000000003</v>
      </c>
      <c r="E49" s="8"/>
    </row>
    <row r="50" spans="1:5" s="4" customFormat="1" ht="63">
      <c r="A50" s="482" t="s">
        <v>243</v>
      </c>
      <c r="B50" s="400" t="s">
        <v>242</v>
      </c>
      <c r="C50" s="493" t="s">
        <v>19</v>
      </c>
      <c r="D50" s="190">
        <v>16.708500000000001</v>
      </c>
      <c r="E50" s="8"/>
    </row>
    <row r="51" spans="1:5" s="4" customFormat="1" ht="63">
      <c r="A51" s="475" t="s">
        <v>243</v>
      </c>
      <c r="B51" s="69" t="s">
        <v>244</v>
      </c>
      <c r="C51" s="134" t="s">
        <v>149</v>
      </c>
      <c r="D51" s="71">
        <v>669.9</v>
      </c>
      <c r="E51" s="8"/>
    </row>
    <row r="52" spans="1:5" s="4" customFormat="1" ht="47.25">
      <c r="A52" s="519" t="s">
        <v>254</v>
      </c>
      <c r="B52" s="294" t="s">
        <v>181</v>
      </c>
      <c r="C52" s="295" t="s">
        <v>11</v>
      </c>
      <c r="D52" s="71">
        <v>23</v>
      </c>
      <c r="E52" s="8"/>
    </row>
    <row r="53" spans="1:5" s="4" customFormat="1">
      <c r="A53" s="520"/>
      <c r="B53" s="74" t="s">
        <v>182</v>
      </c>
      <c r="C53" s="296" t="s">
        <v>11</v>
      </c>
      <c r="D53" s="71">
        <v>34.54</v>
      </c>
      <c r="E53" s="8"/>
    </row>
    <row r="54" spans="1:5" s="4" customFormat="1">
      <c r="A54" s="520"/>
      <c r="B54" s="74" t="s">
        <v>184</v>
      </c>
      <c r="C54" s="296" t="s">
        <v>11</v>
      </c>
      <c r="D54" s="71">
        <v>35.508000000000003</v>
      </c>
      <c r="E54" s="8"/>
    </row>
    <row r="55" spans="1:5" s="4" customFormat="1">
      <c r="A55" s="520"/>
      <c r="B55" s="74" t="s">
        <v>266</v>
      </c>
      <c r="C55" s="296" t="s">
        <v>19</v>
      </c>
      <c r="D55" s="71">
        <v>0.59400000000000008</v>
      </c>
      <c r="E55" s="8"/>
    </row>
    <row r="56" spans="1:5" s="4" customFormat="1">
      <c r="A56" s="520"/>
      <c r="B56" s="69" t="s">
        <v>270</v>
      </c>
      <c r="C56" s="68" t="s">
        <v>21</v>
      </c>
      <c r="D56" s="141">
        <v>0.29171691999999999</v>
      </c>
      <c r="E56" s="8"/>
    </row>
    <row r="57" spans="1:5" s="4" customFormat="1" ht="63">
      <c r="A57" s="476" t="s">
        <v>255</v>
      </c>
      <c r="B57" s="69" t="s">
        <v>192</v>
      </c>
      <c r="C57" s="475" t="s">
        <v>19</v>
      </c>
      <c r="D57" s="71">
        <v>11.843999999999999</v>
      </c>
      <c r="E57" s="8"/>
    </row>
    <row r="58" spans="1:5" s="4" customFormat="1" ht="31.5">
      <c r="A58" s="476" t="s">
        <v>256</v>
      </c>
      <c r="B58" s="150" t="s">
        <v>195</v>
      </c>
      <c r="C58" s="273" t="s">
        <v>60</v>
      </c>
      <c r="D58" s="58">
        <v>0.2208</v>
      </c>
      <c r="E58" s="8"/>
    </row>
    <row r="59" spans="1:5" s="4" customFormat="1" ht="31.5">
      <c r="A59" s="476" t="s">
        <v>257</v>
      </c>
      <c r="B59" s="80" t="s">
        <v>198</v>
      </c>
      <c r="C59" s="68" t="s">
        <v>128</v>
      </c>
      <c r="D59" s="71">
        <v>18.400000000000002</v>
      </c>
      <c r="E59" s="8"/>
    </row>
    <row r="60" spans="1:5" s="4" customFormat="1" ht="31.5">
      <c r="A60" s="138" t="s">
        <v>243</v>
      </c>
      <c r="B60" s="139" t="s">
        <v>153</v>
      </c>
      <c r="C60" s="138" t="s">
        <v>14</v>
      </c>
      <c r="D60" s="141">
        <v>2</v>
      </c>
      <c r="E60" s="8"/>
    </row>
    <row r="61" spans="1:5" s="4" customFormat="1" ht="47.25">
      <c r="A61" s="478" t="s">
        <v>246</v>
      </c>
      <c r="B61" s="142" t="s">
        <v>154</v>
      </c>
      <c r="C61" s="68" t="s">
        <v>18</v>
      </c>
      <c r="D61" s="71">
        <v>1.62</v>
      </c>
      <c r="E61" s="8"/>
    </row>
    <row r="62" spans="1:5" s="4" customFormat="1" ht="47.25">
      <c r="A62" s="477" t="s">
        <v>247</v>
      </c>
      <c r="B62" s="145" t="s">
        <v>155</v>
      </c>
      <c r="C62" s="491" t="s">
        <v>18</v>
      </c>
      <c r="D62" s="155">
        <v>0.32400000000000007</v>
      </c>
      <c r="E62" s="8"/>
    </row>
    <row r="63" spans="1:5" s="4" customFormat="1" ht="63">
      <c r="A63" s="477" t="s">
        <v>248</v>
      </c>
      <c r="B63" s="145" t="s">
        <v>157</v>
      </c>
      <c r="C63" s="491" t="s">
        <v>18</v>
      </c>
      <c r="D63" s="155">
        <v>0.2</v>
      </c>
      <c r="E63" s="8"/>
    </row>
    <row r="64" spans="1:5" s="4" customFormat="1" ht="47.25">
      <c r="A64" s="501" t="s">
        <v>249</v>
      </c>
      <c r="B64" s="145" t="s">
        <v>159</v>
      </c>
      <c r="C64" s="491" t="s">
        <v>18</v>
      </c>
      <c r="D64" s="155">
        <v>0.84</v>
      </c>
      <c r="E64" s="8"/>
    </row>
    <row r="65" spans="1:5" s="4" customFormat="1">
      <c r="A65" s="502"/>
      <c r="B65" s="146" t="s">
        <v>161</v>
      </c>
      <c r="C65" s="491" t="s">
        <v>21</v>
      </c>
      <c r="D65" s="76">
        <v>4.3999999999999997E-2</v>
      </c>
      <c r="E65" s="8"/>
    </row>
    <row r="66" spans="1:5" s="4" customFormat="1" ht="31.5">
      <c r="A66" s="519" t="s">
        <v>250</v>
      </c>
      <c r="B66" s="69" t="s">
        <v>162</v>
      </c>
      <c r="C66" s="475"/>
      <c r="D66" s="76"/>
      <c r="E66" s="8"/>
    </row>
    <row r="67" spans="1:5" s="4" customFormat="1">
      <c r="A67" s="520"/>
      <c r="B67" s="538" t="s">
        <v>163</v>
      </c>
      <c r="C67" s="475" t="s">
        <v>11</v>
      </c>
      <c r="D67" s="76">
        <v>12.600000000000001</v>
      </c>
      <c r="E67" s="8"/>
    </row>
    <row r="68" spans="1:5" s="4" customFormat="1">
      <c r="A68" s="520"/>
      <c r="B68" s="539"/>
      <c r="C68" s="148" t="s">
        <v>21</v>
      </c>
      <c r="D68" s="76">
        <v>0.35607600000000006</v>
      </c>
      <c r="E68" s="8"/>
    </row>
    <row r="69" spans="1:5" s="4" customFormat="1">
      <c r="A69" s="520"/>
      <c r="B69" s="151" t="s">
        <v>164</v>
      </c>
      <c r="C69" s="148" t="s">
        <v>19</v>
      </c>
      <c r="D69" s="76">
        <v>0.04</v>
      </c>
      <c r="E69" s="8"/>
    </row>
    <row r="70" spans="1:5" s="4" customFormat="1">
      <c r="A70" s="520"/>
      <c r="B70" s="459"/>
      <c r="C70" s="148" t="s">
        <v>21</v>
      </c>
      <c r="D70" s="76">
        <v>0.02</v>
      </c>
      <c r="E70" s="8"/>
    </row>
    <row r="71" spans="1:5" s="4" customFormat="1">
      <c r="A71" s="520"/>
      <c r="B71" s="151" t="s">
        <v>165</v>
      </c>
      <c r="C71" s="148" t="s">
        <v>19</v>
      </c>
      <c r="D71" s="76">
        <v>0.26</v>
      </c>
      <c r="E71" s="8"/>
    </row>
    <row r="72" spans="1:5" s="4" customFormat="1">
      <c r="A72" s="520"/>
      <c r="B72" s="459"/>
      <c r="C72" s="148" t="s">
        <v>21</v>
      </c>
      <c r="D72" s="76">
        <v>2.5999999999999999E-2</v>
      </c>
      <c r="E72" s="8"/>
    </row>
    <row r="73" spans="1:5" s="4" customFormat="1" ht="31.5">
      <c r="A73" s="520"/>
      <c r="B73" s="74" t="s">
        <v>269</v>
      </c>
      <c r="C73" s="475" t="s">
        <v>14</v>
      </c>
      <c r="D73" s="76">
        <v>8</v>
      </c>
      <c r="E73" s="8"/>
    </row>
    <row r="74" spans="1:5" s="4" customFormat="1">
      <c r="A74" s="520"/>
      <c r="B74" s="69" t="s">
        <v>270</v>
      </c>
      <c r="C74" s="68" t="s">
        <v>21</v>
      </c>
      <c r="D74" s="141">
        <v>0.4020760000000001</v>
      </c>
      <c r="E74" s="8"/>
    </row>
    <row r="75" spans="1:5" s="4" customFormat="1" ht="47.25">
      <c r="A75" s="476" t="s">
        <v>253</v>
      </c>
      <c r="B75" s="479" t="s">
        <v>166</v>
      </c>
      <c r="C75" s="475" t="s">
        <v>19</v>
      </c>
      <c r="D75" s="71">
        <v>7.5</v>
      </c>
      <c r="E75" s="8"/>
    </row>
    <row r="76" spans="1:5" s="4" customFormat="1" ht="94.5">
      <c r="A76" s="518" t="s">
        <v>258</v>
      </c>
      <c r="B76" s="156" t="s">
        <v>259</v>
      </c>
      <c r="C76" s="273" t="s">
        <v>60</v>
      </c>
      <c r="D76" s="190">
        <v>7</v>
      </c>
      <c r="E76" s="8"/>
    </row>
    <row r="77" spans="1:5" s="4" customFormat="1" ht="31.5">
      <c r="A77" s="518"/>
      <c r="B77" s="381" t="s">
        <v>61</v>
      </c>
      <c r="C77" s="273" t="s">
        <v>21</v>
      </c>
      <c r="D77" s="131">
        <v>11.549999999999999</v>
      </c>
      <c r="E77" s="8"/>
    </row>
    <row r="78" spans="1:5" s="4" customFormat="1" ht="31.5">
      <c r="A78" s="518"/>
      <c r="B78" s="199" t="s">
        <v>200</v>
      </c>
      <c r="C78" s="493" t="s">
        <v>21</v>
      </c>
      <c r="D78" s="131">
        <v>7</v>
      </c>
      <c r="E78" s="8"/>
    </row>
    <row r="79" spans="1:5" s="4" customFormat="1">
      <c r="A79" s="39" t="s">
        <v>175</v>
      </c>
      <c r="B79" s="196" t="s">
        <v>119</v>
      </c>
      <c r="C79" s="369"/>
      <c r="D79" s="371"/>
      <c r="E79" s="8"/>
    </row>
    <row r="80" spans="1:5" s="4" customFormat="1">
      <c r="A80" s="394"/>
      <c r="B80" s="395" t="s">
        <v>206</v>
      </c>
      <c r="C80" s="394"/>
      <c r="D80" s="394"/>
      <c r="E80" s="8"/>
    </row>
    <row r="81" spans="1:5" s="4" customFormat="1" ht="31.5">
      <c r="A81" s="486">
        <v>1</v>
      </c>
      <c r="B81" s="411" t="s">
        <v>207</v>
      </c>
      <c r="C81" s="327" t="s">
        <v>18</v>
      </c>
      <c r="D81" s="391">
        <v>21</v>
      </c>
      <c r="E81" s="8"/>
    </row>
    <row r="82" spans="1:5" s="4" customFormat="1" ht="31.5">
      <c r="A82" s="487">
        <v>3</v>
      </c>
      <c r="B82" s="412" t="s">
        <v>111</v>
      </c>
      <c r="C82" s="327" t="s">
        <v>18</v>
      </c>
      <c r="D82" s="392">
        <v>2.1</v>
      </c>
      <c r="E82" s="8"/>
    </row>
    <row r="83" spans="1:5" s="4" customFormat="1" ht="31.5">
      <c r="A83" s="488">
        <v>4</v>
      </c>
      <c r="B83" s="413" t="s">
        <v>112</v>
      </c>
      <c r="C83" s="332" t="s">
        <v>209</v>
      </c>
      <c r="D83" s="393">
        <v>7.5</v>
      </c>
      <c r="E83" s="8"/>
    </row>
    <row r="84" spans="1:5" s="4" customFormat="1" ht="31.5">
      <c r="A84" s="486">
        <v>5</v>
      </c>
      <c r="B84" s="408" t="s">
        <v>262</v>
      </c>
      <c r="C84" s="327" t="s">
        <v>63</v>
      </c>
      <c r="D84" s="391">
        <v>120</v>
      </c>
      <c r="E84" s="8"/>
    </row>
    <row r="85" spans="1:5" s="4" customFormat="1" ht="31.5">
      <c r="A85" s="489">
        <v>6</v>
      </c>
      <c r="B85" s="416" t="s">
        <v>113</v>
      </c>
      <c r="C85" s="334" t="s">
        <v>71</v>
      </c>
      <c r="D85" s="166">
        <v>120</v>
      </c>
      <c r="E85" s="8"/>
    </row>
    <row r="86" spans="1:5" s="4" customFormat="1" ht="31.5">
      <c r="A86" s="490">
        <v>7</v>
      </c>
      <c r="B86" s="419" t="s">
        <v>274</v>
      </c>
      <c r="C86" s="337" t="s">
        <v>213</v>
      </c>
      <c r="D86" s="66">
        <v>15</v>
      </c>
      <c r="E86" s="8"/>
    </row>
    <row r="87" spans="1:5" s="4" customFormat="1" ht="31.5">
      <c r="A87" s="556">
        <v>9</v>
      </c>
      <c r="B87" s="421" t="s">
        <v>215</v>
      </c>
      <c r="C87" s="340" t="s">
        <v>18</v>
      </c>
      <c r="D87" s="392">
        <v>7.5</v>
      </c>
      <c r="E87" s="8"/>
    </row>
    <row r="88" spans="1:5" s="4" customFormat="1">
      <c r="A88" s="557"/>
      <c r="B88" s="422"/>
      <c r="C88" s="340" t="s">
        <v>80</v>
      </c>
      <c r="D88" s="392">
        <v>14.625</v>
      </c>
      <c r="E88" s="19"/>
    </row>
    <row r="89" spans="1:5" s="4" customFormat="1" ht="31.5">
      <c r="A89" s="247">
        <v>10</v>
      </c>
      <c r="B89" s="424" t="s">
        <v>234</v>
      </c>
      <c r="C89" s="334" t="s">
        <v>80</v>
      </c>
      <c r="D89" s="166">
        <v>14.625</v>
      </c>
      <c r="E89" s="19"/>
    </row>
    <row r="90" spans="1:5" s="4" customFormat="1">
      <c r="A90" s="394"/>
      <c r="B90" s="395" t="s">
        <v>218</v>
      </c>
      <c r="C90" s="394"/>
      <c r="D90" s="394"/>
      <c r="E90" s="19"/>
    </row>
    <row r="91" spans="1:5" s="4" customFormat="1" ht="47.25">
      <c r="A91" s="559" t="s">
        <v>106</v>
      </c>
      <c r="B91" s="156" t="s">
        <v>220</v>
      </c>
      <c r="C91" s="491" t="s">
        <v>98</v>
      </c>
      <c r="D91" s="58">
        <v>12</v>
      </c>
      <c r="E91" s="19"/>
    </row>
    <row r="92" spans="1:5" s="4" customFormat="1">
      <c r="A92" s="559"/>
      <c r="B92" s="136" t="s">
        <v>239</v>
      </c>
      <c r="C92" s="491"/>
      <c r="D92" s="57"/>
      <c r="E92" s="19"/>
    </row>
    <row r="93" spans="1:5" s="4" customFormat="1" ht="47.25">
      <c r="A93" s="501" t="s">
        <v>107</v>
      </c>
      <c r="B93" s="156" t="s">
        <v>222</v>
      </c>
      <c r="C93" s="491" t="s">
        <v>66</v>
      </c>
      <c r="D93" s="58">
        <v>150</v>
      </c>
      <c r="E93" s="19"/>
    </row>
    <row r="94" spans="1:5" s="4" customFormat="1">
      <c r="A94" s="517"/>
      <c r="B94" s="228" t="s">
        <v>120</v>
      </c>
      <c r="C94" s="64" t="s">
        <v>65</v>
      </c>
      <c r="D94" s="65">
        <v>7.5</v>
      </c>
      <c r="E94" s="19"/>
    </row>
    <row r="95" spans="1:5" s="4" customFormat="1">
      <c r="A95" s="517"/>
      <c r="B95" s="228" t="s">
        <v>27</v>
      </c>
      <c r="C95" s="64" t="s">
        <v>24</v>
      </c>
      <c r="D95" s="65">
        <v>7.26</v>
      </c>
      <c r="E95" s="19"/>
    </row>
    <row r="96" spans="1:5" s="4" customFormat="1">
      <c r="A96" s="517"/>
      <c r="B96" s="136" t="s">
        <v>275</v>
      </c>
      <c r="C96" s="64" t="s">
        <v>11</v>
      </c>
      <c r="D96" s="65">
        <v>100</v>
      </c>
      <c r="E96" s="19"/>
    </row>
    <row r="97" spans="1:5" s="4" customFormat="1">
      <c r="A97" s="517"/>
      <c r="B97" s="136" t="s">
        <v>235</v>
      </c>
      <c r="C97" s="64" t="s">
        <v>11</v>
      </c>
      <c r="D97" s="65">
        <v>50</v>
      </c>
      <c r="E97" s="19"/>
    </row>
    <row r="98" spans="1:5" s="4" customFormat="1">
      <c r="A98" s="510" t="s">
        <v>101</v>
      </c>
      <c r="B98" s="156" t="s">
        <v>121</v>
      </c>
      <c r="C98" s="491"/>
      <c r="D98" s="65">
        <v>1</v>
      </c>
      <c r="E98" s="19"/>
    </row>
    <row r="99" spans="1:5" s="4" customFormat="1">
      <c r="A99" s="551"/>
      <c r="B99" s="136" t="s">
        <v>237</v>
      </c>
      <c r="C99" s="491" t="s">
        <v>14</v>
      </c>
      <c r="D99" s="65">
        <v>6</v>
      </c>
      <c r="E99" s="19"/>
    </row>
    <row r="100" spans="1:5" s="4" customFormat="1">
      <c r="A100" s="551"/>
      <c r="B100" s="136" t="s">
        <v>236</v>
      </c>
      <c r="C100" s="491" t="s">
        <v>14</v>
      </c>
      <c r="D100" s="65">
        <v>6</v>
      </c>
      <c r="E100" s="19"/>
    </row>
    <row r="101" spans="1:5" s="4" customFormat="1">
      <c r="A101" s="491" t="s">
        <v>101</v>
      </c>
      <c r="B101" s="156" t="s">
        <v>70</v>
      </c>
      <c r="C101" s="491"/>
      <c r="D101" s="220"/>
      <c r="E101" s="19"/>
    </row>
    <row r="102" spans="1:5" s="4" customFormat="1" ht="31.5">
      <c r="A102" s="526" t="s">
        <v>276</v>
      </c>
      <c r="B102" s="69" t="s">
        <v>277</v>
      </c>
      <c r="C102" s="70" t="s">
        <v>14</v>
      </c>
      <c r="D102" s="71">
        <v>6</v>
      </c>
      <c r="E102" s="19"/>
    </row>
    <row r="103" spans="1:5" s="4" customFormat="1" ht="30.75">
      <c r="A103" s="541"/>
      <c r="B103" s="74" t="s">
        <v>223</v>
      </c>
      <c r="C103" s="79"/>
      <c r="D103" s="76"/>
      <c r="E103" s="19"/>
    </row>
    <row r="104" spans="1:5" s="4" customFormat="1" ht="47.25">
      <c r="A104" s="523" t="s">
        <v>279</v>
      </c>
      <c r="B104" s="69" t="s">
        <v>123</v>
      </c>
      <c r="C104" s="79" t="s">
        <v>11</v>
      </c>
      <c r="D104" s="71">
        <v>12</v>
      </c>
      <c r="E104" s="19"/>
    </row>
    <row r="105" spans="1:5" s="4" customFormat="1">
      <c r="A105" s="523"/>
      <c r="B105" s="77" t="s">
        <v>238</v>
      </c>
      <c r="C105" s="79"/>
      <c r="D105" s="71"/>
      <c r="E105" s="19"/>
    </row>
    <row r="106" spans="1:5" s="4" customFormat="1">
      <c r="A106" s="39" t="s">
        <v>286</v>
      </c>
      <c r="B106" s="196" t="s">
        <v>226</v>
      </c>
      <c r="C106" s="383"/>
      <c r="D106" s="194"/>
      <c r="E106" s="19"/>
    </row>
    <row r="107" spans="1:5" s="4" customFormat="1" ht="47.25">
      <c r="A107" s="283" t="s">
        <v>100</v>
      </c>
      <c r="B107" s="240" t="s">
        <v>168</v>
      </c>
      <c r="C107" s="373" t="s">
        <v>52</v>
      </c>
      <c r="D107" s="190">
        <v>2</v>
      </c>
      <c r="E107" s="19"/>
    </row>
    <row r="108" spans="1:5" s="4" customFormat="1" ht="49.5">
      <c r="A108" s="491" t="s">
        <v>101</v>
      </c>
      <c r="B108" s="104" t="s">
        <v>273</v>
      </c>
      <c r="C108" s="374" t="s">
        <v>169</v>
      </c>
      <c r="D108" s="190">
        <v>2</v>
      </c>
      <c r="E108" s="19"/>
    </row>
    <row r="109" spans="1:5" s="4" customFormat="1">
      <c r="A109" s="380"/>
      <c r="B109" s="112"/>
      <c r="C109" s="283"/>
      <c r="D109" s="57"/>
      <c r="E109" s="19"/>
    </row>
    <row r="111" spans="1:5">
      <c r="B111" s="51"/>
      <c r="C111" s="29"/>
      <c r="D111" s="28"/>
      <c r="E111" s="88"/>
    </row>
    <row r="112" spans="1:5">
      <c r="B112" s="24"/>
      <c r="C112" s="27"/>
      <c r="D112" s="27"/>
      <c r="E112" s="89"/>
    </row>
    <row r="113" spans="2:5">
      <c r="B113" s="563"/>
      <c r="C113" s="563"/>
      <c r="D113" s="563"/>
      <c r="E113" s="90"/>
    </row>
  </sheetData>
  <mergeCells count="24">
    <mergeCell ref="A1:E1"/>
    <mergeCell ref="A3:E3"/>
    <mergeCell ref="A52:A56"/>
    <mergeCell ref="A87:A88"/>
    <mergeCell ref="A91:A92"/>
    <mergeCell ref="A48:A49"/>
    <mergeCell ref="A64:A65"/>
    <mergeCell ref="A66:A74"/>
    <mergeCell ref="A76:A78"/>
    <mergeCell ref="B113:D113"/>
    <mergeCell ref="B41:B42"/>
    <mergeCell ref="B48:B49"/>
    <mergeCell ref="B67:B68"/>
    <mergeCell ref="A9:A10"/>
    <mergeCell ref="A12:A14"/>
    <mergeCell ref="A21:A23"/>
    <mergeCell ref="A24:A26"/>
    <mergeCell ref="A27:A29"/>
    <mergeCell ref="A30:A39"/>
    <mergeCell ref="A41:A43"/>
    <mergeCell ref="A93:A97"/>
    <mergeCell ref="A98:A100"/>
    <mergeCell ref="A102:A103"/>
    <mergeCell ref="A104:A105"/>
  </mergeCells>
  <conditionalFormatting sqref="B51:C51">
    <cfRule type="cellIs" dxfId="0" priority="10" stopIfTrue="1" operator="equal">
      <formula>8223.307275</formula>
    </cfRule>
  </conditionalFormatting>
  <pageMargins left="0.59055118110236227" right="0.11" top="1.0629921259842521" bottom="0.51181102362204722" header="0.86614173228346458" footer="0.35433070866141736"/>
  <pageSetup paperSize="9" orientation="portrait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krebsiti</vt:lpstr>
      <vt:lpstr>#1</vt:lpstr>
      <vt:lpstr>#2</vt:lpstr>
      <vt:lpstr>#3</vt:lpstr>
      <vt:lpstr>moc.uwy.</vt:lpstr>
      <vt:lpstr>'#1'!Print_Area</vt:lpstr>
      <vt:lpstr>'#2'!Print_Area</vt:lpstr>
      <vt:lpstr>'#3'!Print_Area</vt:lpstr>
      <vt:lpstr>krebsiti!Print_Area</vt:lpstr>
      <vt:lpstr>moc.uwy.!Print_Area</vt:lpstr>
      <vt:lpstr>'#1'!Print_Titles</vt:lpstr>
      <vt:lpstr>'#2'!Print_Titles</vt:lpstr>
      <vt:lpstr>'#3'!Print_Titles</vt:lpstr>
      <vt:lpstr>krebsiti!Print_Titles</vt:lpstr>
      <vt:lpstr>moc.uwy.!Print_Titles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2021-06-16T07:42:36Z</dcterms:modified>
</cp:coreProperties>
</file>