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20" tabRatio="709" activeTab="4"/>
  </bookViews>
  <sheets>
    <sheet name="krebsiti" sheetId="25" r:id="rId1"/>
    <sheet name="#3-1" sheetId="22" r:id="rId2"/>
    <sheet name="#3-2" sheetId="23" r:id="rId3"/>
    <sheet name="#3-3" sheetId="24" r:id="rId4"/>
    <sheet name="#3-4" sheetId="26" r:id="rId5"/>
  </sheets>
  <definedNames>
    <definedName name="_xlnm.Print_Area" localSheetId="1">'#3-1'!$A$1:$M$335</definedName>
    <definedName name="_xlnm.Print_Area" localSheetId="2">'#3-2'!$A$1:$M$95</definedName>
    <definedName name="_xlnm.Print_Area" localSheetId="3">'#3-3'!$A$1:$M$143</definedName>
    <definedName name="_xlnm.Print_Area" localSheetId="4">'#3-4'!$A$1:$M$36</definedName>
    <definedName name="_xlnm.Print_Area" localSheetId="0">krebsiti!$A$1:$G$28</definedName>
    <definedName name="_xlnm.Print_Titles" localSheetId="1">'#3-1'!$9:$9</definedName>
    <definedName name="_xlnm.Print_Titles" localSheetId="2">'#3-2'!$9:$9</definedName>
    <definedName name="_xlnm.Print_Titles" localSheetId="3">'#3-3'!$9:$9</definedName>
    <definedName name="_xlnm.Print_Titles" localSheetId="4">'#3-4'!$9:$9</definedName>
    <definedName name="_xlnm.Print_Titles" localSheetId="0">krebsiti!$7:$7</definedName>
  </definedNames>
  <calcPr calcId="162913"/>
</workbook>
</file>

<file path=xl/calcChain.xml><?xml version="1.0" encoding="utf-8"?>
<calcChain xmlns="http://schemas.openxmlformats.org/spreadsheetml/2006/main">
  <c r="F51" i="23" l="1"/>
  <c r="F159" i="22"/>
  <c r="O120" i="22" l="1"/>
  <c r="F31" i="23" l="1"/>
  <c r="F28" i="23"/>
  <c r="F23" i="23"/>
  <c r="F20" i="23"/>
  <c r="F16" i="23"/>
  <c r="F292" i="22" l="1"/>
  <c r="F296" i="22" s="1"/>
  <c r="F278" i="22"/>
  <c r="F285" i="22" s="1"/>
  <c r="F253" i="22"/>
  <c r="F259" i="22" s="1"/>
  <c r="F264" i="22" s="1"/>
  <c r="F291" i="22"/>
  <c r="F290" i="22"/>
  <c r="F289" i="22"/>
  <c r="F288" i="22"/>
  <c r="F256" i="22" l="1"/>
  <c r="F280" i="22"/>
  <c r="F257" i="22"/>
  <c r="F258" i="22"/>
  <c r="F284" i="22"/>
  <c r="F254" i="22"/>
  <c r="F270" i="22"/>
  <c r="F276" i="22" s="1"/>
  <c r="F286" i="22"/>
  <c r="F279" i="22"/>
  <c r="F283" i="22"/>
  <c r="F281" i="22"/>
  <c r="F255" i="22"/>
  <c r="F295" i="22"/>
  <c r="F299" i="22"/>
  <c r="F294" i="22"/>
  <c r="F298" i="22"/>
  <c r="F293" i="22"/>
  <c r="F297" i="22"/>
  <c r="F263" i="22"/>
  <c r="F262" i="22"/>
  <c r="F266" i="22"/>
  <c r="F261" i="22"/>
  <c r="F265" i="22"/>
  <c r="F260" i="22"/>
  <c r="F275" i="22" l="1"/>
  <c r="F272" i="22"/>
  <c r="F274" i="22"/>
  <c r="F271" i="22"/>
  <c r="F277" i="22"/>
  <c r="F273" i="22"/>
  <c r="F267" i="22"/>
  <c r="F268" i="22"/>
  <c r="F269" i="22"/>
  <c r="F210" i="22" l="1"/>
  <c r="F209" i="22"/>
  <c r="F205" i="22" l="1"/>
  <c r="F208" i="22" s="1"/>
  <c r="F207" i="22" l="1"/>
  <c r="F206" i="22"/>
  <c r="F190" i="22" l="1"/>
  <c r="F193" i="22" s="1"/>
  <c r="F187" i="22"/>
  <c r="F189" i="22" l="1"/>
  <c r="F188" i="22"/>
  <c r="F195" i="22"/>
  <c r="F194" i="22"/>
  <c r="F192" i="22"/>
  <c r="F191" i="22"/>
  <c r="F62" i="22" l="1"/>
  <c r="F63" i="22" s="1"/>
  <c r="F65" i="22" s="1"/>
  <c r="F21" i="22"/>
  <c r="F56" i="22" s="1"/>
  <c r="F22" i="22" l="1"/>
  <c r="F60" i="22"/>
  <c r="F69" i="22"/>
  <c r="F57" i="22"/>
  <c r="F58" i="22"/>
  <c r="F61" i="22"/>
  <c r="F59" i="22"/>
  <c r="F68" i="22"/>
  <c r="F64" i="22"/>
  <c r="F67" i="22"/>
  <c r="F66" i="22"/>
  <c r="F23" i="22"/>
  <c r="F73" i="22" l="1"/>
  <c r="F71" i="22"/>
  <c r="F74" i="22"/>
  <c r="F70" i="22"/>
  <c r="F72" i="22"/>
  <c r="F47" i="22"/>
  <c r="F18" i="22"/>
  <c r="F40" i="22" s="1"/>
  <c r="F151" i="22" l="1"/>
  <c r="F121" i="24" l="1"/>
  <c r="F120" i="24"/>
  <c r="F118" i="24"/>
  <c r="F117" i="24"/>
  <c r="F119" i="24" s="1"/>
  <c r="F115" i="24"/>
  <c r="F114" i="24"/>
  <c r="F113" i="24"/>
  <c r="F110" i="24" l="1"/>
  <c r="E111" i="24"/>
  <c r="F111" i="24" s="1"/>
  <c r="E109" i="24"/>
  <c r="F109" i="24" s="1"/>
  <c r="E108" i="24"/>
  <c r="F108" i="24" s="1"/>
  <c r="F102" i="24"/>
  <c r="F104" i="24" s="1"/>
  <c r="E101" i="24"/>
  <c r="E100" i="24"/>
  <c r="E98" i="24"/>
  <c r="E97" i="24"/>
  <c r="F96" i="24"/>
  <c r="E94" i="24"/>
  <c r="F90" i="24"/>
  <c r="F95" i="24" s="1"/>
  <c r="F84" i="24"/>
  <c r="F88" i="24" s="1"/>
  <c r="E89" i="24"/>
  <c r="E86" i="24"/>
  <c r="E85" i="24"/>
  <c r="F124" i="24"/>
  <c r="F83" i="24"/>
  <c r="F82" i="24"/>
  <c r="F81" i="24"/>
  <c r="F80" i="24"/>
  <c r="F74" i="24"/>
  <c r="F75" i="24" s="1"/>
  <c r="F69" i="24"/>
  <c r="F73" i="24" s="1"/>
  <c r="F89" i="24" l="1"/>
  <c r="F98" i="24"/>
  <c r="F106" i="24"/>
  <c r="F94" i="24"/>
  <c r="F103" i="24"/>
  <c r="F92" i="24"/>
  <c r="F100" i="24"/>
  <c r="F101" i="24"/>
  <c r="F91" i="24"/>
  <c r="F97" i="24"/>
  <c r="F86" i="24"/>
  <c r="F85" i="24"/>
  <c r="F78" i="24"/>
  <c r="F76" i="24"/>
  <c r="F71" i="24"/>
  <c r="F70" i="24"/>
  <c r="F68" i="23" l="1"/>
  <c r="F55" i="23"/>
  <c r="F49" i="23"/>
  <c r="F48" i="23"/>
  <c r="F13" i="23"/>
  <c r="F37" i="23" l="1"/>
  <c r="F18" i="23"/>
  <c r="F33" i="23"/>
  <c r="F220" i="22" l="1"/>
  <c r="F216" i="22"/>
  <c r="F217" i="22" s="1"/>
  <c r="F245" i="22" l="1"/>
  <c r="F248" i="22" s="1"/>
  <c r="F223" i="22"/>
  <c r="F219" i="22"/>
  <c r="F222" i="22"/>
  <c r="F226" i="22"/>
  <c r="F221" i="22"/>
  <c r="F225" i="22"/>
  <c r="F218" i="22"/>
  <c r="F224" i="22"/>
  <c r="F247" i="22" l="1"/>
  <c r="F249" i="22"/>
  <c r="F250" i="22"/>
  <c r="F246" i="22"/>
  <c r="F251" i="22"/>
  <c r="F239" i="22"/>
  <c r="F242" i="22" s="1"/>
  <c r="E241" i="22"/>
  <c r="E240" i="22"/>
  <c r="F234" i="22"/>
  <c r="F236" i="22" s="1"/>
  <c r="F227" i="22"/>
  <c r="F211" i="22"/>
  <c r="E215" i="22"/>
  <c r="E214" i="22"/>
  <c r="E213" i="22"/>
  <c r="E212" i="22"/>
  <c r="F196" i="22"/>
  <c r="F178" i="22"/>
  <c r="F180" i="22" s="1"/>
  <c r="F172" i="22"/>
  <c r="F175" i="22" l="1"/>
  <c r="F176" i="22" s="1"/>
  <c r="F237" i="22"/>
  <c r="F241" i="22"/>
  <c r="F213" i="22"/>
  <c r="F197" i="22"/>
  <c r="F300" i="22"/>
  <c r="F304" i="22" s="1"/>
  <c r="F174" i="22"/>
  <c r="F215" i="22"/>
  <c r="F238" i="22"/>
  <c r="F182" i="22"/>
  <c r="F181" i="22"/>
  <c r="F179" i="22"/>
  <c r="F240" i="22"/>
  <c r="F244" i="22"/>
  <c r="F243" i="22"/>
  <c r="F235" i="22"/>
  <c r="F183" i="22"/>
  <c r="F186" i="22" s="1"/>
  <c r="F214" i="22"/>
  <c r="F212" i="22"/>
  <c r="F198" i="22"/>
  <c r="F173" i="22"/>
  <c r="F177" i="22" l="1"/>
  <c r="F199" i="22"/>
  <c r="F200" i="22" s="1"/>
  <c r="F201" i="22"/>
  <c r="F185" i="22"/>
  <c r="F303" i="22"/>
  <c r="F305" i="22"/>
  <c r="F302" i="22"/>
  <c r="F301" i="22"/>
  <c r="F184" i="22"/>
  <c r="F231" i="22"/>
  <c r="F228" i="22"/>
  <c r="F232" i="22"/>
  <c r="F229" i="22"/>
  <c r="F233" i="22"/>
  <c r="F309" i="22" l="1"/>
  <c r="F312" i="22"/>
  <c r="F308" i="22"/>
  <c r="F310" i="22"/>
  <c r="F307" i="22"/>
  <c r="F311" i="22"/>
  <c r="F306" i="22"/>
  <c r="F202" i="22"/>
  <c r="F203" i="22"/>
  <c r="F135" i="22" l="1"/>
  <c r="F130" i="22"/>
  <c r="F125" i="22"/>
  <c r="E145" i="22"/>
  <c r="E140" i="22"/>
  <c r="E133" i="22"/>
  <c r="F141" i="22" l="1"/>
  <c r="F137" i="22"/>
  <c r="F140" i="22"/>
  <c r="F139" i="22"/>
  <c r="F136" i="22"/>
  <c r="F138" i="22"/>
  <c r="F143" i="22"/>
  <c r="F148" i="22" l="1"/>
  <c r="F147" i="22"/>
  <c r="F145" i="22"/>
  <c r="F146" i="22"/>
  <c r="F144" i="22"/>
  <c r="F133" i="22"/>
  <c r="F132" i="22"/>
  <c r="F134" i="22"/>
  <c r="F131" i="22"/>
  <c r="F126" i="22"/>
  <c r="F127" i="22"/>
  <c r="F129" i="22" l="1"/>
  <c r="F128" i="22"/>
  <c r="F15" i="22" l="1"/>
  <c r="F109" i="22"/>
  <c r="E103" i="22"/>
  <c r="F33" i="22" l="1"/>
  <c r="F34" i="22" s="1"/>
  <c r="F31" i="22"/>
  <c r="F32" i="22" s="1"/>
  <c r="F105" i="22"/>
  <c r="F106" i="22" s="1"/>
  <c r="F107" i="22" s="1"/>
  <c r="F95" i="22"/>
  <c r="F97" i="22" s="1"/>
  <c r="F99" i="22" s="1"/>
  <c r="F100" i="22"/>
  <c r="F103" i="22" s="1"/>
  <c r="F117" i="22"/>
  <c r="F119" i="22" s="1"/>
  <c r="F111" i="22"/>
  <c r="F116" i="22" s="1"/>
  <c r="F110" i="22" l="1"/>
  <c r="F108" i="22"/>
  <c r="F98" i="22"/>
  <c r="F96" i="22"/>
  <c r="F102" i="22"/>
  <c r="F115" i="22"/>
  <c r="F104" i="22"/>
  <c r="F101" i="22"/>
  <c r="F114" i="22"/>
  <c r="F121" i="22"/>
  <c r="F118" i="22"/>
  <c r="F120" i="22"/>
  <c r="F113" i="22"/>
  <c r="F112" i="22"/>
  <c r="F122" i="22"/>
  <c r="F35" i="22"/>
  <c r="F142" i="22" l="1"/>
  <c r="F82" i="22" l="1"/>
  <c r="F77" i="22"/>
  <c r="F50" i="22" l="1"/>
  <c r="F49" i="22" l="1"/>
  <c r="F48" i="22"/>
  <c r="F51" i="22"/>
  <c r="F52" i="22"/>
  <c r="F66" i="24" l="1"/>
  <c r="F65" i="24"/>
  <c r="F64" i="24"/>
  <c r="F63" i="24"/>
  <c r="F62" i="24"/>
  <c r="E59" i="24"/>
  <c r="F58" i="24"/>
  <c r="F60" i="24" s="1"/>
  <c r="E57" i="24"/>
  <c r="E55" i="24"/>
  <c r="D55" i="24"/>
  <c r="E54" i="24"/>
  <c r="E53" i="24"/>
  <c r="F52" i="24"/>
  <c r="E50" i="24"/>
  <c r="F49" i="24"/>
  <c r="F51" i="24" s="1"/>
  <c r="F44" i="24"/>
  <c r="F45" i="24" s="1"/>
  <c r="F73" i="23"/>
  <c r="F74" i="23" s="1"/>
  <c r="F72" i="23"/>
  <c r="F70" i="23"/>
  <c r="F69" i="23"/>
  <c r="F52" i="23"/>
  <c r="F26" i="23"/>
  <c r="F25" i="23"/>
  <c r="F316" i="22"/>
  <c r="F166" i="22"/>
  <c r="F75" i="23" l="1"/>
  <c r="F46" i="24"/>
  <c r="F48" i="24" s="1"/>
  <c r="F50" i="24"/>
  <c r="F53" i="24"/>
  <c r="F59" i="24"/>
  <c r="F47" i="24"/>
  <c r="F54" i="24"/>
  <c r="F55" i="24"/>
  <c r="F57" i="24"/>
  <c r="F77" i="23"/>
  <c r="F24" i="23"/>
  <c r="F27" i="23"/>
  <c r="A1" i="26" l="1"/>
  <c r="A1" i="24"/>
  <c r="A1" i="23"/>
  <c r="A1" i="22"/>
  <c r="F42" i="24" l="1"/>
  <c r="F41" i="24"/>
  <c r="F40" i="24"/>
  <c r="F39" i="24"/>
  <c r="F34" i="24"/>
  <c r="F36" i="24" s="1"/>
  <c r="F29" i="24"/>
  <c r="F30" i="24" s="1"/>
  <c r="E27" i="24"/>
  <c r="F26" i="24"/>
  <c r="F28" i="24" s="1"/>
  <c r="F21" i="24"/>
  <c r="F25" i="24" s="1"/>
  <c r="E19" i="24"/>
  <c r="F18" i="24"/>
  <c r="F20" i="24" s="1"/>
  <c r="F13" i="24"/>
  <c r="F58" i="23"/>
  <c r="F45" i="23"/>
  <c r="F46" i="23" s="1"/>
  <c r="F38" i="23"/>
  <c r="F32" i="23"/>
  <c r="F30" i="23"/>
  <c r="E29" i="23"/>
  <c r="F29" i="23" s="1"/>
  <c r="F21" i="23"/>
  <c r="F22" i="23"/>
  <c r="F19" i="23"/>
  <c r="F17" i="23"/>
  <c r="F318" i="22"/>
  <c r="F315" i="22"/>
  <c r="F168" i="22"/>
  <c r="F167" i="22"/>
  <c r="F161" i="22"/>
  <c r="E153" i="22"/>
  <c r="F153" i="22" s="1"/>
  <c r="E152" i="22"/>
  <c r="F152" i="22" s="1"/>
  <c r="E93" i="22"/>
  <c r="E92" i="22"/>
  <c r="E91" i="22"/>
  <c r="E89" i="22"/>
  <c r="F87" i="22"/>
  <c r="F88" i="22" s="1"/>
  <c r="F84" i="22"/>
  <c r="F53" i="22"/>
  <c r="F45" i="22"/>
  <c r="F44" i="22"/>
  <c r="F43" i="22"/>
  <c r="F42" i="22"/>
  <c r="F41" i="22"/>
  <c r="F20" i="22"/>
  <c r="F19" i="22"/>
  <c r="F17" i="22"/>
  <c r="F14" i="22"/>
  <c r="F13" i="22"/>
  <c r="F14" i="24" l="1"/>
  <c r="F15" i="24"/>
  <c r="F78" i="22"/>
  <c r="F79" i="22"/>
  <c r="F19" i="24"/>
  <c r="F37" i="24"/>
  <c r="F35" i="24"/>
  <c r="F22" i="24"/>
  <c r="F34" i="23"/>
  <c r="F36" i="23"/>
  <c r="F83" i="22"/>
  <c r="F85" i="22"/>
  <c r="F89" i="22"/>
  <c r="F86" i="22"/>
  <c r="F16" i="22"/>
  <c r="F160" i="22"/>
  <c r="F24" i="24"/>
  <c r="F27" i="24"/>
  <c r="F33" i="24"/>
  <c r="F23" i="24"/>
  <c r="F31" i="24"/>
  <c r="F50" i="23"/>
  <c r="F47" i="23"/>
  <c r="F35" i="23"/>
  <c r="F165" i="22"/>
  <c r="F169" i="22"/>
  <c r="F163" i="22"/>
  <c r="F170" i="22"/>
  <c r="F164" i="22"/>
  <c r="F162" i="22"/>
  <c r="F90" i="22"/>
  <c r="F91" i="22"/>
  <c r="F92" i="22"/>
  <c r="F93" i="22"/>
  <c r="F317" i="22"/>
  <c r="N21" i="26" l="1"/>
  <c r="F16" i="24"/>
  <c r="F17" i="24"/>
  <c r="F80" i="22"/>
  <c r="F81" i="22"/>
  <c r="N39" i="23" l="1"/>
  <c r="N79" i="23"/>
  <c r="N321" i="22" l="1"/>
  <c r="N129" i="24"/>
  <c r="D22" i="25" l="1"/>
  <c r="G22" i="25" s="1"/>
  <c r="D19" i="25"/>
  <c r="G15" i="25"/>
  <c r="G11" i="25"/>
  <c r="D21" i="25" l="1"/>
  <c r="G19" i="25"/>
  <c r="D20" i="25" l="1"/>
  <c r="G21" i="25"/>
  <c r="G16" i="25"/>
  <c r="G10" i="25"/>
  <c r="G9" i="25" l="1"/>
  <c r="G20" i="25" l="1"/>
  <c r="G14" i="25"/>
  <c r="G24" i="25" l="1"/>
</calcChain>
</file>

<file path=xl/sharedStrings.xml><?xml version="1.0" encoding="utf-8"?>
<sst xmlns="http://schemas.openxmlformats.org/spreadsheetml/2006/main" count="1360" uniqueCount="505">
  <si>
    <t>##</t>
  </si>
  <si>
    <t>სამუშაოს დასახელება</t>
  </si>
  <si>
    <t>განზ/ ერთეული</t>
  </si>
  <si>
    <t>მოცულობა</t>
  </si>
  <si>
    <t>gauTvaliswinebeli xarjebi</t>
  </si>
  <si>
    <t>kg</t>
  </si>
  <si>
    <t>sul</t>
  </si>
  <si>
    <t>lari</t>
  </si>
  <si>
    <t>sxva manqanebi</t>
  </si>
  <si>
    <t>kac/sT</t>
  </si>
  <si>
    <t>sxva masalebi</t>
  </si>
  <si>
    <t>I</t>
  </si>
  <si>
    <t>m3</t>
  </si>
  <si>
    <t>erTeulze</t>
  </si>
  <si>
    <t>SromiTi resursebi</t>
  </si>
  <si>
    <t>k/sT</t>
  </si>
  <si>
    <t>m/sT</t>
  </si>
  <si>
    <t>sxva xarjebi</t>
  </si>
  <si>
    <t>manqanebi</t>
  </si>
  <si>
    <t>sabazro</t>
  </si>
  <si>
    <t>jami</t>
  </si>
  <si>
    <t>კ/სთ</t>
  </si>
  <si>
    <t>ლარი</t>
  </si>
  <si>
    <t>cali</t>
  </si>
  <si>
    <t>saerTo samSeneblo samuSaoebi</t>
  </si>
  <si>
    <t>დასაბუთება</t>
  </si>
  <si>
    <t>normatiuli resursi</t>
  </si>
  <si>
    <t>მასალა</t>
  </si>
  <si>
    <t>ხელფასი</t>
  </si>
  <si>
    <t>manqana-meqanizmebi</t>
  </si>
  <si>
    <t>სულ დანახარჯები</t>
  </si>
  <si>
    <t>ერთეულის</t>
  </si>
  <si>
    <t>სულ</t>
  </si>
  <si>
    <r>
      <t>m</t>
    </r>
    <r>
      <rPr>
        <b/>
        <vertAlign val="superscript"/>
        <sz val="10"/>
        <rFont val="AcadNusx"/>
      </rPr>
      <t>2</t>
    </r>
  </si>
  <si>
    <t>1504</t>
  </si>
  <si>
    <t>1554</t>
  </si>
  <si>
    <r>
      <t>m</t>
    </r>
    <r>
      <rPr>
        <vertAlign val="superscript"/>
        <sz val="10"/>
        <rFont val="AcadNusx"/>
      </rPr>
      <t>3</t>
    </r>
  </si>
  <si>
    <t>RorRi</t>
  </si>
  <si>
    <t>1-80-7</t>
  </si>
  <si>
    <r>
      <t>m</t>
    </r>
    <r>
      <rPr>
        <b/>
        <vertAlign val="superscript"/>
        <sz val="10"/>
        <rFont val="AcadNusx"/>
      </rPr>
      <t>3</t>
    </r>
  </si>
  <si>
    <t xml:space="preserve">SromiTi resursebi                                                </t>
  </si>
  <si>
    <t>11-1-6</t>
  </si>
  <si>
    <t>Sromis danaxarjebi</t>
  </si>
  <si>
    <t>kbm</t>
  </si>
  <si>
    <t>Sromis danaxarji</t>
  </si>
  <si>
    <r>
      <t>m</t>
    </r>
    <r>
      <rPr>
        <vertAlign val="superscript"/>
        <sz val="10"/>
        <rFont val="AcadNusx"/>
      </rPr>
      <t>2</t>
    </r>
  </si>
  <si>
    <t>tn</t>
  </si>
  <si>
    <t>xis masala</t>
  </si>
  <si>
    <t>8</t>
  </si>
  <si>
    <t>g/m</t>
  </si>
  <si>
    <t>manq/sT</t>
  </si>
  <si>
    <t>9</t>
  </si>
  <si>
    <t>kvm</t>
  </si>
  <si>
    <t>10</t>
  </si>
  <si>
    <t>sxva masala</t>
  </si>
  <si>
    <t>1,1</t>
  </si>
  <si>
    <t>c</t>
  </si>
  <si>
    <t>12</t>
  </si>
  <si>
    <t xml:space="preserve">Sromis danaxarjebi </t>
  </si>
  <si>
    <t>samSeneblo nagvis datvirTva xeliT avtoTviTmclelze</t>
  </si>
  <si>
    <t xml:space="preserve">Sromis danaxarjebi  </t>
  </si>
  <si>
    <t>3%</t>
  </si>
  <si>
    <t>18%</t>
  </si>
  <si>
    <t>ნორმა განზ.ერთეულზე</t>
  </si>
  <si>
    <t>1-80-3</t>
  </si>
  <si>
    <t>23-1-1.</t>
  </si>
  <si>
    <t>22-8-2.</t>
  </si>
  <si>
    <t>grZ.m.</t>
  </si>
  <si>
    <t>1-81-3</t>
  </si>
  <si>
    <t>6-1-1.</t>
  </si>
  <si>
    <t xml:space="preserve">8-370-3     </t>
  </si>
  <si>
    <t>ც</t>
  </si>
  <si>
    <t>შრომითი რესურსები</t>
  </si>
  <si>
    <t>კაც/სთ</t>
  </si>
  <si>
    <t>კომპლ.</t>
  </si>
  <si>
    <t>გ/მ</t>
  </si>
  <si>
    <t>2</t>
  </si>
  <si>
    <t>damiwebis konturis mowyoba</t>
  </si>
  <si>
    <t>СНиП
IV-6-82
8-471-1</t>
  </si>
  <si>
    <r>
      <t xml:space="preserve">დამიწების მოთუთიებული ღერო, </t>
    </r>
    <r>
      <rPr>
        <sz val="11"/>
        <rFont val="Calibri"/>
        <family val="2"/>
        <charset val="204"/>
        <scheme val="minor"/>
      </rPr>
      <t>50x50x5mm, 1500mm</t>
    </r>
  </si>
  <si>
    <t>gegmiuri dagroveba</t>
  </si>
  <si>
    <t>inventaris SeZena montaJi</t>
  </si>
  <si>
    <t>kompl</t>
  </si>
  <si>
    <t>kg.</t>
  </si>
  <si>
    <t>7</t>
  </si>
  <si>
    <t>14</t>
  </si>
  <si>
    <t>კბმ</t>
  </si>
  <si>
    <t>m2</t>
  </si>
  <si>
    <t>sxva manqana</t>
  </si>
  <si>
    <t>fosformJava amoniumi</t>
  </si>
  <si>
    <t>amoniumis sulfati</t>
  </si>
  <si>
    <t>navTis kontaqti</t>
  </si>
  <si>
    <t>sWvali Tunuqis</t>
  </si>
  <si>
    <t>lursmani</t>
  </si>
  <si>
    <t>11-1-11</t>
  </si>
  <si>
    <t>cementis xsnari m-100</t>
  </si>
  <si>
    <t>1,2</t>
  </si>
  <si>
    <t>0465</t>
  </si>
  <si>
    <t>1431</t>
  </si>
  <si>
    <t>4</t>
  </si>
  <si>
    <t>cementis xsnari m-200</t>
  </si>
  <si>
    <t>5</t>
  </si>
  <si>
    <t>6</t>
  </si>
  <si>
    <t>Е1-22</t>
  </si>
  <si>
    <t>II</t>
  </si>
  <si>
    <t>1</t>
  </si>
  <si>
    <t>3</t>
  </si>
  <si>
    <t>21-18-1.</t>
  </si>
  <si>
    <t>გრძ.მ.</t>
  </si>
  <si>
    <t>სხვა მასალები</t>
  </si>
  <si>
    <t>Senobis Sida da gare wyalsadenisa da kanalizaciis qselis montaJi</t>
  </si>
  <si>
    <t>შრომის დანახარჯი</t>
  </si>
  <si>
    <t>სხვა მანქანები</t>
  </si>
  <si>
    <t>მ</t>
  </si>
  <si>
    <t xml:space="preserve"> სხვა მანქანები</t>
  </si>
  <si>
    <t>16–12–1</t>
  </si>
  <si>
    <t>სხვა მასალა</t>
  </si>
  <si>
    <t>16-22</t>
  </si>
  <si>
    <t>milsadenis gidravlikuri gamocda</t>
  </si>
  <si>
    <t>100 g/m</t>
  </si>
  <si>
    <t>wyali</t>
  </si>
  <si>
    <t>III</t>
  </si>
  <si>
    <t>კგ</t>
  </si>
  <si>
    <t>III kategoriis gruntis damuSaveba xeliT, milis montaJisaTvis</t>
  </si>
  <si>
    <t>23-1-1</t>
  </si>
  <si>
    <t xml:space="preserve">wyalsadenis pl milis qveS qviSis safaris mowyoba  </t>
  </si>
  <si>
    <t>qviSa Savi</t>
  </si>
  <si>
    <t>სფერული ვენტილის მონტაჟი</t>
  </si>
  <si>
    <t>23-1-2</t>
  </si>
  <si>
    <t>tranSeis Sevseba RorRiT</t>
  </si>
  <si>
    <t>gazinTuli ZenZi</t>
  </si>
  <si>
    <t>22-28-1 gam.</t>
  </si>
  <si>
    <t>fasonuri nawilebi</t>
  </si>
  <si>
    <t xml:space="preserve">tranSeas mowyoba xeliT milebis montaJisaTvis </t>
  </si>
  <si>
    <r>
      <t xml:space="preserve">qviSis safaris mowyoba milis irgvliv </t>
    </r>
    <r>
      <rPr>
        <sz val="11"/>
        <rFont val="Arial"/>
        <family val="2"/>
        <charset val="204"/>
      </rPr>
      <t>(H=30</t>
    </r>
    <r>
      <rPr>
        <sz val="11"/>
        <rFont val="AcadNusx"/>
      </rPr>
      <t>sm</t>
    </r>
    <r>
      <rPr>
        <sz val="11"/>
        <rFont val="Arial"/>
        <family val="2"/>
        <charset val="204"/>
      </rPr>
      <t>.)</t>
    </r>
  </si>
  <si>
    <t>22-8-1</t>
  </si>
  <si>
    <t xml:space="preserve"> 23-1-2 </t>
  </si>
  <si>
    <t>23-22-2</t>
  </si>
  <si>
    <t>SeWra</t>
  </si>
  <si>
    <t>betoni ბ.7,5  (m-100)</t>
  </si>
  <si>
    <t>s k v e r i</t>
  </si>
  <si>
    <t>lokaluri ხ ა რ ჯ თ ა ღ რ ი ც ვ ხ ვ ა #3-1</t>
  </si>
  <si>
    <t>skveri #1</t>
  </si>
  <si>
    <t>46-31-2</t>
  </si>
  <si>
    <t>46-29-1</t>
  </si>
  <si>
    <t xml:space="preserve">filiT mopirketebis qveS betonis safuZvlis demontaJi </t>
  </si>
  <si>
    <t>46-15-2</t>
  </si>
  <si>
    <t>teritoriaze arsebuli betonis sayrdeni kedlis dazianebuli lesvis demontaJi</t>
  </si>
  <si>
    <t>m,anqanebi</t>
  </si>
  <si>
    <t xml:space="preserve">teritoriaze arsebuli atraqcionebis demontaJi </t>
  </si>
  <si>
    <t>dasawyobeba (damkveTis mier miTitebul adgilze)</t>
  </si>
  <si>
    <t>reisi</t>
  </si>
  <si>
    <t>Е20-1-255</t>
  </si>
  <si>
    <t>snf 15</t>
  </si>
  <si>
    <t>teritoriis keTilmowyoba</t>
  </si>
  <si>
    <t>15-52-2</t>
  </si>
  <si>
    <t>xsnartumbo  3kbm/sT</t>
  </si>
  <si>
    <t>4,3</t>
  </si>
  <si>
    <t xml:space="preserve">betoni b.25 </t>
  </si>
  <si>
    <t>4,4</t>
  </si>
  <si>
    <t>tranSeas mowyoba monoliTuri rk/betonis cokolis mosawyobad xeliT</t>
  </si>
  <si>
    <t>27-7-2,</t>
  </si>
  <si>
    <t>qviSa-RorRis fenilis mowyoba anakrebi betonis bordiuris qveS</t>
  </si>
  <si>
    <t>avtogreideri 79 kvt</t>
  </si>
  <si>
    <t>1523</t>
  </si>
  <si>
    <t>satkepni 18 tn</t>
  </si>
  <si>
    <t>qviSa-RorRi</t>
  </si>
  <si>
    <t>27-19-2</t>
  </si>
  <si>
    <t>qviSa-cementis xsnari  m.100</t>
  </si>
  <si>
    <t>betonis anakrebi bordiuris montaJi  200*100</t>
  </si>
  <si>
    <t>anakrebi betonis bordiurebis mowyoba 200X100</t>
  </si>
  <si>
    <t>betonis bordiurebi 200X100</t>
  </si>
  <si>
    <t xml:space="preserve">betoni b-15  </t>
  </si>
  <si>
    <t>11-20-1</t>
  </si>
  <si>
    <t>III kategoriis gruntis damuSaveba qvabulisaTvis xeliT</t>
  </si>
  <si>
    <t>armatura Ф8 АIII b.150</t>
  </si>
  <si>
    <r>
      <t>მ</t>
    </r>
    <r>
      <rPr>
        <b/>
        <vertAlign val="superscript"/>
        <sz val="10"/>
        <rFont val="Sylfaen"/>
        <family val="1"/>
      </rPr>
      <t>2</t>
    </r>
  </si>
  <si>
    <r>
      <t xml:space="preserve">webopva  </t>
    </r>
    <r>
      <rPr>
        <sz val="11"/>
        <rFont val="Calibri"/>
        <family val="2"/>
        <charset val="204"/>
        <scheme val="minor"/>
      </rPr>
      <t>profesional</t>
    </r>
  </si>
  <si>
    <r>
      <t>მ</t>
    </r>
    <r>
      <rPr>
        <vertAlign val="superscript"/>
        <sz val="10"/>
        <rFont val="Sylfaen"/>
        <family val="1"/>
        <charset val="204"/>
      </rPr>
      <t>2</t>
    </r>
  </si>
  <si>
    <t>ლ</t>
  </si>
  <si>
    <t>13</t>
  </si>
  <si>
    <t>11</t>
  </si>
  <si>
    <t>gamwvaneba - gazonis mowyoba</t>
  </si>
  <si>
    <t>48-18-4</t>
  </si>
  <si>
    <t>teritoriaze balaxis daTesva</t>
  </si>
  <si>
    <t>balaxis Tesli</t>
  </si>
  <si>
    <t>mravalwlovani da yvavilovani mcenareebis dargva</t>
  </si>
  <si>
    <r>
      <t xml:space="preserve">irmis rqa,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=2,00m</t>
    </r>
  </si>
  <si>
    <r>
      <t xml:space="preserve">tuia, </t>
    </r>
    <r>
      <rPr>
        <sz val="11"/>
        <rFont val="AcadNusx"/>
      </rPr>
      <t xml:space="preserve">burTisebri oqrosferi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=0,5-1,0m</t>
    </r>
  </si>
  <si>
    <t>fotinia kultivari burTis formis</t>
  </si>
  <si>
    <t>48-5-6</t>
  </si>
  <si>
    <t>xeebisa da buCqebis dasargavi teritoriss momzadeba xeliT</t>
  </si>
  <si>
    <t>48-7-2</t>
  </si>
  <si>
    <t>xeebisa da buCqebis dargva</t>
  </si>
  <si>
    <t>mosarwyav mosdarecxi 600 l</t>
  </si>
  <si>
    <t>amwe  saavtomobilo svlaze 5t</t>
  </si>
  <si>
    <t>xeebi da buCqebi</t>
  </si>
  <si>
    <t xml:space="preserve"> kbm</t>
  </si>
  <si>
    <t>pasta antiseptikuri</t>
  </si>
  <si>
    <t>10-36-4</t>
  </si>
  <si>
    <t>10-37-3</t>
  </si>
  <si>
    <t>xis molartyvis cecxldacva</t>
  </si>
  <si>
    <t>10-39-3</t>
  </si>
  <si>
    <t>xis molartyvis antiseptireba</t>
  </si>
  <si>
    <t>სულ პირდაპირი დანახარჯები</t>
  </si>
  <si>
    <t>samSeneblo masalis transportirebis xrjebi  (samSeneblo masalis Rirebulebidan)</t>
  </si>
  <si>
    <t>skveris teritoriis gare el montaJi</t>
  </si>
  <si>
    <t>lokaluri ხ ა რ ჯ თ ა ღ რ ი ც ვ ხ ვ ა #3-2</t>
  </si>
  <si>
    <t>I სამშენებლო სამუSაოები</t>
  </si>
  <si>
    <t>ქვაბულის მოწყობა სკვერის განათების ანძების ჩასაბეტონებლად (ხელით)</t>
  </si>
  <si>
    <t>ქვიშის საფარის მოწყობა მილებისთვის</t>
  </si>
  <si>
    <t>კუბ.მ</t>
  </si>
  <si>
    <t>გრძ/მ</t>
  </si>
  <si>
    <t>მანქანები</t>
  </si>
  <si>
    <t>8-281-3,</t>
  </si>
  <si>
    <t>კაბელის დაფარვა სასიგნალო ლენტით</t>
  </si>
  <si>
    <t>სასიგნალო ლენტი</t>
  </si>
  <si>
    <t>გრუნტის უკან ჩაყრა ხელით და მოსწორება</t>
  </si>
  <si>
    <t>სკვერის განათების ანძების დაბეტონება</t>
  </si>
  <si>
    <t xml:space="preserve">ბეტონი ბ.25 </t>
  </si>
  <si>
    <t>არმატურა Ф8 АIII ბ.150</t>
  </si>
  <si>
    <t>ტნ</t>
  </si>
  <si>
    <t xml:space="preserve">სხვა მასალა </t>
  </si>
  <si>
    <t>ზედნადები ხარჯები</t>
  </si>
  <si>
    <t>სულ I თავი</t>
  </si>
  <si>
    <t>II სამონტაჟო სამუშაოები</t>
  </si>
  <si>
    <t>სკვერის გარე განათების დეკორატიული ლამპიონების მონტაჟი</t>
  </si>
  <si>
    <t>სპილენძის სადენების montaJi</t>
  </si>
  <si>
    <t>21-27-4</t>
  </si>
  <si>
    <t>Zalovani faris montaJi</t>
  </si>
  <si>
    <r>
      <t>ჩამრთველი</t>
    </r>
    <r>
      <rPr>
        <sz val="10"/>
        <rFont val="Calibri"/>
        <family val="2"/>
        <charset val="204"/>
        <scheme val="minor"/>
      </rPr>
      <t xml:space="preserve"> 0‐1‐2, 1x20A</t>
    </r>
  </si>
  <si>
    <t>ზედნადები ხარჯები                                  (მუშა მოსამსახურეთა ძირითადი ხელფასიდან)</t>
  </si>
  <si>
    <t>სულ II თავი</t>
  </si>
  <si>
    <t>სულ  I და  II თავი</t>
  </si>
  <si>
    <t>lokaluri ხ ა რ ჯ თ ა ღ რ ი ც ვ ხ ვ ა #3-3</t>
  </si>
  <si>
    <t>skveris gare wyalsadenisa da kanalizaciis qselis montaJi</t>
  </si>
  <si>
    <t>ცივი წყლისათვის პლასტმასის მინაბოჭკოვანი მილების მოntaJi d-20</t>
  </si>
  <si>
    <r>
      <t xml:space="preserve">მილი პლ. d-20*2,9                  </t>
    </r>
    <r>
      <rPr>
        <sz val="11"/>
        <rFont val="Calibri"/>
        <family val="2"/>
        <charset val="204"/>
        <scheme val="minor"/>
      </rPr>
      <t xml:space="preserve"> DIZAIN PN20</t>
    </r>
  </si>
  <si>
    <t>სფერული ვენტილი დ= 20 მმ</t>
  </si>
  <si>
    <r>
      <t xml:space="preserve">arsebul wylis qselSi SeWra </t>
    </r>
    <r>
      <rPr>
        <sz val="11"/>
        <rFont val="AcadNusx"/>
      </rPr>
      <t>(makompleqtebeli nawilebiT)</t>
    </r>
  </si>
  <si>
    <t>lokaluri ხ ა რ ჯ თ ა ღ რ ი ც ვ ხ ვ ა #3-4</t>
  </si>
  <si>
    <t>sabaRe skamebis SeZena montaJi (eskizis mixedviT)</t>
  </si>
  <si>
    <t>urnebi SeZena montaJi</t>
  </si>
  <si>
    <t>atraqcionebis montaJi (ix.eskizebi)</t>
  </si>
  <si>
    <t>lk #3-1</t>
  </si>
  <si>
    <t>lk #3-3</t>
  </si>
  <si>
    <t>lk #3-4</t>
  </si>
  <si>
    <t>krebsiTi xarjTaRicxva</t>
  </si>
  <si>
    <t>saxarjTaRricxvo gaangariSebis #</t>
  </si>
  <si>
    <t>samuSaoebisa da danaxarjebis dasaxeleba</t>
  </si>
  <si>
    <t>saxarjTaRricxvo Rirebuleba</t>
  </si>
  <si>
    <t>samSeneblo samuSaoebi</t>
  </si>
  <si>
    <t>samontaJo samuSaoebi</t>
  </si>
  <si>
    <t>mowyobiloba</t>
  </si>
  <si>
    <t>jami        lari</t>
  </si>
  <si>
    <t>sportuli moednis mowyobis samuSaoebi</t>
  </si>
  <si>
    <t>lk 1-1</t>
  </si>
  <si>
    <t>lk 1-2</t>
  </si>
  <si>
    <t xml:space="preserve"> el montaJis samuSaoebi</t>
  </si>
  <si>
    <t>lk 1-3</t>
  </si>
  <si>
    <t>sportuli moednis mimdebared sazogadoebrivi daniSnulebis reteratis mowyobis samuSaoebi</t>
  </si>
  <si>
    <t>lk 2-1</t>
  </si>
  <si>
    <t>lk 2-2</t>
  </si>
  <si>
    <t>Senobis el montaJis samuSaoebi</t>
  </si>
  <si>
    <t>lk 2-3</t>
  </si>
  <si>
    <t>skveris mowyoba</t>
  </si>
  <si>
    <t>lk #3-2</t>
  </si>
  <si>
    <t xml:space="preserve">skveris teritoriis gare el montaJi </t>
  </si>
  <si>
    <t>betoni В-25  (m-350)</t>
  </si>
  <si>
    <t>bazaltis filis natexi "bregCea"</t>
  </si>
  <si>
    <t>11-11-12</t>
  </si>
  <si>
    <t>kvarcis sila</t>
  </si>
  <si>
    <t>cementi m-400</t>
  </si>
  <si>
    <t>RorRis fenilis mowyoba</t>
  </si>
  <si>
    <t>betonis fenilis mowyoba</t>
  </si>
  <si>
    <t>cementis xsnari m-200, (marmarilos namsxvrevebiani (marmarilos"kroSka") cementis xsnariT nakerebis amolesva)</t>
  </si>
  <si>
    <t>nagavis datvirTva xeliT avtoTviTmclelze</t>
  </si>
  <si>
    <t>teritoriis dasufTaveba,  narCenebis Segroveba, gamotana,                 (30m gadaadgilebiT) avtoTviTmclelze dasatvirTavad</t>
  </si>
  <si>
    <t xml:space="preserve">sayrdeni kedlis keTilmowyoba </t>
  </si>
  <si>
    <t>zedmeti gruntis datvirTva xeliT avtoTviTmclelze</t>
  </si>
  <si>
    <t xml:space="preserve">gatana 15 km-ze </t>
  </si>
  <si>
    <t>15-5-7</t>
  </si>
  <si>
    <t>samSeneblo samuSaoebis damTavrebis Semdeg teritoriis dasufTaveba, samSeneblo narCenebis Segroveba, gamotana, avtoTviTmclelze dasatvirTavad</t>
  </si>
  <si>
    <t>1-80,3</t>
  </si>
  <si>
    <t>საკაბელო თხრილის მოწყობა xeliT</t>
  </si>
  <si>
    <r>
      <t xml:space="preserve">სადენი </t>
    </r>
    <r>
      <rPr>
        <sz val="11"/>
        <rFont val="Calibri"/>
        <family val="2"/>
        <charset val="204"/>
        <scheme val="minor"/>
      </rPr>
      <t xml:space="preserve">YMS  </t>
    </r>
    <r>
      <rPr>
        <sz val="11"/>
        <rFont val="AcadNusx"/>
      </rPr>
      <t xml:space="preserve">3*2,5  </t>
    </r>
  </si>
  <si>
    <r>
      <t xml:space="preserve">ფოტორელე </t>
    </r>
    <r>
      <rPr>
        <sz val="10"/>
        <rFont val="Calibri"/>
        <family val="2"/>
        <charset val="204"/>
        <scheme val="minor"/>
      </rPr>
      <t>250V  5A</t>
    </r>
  </si>
  <si>
    <t>СНиП
IV-6-82
8-472-8</t>
  </si>
  <si>
    <t>horizontaluri damiwebis konturis mowyoba (mrgvali  foladiT)</t>
  </si>
  <si>
    <r>
      <t xml:space="preserve">მოთუთიებული გამტარი,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8mm</t>
    </r>
  </si>
  <si>
    <t>damiwebis vertikaluri eleqtrodebis montaJi</t>
  </si>
  <si>
    <r>
      <t xml:space="preserve">kanalizaciis pl milis montaJi TxrilSi </t>
    </r>
    <r>
      <rPr>
        <b/>
        <sz val="11"/>
        <rFont val="Arial"/>
        <family val="2"/>
        <charset val="204"/>
      </rPr>
      <t>Ø</t>
    </r>
    <r>
      <rPr>
        <b/>
        <sz val="11"/>
        <rFont val="AcadNusx"/>
      </rPr>
      <t>100mm</t>
    </r>
  </si>
  <si>
    <r>
      <t xml:space="preserve">plastmasis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100*3,2mm</t>
    </r>
  </si>
  <si>
    <t>მილის gadamyvani d-100</t>
  </si>
  <si>
    <t>arsebul kanalizaciis qselSi SeWra (makompleqtebeli nawilebiT)</t>
  </si>
  <si>
    <t xml:space="preserve">wyalmomaragebis gare qseli   (d-20) </t>
  </si>
  <si>
    <t xml:space="preserve">kanalizaciis gare qseli                            (d-100 pl)                      </t>
  </si>
  <si>
    <t xml:space="preserve">cementis xsnari m-200, </t>
  </si>
  <si>
    <r>
      <t xml:space="preserve">სადენი </t>
    </r>
    <r>
      <rPr>
        <sz val="11"/>
        <rFont val="Calibri"/>
        <family val="2"/>
        <charset val="204"/>
        <scheme val="minor"/>
      </rPr>
      <t xml:space="preserve">YMS  </t>
    </r>
    <r>
      <rPr>
        <sz val="11"/>
        <rFont val="AcadNusx"/>
      </rPr>
      <t>3*1,5</t>
    </r>
  </si>
  <si>
    <t xml:space="preserve">samSeneblo nagvis gatana 15 km-ze </t>
  </si>
  <si>
    <r>
      <t xml:space="preserve">atraqcioni </t>
    </r>
    <r>
      <rPr>
        <b/>
        <sz val="11"/>
        <rFont val="AcadNusx"/>
      </rPr>
      <t>"sabavsvo moedani #42 "</t>
    </r>
    <r>
      <rPr>
        <sz val="11"/>
        <rFont val="AcadNusx"/>
      </rPr>
      <t xml:space="preserve">                               (koSkiT, xidiT, kibiT CamosasrialebliT)</t>
    </r>
  </si>
  <si>
    <r>
      <t xml:space="preserve">atraqcioni </t>
    </r>
    <r>
      <rPr>
        <b/>
        <sz val="11"/>
        <rFont val="AcadNusx"/>
      </rPr>
      <t>"saqanela" (erT adgiliani)</t>
    </r>
  </si>
  <si>
    <r>
      <t xml:space="preserve">atraqcioni </t>
    </r>
    <r>
      <rPr>
        <b/>
        <sz val="11"/>
        <rFont val="AcadNusx"/>
      </rPr>
      <t>"saqanela" (or adgiliani)</t>
    </r>
  </si>
  <si>
    <r>
      <rPr>
        <b/>
        <sz val="11"/>
        <rFont val="AcadNusx"/>
      </rPr>
      <t xml:space="preserve">atraqcioni </t>
    </r>
    <r>
      <rPr>
        <sz val="11"/>
        <rFont val="AcadNusx"/>
      </rPr>
      <t>"aiwona-daiwona" (liTonis karksit0</t>
    </r>
  </si>
  <si>
    <t>sayrdeni kedlis qudis mopirketeba bazaltis filiT</t>
  </si>
  <si>
    <t>bazaltis fila 30mm sisqis, sigane 400mm</t>
  </si>
  <si>
    <t>qvafenilis aRdgena bazaltis namsxvrevi filiT   ("bregCea")  80% fila</t>
  </si>
  <si>
    <t xml:space="preserve">bazaltis namsxvrevi filiT --  "bregCea" -- mopirketebis moxvewa </t>
  </si>
  <si>
    <t>rk.betonis fenilis mosawyobad qvabulis damuSaveba xeliT</t>
  </si>
  <si>
    <t>t</t>
  </si>
  <si>
    <t>snf                       15-15</t>
  </si>
  <si>
    <t>RorRis fenilis mowyoba rk.betonis filis qveS  15sm sisqis</t>
  </si>
  <si>
    <t>6-1-16</t>
  </si>
  <si>
    <t>monoliTuri rk/betonis saZirkvlis filis mowyoba  15sm sisqis</t>
  </si>
  <si>
    <t>sayalibe fari 40mm</t>
  </si>
  <si>
    <t xml:space="preserve">armatura АIII </t>
  </si>
  <si>
    <t>დანამ.3
11-49
გამოყ.</t>
  </si>
  <si>
    <t xml:space="preserve">kauCukis masiuri fenilis mowyoba sisqiT 30mm     </t>
  </si>
  <si>
    <t>kauCukis masiuri fenili 30mm</t>
  </si>
  <si>
    <t>kauCukis safariani rk.betonis filis mowyoba</t>
  </si>
  <si>
    <t>wylis dasalevi "soko" wyalsadenisa da kanalizaciis qselis montaji</t>
  </si>
  <si>
    <t>wylis dasalevi sokos milsadenis montaJi</t>
  </si>
  <si>
    <t>15</t>
  </si>
  <si>
    <t>16</t>
  </si>
  <si>
    <t>17</t>
  </si>
  <si>
    <t>18</t>
  </si>
  <si>
    <t>19</t>
  </si>
  <si>
    <t>20</t>
  </si>
  <si>
    <r>
      <t xml:space="preserve">skveris teritoriaze arsebuli </t>
    </r>
    <r>
      <rPr>
        <b/>
        <sz val="11"/>
        <rFont val="Calibri"/>
        <family val="2"/>
        <charset val="204"/>
        <scheme val="minor"/>
      </rPr>
      <t>WC</t>
    </r>
    <r>
      <rPr>
        <b/>
        <sz val="11"/>
        <rFont val="AcadNusx"/>
      </rPr>
      <t>-s reablitacia</t>
    </r>
  </si>
  <si>
    <t xml:space="preserve">metlaxis iatakebis demontaJi </t>
  </si>
  <si>
    <t>kedlebidan nalesis moxsna</t>
  </si>
  <si>
    <t>46-27-6</t>
  </si>
  <si>
    <t>dazianebuli Sekiduli Weris demontaJi</t>
  </si>
  <si>
    <t>kafelis mopirketebis demontaJi</t>
  </si>
  <si>
    <t>r-25-13-5</t>
  </si>
  <si>
    <t>Senobis fasadis kedlebidan nalesis moxsna</t>
  </si>
  <si>
    <t>demontaJis samuSaoebis damTavrebis Semdeg samSeneblo narCenebis Segroveba, gamotana, avtoTviTmclelze dasatvirTavad</t>
  </si>
  <si>
    <t>11-8-1-2</t>
  </si>
  <si>
    <t>iatakebis moWimva cementis xsnariT              m-200 30mm</t>
  </si>
  <si>
    <t>11-20-3</t>
  </si>
  <si>
    <t>keramogranitis fila</t>
  </si>
  <si>
    <t>fuga (Semavsebeli)</t>
  </si>
  <si>
    <t>webocementi yinvagamZle</t>
  </si>
  <si>
    <t>metlaxis fila</t>
  </si>
  <si>
    <t xml:space="preserve">iatakis mopirkeTeba metlaxis filiT </t>
  </si>
  <si>
    <t>11-36-3</t>
  </si>
  <si>
    <t>keramikuli filis plintusis mowyoba</t>
  </si>
  <si>
    <t>34-59-7
34-61-3
gamoy.</t>
  </si>
  <si>
    <t>plastikatis Sekiduli Weris mowyoba (feradi)</t>
  </si>
  <si>
    <t>liTonis profilebi</t>
  </si>
  <si>
    <t>samSeneblo WanWiki</t>
  </si>
  <si>
    <t>plastikati b=25 feradi</t>
  </si>
  <si>
    <t>15_52_5</t>
  </si>
  <si>
    <r>
      <t>m</t>
    </r>
    <r>
      <rPr>
        <vertAlign val="superscript"/>
        <sz val="9"/>
        <rFont val="AcadNusx"/>
      </rPr>
      <t>3</t>
    </r>
  </si>
  <si>
    <t>15_55_9</t>
  </si>
  <si>
    <t>Senobis Sida kedlebis Selesva qviSa-cementis xsnariT</t>
  </si>
  <si>
    <r>
      <t>m</t>
    </r>
    <r>
      <rPr>
        <vertAlign val="superscript"/>
        <sz val="9"/>
        <rFont val="AcadNusx"/>
      </rPr>
      <t>2</t>
    </r>
  </si>
  <si>
    <t>xsnaris tumbo  3kbm/sT</t>
  </si>
  <si>
    <t>qviSa-cementis xsnari          m-100</t>
  </si>
  <si>
    <t>mavTulis bade</t>
  </si>
  <si>
    <t>15-15-3</t>
  </si>
  <si>
    <t xml:space="preserve">kafelis fila                </t>
  </si>
  <si>
    <t>kedlebis mopirketeba keramikuli filiT               kafeliT</t>
  </si>
  <si>
    <t>15_52_1</t>
  </si>
  <si>
    <t>xsnaris tumbo  3,0kbm/sT</t>
  </si>
  <si>
    <t>0,0255</t>
  </si>
  <si>
    <t xml:space="preserve">Riobebis ferdoebis Selesva qviSa-cementis xsnariT </t>
  </si>
  <si>
    <t>15_168-7</t>
  </si>
  <si>
    <t xml:space="preserve">fasadis kedlebis maRalxarisxovani SeRebva safasade saRebaviT </t>
  </si>
  <si>
    <t>fiTxi fasadis</t>
  </si>
  <si>
    <t>zumfara</t>
  </si>
  <si>
    <t>grunti fasadis</t>
  </si>
  <si>
    <t>wyal-emulsiis saRebavi</t>
  </si>
  <si>
    <t xml:space="preserve">გარე განათების ლამპიონების მონტაჟი  </t>
  </si>
  <si>
    <r>
      <t>რელე</t>
    </r>
    <r>
      <rPr>
        <sz val="10"/>
        <rFont val="Calibri"/>
        <family val="2"/>
        <charset val="204"/>
        <scheme val="minor"/>
      </rPr>
      <t xml:space="preserve"> 250v/5A</t>
    </r>
  </si>
  <si>
    <t>liTonis gamanawilebeli kolofi</t>
  </si>
  <si>
    <r>
      <t xml:space="preserve">skveris teritoriaze  </t>
    </r>
    <r>
      <rPr>
        <b/>
        <sz val="11"/>
        <rFont val="Calibri"/>
        <family val="2"/>
        <charset val="204"/>
        <scheme val="minor"/>
      </rPr>
      <t>WC</t>
    </r>
    <r>
      <rPr>
        <b/>
        <sz val="11"/>
        <rFont val="AcadNusx"/>
      </rPr>
      <t>-s Senobis Sida montaJis samusaoebi</t>
    </r>
  </si>
  <si>
    <t xml:space="preserve">sxva manqana  </t>
  </si>
  <si>
    <t>კომპ</t>
  </si>
  <si>
    <t>man.</t>
  </si>
  <si>
    <t xml:space="preserve">Turquli უნიტაზebიs muntaJi </t>
  </si>
  <si>
    <t>17-4-4</t>
  </si>
  <si>
    <t>Turquli unitazi Camrecxi bakiT</t>
  </si>
  <si>
    <t>17-1-5</t>
  </si>
  <si>
    <t>ხელსაბანebis montaJi</t>
  </si>
  <si>
    <t>xelsabani fexiT qaSanuris, sifoniT, ori drekadi miliT d-15 l=40sm</t>
  </si>
  <si>
    <t>17-3-3</t>
  </si>
  <si>
    <t>wylis შემრევebიs montaJi</t>
  </si>
  <si>
    <t>wylis შემრევი xelsabanis</t>
  </si>
  <si>
    <t>sarke, xelis saSrobi, qaRaldisa da sapnis spenserebi</t>
  </si>
  <si>
    <t>დამატ.
2- გამოშ.
16-24-2</t>
  </si>
  <si>
    <t>მილების პლასტმასის სამაგრი დეტალები</t>
  </si>
  <si>
    <t>16-6-1</t>
  </si>
  <si>
    <t>sakanalizacio plastmasis milebis damontaJeba 50 mm</t>
  </si>
  <si>
    <t>plasmasis mili d=50mm</t>
  </si>
  <si>
    <t>m</t>
  </si>
  <si>
    <t>სამგრი დეტალები</t>
  </si>
  <si>
    <t>16-6-2</t>
  </si>
  <si>
    <t>sakanalizacio plastmasis milebis damontaJeba 100 mm</t>
  </si>
  <si>
    <t>plasmasis mili d=100mm</t>
  </si>
  <si>
    <t>სფერული ვენტილების მონტაჟი</t>
  </si>
  <si>
    <t>pl.ventili დ= 20 მმ</t>
  </si>
  <si>
    <t>22-23- 1-2-3.</t>
  </si>
  <si>
    <t xml:space="preserve">wyalsadenosa da kanalizaciis პოლიეთილენის  ფასონური ნაწილების მოწყობა </t>
  </si>
  <si>
    <t>wyalsadenosa da kanalizaciis პოლიეთილენის  ფასონური ნაწილები</t>
  </si>
  <si>
    <t>masalis transportirebis xarjebi</t>
  </si>
  <si>
    <t>zednadebi xarjebi</t>
  </si>
  <si>
    <t>sul xarjTaRricxva #1</t>
  </si>
  <si>
    <t>dagrovebiTi sapensio gadasaxadi (xelfasidan)</t>
  </si>
  <si>
    <t>dRg</t>
  </si>
  <si>
    <t>გეგმიური დაგროვება (ZviradRirebuli masalebois gamoklebiT)</t>
  </si>
  <si>
    <t>masalis transportirebis xarjebi (samS masalis Rirebulebidan)</t>
  </si>
  <si>
    <t>zednadebi xarjebi                 (muSa mosamsaxureTa ZiriTadi xelfasidan)</t>
  </si>
  <si>
    <t>sul xarjTaRricxva #3</t>
  </si>
  <si>
    <t>sul xarjTaRricxva                       #2</t>
  </si>
  <si>
    <t>sul xarjTaRricxva #4</t>
  </si>
  <si>
    <t>gegmiuri dagroveba   (ZviradRirebuli masalebois gamoklebiT)</t>
  </si>
  <si>
    <t>16-20-1</t>
  </si>
  <si>
    <t>wyalsadenis qselis daerTeba arsebul gare qselze</t>
  </si>
  <si>
    <t>wert</t>
  </si>
  <si>
    <t>betoni ბ.7,5</t>
  </si>
  <si>
    <t>qviSa xreSi</t>
  </si>
  <si>
    <t xml:space="preserve">პლ მილების მოntaJi d-20 </t>
  </si>
  <si>
    <t xml:space="preserve">მილი პლ. d-20 </t>
  </si>
  <si>
    <t xml:space="preserve">ქვიSა </t>
  </si>
  <si>
    <t>skveris teritoriaze demontaJis samuSaoebi</t>
  </si>
  <si>
    <t xml:space="preserve">aiwona-daiwona  xis </t>
  </si>
  <si>
    <t>saqanela xis</t>
  </si>
  <si>
    <r>
      <t xml:space="preserve">liTonis karkasiani sabaReE skamebis demontaJi dasawyobeba  </t>
    </r>
    <r>
      <rPr>
        <sz val="10"/>
        <rFont val="AcadNusx"/>
      </rPr>
      <t>(damkveTis mier miTitebul adgilze)</t>
    </r>
  </si>
  <si>
    <t>xis koSki</t>
  </si>
  <si>
    <t>sayrdeni kedlis zedapiris lesva cementis xsnariT</t>
  </si>
  <si>
    <t>sayrdeni kedlis zedapirebis lesvis moxatva mocemuli eskizis mixedviT (SefrqveviT) grafiti</t>
  </si>
  <si>
    <t xml:space="preserve">skveris bilikebis arsebuli bazaltis namsvrevebiT mopirkeTebis ("brgCea")  reabilitacia                            </t>
  </si>
  <si>
    <t xml:space="preserve">teritoriaze arsebuli bazaltis filis natexebis ("breqCea"-s) dazianebuli mopirketebis demontaJi </t>
  </si>
  <si>
    <t>210</t>
  </si>
  <si>
    <t>skveris teritoriaze arsebuli klumbebis (2c) reabilitacia</t>
  </si>
  <si>
    <t>teritoriaze arsebuli betonis klumbebis kedlis dazianebuli lesvis demontaJi</t>
  </si>
  <si>
    <t>klumbis kedlis qudis mopirketeba granitis filiT</t>
  </si>
  <si>
    <t>granitis fila 30mm sisqis, sigane 400mm</t>
  </si>
  <si>
    <t>klumbis kedlis mopirketeba bunebrivi granitis filiT</t>
  </si>
  <si>
    <t xml:space="preserve">granitis fila 30mm sisqis, </t>
  </si>
  <si>
    <t xml:space="preserve">fasadis kedlebis Selesva qviSa-cementis xsnariT </t>
  </si>
  <si>
    <t>dazianebuli karebis blokebis demontaji</t>
  </si>
  <si>
    <t>saxuravis fenilis demontaJi</t>
  </si>
  <si>
    <t>xis molartyvis demontaJi</t>
  </si>
  <si>
    <t>46-28-2</t>
  </si>
  <si>
    <t>46-27-3</t>
  </si>
  <si>
    <t>46-32-3</t>
  </si>
  <si>
    <t>9-14-5</t>
  </si>
  <si>
    <t>amwe saavtomobilo svlaze 6,3t</t>
  </si>
  <si>
    <t>0625</t>
  </si>
  <si>
    <t>jalambari (libiotka) 3t  eleqtroreversiuli</t>
  </si>
  <si>
    <t>metaloplastmasis karebis blokebis mowyoba (feradi-yavisferi,  6 sm sisqis,)</t>
  </si>
  <si>
    <t>metaloplastmasis fanjris blokebis mowyoba (feradi-yavisferi,  6 sm sisqis, ormagi minapaketi)</t>
  </si>
  <si>
    <t xml:space="preserve">ხის მოლარტყვის მოწყობა                </t>
  </si>
  <si>
    <t>კვმ</t>
  </si>
  <si>
    <t xml:space="preserve">xis masala       </t>
  </si>
  <si>
    <t>12-6-3</t>
  </si>
  <si>
    <t>gadaxurvis mowyoba feradi metalokramitis TunuqiT</t>
  </si>
  <si>
    <t>100 kvm</t>
  </si>
  <si>
    <t>metalokramiti 0,5mm (nacrisfer,i Jangisferi, Sindisferi)</t>
  </si>
  <si>
    <t>feradi Tunuqis furceli</t>
  </si>
  <si>
    <t>12-8-4</t>
  </si>
  <si>
    <r>
      <t xml:space="preserve">წყალმიმღები ღარის "ჟოლუბის" მოწყობა feradi Tunuqis furcliT </t>
    </r>
    <r>
      <rPr>
        <sz val="10"/>
        <rFont val="AcadNusx"/>
      </rPr>
      <t xml:space="preserve">(dadebuli --'"leningradski Jolubi")  </t>
    </r>
  </si>
  <si>
    <t>feradi Tunuqi, 0.5 mm</t>
  </si>
  <si>
    <t>სამაგრები</t>
  </si>
  <si>
    <t>wyalmimRebi Rari pl  dasakidi d-150</t>
  </si>
  <si>
    <t>WanWiki</t>
  </si>
  <si>
    <t>naWedi</t>
  </si>
  <si>
    <t>16-17-4</t>
  </si>
  <si>
    <t xml:space="preserve">წყალმიმRები ძაბრების მოწყობა </t>
  </si>
  <si>
    <t>wyalmimRebi Zabrebi 150*100</t>
  </si>
  <si>
    <t xml:space="preserve">sxva masala </t>
  </si>
  <si>
    <t>12-8-3</t>
  </si>
  <si>
    <t xml:space="preserve">წყალსაწრეტი მილი დ–100 პლ. სამაგრებით  </t>
  </si>
  <si>
    <t xml:space="preserve">sxva manqana </t>
  </si>
  <si>
    <t xml:space="preserve">wyalsawreti milebi </t>
  </si>
  <si>
    <t>grZ.m</t>
  </si>
  <si>
    <t>saxuravis reabilitacia</t>
  </si>
  <si>
    <t>19,1</t>
  </si>
  <si>
    <t>19,2</t>
  </si>
  <si>
    <t>19,3</t>
  </si>
  <si>
    <t>19,4</t>
  </si>
  <si>
    <t>19,5</t>
  </si>
  <si>
    <t>19,6</t>
  </si>
  <si>
    <t>19,7</t>
  </si>
  <si>
    <t>21</t>
  </si>
  <si>
    <t>q.dmanisSi wn.ninos q.#38-is mimdebared s.k.#82.01.46.505 skveris reabilitaciis samuSaoebi</t>
  </si>
  <si>
    <t>#1</t>
  </si>
  <si>
    <t>#2</t>
  </si>
  <si>
    <r>
      <t xml:space="preserve">metalis Zalovani gamanawilebeli fari </t>
    </r>
    <r>
      <rPr>
        <sz val="10"/>
        <rFont val="Calibri"/>
        <family val="2"/>
        <charset val="204"/>
        <scheme val="minor"/>
      </rPr>
      <t xml:space="preserve"> IPP 67 IK 08   100X100X100 mm</t>
    </r>
  </si>
  <si>
    <r>
      <t xml:space="preserve">dekoratiuli lampioni, ledi sanaTiT </t>
    </r>
    <r>
      <rPr>
        <sz val="11"/>
        <rFont val="Calibri"/>
        <family val="2"/>
        <charset val="204"/>
        <scheme val="minor"/>
      </rPr>
      <t xml:space="preserve">LED 50w </t>
    </r>
    <r>
      <rPr>
        <sz val="11"/>
        <rFont val="AcadNusx"/>
      </rPr>
      <t xml:space="preserve">                #1 (ix. eskizi)</t>
    </r>
  </si>
  <si>
    <t>dekoratiuli lampioni                     #2 (ix.eskizi)</t>
  </si>
  <si>
    <t>lk#1</t>
  </si>
  <si>
    <t>lk#2</t>
  </si>
  <si>
    <t>metaloplastmasis fanjrisa da karebis  blokebis montaჟi</t>
  </si>
  <si>
    <t>zedmeti gruntis transportireba 15km manZilze da gatana</t>
  </si>
  <si>
    <t>qviSa-cementis xsnari  m-100</t>
  </si>
  <si>
    <r>
      <rPr>
        <sz val="11"/>
        <rFont val="Calibri"/>
        <family val="2"/>
        <charset val="204"/>
      </rPr>
      <t>PVCორკედლიანი გოფრირებული მილი</t>
    </r>
    <r>
      <rPr>
        <sz val="11"/>
        <rFont val="AcadNusx"/>
      </rPr>
      <t xml:space="preserve"> </t>
    </r>
    <r>
      <rPr>
        <sz val="11"/>
        <rFont val="Calibri"/>
        <family val="2"/>
        <charset val="204"/>
      </rPr>
      <t>Ø32მმ</t>
    </r>
  </si>
  <si>
    <r>
      <rPr>
        <b/>
        <sz val="11"/>
        <rFont val="Calibri"/>
        <family val="2"/>
        <charset val="204"/>
      </rPr>
      <t>PVC ორკედლიანი გოფრირებული მილის</t>
    </r>
    <r>
      <rPr>
        <b/>
        <sz val="11"/>
        <rFont val="AcadNusx"/>
      </rPr>
      <t xml:space="preserve"> </t>
    </r>
    <r>
      <rPr>
        <b/>
        <sz val="11"/>
        <rFont val="Calibri"/>
        <family val="2"/>
        <charset val="204"/>
      </rPr>
      <t xml:space="preserve">Ø32 </t>
    </r>
    <r>
      <rPr>
        <b/>
        <sz val="11"/>
        <rFont val="AcadNusx"/>
      </rPr>
      <t>მმ მოწყობა</t>
    </r>
  </si>
  <si>
    <r>
      <t xml:space="preserve">amomrTveli avtomati ;
250v/6a ; </t>
    </r>
    <r>
      <rPr>
        <sz val="10"/>
        <rFont val="Calibri"/>
        <family val="2"/>
        <charset val="204"/>
        <scheme val="minor"/>
      </rPr>
      <t>, 1P, 6A, 6kA</t>
    </r>
  </si>
  <si>
    <r>
      <t xml:space="preserve">amomrTveli avtomati ;
250v/16a ; </t>
    </r>
    <r>
      <rPr>
        <sz val="10"/>
        <rFont val="Calibri"/>
        <family val="2"/>
        <charset val="204"/>
        <scheme val="minor"/>
      </rPr>
      <t xml:space="preserve"> 2P, 16A, 6kA</t>
    </r>
  </si>
  <si>
    <r>
      <t>კონტაქტორი</t>
    </r>
    <r>
      <rPr>
        <sz val="10"/>
        <rFont val="Calibri"/>
        <family val="2"/>
        <charset val="204"/>
        <scheme val="minor"/>
      </rPr>
      <t xml:space="preserve"> , 3P, 40 A</t>
    </r>
  </si>
  <si>
    <t>ხარჯთარრიცხვის ღირებულება არ უნდა აღემატებოდეს 128 420 ლარს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</si>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</sst>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L_a_r_i_-;\-* #,##0.00\ _L_a_r_i_-;_-* &quot;-&quot;??\ _L_a_r_i_-;_-@_-"/>
    <numFmt numFmtId="165" formatCode="_(* #,##0.00_);_(* \(#,##0.00\);_(* &quot;-&quot;??_);_(@_)"/>
    <numFmt numFmtId="166" formatCode="0.0"/>
    <numFmt numFmtId="167" formatCode="0.000"/>
    <numFmt numFmtId="168" formatCode="_-* #,##0.00_р_._-;\-* #,##0.00_р_._-;_-* &quot;-&quot;??_р_._-;_-@_-"/>
    <numFmt numFmtId="169" formatCode="_-* #,##0.00_-;\-* #,##0.00_-;_-* &quot;-&quot;??_-;_-@_-"/>
    <numFmt numFmtId="170" formatCode="_-* #,##0.000_-;\-* #,##0.000_-;_-* &quot;-&quot;??_-;_-@_-"/>
    <numFmt numFmtId="171" formatCode="_-* #,##0.0000_-;\-* #,##0.0000_-;_-* &quot;-&quot;??_-;_-@_-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name val="AcadNusx"/>
    </font>
    <font>
      <sz val="10"/>
      <color theme="1"/>
      <name val="AcadNusx"/>
    </font>
    <font>
      <sz val="10"/>
      <name val="AcadNusx"/>
    </font>
    <font>
      <b/>
      <sz val="12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sz val="10"/>
      <name val="Calibri"/>
      <family val="2"/>
    </font>
    <font>
      <b/>
      <vertAlign val="superscript"/>
      <sz val="10"/>
      <name val="AcadNusx"/>
    </font>
    <font>
      <sz val="10"/>
      <name val="Calibri"/>
      <family val="2"/>
      <charset val="204"/>
    </font>
    <font>
      <vertAlign val="superscript"/>
      <sz val="10"/>
      <name val="AcadNusx"/>
    </font>
    <font>
      <sz val="10"/>
      <color rgb="FFFF0000"/>
      <name val="AcadNusx"/>
    </font>
    <font>
      <sz val="11"/>
      <color rgb="FFFF0000"/>
      <name val="AcadNusx"/>
    </font>
    <font>
      <sz val="11"/>
      <color rgb="FF000000"/>
      <name val="AcadNusx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name val="Calibri"/>
      <family val="2"/>
      <charset val="204"/>
      <scheme val="minor"/>
    </font>
    <font>
      <sz val="9"/>
      <name val="AcadNusx"/>
    </font>
    <font>
      <b/>
      <sz val="9"/>
      <name val="AcadNusx"/>
    </font>
    <font>
      <b/>
      <sz val="10"/>
      <name val="Arial"/>
      <family val="2"/>
    </font>
    <font>
      <b/>
      <sz val="14"/>
      <color rgb="FF0000FF"/>
      <name val="AcadNusx"/>
    </font>
    <font>
      <b/>
      <sz val="10"/>
      <name val="Sylfaen"/>
      <family val="1"/>
    </font>
    <font>
      <b/>
      <vertAlign val="superscript"/>
      <sz val="10"/>
      <name val="Sylfaen"/>
      <family val="1"/>
    </font>
    <font>
      <vertAlign val="superscript"/>
      <sz val="10"/>
      <name val="Sylfaen"/>
      <family val="1"/>
      <charset val="204"/>
    </font>
    <font>
      <b/>
      <sz val="10"/>
      <name val="Sylfaen"/>
      <family val="1"/>
      <charset val="204"/>
    </font>
    <font>
      <vertAlign val="superscript"/>
      <sz val="9"/>
      <name val="AcadNusx"/>
    </font>
    <font>
      <sz val="10"/>
      <color rgb="FF000000"/>
      <name val="AcadNusx"/>
    </font>
    <font>
      <b/>
      <sz val="10"/>
      <color rgb="FF000000"/>
      <name val="AcadNusx"/>
    </font>
    <font>
      <b/>
      <sz val="11"/>
      <color rgb="FF000000"/>
      <name val="AcadNusx"/>
    </font>
    <font>
      <b/>
      <sz val="9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FFFF0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10">
    <xf numFmtId="0" fontId="0" fillId="0" borderId="0"/>
    <xf numFmtId="0" fontId="10" fillId="0" borderId="0"/>
    <xf numFmtId="0" fontId="16" fillId="0" borderId="0"/>
    <xf numFmtId="0" fontId="18" fillId="0" borderId="0"/>
    <xf numFmtId="0" fontId="20" fillId="0" borderId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4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4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1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4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4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1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1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3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44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165" fontId="20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8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57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58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0" fillId="0" borderId="0" applyFont="0" applyFill="0" applyBorder="0" applyAlignment="0" applyProtection="0"/>
    <xf numFmtId="166" fontId="5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47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48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49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0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51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52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35" fillId="0" borderId="0"/>
    <xf numFmtId="0" fontId="20" fillId="0" borderId="0"/>
    <xf numFmtId="0" fontId="59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60" fillId="0" borderId="0"/>
    <xf numFmtId="0" fontId="16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6" fillId="0" borderId="0"/>
    <xf numFmtId="0" fontId="58" fillId="0" borderId="0"/>
    <xf numFmtId="0" fontId="16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53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7" fillId="0" borderId="0"/>
    <xf numFmtId="0" fontId="5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5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9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0" fillId="0" borderId="0"/>
    <xf numFmtId="0" fontId="20" fillId="0" borderId="0"/>
    <xf numFmtId="0" fontId="16" fillId="0" borderId="0"/>
    <xf numFmtId="0" fontId="16" fillId="0" borderId="0"/>
    <xf numFmtId="0" fontId="58" fillId="0" borderId="0"/>
    <xf numFmtId="0" fontId="2" fillId="0" borderId="0"/>
    <xf numFmtId="0" fontId="2" fillId="0" borderId="0"/>
    <xf numFmtId="0" fontId="16" fillId="0" borderId="0"/>
    <xf numFmtId="0" fontId="62" fillId="3" borderId="0" applyNumberFormat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64" fontId="9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7" fillId="0" borderId="0"/>
    <xf numFmtId="0" fontId="20" fillId="0" borderId="0"/>
    <xf numFmtId="0" fontId="16" fillId="0" borderId="0"/>
  </cellStyleXfs>
  <cellXfs count="650">
    <xf numFmtId="0" fontId="0" fillId="0" borderId="0" xfId="0"/>
    <xf numFmtId="0" fontId="6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0" fontId="63" fillId="0" borderId="1" xfId="0" applyNumberFormat="1" applyFont="1" applyFill="1" applyBorder="1" applyAlignment="1">
      <alignment horizontal="center" vertical="center" wrapText="1"/>
    </xf>
    <xf numFmtId="0" fontId="19" fillId="3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2" fontId="11" fillId="0" borderId="1" xfId="903" applyNumberFormat="1" applyFont="1" applyFill="1" applyBorder="1" applyAlignment="1">
      <alignment horizontal="center" vertical="center" wrapText="1"/>
    </xf>
    <xf numFmtId="2" fontId="11" fillId="0" borderId="1" xfId="904" applyNumberFormat="1" applyFont="1" applyFill="1" applyBorder="1" applyAlignment="1">
      <alignment horizontal="center" vertical="center" wrapText="1"/>
    </xf>
    <xf numFmtId="2" fontId="11" fillId="0" borderId="1" xfId="901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63" fillId="0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63" fillId="0" borderId="1" xfId="901" applyNumberFormat="1" applyFont="1" applyFill="1" applyBorder="1" applyAlignment="1">
      <alignment horizontal="center" vertical="center" wrapText="1"/>
    </xf>
    <xf numFmtId="2" fontId="11" fillId="0" borderId="1" xfId="901" applyNumberFormat="1" applyFont="1" applyFill="1" applyBorder="1" applyAlignment="1">
      <alignment horizontal="center" vertical="center" wrapText="1"/>
    </xf>
    <xf numFmtId="49" fontId="11" fillId="0" borderId="1" xfId="901" applyNumberFormat="1" applyFont="1" applyFill="1" applyBorder="1" applyAlignment="1">
      <alignment horizontal="left" vertical="center" wrapText="1"/>
    </xf>
    <xf numFmtId="0" fontId="7" fillId="0" borderId="1" xfId="901" applyNumberFormat="1" applyFont="1" applyFill="1" applyBorder="1" applyAlignment="1">
      <alignment horizontal="center" vertical="center" wrapText="1"/>
    </xf>
    <xf numFmtId="49" fontId="19" fillId="0" borderId="1" xfId="901" applyNumberFormat="1" applyFont="1" applyFill="1" applyBorder="1" applyAlignment="1">
      <alignment vertical="center" wrapText="1"/>
    </xf>
    <xf numFmtId="0" fontId="11" fillId="0" borderId="1" xfId="901" applyNumberFormat="1" applyFont="1" applyFill="1" applyBorder="1" applyAlignment="1">
      <alignment horizontal="center" vertical="center" wrapText="1"/>
    </xf>
    <xf numFmtId="49" fontId="19" fillId="0" borderId="1" xfId="901" applyNumberFormat="1" applyFont="1" applyFill="1" applyBorder="1" applyAlignment="1">
      <alignment horizontal="left" vertical="center" wrapText="1"/>
    </xf>
    <xf numFmtId="0" fontId="19" fillId="0" borderId="1" xfId="901" applyNumberFormat="1" applyFont="1" applyFill="1" applyBorder="1" applyAlignment="1">
      <alignment horizontal="center" vertical="center" wrapText="1"/>
    </xf>
    <xf numFmtId="49" fontId="11" fillId="0" borderId="1" xfId="901" applyNumberFormat="1" applyFont="1" applyFill="1" applyBorder="1" applyAlignment="1">
      <alignment vertical="center" wrapText="1"/>
    </xf>
    <xf numFmtId="2" fontId="11" fillId="0" borderId="16" xfId="901" applyNumberFormat="1" applyFont="1" applyFill="1" applyBorder="1" applyAlignment="1">
      <alignment horizontal="center" vertical="center" wrapText="1"/>
    </xf>
    <xf numFmtId="2" fontId="12" fillId="0" borderId="1" xfId="901" applyNumberFormat="1" applyFont="1" applyFill="1" applyBorder="1" applyAlignment="1">
      <alignment horizontal="center" vertical="center" wrapText="1"/>
    </xf>
    <xf numFmtId="49" fontId="7" fillId="0" borderId="1" xfId="682" applyNumberFormat="1" applyFont="1" applyFill="1" applyBorder="1" applyAlignment="1">
      <alignment horizontal="center" vertical="center" wrapText="1"/>
    </xf>
    <xf numFmtId="0" fontId="11" fillId="0" borderId="1" xfId="68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 applyProtection="1">
      <alignment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901" applyNumberFormat="1" applyFont="1" applyFill="1" applyBorder="1" applyAlignment="1" applyProtection="1">
      <alignment horizontal="center" vertical="center" wrapText="1"/>
    </xf>
    <xf numFmtId="49" fontId="7" fillId="0" borderId="1" xfId="1" quotePrefix="1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11" fillId="28" borderId="1" xfId="900" applyNumberFormat="1" applyFont="1" applyFill="1" applyBorder="1" applyAlignment="1">
      <alignment horizontal="center" vertical="center" wrapText="1"/>
    </xf>
    <xf numFmtId="0" fontId="19" fillId="0" borderId="1" xfId="633" applyNumberFormat="1" applyFont="1" applyFill="1" applyBorder="1" applyAlignment="1">
      <alignment horizontal="center" vertical="center" wrapText="1"/>
    </xf>
    <xf numFmtId="0" fontId="19" fillId="2" borderId="1" xfId="646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2" fontId="19" fillId="2" borderId="1" xfId="903" applyNumberFormat="1" applyFont="1" applyFill="1" applyBorder="1" applyAlignment="1">
      <alignment horizontal="center" vertical="center" wrapText="1"/>
    </xf>
    <xf numFmtId="2" fontId="19" fillId="2" borderId="1" xfId="904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49" fontId="63" fillId="0" borderId="1" xfId="906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7" fillId="0" borderId="1" xfId="870" applyNumberFormat="1" applyFont="1" applyFill="1" applyBorder="1" applyAlignment="1">
      <alignment horizontal="center" vertical="center" wrapText="1"/>
    </xf>
    <xf numFmtId="49" fontId="11" fillId="0" borderId="1" xfId="870" applyNumberFormat="1" applyFont="1" applyFill="1" applyBorder="1" applyAlignment="1">
      <alignment horizontal="left" vertical="center" wrapText="1"/>
    </xf>
    <xf numFmtId="0" fontId="11" fillId="0" borderId="1" xfId="87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69" fillId="0" borderId="1" xfId="0" applyNumberFormat="1" applyFont="1" applyFill="1" applyBorder="1" applyAlignment="1">
      <alignment horizontal="center" vertical="center" wrapText="1"/>
    </xf>
    <xf numFmtId="2" fontId="69" fillId="0" borderId="1" xfId="0" applyNumberFormat="1" applyFont="1" applyFill="1" applyBorder="1" applyAlignment="1">
      <alignment horizontal="center" vertical="center" wrapText="1"/>
    </xf>
    <xf numFmtId="2" fontId="69" fillId="0" borderId="1" xfId="903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>
      <alignment horizontal="center" vertical="center"/>
    </xf>
    <xf numFmtId="0" fontId="11" fillId="0" borderId="1" xfId="901" applyNumberFormat="1" applyFont="1" applyFill="1" applyBorder="1" applyAlignment="1">
      <alignment horizontal="center" vertical="center"/>
    </xf>
    <xf numFmtId="49" fontId="73" fillId="0" borderId="1" xfId="901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 applyProtection="1">
      <alignment horizontal="center" vertical="center" wrapText="1"/>
    </xf>
    <xf numFmtId="0" fontId="74" fillId="0" borderId="1" xfId="901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2" fontId="13" fillId="26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2" fontId="19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63" fillId="2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2" fontId="11" fillId="0" borderId="1" xfId="899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49" fontId="78" fillId="0" borderId="0" xfId="0" applyNumberFormat="1" applyFont="1" applyFill="1" applyAlignment="1">
      <alignment horizontal="center" vertical="center"/>
    </xf>
    <xf numFmtId="0" fontId="19" fillId="0" borderId="1" xfId="901" applyNumberFormat="1" applyFont="1" applyFill="1" applyBorder="1" applyAlignment="1" applyProtection="1">
      <alignment horizontal="center" vertical="center" wrapText="1"/>
    </xf>
    <xf numFmtId="49" fontId="63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49" fontId="63" fillId="0" borderId="4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49" fontId="79" fillId="0" borderId="0" xfId="0" applyNumberFormat="1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7" fillId="27" borderId="1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9" fontId="19" fillId="0" borderId="1" xfId="909" applyNumberFormat="1" applyFont="1" applyFill="1" applyBorder="1" applyAlignment="1">
      <alignment horizontal="left" vertical="center" wrapText="1"/>
    </xf>
    <xf numFmtId="2" fontId="19" fillId="0" borderId="1" xfId="901" applyNumberFormat="1" applyFont="1" applyFill="1" applyBorder="1" applyAlignment="1">
      <alignment horizontal="center" vertical="center" wrapText="1"/>
    </xf>
    <xf numFmtId="49" fontId="19" fillId="0" borderId="1" xfId="681" applyNumberFormat="1" applyFont="1" applyFill="1" applyBorder="1" applyAlignment="1">
      <alignment horizontal="left" vertical="center" wrapText="1"/>
    </xf>
    <xf numFmtId="0" fontId="19" fillId="0" borderId="1" xfId="681" applyNumberFormat="1" applyFont="1" applyFill="1" applyBorder="1" applyAlignment="1">
      <alignment horizontal="center" vertical="center" wrapText="1"/>
    </xf>
    <xf numFmtId="0" fontId="80" fillId="0" borderId="1" xfId="0" applyNumberFormat="1" applyFont="1" applyFill="1" applyBorder="1" applyAlignment="1">
      <alignment horizontal="center" vertical="center" wrapText="1"/>
    </xf>
    <xf numFmtId="0" fontId="11" fillId="0" borderId="1" xfId="633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11" fillId="0" borderId="1" xfId="633" applyNumberFormat="1" applyFont="1" applyFill="1" applyBorder="1" applyAlignment="1">
      <alignment horizontal="left" vertical="center" wrapText="1"/>
    </xf>
    <xf numFmtId="2" fontId="19" fillId="0" borderId="16" xfId="901" applyNumberFormat="1" applyFont="1" applyFill="1" applyBorder="1" applyAlignment="1">
      <alignment horizontal="center" vertical="center" wrapText="1"/>
    </xf>
    <xf numFmtId="49" fontId="19" fillId="0" borderId="1" xfId="633" applyNumberFormat="1" applyFont="1" applyFill="1" applyBorder="1" applyAlignment="1">
      <alignment horizontal="left" vertical="center" wrapText="1"/>
    </xf>
    <xf numFmtId="49" fontId="63" fillId="0" borderId="1" xfId="633" applyNumberFormat="1" applyFont="1" applyFill="1" applyBorder="1" applyAlignment="1">
      <alignment horizontal="center" vertical="center" wrapText="1"/>
    </xf>
    <xf numFmtId="0" fontId="11" fillId="0" borderId="16" xfId="633" applyNumberFormat="1" applyFont="1" applyFill="1" applyBorder="1" applyAlignment="1">
      <alignment horizontal="center" vertical="center" wrapText="1"/>
    </xf>
    <xf numFmtId="49" fontId="10" fillId="0" borderId="1" xfId="633" applyNumberFormat="1" applyFont="1" applyFill="1" applyBorder="1" applyAlignment="1">
      <alignment horizontal="center" vertical="center" wrapText="1"/>
    </xf>
    <xf numFmtId="2" fontId="11" fillId="0" borderId="1" xfId="504" applyNumberFormat="1" applyFont="1" applyFill="1" applyBorder="1" applyAlignment="1">
      <alignment horizontal="center" vertical="center" wrapText="1"/>
    </xf>
    <xf numFmtId="49" fontId="7" fillId="0" borderId="1" xfId="681" applyNumberFormat="1" applyFont="1" applyFill="1" applyBorder="1" applyAlignment="1">
      <alignment horizontal="center" vertical="center" wrapText="1"/>
    </xf>
    <xf numFmtId="49" fontId="63" fillId="0" borderId="1" xfId="681" applyNumberFormat="1" applyFont="1" applyFill="1" applyBorder="1" applyAlignment="1">
      <alignment horizontal="center" vertical="center" wrapText="1"/>
    </xf>
    <xf numFmtId="2" fontId="19" fillId="0" borderId="1" xfId="681" applyNumberFormat="1" applyFont="1" applyFill="1" applyBorder="1" applyAlignment="1">
      <alignment horizontal="center" vertical="center" wrapText="1"/>
    </xf>
    <xf numFmtId="49" fontId="82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vertical="center" wrapText="1"/>
    </xf>
    <xf numFmtId="49" fontId="19" fillId="0" borderId="0" xfId="0" applyNumberFormat="1" applyFont="1" applyFill="1" applyAlignment="1">
      <alignment horizontal="center" vertical="center" wrapText="1"/>
    </xf>
    <xf numFmtId="49" fontId="7" fillId="29" borderId="1" xfId="0" applyNumberFormat="1" applyFont="1" applyFill="1" applyBorder="1" applyAlignment="1">
      <alignment horizontal="center" vertical="center" wrapText="1"/>
    </xf>
    <xf numFmtId="49" fontId="19" fillId="29" borderId="1" xfId="0" applyNumberFormat="1" applyFont="1" applyFill="1" applyBorder="1" applyAlignment="1">
      <alignment horizontal="center" vertical="center" wrapText="1"/>
    </xf>
    <xf numFmtId="49" fontId="7" fillId="31" borderId="1" xfId="0" applyNumberFormat="1" applyFont="1" applyFill="1" applyBorder="1" applyAlignment="1">
      <alignment horizontal="center" vertical="center" wrapText="1"/>
    </xf>
    <xf numFmtId="49" fontId="19" fillId="31" borderId="1" xfId="0" applyNumberFormat="1" applyFont="1" applyFill="1" applyBorder="1" applyAlignment="1">
      <alignment horizontal="center" vertical="center" wrapText="1"/>
    </xf>
    <xf numFmtId="49" fontId="63" fillId="31" borderId="1" xfId="0" applyNumberFormat="1" applyFont="1" applyFill="1" applyBorder="1" applyAlignment="1">
      <alignment horizontal="center" vertical="center" wrapText="1"/>
    </xf>
    <xf numFmtId="0" fontId="19" fillId="31" borderId="1" xfId="0" applyNumberFormat="1" applyFont="1" applyFill="1" applyBorder="1" applyAlignment="1">
      <alignment horizontal="center" vertical="center" wrapText="1"/>
    </xf>
    <xf numFmtId="0" fontId="63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3" fillId="0" borderId="16" xfId="0" applyNumberFormat="1" applyFont="1" applyFill="1" applyBorder="1" applyAlignment="1">
      <alignment horizontal="left" vertical="center" wrapText="1"/>
    </xf>
    <xf numFmtId="0" fontId="7" fillId="0" borderId="16" xfId="0" applyNumberFormat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 applyProtection="1">
      <alignment horizontal="left" vertical="center" wrapText="1"/>
    </xf>
    <xf numFmtId="49" fontId="19" fillId="0" borderId="1" xfId="1" applyNumberFormat="1" applyFont="1" applyFill="1" applyBorder="1" applyAlignment="1" applyProtection="1">
      <alignment vertical="center" wrapText="1"/>
    </xf>
    <xf numFmtId="49" fontId="19" fillId="0" borderId="1" xfId="0" applyNumberFormat="1" applyFont="1" applyFill="1" applyBorder="1" applyAlignment="1" applyProtection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7" fillId="0" borderId="1" xfId="654" applyNumberFormat="1" applyFont="1" applyFill="1" applyBorder="1" applyAlignment="1">
      <alignment horizontal="center" vertical="center" wrapText="1"/>
    </xf>
    <xf numFmtId="49" fontId="63" fillId="0" borderId="1" xfId="654" applyNumberFormat="1" applyFont="1" applyFill="1" applyBorder="1" applyAlignment="1">
      <alignment horizontal="center" vertical="center" wrapText="1"/>
    </xf>
    <xf numFmtId="0" fontId="11" fillId="0" borderId="1" xfId="654" applyNumberFormat="1" applyFont="1" applyFill="1" applyBorder="1" applyAlignment="1">
      <alignment horizontal="center" vertical="center" wrapText="1"/>
    </xf>
    <xf numFmtId="49" fontId="19" fillId="0" borderId="1" xfId="902" applyNumberFormat="1" applyFont="1" applyFill="1" applyBorder="1" applyAlignment="1">
      <alignment horizontal="left" vertical="center" wrapText="1"/>
    </xf>
    <xf numFmtId="49" fontId="11" fillId="0" borderId="1" xfId="90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1" fillId="0" borderId="16" xfId="633" applyNumberFormat="1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49" fontId="11" fillId="0" borderId="1" xfId="3" applyNumberFormat="1" applyFont="1" applyFill="1" applyBorder="1" applyAlignment="1">
      <alignment vertical="top" wrapText="1"/>
    </xf>
    <xf numFmtId="49" fontId="69" fillId="0" borderId="1" xfId="0" applyNumberFormat="1" applyFont="1" applyFill="1" applyBorder="1" applyAlignment="1">
      <alignment vertical="center" wrapText="1"/>
    </xf>
    <xf numFmtId="2" fontId="11" fillId="0" borderId="3" xfId="901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>
      <alignment horizontal="left" vertical="center" wrapText="1"/>
    </xf>
    <xf numFmtId="49" fontId="84" fillId="0" borderId="1" xfId="901" applyNumberFormat="1" applyFont="1" applyFill="1" applyBorder="1" applyAlignment="1">
      <alignment horizontal="center" vertical="center" wrapText="1"/>
    </xf>
    <xf numFmtId="2" fontId="74" fillId="0" borderId="1" xfId="901" applyNumberFormat="1" applyFont="1" applyFill="1" applyBorder="1" applyAlignment="1">
      <alignment horizontal="center" vertical="center"/>
    </xf>
    <xf numFmtId="49" fontId="11" fillId="0" borderId="1" xfId="901" applyNumberFormat="1" applyFont="1" applyFill="1" applyBorder="1" applyAlignment="1">
      <alignment horizontal="left" vertical="top" wrapText="1"/>
    </xf>
    <xf numFmtId="2" fontId="74" fillId="0" borderId="3" xfId="901" applyNumberFormat="1" applyFont="1" applyFill="1" applyBorder="1" applyAlignment="1">
      <alignment horizontal="center" vertical="center"/>
    </xf>
    <xf numFmtId="2" fontId="11" fillId="0" borderId="3" xfId="901" applyNumberFormat="1" applyFont="1" applyFill="1" applyBorder="1" applyAlignment="1">
      <alignment horizontal="center" vertical="center"/>
    </xf>
    <xf numFmtId="49" fontId="11" fillId="0" borderId="1" xfId="681" applyNumberFormat="1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49" fontId="19" fillId="0" borderId="16" xfId="0" applyNumberFormat="1" applyFont="1" applyFill="1" applyBorder="1" applyAlignment="1">
      <alignment horizontal="left" vertical="center" wrapText="1"/>
    </xf>
    <xf numFmtId="49" fontId="19" fillId="31" borderId="16" xfId="0" applyNumberFormat="1" applyFont="1" applyFill="1" applyBorder="1" applyAlignment="1">
      <alignment horizontal="center" vertical="center" wrapText="1"/>
    </xf>
    <xf numFmtId="0" fontId="11" fillId="31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horizontal="center" vertical="center" wrapText="1"/>
    </xf>
    <xf numFmtId="49" fontId="77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1" fillId="29" borderId="1" xfId="0" applyNumberFormat="1" applyFont="1" applyFill="1" applyBorder="1" applyAlignment="1">
      <alignment horizontal="center" vertical="center" wrapText="1"/>
    </xf>
    <xf numFmtId="0" fontId="19" fillId="26" borderId="1" xfId="0" applyNumberFormat="1" applyFont="1" applyFill="1" applyBorder="1" applyAlignment="1">
      <alignment vertical="center" wrapText="1"/>
    </xf>
    <xf numFmtId="0" fontId="19" fillId="26" borderId="1" xfId="0" applyNumberFormat="1" applyFont="1" applyFill="1" applyBorder="1" applyAlignment="1">
      <alignment horizontal="center" vertical="center" wrapText="1"/>
    </xf>
    <xf numFmtId="49" fontId="7" fillId="28" borderId="1" xfId="900" applyNumberFormat="1" applyFont="1" applyFill="1" applyBorder="1" applyAlignment="1">
      <alignment horizontal="center" vertical="center" wrapText="1"/>
    </xf>
    <xf numFmtId="49" fontId="19" fillId="28" borderId="1" xfId="900" applyNumberFormat="1" applyFont="1" applyFill="1" applyBorder="1" applyAlignment="1">
      <alignment horizontal="center" vertical="center" wrapText="1"/>
    </xf>
    <xf numFmtId="49" fontId="63" fillId="28" borderId="1" xfId="900" applyNumberFormat="1" applyFont="1" applyFill="1" applyBorder="1" applyAlignment="1">
      <alignment horizontal="center" vertical="center" wrapText="1"/>
    </xf>
    <xf numFmtId="49" fontId="63" fillId="0" borderId="1" xfId="902" applyNumberFormat="1" applyFont="1" applyFill="1" applyBorder="1" applyAlignment="1">
      <alignment horizontal="center" vertical="center" wrapText="1"/>
    </xf>
    <xf numFmtId="0" fontId="11" fillId="0" borderId="1" xfId="902" applyNumberFormat="1" applyFont="1" applyFill="1" applyBorder="1" applyAlignment="1">
      <alignment horizontal="center" vertical="center" wrapText="1"/>
    </xf>
    <xf numFmtId="49" fontId="7" fillId="0" borderId="1" xfId="902" applyNumberFormat="1" applyFont="1" applyFill="1" applyBorder="1" applyAlignment="1">
      <alignment horizontal="center" vertical="center" wrapText="1"/>
    </xf>
    <xf numFmtId="49" fontId="19" fillId="0" borderId="1" xfId="654" applyNumberFormat="1" applyFont="1" applyFill="1" applyBorder="1" applyAlignment="1">
      <alignment horizontal="left" vertical="center" wrapText="1"/>
    </xf>
    <xf numFmtId="49" fontId="63" fillId="0" borderId="1" xfId="735" applyNumberFormat="1" applyFont="1" applyFill="1" applyBorder="1" applyAlignment="1">
      <alignment horizontal="center" vertical="center" wrapText="1"/>
    </xf>
    <xf numFmtId="49" fontId="19" fillId="0" borderId="1" xfId="735" applyNumberFormat="1" applyFont="1" applyFill="1" applyBorder="1" applyAlignment="1">
      <alignment horizontal="left" vertical="center" wrapText="1"/>
    </xf>
    <xf numFmtId="0" fontId="11" fillId="0" borderId="1" xfId="735" applyNumberFormat="1" applyFont="1" applyFill="1" applyBorder="1" applyAlignment="1">
      <alignment horizontal="center" vertical="center" wrapText="1"/>
    </xf>
    <xf numFmtId="49" fontId="7" fillId="0" borderId="1" xfId="735" applyNumberFormat="1" applyFont="1" applyFill="1" applyBorder="1" applyAlignment="1">
      <alignment horizontal="center" vertical="center" wrapText="1"/>
    </xf>
    <xf numFmtId="49" fontId="11" fillId="0" borderId="1" xfId="735" applyNumberFormat="1" applyFont="1" applyFill="1" applyBorder="1" applyAlignment="1">
      <alignment horizontal="left" vertical="center" wrapText="1"/>
    </xf>
    <xf numFmtId="49" fontId="7" fillId="0" borderId="1" xfId="905" applyNumberFormat="1" applyFont="1" applyFill="1" applyBorder="1" applyAlignment="1">
      <alignment horizontal="center" vertical="center" wrapText="1"/>
    </xf>
    <xf numFmtId="49" fontId="11" fillId="0" borderId="1" xfId="905" applyNumberFormat="1" applyFont="1" applyFill="1" applyBorder="1" applyAlignment="1">
      <alignment horizontal="left" vertical="center" wrapText="1"/>
    </xf>
    <xf numFmtId="49" fontId="63" fillId="0" borderId="1" xfId="905" applyNumberFormat="1" applyFont="1" applyFill="1" applyBorder="1" applyAlignment="1">
      <alignment horizontal="center" vertical="center" wrapText="1"/>
    </xf>
    <xf numFmtId="0" fontId="11" fillId="0" borderId="1" xfId="905" applyNumberFormat="1" applyFont="1" applyFill="1" applyBorder="1" applyAlignment="1">
      <alignment horizontal="center" vertical="center" wrapText="1"/>
    </xf>
    <xf numFmtId="49" fontId="63" fillId="0" borderId="1" xfId="870" applyNumberFormat="1" applyFont="1" applyFill="1" applyBorder="1" applyAlignment="1">
      <alignment horizontal="center" vertical="center" wrapText="1"/>
    </xf>
    <xf numFmtId="49" fontId="19" fillId="0" borderId="1" xfId="870" applyNumberFormat="1" applyFont="1" applyFill="1" applyBorder="1" applyAlignment="1">
      <alignment horizontal="left" vertical="center" wrapText="1"/>
    </xf>
    <xf numFmtId="49" fontId="11" fillId="0" borderId="2" xfId="870" applyNumberFormat="1" applyFont="1" applyFill="1" applyBorder="1" applyAlignment="1">
      <alignment horizontal="left" vertical="center" wrapText="1"/>
    </xf>
    <xf numFmtId="49" fontId="7" fillId="0" borderId="2" xfId="870" applyNumberFormat="1" applyFont="1" applyFill="1" applyBorder="1" applyAlignment="1">
      <alignment horizontal="center" vertical="center" wrapText="1"/>
    </xf>
    <xf numFmtId="49" fontId="7" fillId="0" borderId="4" xfId="870" applyNumberFormat="1" applyFont="1" applyFill="1" applyBorder="1" applyAlignment="1">
      <alignment horizontal="center" vertical="center" wrapText="1"/>
    </xf>
    <xf numFmtId="49" fontId="63" fillId="2" borderId="1" xfId="646" applyNumberFormat="1" applyFont="1" applyFill="1" applyBorder="1" applyAlignment="1">
      <alignment horizontal="center" vertical="center" wrapText="1"/>
    </xf>
    <xf numFmtId="49" fontId="63" fillId="2" borderId="16" xfId="0" applyNumberFormat="1" applyFont="1" applyFill="1" applyBorder="1" applyAlignment="1">
      <alignment horizontal="center" vertical="center" wrapText="1"/>
    </xf>
    <xf numFmtId="49" fontId="63" fillId="2" borderId="14" xfId="0" applyNumberFormat="1" applyFont="1" applyFill="1" applyBorder="1" applyAlignment="1">
      <alignment horizontal="center" vertical="center" wrapText="1"/>
    </xf>
    <xf numFmtId="49" fontId="19" fillId="2" borderId="14" xfId="0" applyNumberFormat="1" applyFont="1" applyFill="1" applyBorder="1" applyAlignment="1">
      <alignment horizontal="center" vertical="center" wrapText="1"/>
    </xf>
    <xf numFmtId="0" fontId="19" fillId="2" borderId="14" xfId="0" applyNumberFormat="1" applyFont="1" applyFill="1" applyBorder="1" applyAlignment="1">
      <alignment horizontal="center" vertical="center" wrapText="1"/>
    </xf>
    <xf numFmtId="2" fontId="19" fillId="2" borderId="14" xfId="0" applyNumberFormat="1" applyFont="1" applyFill="1" applyBorder="1" applyAlignment="1">
      <alignment horizontal="center" vertical="center" wrapText="1"/>
    </xf>
    <xf numFmtId="49" fontId="7" fillId="28" borderId="2" xfId="900" applyNumberFormat="1" applyFont="1" applyFill="1" applyBorder="1" applyAlignment="1">
      <alignment horizontal="center" vertical="center" wrapText="1"/>
    </xf>
    <xf numFmtId="49" fontId="19" fillId="28" borderId="2" xfId="900" applyNumberFormat="1" applyFont="1" applyFill="1" applyBorder="1" applyAlignment="1">
      <alignment horizontal="center" vertical="center" wrapText="1"/>
    </xf>
    <xf numFmtId="49" fontId="63" fillId="28" borderId="2" xfId="900" applyNumberFormat="1" applyFont="1" applyFill="1" applyBorder="1" applyAlignment="1">
      <alignment horizontal="center" vertical="center" wrapText="1"/>
    </xf>
    <xf numFmtId="0" fontId="11" fillId="28" borderId="2" xfId="900" applyNumberFormat="1" applyFont="1" applyFill="1" applyBorder="1" applyAlignment="1">
      <alignment horizontal="center" vertical="center" wrapText="1"/>
    </xf>
    <xf numFmtId="2" fontId="11" fillId="0" borderId="2" xfId="903" applyNumberFormat="1" applyFont="1" applyFill="1" applyBorder="1" applyAlignment="1">
      <alignment horizontal="center" vertical="center" wrapText="1"/>
    </xf>
    <xf numFmtId="2" fontId="11" fillId="0" borderId="2" xfId="904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>
      <alignment vertical="center" wrapText="1"/>
    </xf>
    <xf numFmtId="49" fontId="19" fillId="0" borderId="0" xfId="0" applyNumberFormat="1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49" fontId="70" fillId="0" borderId="1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Alignment="1">
      <alignment wrapText="1"/>
    </xf>
    <xf numFmtId="49" fontId="79" fillId="0" borderId="0" xfId="0" applyNumberFormat="1" applyFont="1" applyFill="1" applyAlignment="1">
      <alignment wrapText="1"/>
    </xf>
    <xf numFmtId="0" fontId="14" fillId="0" borderId="0" xfId="0" applyNumberFormat="1" applyFont="1" applyFill="1" applyAlignment="1">
      <alignment wrapText="1"/>
    </xf>
    <xf numFmtId="0" fontId="19" fillId="0" borderId="1" xfId="654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3" fillId="26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3" fillId="0" borderId="1" xfId="2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0" fontId="11" fillId="0" borderId="16" xfId="654" applyNumberFormat="1" applyFont="1" applyFill="1" applyBorder="1" applyAlignment="1">
      <alignment horizontal="center" vertical="center" wrapText="1"/>
    </xf>
    <xf numFmtId="49" fontId="78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167" fontId="7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49" fontId="19" fillId="32" borderId="1" xfId="0" applyNumberFormat="1" applyFont="1" applyFill="1" applyBorder="1" applyAlignment="1">
      <alignment horizontal="center" vertical="center" wrapText="1"/>
    </xf>
    <xf numFmtId="49" fontId="63" fillId="32" borderId="1" xfId="0" applyNumberFormat="1" applyFont="1" applyFill="1" applyBorder="1" applyAlignment="1">
      <alignment horizontal="center" vertical="center" wrapText="1"/>
    </xf>
    <xf numFmtId="0" fontId="19" fillId="32" borderId="1" xfId="0" applyNumberFormat="1" applyFont="1" applyFill="1" applyBorder="1" applyAlignment="1">
      <alignment horizontal="center" vertical="center" wrapText="1"/>
    </xf>
    <xf numFmtId="0" fontId="7" fillId="0" borderId="16" xfId="633" applyNumberFormat="1" applyFont="1" applyFill="1" applyBorder="1" applyAlignment="1">
      <alignment horizontal="center" vertical="center" wrapText="1"/>
    </xf>
    <xf numFmtId="0" fontId="7" fillId="29" borderId="1" xfId="0" applyNumberFormat="1" applyFont="1" applyFill="1" applyBorder="1" applyAlignment="1">
      <alignment horizontal="center" vertical="center" wrapText="1"/>
    </xf>
    <xf numFmtId="0" fontId="19" fillId="0" borderId="1" xfId="902" applyNumberFormat="1" applyFont="1" applyFill="1" applyBorder="1" applyAlignment="1">
      <alignment horizontal="center" vertical="center" wrapText="1"/>
    </xf>
    <xf numFmtId="0" fontId="19" fillId="0" borderId="1" xfId="735" applyNumberFormat="1" applyFont="1" applyFill="1" applyBorder="1" applyAlignment="1">
      <alignment horizontal="center" vertical="center" wrapText="1"/>
    </xf>
    <xf numFmtId="0" fontId="19" fillId="0" borderId="1" xfId="87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2" fontId="11" fillId="29" borderId="1" xfId="0" applyNumberFormat="1" applyFont="1" applyFill="1" applyBorder="1" applyAlignment="1">
      <alignment horizontal="center" vertical="center" wrapText="1"/>
    </xf>
    <xf numFmtId="2" fontId="19" fillId="26" borderId="1" xfId="0" applyNumberFormat="1" applyFont="1" applyFill="1" applyBorder="1" applyAlignment="1">
      <alignment vertical="center" wrapText="1"/>
    </xf>
    <xf numFmtId="2" fontId="0" fillId="0" borderId="0" xfId="0" applyNumberFormat="1"/>
    <xf numFmtId="0" fontId="7" fillId="0" borderId="1" xfId="902" applyNumberFormat="1" applyFont="1" applyFill="1" applyBorder="1" applyAlignment="1">
      <alignment horizontal="center" vertical="center" wrapText="1"/>
    </xf>
    <xf numFmtId="49" fontId="19" fillId="0" borderId="1" xfId="646" applyNumberFormat="1" applyFont="1" applyBorder="1" applyAlignment="1">
      <alignment horizontal="center" vertical="center" wrapText="1"/>
    </xf>
    <xf numFmtId="0" fontId="63" fillId="0" borderId="1" xfId="901" applyNumberFormat="1" applyFont="1" applyFill="1" applyBorder="1" applyAlignment="1">
      <alignment horizontal="center" vertical="center"/>
    </xf>
    <xf numFmtId="0" fontId="7" fillId="0" borderId="1" xfId="901" applyNumberFormat="1" applyFont="1" applyFill="1" applyBorder="1" applyAlignment="1">
      <alignment horizontal="center" vertical="center"/>
    </xf>
    <xf numFmtId="0" fontId="73" fillId="0" borderId="1" xfId="901" applyNumberFormat="1" applyFont="1" applyFill="1" applyBorder="1" applyAlignment="1" applyProtection="1">
      <alignment horizontal="center" vertical="center" wrapText="1"/>
    </xf>
    <xf numFmtId="0" fontId="63" fillId="0" borderId="1" xfId="633" applyNumberFormat="1" applyFont="1" applyFill="1" applyBorder="1" applyAlignment="1">
      <alignment horizontal="center" vertical="center" wrapText="1"/>
    </xf>
    <xf numFmtId="0" fontId="7" fillId="0" borderId="1" xfId="633" applyNumberFormat="1" applyFont="1" applyFill="1" applyBorder="1" applyAlignment="1">
      <alignment horizontal="center" vertical="center" wrapText="1"/>
    </xf>
    <xf numFmtId="0" fontId="63" fillId="0" borderId="1" xfId="681" applyNumberFormat="1" applyFont="1" applyFill="1" applyBorder="1" applyAlignment="1">
      <alignment horizontal="center" vertical="center" wrapText="1"/>
    </xf>
    <xf numFmtId="49" fontId="63" fillId="33" borderId="1" xfId="0" applyNumberFormat="1" applyFont="1" applyFill="1" applyBorder="1" applyAlignment="1">
      <alignment horizontal="center" vertical="center" wrapText="1"/>
    </xf>
    <xf numFmtId="49" fontId="7" fillId="33" borderId="1" xfId="0" applyNumberFormat="1" applyFont="1" applyFill="1" applyBorder="1" applyAlignment="1">
      <alignment horizontal="center" vertical="center" wrapText="1"/>
    </xf>
    <xf numFmtId="49" fontId="19" fillId="33" borderId="1" xfId="0" applyNumberFormat="1" applyFont="1" applyFill="1" applyBorder="1" applyAlignment="1">
      <alignment horizontal="center" vertical="center" wrapText="1"/>
    </xf>
    <xf numFmtId="0" fontId="7" fillId="33" borderId="1" xfId="0" applyNumberFormat="1" applyFont="1" applyFill="1" applyBorder="1" applyAlignment="1">
      <alignment horizontal="center" vertical="center" wrapText="1"/>
    </xf>
    <xf numFmtId="0" fontId="19" fillId="33" borderId="1" xfId="0" applyNumberFormat="1" applyFont="1" applyFill="1" applyBorder="1" applyAlignment="1">
      <alignment horizontal="center" vertical="center" wrapText="1"/>
    </xf>
    <xf numFmtId="49" fontId="19" fillId="31" borderId="2" xfId="0" applyNumberFormat="1" applyFont="1" applyFill="1" applyBorder="1" applyAlignment="1">
      <alignment horizontal="center" vertical="center" wrapText="1"/>
    </xf>
    <xf numFmtId="0" fontId="19" fillId="31" borderId="2" xfId="0" applyNumberFormat="1" applyFont="1" applyFill="1" applyBorder="1" applyAlignment="1">
      <alignment horizontal="center" vertical="center" wrapText="1"/>
    </xf>
    <xf numFmtId="0" fontId="19" fillId="31" borderId="1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49" fontId="87" fillId="0" borderId="1" xfId="901" applyNumberFormat="1" applyFont="1" applyFill="1" applyBorder="1" applyAlignment="1">
      <alignment horizontal="center" vertical="center" wrapText="1"/>
    </xf>
    <xf numFmtId="49" fontId="63" fillId="0" borderId="2" xfId="0" applyNumberFormat="1" applyFont="1" applyFill="1" applyBorder="1" applyAlignment="1" applyProtection="1">
      <alignment vertical="center" wrapText="1"/>
    </xf>
    <xf numFmtId="49" fontId="63" fillId="0" borderId="1" xfId="0" applyNumberFormat="1" applyFont="1" applyFill="1" applyBorder="1" applyAlignment="1" applyProtection="1">
      <alignment horizontal="center" vertical="center" wrapText="1"/>
    </xf>
    <xf numFmtId="0" fontId="63" fillId="0" borderId="1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49" fontId="63" fillId="0" borderId="2" xfId="0" applyNumberFormat="1" applyFont="1" applyFill="1" applyBorder="1" applyAlignment="1">
      <alignment vertical="center" wrapText="1"/>
    </xf>
    <xf numFmtId="2" fontId="74" fillId="0" borderId="1" xfId="901" applyNumberFormat="1" applyFont="1" applyFill="1" applyBorder="1" applyAlignment="1">
      <alignment horizontal="center" vertical="top"/>
    </xf>
    <xf numFmtId="49" fontId="73" fillId="0" borderId="1" xfId="901" applyNumberFormat="1" applyFont="1" applyFill="1" applyBorder="1" applyAlignment="1">
      <alignment horizontal="center" vertical="top" wrapText="1"/>
    </xf>
    <xf numFmtId="49" fontId="6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3" fillId="0" borderId="2" xfId="0" applyNumberFormat="1" applyFont="1" applyFill="1" applyBorder="1" applyAlignment="1">
      <alignment horizontal="left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49" fontId="7" fillId="0" borderId="16" xfId="681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7" fillId="2" borderId="1" xfId="633" applyNumberFormat="1" applyFont="1" applyFill="1" applyBorder="1" applyAlignment="1">
      <alignment horizontal="center" vertical="center" wrapText="1"/>
    </xf>
    <xf numFmtId="0" fontId="11" fillId="2" borderId="16" xfId="633" applyNumberFormat="1" applyFont="1" applyFill="1" applyBorder="1" applyAlignment="1">
      <alignment horizontal="center" vertical="center" wrapText="1"/>
    </xf>
    <xf numFmtId="49" fontId="63" fillId="2" borderId="1" xfId="633" applyNumberFormat="1" applyFont="1" applyFill="1" applyBorder="1" applyAlignment="1">
      <alignment horizontal="center" vertical="center" wrapText="1"/>
    </xf>
    <xf numFmtId="49" fontId="19" fillId="2" borderId="1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9" fillId="34" borderId="1" xfId="0" applyNumberFormat="1" applyFont="1" applyFill="1" applyBorder="1" applyAlignment="1">
      <alignment vertical="center" wrapText="1"/>
    </xf>
    <xf numFmtId="49" fontId="63" fillId="34" borderId="4" xfId="0" applyNumberFormat="1" applyFont="1" applyFill="1" applyBorder="1" applyAlignment="1">
      <alignment horizontal="center" vertical="center" wrapText="1"/>
    </xf>
    <xf numFmtId="0" fontId="63" fillId="0" borderId="1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49" fontId="11" fillId="34" borderId="1" xfId="0" applyNumberFormat="1" applyFont="1" applyFill="1" applyBorder="1" applyAlignment="1">
      <alignment horizontal="left" vertical="center" wrapText="1"/>
    </xf>
    <xf numFmtId="49" fontId="7" fillId="34" borderId="4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11" fillId="34" borderId="16" xfId="0" applyNumberFormat="1" applyFont="1" applyFill="1" applyBorder="1" applyAlignment="1">
      <alignment horizontal="left" vertical="center" wrapText="1"/>
    </xf>
    <xf numFmtId="0" fontId="63" fillId="0" borderId="1" xfId="1" applyNumberFormat="1" applyFont="1" applyFill="1" applyBorder="1" applyAlignment="1" applyProtection="1">
      <alignment horizontal="center" vertical="center" wrapText="1"/>
    </xf>
    <xf numFmtId="49" fontId="7" fillId="34" borderId="14" xfId="0" applyNumberFormat="1" applyFont="1" applyFill="1" applyBorder="1" applyAlignment="1">
      <alignment horizontal="center" vertical="center" wrapText="1"/>
    </xf>
    <xf numFmtId="0" fontId="7" fillId="34" borderId="14" xfId="0" applyNumberFormat="1" applyFont="1" applyFill="1" applyBorder="1" applyAlignment="1">
      <alignment horizontal="center" vertical="center" wrapText="1"/>
    </xf>
    <xf numFmtId="2" fontId="70" fillId="0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80" fillId="0" borderId="1" xfId="2" applyNumberFormat="1" applyFont="1" applyFill="1" applyBorder="1" applyAlignment="1">
      <alignment horizontal="center" vertical="center" wrapText="1"/>
    </xf>
    <xf numFmtId="49" fontId="80" fillId="0" borderId="1" xfId="0" applyNumberFormat="1" applyFont="1" applyFill="1" applyBorder="1" applyAlignment="1">
      <alignment horizontal="center" vertical="center" wrapText="1"/>
    </xf>
    <xf numFmtId="0" fontId="80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80" fillId="0" borderId="1" xfId="0" applyNumberFormat="1" applyFont="1" applyFill="1" applyBorder="1" applyAlignment="1" applyProtection="1">
      <alignment horizontal="center" vertical="center" wrapText="1"/>
    </xf>
    <xf numFmtId="0" fontId="8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901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1" fillId="27" borderId="16" xfId="0" applyNumberFormat="1" applyFont="1" applyFill="1" applyBorder="1" applyAlignment="1">
      <alignment horizontal="left" vertical="center" wrapText="1"/>
    </xf>
    <xf numFmtId="0" fontId="7" fillId="27" borderId="16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49" fontId="7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7" fillId="0" borderId="1" xfId="907" applyNumberFormat="1" applyFont="1" applyFill="1" applyBorder="1" applyAlignment="1">
      <alignment horizontal="center" vertical="center" wrapText="1"/>
    </xf>
    <xf numFmtId="49" fontId="19" fillId="0" borderId="1" xfId="907" applyNumberFormat="1" applyFont="1" applyFill="1" applyBorder="1" applyAlignment="1">
      <alignment vertical="center" wrapText="1"/>
    </xf>
    <xf numFmtId="0" fontId="63" fillId="0" borderId="1" xfId="907" applyNumberFormat="1" applyFont="1" applyFill="1" applyBorder="1" applyAlignment="1">
      <alignment horizontal="center" vertical="center" wrapText="1"/>
    </xf>
    <xf numFmtId="0" fontId="19" fillId="0" borderId="1" xfId="907" applyNumberFormat="1" applyFont="1" applyFill="1" applyBorder="1" applyAlignment="1">
      <alignment horizontal="center" vertical="center" wrapText="1"/>
    </xf>
    <xf numFmtId="2" fontId="76" fillId="0" borderId="1" xfId="0" applyNumberFormat="1" applyFont="1" applyFill="1" applyBorder="1" applyAlignment="1">
      <alignment horizontal="center" vertical="center" wrapText="1"/>
    </xf>
    <xf numFmtId="2" fontId="75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76" fillId="0" borderId="4" xfId="0" applyNumberFormat="1" applyFont="1" applyBorder="1" applyAlignment="1">
      <alignment horizontal="center" vertical="center" wrapText="1"/>
    </xf>
    <xf numFmtId="2" fontId="70" fillId="0" borderId="4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2" fontId="75" fillId="0" borderId="14" xfId="0" applyNumberFormat="1" applyFont="1" applyBorder="1" applyAlignment="1">
      <alignment horizontal="center" vertical="center" wrapText="1"/>
    </xf>
    <xf numFmtId="2" fontId="70" fillId="0" borderId="14" xfId="0" applyNumberFormat="1" applyFont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left" vertical="center" wrapText="1"/>
    </xf>
    <xf numFmtId="49" fontId="79" fillId="0" borderId="15" xfId="0" applyNumberFormat="1" applyFont="1" applyFill="1" applyBorder="1" applyAlignment="1">
      <alignment horizontal="center" vertical="center" wrapText="1"/>
    </xf>
    <xf numFmtId="0" fontId="79" fillId="0" borderId="15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49" fontId="19" fillId="0" borderId="1" xfId="907" applyNumberFormat="1" applyFont="1" applyFill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9" fontId="13" fillId="35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right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49" fontId="89" fillId="0" borderId="1" xfId="0" applyNumberFormat="1" applyFont="1" applyBorder="1" applyAlignment="1">
      <alignment horizontal="center" vertical="center" wrapText="1"/>
    </xf>
    <xf numFmtId="49" fontId="90" fillId="0" borderId="4" xfId="0" applyNumberFormat="1" applyFont="1" applyBorder="1" applyAlignment="1">
      <alignment horizontal="center" vertical="center" wrapText="1"/>
    </xf>
    <xf numFmtId="49" fontId="70" fillId="0" borderId="4" xfId="0" applyNumberFormat="1" applyFont="1" applyBorder="1" applyAlignment="1">
      <alignment horizontal="center" vertical="center" wrapText="1"/>
    </xf>
    <xf numFmtId="49" fontId="89" fillId="0" borderId="4" xfId="0" applyNumberFormat="1" applyFont="1" applyBorder="1" applyAlignment="1">
      <alignment horizontal="center" vertical="center" wrapText="1"/>
    </xf>
    <xf numFmtId="0" fontId="89" fillId="0" borderId="4" xfId="0" applyNumberFormat="1" applyFont="1" applyBorder="1" applyAlignment="1">
      <alignment horizontal="center" vertical="center" wrapText="1"/>
    </xf>
    <xf numFmtId="0" fontId="91" fillId="35" borderId="4" xfId="0" applyNumberFormat="1" applyFont="1" applyFill="1" applyBorder="1" applyAlignment="1">
      <alignment horizontal="center" vertical="center" wrapText="1"/>
    </xf>
    <xf numFmtId="49" fontId="89" fillId="0" borderId="16" xfId="0" applyNumberFormat="1" applyFont="1" applyBorder="1" applyAlignment="1">
      <alignment horizontal="center" vertical="center" wrapText="1"/>
    </xf>
    <xf numFmtId="49" fontId="90" fillId="0" borderId="14" xfId="0" applyNumberFormat="1" applyFont="1" applyBorder="1" applyAlignment="1">
      <alignment horizontal="center" vertical="center" wrapText="1"/>
    </xf>
    <xf numFmtId="49" fontId="89" fillId="0" borderId="14" xfId="0" applyNumberFormat="1" applyFont="1" applyBorder="1" applyAlignment="1">
      <alignment horizontal="center" vertical="center" wrapText="1"/>
    </xf>
    <xf numFmtId="0" fontId="89" fillId="0" borderId="14" xfId="0" applyNumberFormat="1" applyFont="1" applyBorder="1" applyAlignment="1">
      <alignment horizontal="center" vertical="center" wrapText="1"/>
    </xf>
    <xf numFmtId="0" fontId="91" fillId="0" borderId="14" xfId="0" applyNumberFormat="1" applyFont="1" applyFill="1" applyBorder="1" applyAlignment="1">
      <alignment horizontal="center" vertical="center" wrapText="1"/>
    </xf>
    <xf numFmtId="49" fontId="70" fillId="0" borderId="14" xfId="0" applyNumberFormat="1" applyFont="1" applyBorder="1" applyAlignment="1">
      <alignment horizontal="center" vertical="center" wrapText="1"/>
    </xf>
    <xf numFmtId="0" fontId="91" fillId="35" borderId="14" xfId="0" applyNumberFormat="1" applyFont="1" applyFill="1" applyBorder="1" applyAlignment="1">
      <alignment horizontal="center" vertical="center" wrapText="1"/>
    </xf>
    <xf numFmtId="49" fontId="89" fillId="32" borderId="16" xfId="0" applyNumberFormat="1" applyFont="1" applyFill="1" applyBorder="1" applyAlignment="1">
      <alignment horizontal="center" vertical="center" wrapText="1"/>
    </xf>
    <xf numFmtId="49" fontId="90" fillId="32" borderId="14" xfId="0" applyNumberFormat="1" applyFont="1" applyFill="1" applyBorder="1" applyAlignment="1">
      <alignment horizontal="center" vertical="center" wrapText="1"/>
    </xf>
    <xf numFmtId="49" fontId="13" fillId="32" borderId="1" xfId="0" applyNumberFormat="1" applyFont="1" applyFill="1" applyBorder="1" applyAlignment="1">
      <alignment horizontal="center" vertical="center" wrapText="1"/>
    </xf>
    <xf numFmtId="49" fontId="89" fillId="32" borderId="14" xfId="0" applyNumberFormat="1" applyFont="1" applyFill="1" applyBorder="1" applyAlignment="1">
      <alignment horizontal="center" vertical="center" wrapText="1"/>
    </xf>
    <xf numFmtId="0" fontId="89" fillId="32" borderId="14" xfId="0" applyNumberFormat="1" applyFont="1" applyFill="1" applyBorder="1" applyAlignment="1">
      <alignment horizontal="center" vertical="center" wrapText="1"/>
    </xf>
    <xf numFmtId="0" fontId="91" fillId="32" borderId="14" xfId="0" applyNumberFormat="1" applyFont="1" applyFill="1" applyBorder="1" applyAlignment="1">
      <alignment horizontal="center" vertical="center" wrapText="1"/>
    </xf>
    <xf numFmtId="2" fontId="70" fillId="32" borderId="14" xfId="0" applyNumberFormat="1" applyFont="1" applyFill="1" applyBorder="1" applyAlignment="1">
      <alignment horizontal="center" vertical="center" wrapText="1"/>
    </xf>
    <xf numFmtId="2" fontId="91" fillId="36" borderId="14" xfId="0" applyNumberFormat="1" applyFont="1" applyFill="1" applyBorder="1" applyAlignment="1">
      <alignment horizontal="center" vertical="center" wrapText="1"/>
    </xf>
    <xf numFmtId="0" fontId="91" fillId="37" borderId="14" xfId="0" applyNumberFormat="1" applyFont="1" applyFill="1" applyBorder="1" applyAlignment="1">
      <alignment horizontal="center" vertical="center" wrapText="1"/>
    </xf>
    <xf numFmtId="0" fontId="91" fillId="0" borderId="14" xfId="0" applyNumberFormat="1" applyFont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9" fontId="91" fillId="37" borderId="14" xfId="0" applyNumberFormat="1" applyFont="1" applyFill="1" applyBorder="1" applyAlignment="1">
      <alignment horizontal="center" vertical="center" wrapText="1"/>
    </xf>
    <xf numFmtId="49" fontId="6" fillId="32" borderId="1" xfId="0" applyNumberFormat="1" applyFont="1" applyFill="1" applyBorder="1" applyAlignment="1">
      <alignment horizontal="center" vertical="center" wrapText="1"/>
    </xf>
    <xf numFmtId="49" fontId="15" fillId="32" borderId="1" xfId="0" applyNumberFormat="1" applyFont="1" applyFill="1" applyBorder="1" applyAlignment="1">
      <alignment horizontal="center" vertical="center" wrapText="1"/>
    </xf>
    <xf numFmtId="0" fontId="15" fillId="32" borderId="1" xfId="0" applyNumberFormat="1" applyFont="1" applyFill="1" applyBorder="1" applyAlignment="1">
      <alignment horizontal="center" vertical="center" wrapText="1"/>
    </xf>
    <xf numFmtId="0" fontId="13" fillId="32" borderId="1" xfId="0" applyNumberFormat="1" applyFont="1" applyFill="1" applyBorder="1" applyAlignment="1">
      <alignment horizontal="center" vertical="center" wrapText="1"/>
    </xf>
    <xf numFmtId="2" fontId="13" fillId="32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9" fontId="19" fillId="35" borderId="1" xfId="0" applyNumberFormat="1" applyFont="1" applyFill="1" applyBorder="1" applyAlignment="1">
      <alignment horizontal="center" vertical="center" wrapText="1"/>
    </xf>
    <xf numFmtId="2" fontId="91" fillId="0" borderId="14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70" fillId="0" borderId="1" xfId="0" applyNumberFormat="1" applyFont="1" applyBorder="1" applyAlignment="1">
      <alignment horizontal="center" vertical="center" wrapText="1"/>
    </xf>
    <xf numFmtId="0" fontId="3" fillId="32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2" fillId="32" borderId="1" xfId="0" applyNumberFormat="1" applyFont="1" applyFill="1" applyBorder="1" applyAlignment="1">
      <alignment horizontal="center" vertical="center" wrapText="1"/>
    </xf>
    <xf numFmtId="0" fontId="6" fillId="32" borderId="1" xfId="0" applyNumberFormat="1" applyFont="1" applyFill="1" applyBorder="1" applyAlignment="1">
      <alignment horizontal="center" vertical="center" wrapText="1"/>
    </xf>
    <xf numFmtId="2" fontId="12" fillId="3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12" fillId="26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49" fontId="14" fillId="0" borderId="0" xfId="0" applyNumberFormat="1" applyFont="1" applyFill="1"/>
    <xf numFmtId="2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19" fillId="0" borderId="1" xfId="681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49" fontId="63" fillId="0" borderId="16" xfId="0" applyNumberFormat="1" applyFont="1" applyFill="1" applyBorder="1" applyAlignment="1">
      <alignment horizontal="center" vertical="center" wrapText="1"/>
    </xf>
    <xf numFmtId="49" fontId="63" fillId="0" borderId="1" xfId="1" quotePrefix="1" applyNumberFormat="1" applyFont="1" applyFill="1" applyBorder="1" applyAlignment="1" applyProtection="1">
      <alignment horizontal="center" vertical="center" wrapText="1"/>
    </xf>
    <xf numFmtId="49" fontId="81" fillId="0" borderId="1" xfId="2" applyNumberFormat="1" applyFont="1" applyFill="1" applyBorder="1" applyAlignment="1">
      <alignment horizontal="center" vertical="center" wrapText="1"/>
    </xf>
    <xf numFmtId="49" fontId="63" fillId="0" borderId="1" xfId="0" quotePrefix="1" applyNumberFormat="1" applyFont="1" applyFill="1" applyBorder="1" applyAlignment="1" applyProtection="1">
      <alignment horizontal="center" vertical="center" wrapText="1"/>
    </xf>
    <xf numFmtId="49" fontId="82" fillId="0" borderId="1" xfId="633" applyNumberFormat="1" applyFont="1" applyFill="1" applyBorder="1" applyAlignment="1">
      <alignment horizontal="center" vertical="center" wrapText="1"/>
    </xf>
    <xf numFmtId="49" fontId="92" fillId="0" borderId="1" xfId="0" applyNumberFormat="1" applyFont="1" applyFill="1" applyBorder="1" applyAlignment="1">
      <alignment horizontal="center" vertical="center" wrapText="1"/>
    </xf>
    <xf numFmtId="0" fontId="93" fillId="0" borderId="0" xfId="0" applyFont="1"/>
    <xf numFmtId="0" fontId="19" fillId="0" borderId="16" xfId="633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3" fillId="0" borderId="16" xfId="0" applyNumberFormat="1" applyFont="1" applyFill="1" applyBorder="1" applyAlignment="1">
      <alignment horizontal="left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top" wrapText="1"/>
    </xf>
    <xf numFmtId="49" fontId="11" fillId="0" borderId="0" xfId="0" applyNumberFormat="1" applyFont="1" applyFill="1" applyAlignment="1">
      <alignment horizontal="center" vertical="top" wrapText="1"/>
    </xf>
    <xf numFmtId="49" fontId="7" fillId="31" borderId="1" xfId="0" applyNumberFormat="1" applyFont="1" applyFill="1" applyBorder="1" applyAlignment="1">
      <alignment horizontal="center" vertical="top" wrapText="1"/>
    </xf>
    <xf numFmtId="0" fontId="7" fillId="0" borderId="16" xfId="0" applyNumberFormat="1" applyFont="1" applyFill="1" applyBorder="1" applyAlignment="1">
      <alignment horizontal="center" vertical="top" wrapText="1"/>
    </xf>
    <xf numFmtId="49" fontId="7" fillId="32" borderId="1" xfId="0" applyNumberFormat="1" applyFont="1" applyFill="1" applyBorder="1" applyAlignment="1">
      <alignment horizontal="center" vertical="top" wrapText="1"/>
    </xf>
    <xf numFmtId="49" fontId="64" fillId="0" borderId="15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64" fillId="0" borderId="1" xfId="0" applyNumberFormat="1" applyFont="1" applyFill="1" applyBorder="1" applyAlignment="1">
      <alignment horizontal="center" vertical="top" wrapText="1"/>
    </xf>
    <xf numFmtId="49" fontId="7" fillId="0" borderId="1" xfId="901" applyNumberFormat="1" applyFont="1" applyFill="1" applyBorder="1" applyAlignment="1">
      <alignment horizontal="center" vertical="top" wrapText="1"/>
    </xf>
    <xf numFmtId="49" fontId="66" fillId="0" borderId="1" xfId="901" applyNumberFormat="1" applyFont="1" applyFill="1" applyBorder="1" applyAlignment="1">
      <alignment horizontal="center" vertical="top" wrapText="1"/>
    </xf>
    <xf numFmtId="49" fontId="19" fillId="31" borderId="1" xfId="0" applyNumberFormat="1" applyFont="1" applyFill="1" applyBorder="1" applyAlignment="1">
      <alignment horizontal="center" vertical="top" wrapText="1"/>
    </xf>
    <xf numFmtId="49" fontId="63" fillId="2" borderId="1" xfId="0" applyNumberFormat="1" applyFont="1" applyFill="1" applyBorder="1" applyAlignment="1">
      <alignment horizontal="center" vertical="top" wrapText="1"/>
    </xf>
    <xf numFmtId="49" fontId="6" fillId="3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89" fillId="0" borderId="1" xfId="0" applyNumberFormat="1" applyFont="1" applyBorder="1" applyAlignment="1">
      <alignment horizontal="center" vertical="top" wrapText="1"/>
    </xf>
    <xf numFmtId="49" fontId="89" fillId="0" borderId="16" xfId="0" applyNumberFormat="1" applyFont="1" applyBorder="1" applyAlignment="1">
      <alignment horizontal="center" vertical="top" wrapText="1"/>
    </xf>
    <xf numFmtId="49" fontId="89" fillId="32" borderId="16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49" fontId="1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9" fillId="0" borderId="2" xfId="633" applyNumberFormat="1" applyFont="1" applyFill="1" applyBorder="1" applyAlignment="1">
      <alignment vertical="center" wrapText="1"/>
    </xf>
    <xf numFmtId="49" fontId="19" fillId="0" borderId="16" xfId="633" applyNumberFormat="1" applyFont="1" applyFill="1" applyBorder="1" applyAlignment="1">
      <alignment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19" fillId="34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8" fillId="0" borderId="1" xfId="0" applyNumberFormat="1" applyFont="1" applyBorder="1" applyAlignment="1">
      <alignment horizontal="center" vertical="center" wrapText="1"/>
    </xf>
    <xf numFmtId="49" fontId="68" fillId="0" borderId="1" xfId="0" applyNumberFormat="1" applyFont="1" applyBorder="1" applyAlignment="1">
      <alignment horizontal="center" vertical="center" wrapText="1"/>
    </xf>
    <xf numFmtId="0" fontId="68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quotePrefix="1" applyNumberFormat="1" applyFont="1" applyFill="1" applyBorder="1" applyAlignment="1" applyProtection="1">
      <alignment horizontal="center" vertical="center" wrapText="1"/>
    </xf>
    <xf numFmtId="0" fontId="68" fillId="0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right" vertical="top" wrapText="1"/>
    </xf>
    <xf numFmtId="49" fontId="7" fillId="0" borderId="16" xfId="0" applyNumberFormat="1" applyFont="1" applyFill="1" applyBorder="1" applyAlignment="1">
      <alignment horizontal="right" vertical="top" wrapText="1"/>
    </xf>
    <xf numFmtId="49" fontId="7" fillId="0" borderId="1" xfId="0" applyNumberFormat="1" applyFont="1" applyFill="1" applyBorder="1" applyAlignment="1">
      <alignment horizontal="right" vertical="top" wrapText="1"/>
    </xf>
    <xf numFmtId="49" fontId="7" fillId="0" borderId="15" xfId="0" applyNumberFormat="1" applyFont="1" applyFill="1" applyBorder="1" applyAlignment="1">
      <alignment horizontal="right" vertical="top" wrapText="1"/>
    </xf>
    <xf numFmtId="49" fontId="6" fillId="0" borderId="15" xfId="0" applyNumberFormat="1" applyFont="1" applyBorder="1" applyAlignment="1">
      <alignment horizontal="right" vertical="top" wrapText="1"/>
    </xf>
    <xf numFmtId="49" fontId="19" fillId="0" borderId="1" xfId="0" applyNumberFormat="1" applyFont="1" applyFill="1" applyBorder="1" applyAlignment="1" applyProtection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0" fontId="63" fillId="0" borderId="16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3" fillId="26" borderId="1" xfId="0" applyNumberFormat="1" applyFont="1" applyFill="1" applyBorder="1" applyAlignment="1">
      <alignment horizontal="center" vertical="center" wrapText="1"/>
    </xf>
    <xf numFmtId="49" fontId="63" fillId="26" borderId="1" xfId="0" applyNumberFormat="1" applyFont="1" applyFill="1" applyBorder="1" applyAlignment="1">
      <alignment horizontal="center" vertical="center" wrapText="1"/>
    </xf>
    <xf numFmtId="49" fontId="63" fillId="26" borderId="1" xfId="0" applyNumberFormat="1" applyFont="1" applyFill="1" applyBorder="1" applyAlignment="1">
      <alignment horizontal="center" vertical="top" wrapText="1"/>
    </xf>
    <xf numFmtId="49" fontId="19" fillId="26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right" vertical="top" wrapText="1"/>
    </xf>
    <xf numFmtId="49" fontId="7" fillId="0" borderId="1" xfId="633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94" fillId="0" borderId="0" xfId="0" applyNumberFormat="1" applyFont="1" applyFill="1" applyAlignment="1">
      <alignment horizontal="right" vertical="center" wrapText="1"/>
    </xf>
    <xf numFmtId="0" fontId="63" fillId="0" borderId="4" xfId="0" applyNumberFormat="1" applyFont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15" xfId="0" applyNumberFormat="1" applyFont="1" applyFill="1" applyBorder="1" applyAlignment="1">
      <alignment horizontal="center" vertical="top" wrapText="1"/>
    </xf>
    <xf numFmtId="0" fontId="7" fillId="0" borderId="16" xfId="0" applyNumberFormat="1" applyFont="1" applyFill="1" applyBorder="1" applyAlignment="1">
      <alignment horizontal="center" vertical="top" wrapText="1"/>
    </xf>
    <xf numFmtId="0" fontId="19" fillId="0" borderId="0" xfId="0" applyNumberFormat="1" applyFont="1" applyFill="1" applyAlignment="1">
      <alignment horizontal="center" vertical="center" wrapText="1"/>
    </xf>
    <xf numFmtId="49" fontId="83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right" vertical="top" wrapText="1"/>
    </xf>
    <xf numFmtId="49" fontId="7" fillId="0" borderId="15" xfId="0" applyNumberFormat="1" applyFont="1" applyFill="1" applyBorder="1" applyAlignment="1">
      <alignment horizontal="right" vertical="top" wrapText="1"/>
    </xf>
    <xf numFmtId="49" fontId="7" fillId="0" borderId="16" xfId="0" applyNumberFormat="1" applyFont="1" applyFill="1" applyBorder="1" applyAlignment="1">
      <alignment horizontal="right" vertical="top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horizontal="right" vertical="top" wrapText="1"/>
    </xf>
    <xf numFmtId="49" fontId="64" fillId="0" borderId="15" xfId="0" applyNumberFormat="1" applyFont="1" applyFill="1" applyBorder="1" applyAlignment="1">
      <alignment horizontal="right" vertical="top" wrapText="1"/>
    </xf>
    <xf numFmtId="49" fontId="64" fillId="0" borderId="16" xfId="0" applyNumberFormat="1" applyFont="1" applyFill="1" applyBorder="1" applyAlignment="1">
      <alignment horizontal="right" vertical="top" wrapText="1"/>
    </xf>
    <xf numFmtId="49" fontId="66" fillId="0" borderId="2" xfId="901" applyNumberFormat="1" applyFont="1" applyFill="1" applyBorder="1" applyAlignment="1">
      <alignment horizontal="right" vertical="top" wrapText="1"/>
    </xf>
    <xf numFmtId="49" fontId="66" fillId="0" borderId="15" xfId="901" applyNumberFormat="1" applyFont="1" applyFill="1" applyBorder="1" applyAlignment="1">
      <alignment horizontal="right" vertical="top" wrapText="1"/>
    </xf>
    <xf numFmtId="49" fontId="7" fillId="0" borderId="2" xfId="633" applyNumberFormat="1" applyFont="1" applyFill="1" applyBorder="1" applyAlignment="1">
      <alignment horizontal="right" vertical="top" wrapText="1"/>
    </xf>
    <xf numFmtId="49" fontId="7" fillId="0" borderId="15" xfId="633" applyNumberFormat="1" applyFont="1" applyFill="1" applyBorder="1" applyAlignment="1">
      <alignment horizontal="right" vertical="top" wrapText="1"/>
    </xf>
    <xf numFmtId="49" fontId="7" fillId="0" borderId="16" xfId="633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 vertical="top" wrapText="1"/>
    </xf>
    <xf numFmtId="49" fontId="6" fillId="0" borderId="15" xfId="0" applyNumberFormat="1" applyFont="1" applyBorder="1" applyAlignment="1">
      <alignment horizontal="right" vertical="top" wrapText="1"/>
    </xf>
    <xf numFmtId="49" fontId="6" fillId="0" borderId="16" xfId="0" applyNumberFormat="1" applyFont="1" applyBorder="1" applyAlignment="1">
      <alignment horizontal="right" vertical="top" wrapText="1"/>
    </xf>
    <xf numFmtId="49" fontId="7" fillId="0" borderId="1" xfId="2" applyNumberFormat="1" applyFont="1" applyFill="1" applyBorder="1" applyAlignment="1">
      <alignment horizontal="right" vertical="top" wrapText="1"/>
    </xf>
    <xf numFmtId="49" fontId="6" fillId="0" borderId="2" xfId="0" applyNumberFormat="1" applyFont="1" applyFill="1" applyBorder="1" applyAlignment="1">
      <alignment horizontal="right" vertical="top" wrapText="1"/>
    </xf>
    <xf numFmtId="49" fontId="6" fillId="0" borderId="15" xfId="0" applyNumberFormat="1" applyFont="1" applyFill="1" applyBorder="1" applyAlignment="1">
      <alignment horizontal="right" vertical="top" wrapText="1"/>
    </xf>
    <xf numFmtId="49" fontId="6" fillId="0" borderId="16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Fill="1" applyBorder="1" applyAlignment="1">
      <alignment horizontal="right" vertical="center" wrapText="1"/>
    </xf>
    <xf numFmtId="49" fontId="6" fillId="0" borderId="15" xfId="0" applyNumberFormat="1" applyFont="1" applyFill="1" applyBorder="1" applyAlignment="1">
      <alignment horizontal="right" vertical="center" wrapText="1"/>
    </xf>
    <xf numFmtId="49" fontId="63" fillId="0" borderId="2" xfId="0" applyNumberFormat="1" applyFont="1" applyFill="1" applyBorder="1" applyAlignment="1">
      <alignment horizontal="center" vertical="center" wrapText="1"/>
    </xf>
    <xf numFmtId="49" fontId="63" fillId="0" borderId="16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vertical="center" wrapText="1"/>
    </xf>
    <xf numFmtId="49" fontId="19" fillId="0" borderId="16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right" vertical="top" wrapText="1"/>
    </xf>
    <xf numFmtId="49" fontId="64" fillId="0" borderId="1" xfId="0" applyNumberFormat="1" applyFont="1" applyFill="1" applyBorder="1" applyAlignment="1">
      <alignment horizontal="right" vertical="top" wrapText="1"/>
    </xf>
    <xf numFmtId="0" fontId="7" fillId="0" borderId="2" xfId="0" applyNumberFormat="1" applyFont="1" applyFill="1" applyBorder="1" applyAlignment="1">
      <alignment horizontal="right" vertical="top" wrapText="1"/>
    </xf>
    <xf numFmtId="0" fontId="7" fillId="0" borderId="15" xfId="0" applyNumberFormat="1" applyFont="1" applyFill="1" applyBorder="1" applyAlignment="1">
      <alignment horizontal="right" vertical="top" wrapText="1"/>
    </xf>
    <xf numFmtId="0" fontId="7" fillId="0" borderId="16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49" fontId="63" fillId="0" borderId="2" xfId="0" applyNumberFormat="1" applyFont="1" applyFill="1" applyBorder="1" applyAlignment="1">
      <alignment horizontal="right" vertical="top" wrapText="1"/>
    </xf>
    <xf numFmtId="49" fontId="63" fillId="0" borderId="15" xfId="0" applyNumberFormat="1" applyFont="1" applyFill="1" applyBorder="1" applyAlignment="1">
      <alignment horizontal="right" vertical="top" wrapText="1"/>
    </xf>
    <xf numFmtId="49" fontId="63" fillId="0" borderId="16" xfId="0" applyNumberFormat="1" applyFont="1" applyFill="1" applyBorder="1" applyAlignment="1">
      <alignment horizontal="right" vertical="top" wrapText="1"/>
    </xf>
    <xf numFmtId="49" fontId="63" fillId="0" borderId="2" xfId="2" applyNumberFormat="1" applyFont="1" applyFill="1" applyBorder="1" applyAlignment="1">
      <alignment horizontal="center" vertical="center" wrapText="1"/>
    </xf>
    <xf numFmtId="49" fontId="63" fillId="0" borderId="16" xfId="2" applyNumberFormat="1" applyFont="1" applyFill="1" applyBorder="1" applyAlignment="1">
      <alignment horizontal="center" vertical="center" wrapText="1"/>
    </xf>
    <xf numFmtId="49" fontId="7" fillId="0" borderId="2" xfId="901" applyNumberFormat="1" applyFont="1" applyFill="1" applyBorder="1" applyAlignment="1">
      <alignment horizontal="right" vertical="top" wrapText="1"/>
    </xf>
    <xf numFmtId="49" fontId="7" fillId="0" borderId="15" xfId="901" applyNumberFormat="1" applyFont="1" applyFill="1" applyBorder="1" applyAlignment="1">
      <alignment horizontal="right" vertical="top" wrapText="1"/>
    </xf>
    <xf numFmtId="49" fontId="7" fillId="0" borderId="16" xfId="901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 vertical="center" wrapText="1"/>
    </xf>
    <xf numFmtId="49" fontId="6" fillId="0" borderId="15" xfId="0" applyNumberFormat="1" applyFont="1" applyBorder="1" applyAlignment="1">
      <alignment horizontal="right" vertical="center" wrapText="1"/>
    </xf>
    <xf numFmtId="49" fontId="6" fillId="0" borderId="16" xfId="0" applyNumberFormat="1" applyFont="1" applyBorder="1" applyAlignment="1">
      <alignment horizontal="right" vertical="center" wrapText="1"/>
    </xf>
    <xf numFmtId="49" fontId="6" fillId="0" borderId="16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right" vertical="center" wrapText="1"/>
    </xf>
    <xf numFmtId="49" fontId="7" fillId="0" borderId="2" xfId="654" applyNumberFormat="1" applyFont="1" applyFill="1" applyBorder="1" applyAlignment="1">
      <alignment horizontal="center" vertical="center" wrapText="1"/>
    </xf>
    <xf numFmtId="49" fontId="7" fillId="0" borderId="16" xfId="654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49" fontId="7" fillId="0" borderId="2" xfId="902" applyNumberFormat="1" applyFont="1" applyFill="1" applyBorder="1" applyAlignment="1">
      <alignment horizontal="center" vertical="center" wrapText="1"/>
    </xf>
    <xf numFmtId="49" fontId="7" fillId="0" borderId="15" xfId="902" applyNumberFormat="1" applyFont="1" applyFill="1" applyBorder="1" applyAlignment="1">
      <alignment horizontal="center" vertical="center" wrapText="1"/>
    </xf>
    <xf numFmtId="49" fontId="7" fillId="0" borderId="2" xfId="735" applyNumberFormat="1" applyFont="1" applyFill="1" applyBorder="1" applyAlignment="1">
      <alignment horizontal="center" vertical="center" wrapText="1"/>
    </xf>
    <xf numFmtId="49" fontId="7" fillId="0" borderId="15" xfId="735" applyNumberFormat="1" applyFont="1" applyFill="1" applyBorder="1" applyAlignment="1">
      <alignment horizontal="center" vertical="center" wrapText="1"/>
    </xf>
    <xf numFmtId="49" fontId="7" fillId="0" borderId="16" xfId="735" applyNumberFormat="1" applyFont="1" applyFill="1" applyBorder="1" applyAlignment="1">
      <alignment horizontal="center" vertical="center" wrapText="1"/>
    </xf>
    <xf numFmtId="49" fontId="7" fillId="0" borderId="16" xfId="902" applyNumberFormat="1" applyFont="1" applyFill="1" applyBorder="1" applyAlignment="1">
      <alignment horizontal="center" vertical="center" wrapText="1"/>
    </xf>
    <xf numFmtId="49" fontId="7" fillId="0" borderId="2" xfId="633" applyNumberFormat="1" applyFont="1" applyFill="1" applyBorder="1" applyAlignment="1">
      <alignment horizontal="center" vertical="center" wrapText="1"/>
    </xf>
    <xf numFmtId="49" fontId="7" fillId="0" borderId="15" xfId="633" applyNumberFormat="1" applyFont="1" applyFill="1" applyBorder="1" applyAlignment="1">
      <alignment horizontal="center" vertical="center" wrapText="1"/>
    </xf>
    <xf numFmtId="49" fontId="7" fillId="0" borderId="16" xfId="633" applyNumberFormat="1" applyFont="1" applyFill="1" applyBorder="1" applyAlignment="1">
      <alignment horizontal="center" vertical="center" wrapText="1"/>
    </xf>
    <xf numFmtId="49" fontId="7" fillId="0" borderId="2" xfId="870" applyNumberFormat="1" applyFont="1" applyFill="1" applyBorder="1" applyAlignment="1">
      <alignment horizontal="center" vertical="center" wrapText="1"/>
    </xf>
    <xf numFmtId="49" fontId="7" fillId="0" borderId="16" xfId="870" applyNumberFormat="1" applyFont="1" applyFill="1" applyBorder="1" applyAlignment="1">
      <alignment horizontal="center" vertical="center" wrapText="1"/>
    </xf>
    <xf numFmtId="49" fontId="7" fillId="0" borderId="2" xfId="901" applyNumberFormat="1" applyFont="1" applyFill="1" applyBorder="1" applyAlignment="1">
      <alignment horizontal="center" vertical="center" wrapText="1"/>
    </xf>
    <xf numFmtId="49" fontId="7" fillId="0" borderId="15" xfId="901" applyNumberFormat="1" applyFont="1" applyFill="1" applyBorder="1" applyAlignment="1">
      <alignment horizontal="center" vertical="center" wrapText="1"/>
    </xf>
    <xf numFmtId="49" fontId="7" fillId="0" borderId="16" xfId="901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15" xfId="0" applyNumberFormat="1" applyFont="1" applyFill="1" applyBorder="1" applyAlignment="1">
      <alignment horizontal="center" vertical="top" wrapText="1"/>
    </xf>
    <xf numFmtId="49" fontId="7" fillId="0" borderId="16" xfId="0" applyNumberFormat="1" applyFont="1" applyFill="1" applyBorder="1" applyAlignment="1">
      <alignment horizontal="center" vertical="top" wrapText="1"/>
    </xf>
    <xf numFmtId="2" fontId="11" fillId="0" borderId="2" xfId="903" applyNumberFormat="1" applyFont="1" applyFill="1" applyBorder="1" applyAlignment="1">
      <alignment horizontal="center" vertical="center" wrapText="1"/>
    </xf>
    <xf numFmtId="2" fontId="11" fillId="0" borderId="15" xfId="903" applyNumberFormat="1" applyFont="1" applyFill="1" applyBorder="1" applyAlignment="1">
      <alignment horizontal="center" vertical="center" wrapText="1"/>
    </xf>
    <xf numFmtId="2" fontId="11" fillId="0" borderId="16" xfId="903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31" borderId="2" xfId="0" applyNumberFormat="1" applyFont="1" applyFill="1" applyBorder="1" applyAlignment="1">
      <alignment horizontal="center" vertical="center" wrapText="1"/>
    </xf>
    <xf numFmtId="49" fontId="7" fillId="31" borderId="16" xfId="0" applyNumberFormat="1" applyFont="1" applyFill="1" applyBorder="1" applyAlignment="1">
      <alignment horizontal="center" vertical="center" wrapText="1"/>
    </xf>
    <xf numFmtId="49" fontId="63" fillId="31" borderId="2" xfId="0" applyNumberFormat="1" applyFont="1" applyFill="1" applyBorder="1" applyAlignment="1">
      <alignment horizontal="center" vertical="center" wrapText="1"/>
    </xf>
    <xf numFmtId="49" fontId="63" fillId="31" borderId="16" xfId="0" applyNumberFormat="1" applyFont="1" applyFill="1" applyBorder="1" applyAlignment="1">
      <alignment horizontal="center" vertical="center" wrapText="1"/>
    </xf>
    <xf numFmtId="0" fontId="7" fillId="31" borderId="2" xfId="0" applyNumberFormat="1" applyFont="1" applyFill="1" applyBorder="1" applyAlignment="1">
      <alignment horizontal="center" vertical="center" wrapText="1"/>
    </xf>
    <xf numFmtId="0" fontId="7" fillId="31" borderId="16" xfId="0" applyNumberFormat="1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horizontal="center" vertical="center" wrapText="1"/>
    </xf>
    <xf numFmtId="49" fontId="64" fillId="0" borderId="15" xfId="0" applyNumberFormat="1" applyFont="1" applyFill="1" applyBorder="1" applyAlignment="1">
      <alignment horizontal="center" vertical="center" wrapText="1"/>
    </xf>
    <xf numFmtId="49" fontId="64" fillId="0" borderId="16" xfId="0" applyNumberFormat="1" applyFont="1" applyFill="1" applyBorder="1" applyAlignment="1">
      <alignment horizontal="center" vertical="center" wrapText="1"/>
    </xf>
    <xf numFmtId="49" fontId="7" fillId="0" borderId="2" xfId="681" applyNumberFormat="1" applyFont="1" applyFill="1" applyBorder="1" applyAlignment="1">
      <alignment horizontal="center" vertical="center" wrapText="1"/>
    </xf>
    <xf numFmtId="49" fontId="7" fillId="0" borderId="15" xfId="681" applyNumberFormat="1" applyFont="1" applyFill="1" applyBorder="1" applyAlignment="1">
      <alignment horizontal="center" vertical="center" wrapText="1"/>
    </xf>
    <xf numFmtId="49" fontId="7" fillId="0" borderId="16" xfId="681" applyNumberFormat="1" applyFont="1" applyFill="1" applyBorder="1" applyAlignment="1">
      <alignment horizontal="center" vertical="center" wrapText="1"/>
    </xf>
    <xf numFmtId="49" fontId="7" fillId="0" borderId="2" xfId="907" applyNumberFormat="1" applyFont="1" applyFill="1" applyBorder="1" applyAlignment="1">
      <alignment horizontal="center" vertical="center" wrapText="1"/>
    </xf>
    <xf numFmtId="49" fontId="7" fillId="0" borderId="15" xfId="907" applyNumberFormat="1" applyFont="1" applyFill="1" applyBorder="1" applyAlignment="1">
      <alignment horizontal="center" vertical="center" wrapText="1"/>
    </xf>
    <xf numFmtId="49" fontId="7" fillId="0" borderId="16" xfId="907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6" fillId="0" borderId="2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910">
    <cellStyle name="20% - Accent1" xfId="5"/>
    <cellStyle name="20% - Accent1 2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3" xfId="16"/>
    <cellStyle name="20% - Accent1 3 2" xfId="17"/>
    <cellStyle name="20% - Accent1 4" xfId="18"/>
    <cellStyle name="20% - Accent1 4 2" xfId="19"/>
    <cellStyle name="20% - Accent1 4 2 2" xfId="20"/>
    <cellStyle name="20% - Accent1 4 3" xfId="21"/>
    <cellStyle name="20% - Accent1 5" xfId="22"/>
    <cellStyle name="20% - Accent1 5 2" xfId="23"/>
    <cellStyle name="20% - Accent1 6" xfId="24"/>
    <cellStyle name="20% - Accent1 6 2" xfId="25"/>
    <cellStyle name="20% - Accent1 7" xfId="26"/>
    <cellStyle name="20% - Accent1 7 2" xfId="27"/>
    <cellStyle name="20% - Accent1_Q.W. ADMINISTRACIULI SENOBA" xfId="28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2 3 2" xfId="34"/>
    <cellStyle name="20% - Accent2 2 4" xfId="35"/>
    <cellStyle name="20% - Accent2 2 4 2" xfId="36"/>
    <cellStyle name="20% - Accent2 2 5" xfId="37"/>
    <cellStyle name="20% - Accent2 2 5 2" xfId="38"/>
    <cellStyle name="20% - Accent2 2 6" xfId="39"/>
    <cellStyle name="20% - Accent2 3" xfId="40"/>
    <cellStyle name="20% - Accent2 3 2" xfId="41"/>
    <cellStyle name="20% - Accent2 4" xfId="42"/>
    <cellStyle name="20% - Accent2 4 2" xfId="43"/>
    <cellStyle name="20% - Accent2 4 2 2" xfId="44"/>
    <cellStyle name="20% - Accent2 4 3" xfId="45"/>
    <cellStyle name="20% - Accent2 5" xfId="46"/>
    <cellStyle name="20% - Accent2 5 2" xfId="47"/>
    <cellStyle name="20% - Accent2 6" xfId="48"/>
    <cellStyle name="20% - Accent2 6 2" xfId="49"/>
    <cellStyle name="20% - Accent2 7" xfId="50"/>
    <cellStyle name="20% - Accent2 7 2" xfId="51"/>
    <cellStyle name="20% - Accent2_Q.W. ADMINISTRACIULI SENOBA" xfId="52"/>
    <cellStyle name="20% - Accent3" xfId="53"/>
    <cellStyle name="20% - Accent3 2" xfId="54"/>
    <cellStyle name="20% - Accent3 2 2" xfId="55"/>
    <cellStyle name="20% - Accent3 2 2 2" xfId="56"/>
    <cellStyle name="20% - Accent3 2 3" xfId="57"/>
    <cellStyle name="20% - Accent3 2 3 2" xfId="58"/>
    <cellStyle name="20% - Accent3 2 4" xfId="59"/>
    <cellStyle name="20% - Accent3 2 4 2" xfId="60"/>
    <cellStyle name="20% - Accent3 2 5" xfId="61"/>
    <cellStyle name="20% - Accent3 2 5 2" xfId="62"/>
    <cellStyle name="20% - Accent3 2 6" xfId="63"/>
    <cellStyle name="20% - Accent3 3" xfId="64"/>
    <cellStyle name="20% - Accent3 3 2" xfId="65"/>
    <cellStyle name="20% - Accent3 4" xfId="66"/>
    <cellStyle name="20% - Accent3 4 2" xfId="67"/>
    <cellStyle name="20% - Accent3 4 2 2" xfId="68"/>
    <cellStyle name="20% - Accent3 4 3" xfId="69"/>
    <cellStyle name="20% - Accent3 5" xfId="70"/>
    <cellStyle name="20% - Accent3 5 2" xfId="71"/>
    <cellStyle name="20% - Accent3 6" xfId="72"/>
    <cellStyle name="20% - Accent3 6 2" xfId="73"/>
    <cellStyle name="20% - Accent3 7" xfId="74"/>
    <cellStyle name="20% - Accent3 7 2" xfId="75"/>
    <cellStyle name="20% - Accent3_Q.W. ADMINISTRACIULI SENOBA" xfId="76"/>
    <cellStyle name="20% - Accent4" xfId="77"/>
    <cellStyle name="20% - Accent4 2" xfId="78"/>
    <cellStyle name="20% - Accent4 2 2" xfId="79"/>
    <cellStyle name="20% - Accent4 2 2 2" xfId="80"/>
    <cellStyle name="20% - Accent4 2 3" xfId="81"/>
    <cellStyle name="20% - Accent4 2 3 2" xfId="82"/>
    <cellStyle name="20% - Accent4 2 4" xfId="83"/>
    <cellStyle name="20% - Accent4 2 4 2" xfId="84"/>
    <cellStyle name="20% - Accent4 2 5" xfId="85"/>
    <cellStyle name="20% - Accent4 2 5 2" xfId="86"/>
    <cellStyle name="20% - Accent4 2 6" xfId="87"/>
    <cellStyle name="20% - Accent4 3" xfId="88"/>
    <cellStyle name="20% - Accent4 3 2" xfId="89"/>
    <cellStyle name="20% - Accent4 4" xfId="90"/>
    <cellStyle name="20% - Accent4 4 2" xfId="91"/>
    <cellStyle name="20% - Accent4 4 2 2" xfId="92"/>
    <cellStyle name="20% - Accent4 4 3" xfId="93"/>
    <cellStyle name="20% - Accent4 5" xfId="94"/>
    <cellStyle name="20% - Accent4 5 2" xfId="95"/>
    <cellStyle name="20% - Accent4 6" xfId="96"/>
    <cellStyle name="20% - Accent4 6 2" xfId="97"/>
    <cellStyle name="20% - Accent4 7" xfId="98"/>
    <cellStyle name="20% - Accent4 7 2" xfId="99"/>
    <cellStyle name="20% - Accent4_Q.W. ADMINISTRACIULI SENOBA" xfId="100"/>
    <cellStyle name="20% - Accent5" xfId="101"/>
    <cellStyle name="20% - Accent5 2" xfId="102"/>
    <cellStyle name="20% - Accent5 2 2" xfId="103"/>
    <cellStyle name="20% - Accent5 2 2 2" xfId="104"/>
    <cellStyle name="20% - Accent5 2 3" xfId="105"/>
    <cellStyle name="20% - Accent5 2 3 2" xfId="106"/>
    <cellStyle name="20% - Accent5 2 4" xfId="107"/>
    <cellStyle name="20% - Accent5 2 4 2" xfId="108"/>
    <cellStyle name="20% - Accent5 2 5" xfId="109"/>
    <cellStyle name="20% - Accent5 2 5 2" xfId="110"/>
    <cellStyle name="20% - Accent5 2 6" xfId="111"/>
    <cellStyle name="20% - Accent5 3" xfId="112"/>
    <cellStyle name="20% - Accent5 3 2" xfId="113"/>
    <cellStyle name="20% - Accent5 4" xfId="114"/>
    <cellStyle name="20% - Accent5 4 2" xfId="115"/>
    <cellStyle name="20% - Accent5 4 2 2" xfId="116"/>
    <cellStyle name="20% - Accent5 4 3" xfId="117"/>
    <cellStyle name="20% - Accent5 5" xfId="118"/>
    <cellStyle name="20% - Accent5 5 2" xfId="119"/>
    <cellStyle name="20% - Accent5 6" xfId="120"/>
    <cellStyle name="20% - Accent5 6 2" xfId="121"/>
    <cellStyle name="20% - Accent5 7" xfId="122"/>
    <cellStyle name="20% - Accent5 7 2" xfId="123"/>
    <cellStyle name="20% - Accent5_Q.W. ADMINISTRACIULI SENOBA" xfId="124"/>
    <cellStyle name="20% - Accent6" xfId="125"/>
    <cellStyle name="20% - Accent6 2" xfId="126"/>
    <cellStyle name="20% - Accent6 2 2" xfId="127"/>
    <cellStyle name="20% - Accent6 2 2 2" xfId="128"/>
    <cellStyle name="20% - Accent6 2 3" xfId="129"/>
    <cellStyle name="20% - Accent6 2 3 2" xfId="130"/>
    <cellStyle name="20% - Accent6 2 4" xfId="131"/>
    <cellStyle name="20% - Accent6 2 4 2" xfId="132"/>
    <cellStyle name="20% - Accent6 2 5" xfId="133"/>
    <cellStyle name="20% - Accent6 2 5 2" xfId="134"/>
    <cellStyle name="20% - Accent6 2 6" xfId="135"/>
    <cellStyle name="20% - Accent6 3" xfId="136"/>
    <cellStyle name="20% - Accent6 3 2" xfId="137"/>
    <cellStyle name="20% - Accent6 4" xfId="138"/>
    <cellStyle name="20% - Accent6 4 2" xfId="139"/>
    <cellStyle name="20% - Accent6 4 2 2" xfId="140"/>
    <cellStyle name="20% - Accent6 4 3" xfId="141"/>
    <cellStyle name="20% - Accent6 5" xfId="142"/>
    <cellStyle name="20% - Accent6 5 2" xfId="143"/>
    <cellStyle name="20% - Accent6 6" xfId="144"/>
    <cellStyle name="20% - Accent6 6 2" xfId="145"/>
    <cellStyle name="20% - Accent6 7" xfId="146"/>
    <cellStyle name="20% - Accent6 7 2" xfId="147"/>
    <cellStyle name="20% - Accent6_Q.W. ADMINISTRACIULI SENOBA" xfId="148"/>
    <cellStyle name="40% - Accent1" xfId="149"/>
    <cellStyle name="40% - Accent1 2" xfId="150"/>
    <cellStyle name="40% - Accent1 2 2" xfId="151"/>
    <cellStyle name="40% - Accent1 2 2 2" xfId="152"/>
    <cellStyle name="40% - Accent1 2 3" xfId="153"/>
    <cellStyle name="40% - Accent1 2 3 2" xfId="154"/>
    <cellStyle name="40% - Accent1 2 4" xfId="155"/>
    <cellStyle name="40% - Accent1 2 4 2" xfId="156"/>
    <cellStyle name="40% - Accent1 2 5" xfId="157"/>
    <cellStyle name="40% - Accent1 2 5 2" xfId="158"/>
    <cellStyle name="40% - Accent1 2 6" xfId="159"/>
    <cellStyle name="40% - Accent1 3" xfId="160"/>
    <cellStyle name="40% - Accent1 3 2" xfId="161"/>
    <cellStyle name="40% - Accent1 4" xfId="162"/>
    <cellStyle name="40% - Accent1 4 2" xfId="163"/>
    <cellStyle name="40% - Accent1 4 2 2" xfId="164"/>
    <cellStyle name="40% - Accent1 4 3" xfId="165"/>
    <cellStyle name="40% - Accent1 5" xfId="166"/>
    <cellStyle name="40% - Accent1 5 2" xfId="167"/>
    <cellStyle name="40% - Accent1 6" xfId="168"/>
    <cellStyle name="40% - Accent1 6 2" xfId="169"/>
    <cellStyle name="40% - Accent1 7" xfId="170"/>
    <cellStyle name="40% - Accent1 7 2" xfId="171"/>
    <cellStyle name="40% - Accent1_Q.W. ADMINISTRACIULI SENOBA" xfId="172"/>
    <cellStyle name="40% - Accent2" xfId="173"/>
    <cellStyle name="40% - Accent2 2" xfId="174"/>
    <cellStyle name="40% - Accent2 2 2" xfId="175"/>
    <cellStyle name="40% - Accent2 2 2 2" xfId="176"/>
    <cellStyle name="40% - Accent2 2 3" xfId="177"/>
    <cellStyle name="40% - Accent2 2 3 2" xfId="178"/>
    <cellStyle name="40% - Accent2 2 4" xfId="179"/>
    <cellStyle name="40% - Accent2 2 4 2" xfId="180"/>
    <cellStyle name="40% - Accent2 2 5" xfId="181"/>
    <cellStyle name="40% - Accent2 2 5 2" xfId="182"/>
    <cellStyle name="40% - Accent2 2 6" xfId="183"/>
    <cellStyle name="40% - Accent2 3" xfId="184"/>
    <cellStyle name="40% - Accent2 3 2" xfId="185"/>
    <cellStyle name="40% - Accent2 4" xfId="186"/>
    <cellStyle name="40% - Accent2 4 2" xfId="187"/>
    <cellStyle name="40% - Accent2 4 2 2" xfId="188"/>
    <cellStyle name="40% - Accent2 4 3" xfId="189"/>
    <cellStyle name="40% - Accent2 5" xfId="190"/>
    <cellStyle name="40% - Accent2 5 2" xfId="191"/>
    <cellStyle name="40% - Accent2 6" xfId="192"/>
    <cellStyle name="40% - Accent2 6 2" xfId="193"/>
    <cellStyle name="40% - Accent2 7" xfId="194"/>
    <cellStyle name="40% - Accent2 7 2" xfId="195"/>
    <cellStyle name="40% - Accent2_Q.W. ADMINISTRACIULI SENOBA" xfId="196"/>
    <cellStyle name="40% - Accent3" xfId="197"/>
    <cellStyle name="40% - Accent3 2" xfId="198"/>
    <cellStyle name="40% - Accent3 2 2" xfId="199"/>
    <cellStyle name="40% - Accent3 2 2 2" xfId="200"/>
    <cellStyle name="40% - Accent3 2 3" xfId="201"/>
    <cellStyle name="40% - Accent3 2 3 2" xfId="202"/>
    <cellStyle name="40% - Accent3 2 4" xfId="203"/>
    <cellStyle name="40% - Accent3 2 4 2" xfId="204"/>
    <cellStyle name="40% - Accent3 2 5" xfId="205"/>
    <cellStyle name="40% - Accent3 2 5 2" xfId="206"/>
    <cellStyle name="40% - Accent3 2 6" xfId="207"/>
    <cellStyle name="40% - Accent3 3" xfId="208"/>
    <cellStyle name="40% - Accent3 3 2" xfId="209"/>
    <cellStyle name="40% - Accent3 4" xfId="210"/>
    <cellStyle name="40% - Accent3 4 2" xfId="211"/>
    <cellStyle name="40% - Accent3 4 2 2" xfId="212"/>
    <cellStyle name="40% - Accent3 4 3" xfId="213"/>
    <cellStyle name="40% - Accent3 5" xfId="214"/>
    <cellStyle name="40% - Accent3 5 2" xfId="215"/>
    <cellStyle name="40% - Accent3 6" xfId="216"/>
    <cellStyle name="40% - Accent3 6 2" xfId="217"/>
    <cellStyle name="40% - Accent3 7" xfId="218"/>
    <cellStyle name="40% - Accent3 7 2" xfId="219"/>
    <cellStyle name="40% - Accent3_Q.W. ADMINISTRACIULI SENOBA" xfId="220"/>
    <cellStyle name="40% - Accent4" xfId="221"/>
    <cellStyle name="40% - Accent4 2" xfId="222"/>
    <cellStyle name="40% - Accent4 2 2" xfId="223"/>
    <cellStyle name="40% - Accent4 2 2 2" xfId="224"/>
    <cellStyle name="40% - Accent4 2 3" xfId="225"/>
    <cellStyle name="40% - Accent4 2 3 2" xfId="226"/>
    <cellStyle name="40% - Accent4 2 4" xfId="227"/>
    <cellStyle name="40% - Accent4 2 4 2" xfId="228"/>
    <cellStyle name="40% - Accent4 2 5" xfId="229"/>
    <cellStyle name="40% - Accent4 2 5 2" xfId="230"/>
    <cellStyle name="40% - Accent4 2 6" xfId="231"/>
    <cellStyle name="40% - Accent4 3" xfId="232"/>
    <cellStyle name="40% - Accent4 3 2" xfId="233"/>
    <cellStyle name="40% - Accent4 4" xfId="234"/>
    <cellStyle name="40% - Accent4 4 2" xfId="235"/>
    <cellStyle name="40% - Accent4 4 2 2" xfId="236"/>
    <cellStyle name="40% - Accent4 4 3" xfId="237"/>
    <cellStyle name="40% - Accent4 5" xfId="238"/>
    <cellStyle name="40% - Accent4 5 2" xfId="239"/>
    <cellStyle name="40% - Accent4 6" xfId="240"/>
    <cellStyle name="40% - Accent4 6 2" xfId="241"/>
    <cellStyle name="40% - Accent4 7" xfId="242"/>
    <cellStyle name="40% - Accent4 7 2" xfId="243"/>
    <cellStyle name="40% - Accent4_Q.W. ADMINISTRACIULI SENOBA" xfId="244"/>
    <cellStyle name="40% - Accent5" xfId="245"/>
    <cellStyle name="40% - Accent5 2" xfId="246"/>
    <cellStyle name="40% - Accent5 2 2" xfId="247"/>
    <cellStyle name="40% - Accent5 2 2 2" xfId="248"/>
    <cellStyle name="40% - Accent5 2 3" xfId="249"/>
    <cellStyle name="40% - Accent5 2 3 2" xfId="250"/>
    <cellStyle name="40% - Accent5 2 4" xfId="251"/>
    <cellStyle name="40% - Accent5 2 4 2" xfId="252"/>
    <cellStyle name="40% - Accent5 2 5" xfId="253"/>
    <cellStyle name="40% - Accent5 2 5 2" xfId="254"/>
    <cellStyle name="40% - Accent5 2 6" xfId="255"/>
    <cellStyle name="40% - Accent5 3" xfId="256"/>
    <cellStyle name="40% - Accent5 3 2" xfId="257"/>
    <cellStyle name="40% - Accent5 4" xfId="258"/>
    <cellStyle name="40% - Accent5 4 2" xfId="259"/>
    <cellStyle name="40% - Accent5 4 2 2" xfId="260"/>
    <cellStyle name="40% - Accent5 4 3" xfId="261"/>
    <cellStyle name="40% - Accent5 5" xfId="262"/>
    <cellStyle name="40% - Accent5 5 2" xfId="263"/>
    <cellStyle name="40% - Accent5 6" xfId="264"/>
    <cellStyle name="40% - Accent5 6 2" xfId="265"/>
    <cellStyle name="40% - Accent5 7" xfId="266"/>
    <cellStyle name="40% - Accent5 7 2" xfId="267"/>
    <cellStyle name="40% - Accent5_Q.W. ADMINISTRACIULI SENOBA" xfId="268"/>
    <cellStyle name="40% - Accent6" xfId="269"/>
    <cellStyle name="40% - Accent6 2" xfId="270"/>
    <cellStyle name="40% - Accent6 2 2" xfId="271"/>
    <cellStyle name="40% - Accent6 2 2 2" xfId="272"/>
    <cellStyle name="40% - Accent6 2 3" xfId="273"/>
    <cellStyle name="40% - Accent6 2 3 2" xfId="274"/>
    <cellStyle name="40% - Accent6 2 4" xfId="275"/>
    <cellStyle name="40% - Accent6 2 4 2" xfId="276"/>
    <cellStyle name="40% - Accent6 2 5" xfId="277"/>
    <cellStyle name="40% - Accent6 2 5 2" xfId="278"/>
    <cellStyle name="40% - Accent6 2 6" xfId="279"/>
    <cellStyle name="40% - Accent6 3" xfId="280"/>
    <cellStyle name="40% - Accent6 3 2" xfId="281"/>
    <cellStyle name="40% - Accent6 4" xfId="282"/>
    <cellStyle name="40% - Accent6 4 2" xfId="283"/>
    <cellStyle name="40% - Accent6 4 2 2" xfId="284"/>
    <cellStyle name="40% - Accent6 4 3" xfId="285"/>
    <cellStyle name="40% - Accent6 5" xfId="286"/>
    <cellStyle name="40% - Accent6 5 2" xfId="287"/>
    <cellStyle name="40% - Accent6 6" xfId="288"/>
    <cellStyle name="40% - Accent6 6 2" xfId="289"/>
    <cellStyle name="40% - Accent6 7" xfId="290"/>
    <cellStyle name="40% - Accent6 7 2" xfId="291"/>
    <cellStyle name="40% - Accent6_Q.W. ADMINISTRACIULI SENOBA" xfId="292"/>
    <cellStyle name="60% - Accent1" xfId="293"/>
    <cellStyle name="60% - Accent1 2" xfId="294"/>
    <cellStyle name="60% - Accent1 2 2" xfId="295"/>
    <cellStyle name="60% - Accent1 2 3" xfId="296"/>
    <cellStyle name="60% - Accent1 2 4" xfId="297"/>
    <cellStyle name="60% - Accent1 2 5" xfId="298"/>
    <cellStyle name="60% - Accent1 3" xfId="299"/>
    <cellStyle name="60% - Accent1 4" xfId="300"/>
    <cellStyle name="60% - Accent1 4 2" xfId="301"/>
    <cellStyle name="60% - Accent1 5" xfId="302"/>
    <cellStyle name="60% - Accent1 6" xfId="303"/>
    <cellStyle name="60% - Accent1 7" xfId="304"/>
    <cellStyle name="60% - Accent2" xfId="305"/>
    <cellStyle name="60% - Accent2 2" xfId="306"/>
    <cellStyle name="60% - Accent2 2 2" xfId="307"/>
    <cellStyle name="60% - Accent2 2 3" xfId="308"/>
    <cellStyle name="60% - Accent2 2 4" xfId="309"/>
    <cellStyle name="60% - Accent2 2 5" xfId="310"/>
    <cellStyle name="60% - Accent2 3" xfId="311"/>
    <cellStyle name="60% - Accent2 4" xfId="312"/>
    <cellStyle name="60% - Accent2 4 2" xfId="313"/>
    <cellStyle name="60% - Accent2 5" xfId="314"/>
    <cellStyle name="60% - Accent2 6" xfId="315"/>
    <cellStyle name="60% - Accent2 7" xfId="316"/>
    <cellStyle name="60% - Accent3" xfId="317"/>
    <cellStyle name="60% - Accent3 2" xfId="318"/>
    <cellStyle name="60% - Accent3 2 2" xfId="319"/>
    <cellStyle name="60% - Accent3 2 3" xfId="320"/>
    <cellStyle name="60% - Accent3 2 4" xfId="321"/>
    <cellStyle name="60% - Accent3 2 5" xfId="322"/>
    <cellStyle name="60% - Accent3 3" xfId="323"/>
    <cellStyle name="60% - Accent3 4" xfId="324"/>
    <cellStyle name="60% - Accent3 4 2" xfId="325"/>
    <cellStyle name="60% - Accent3 5" xfId="326"/>
    <cellStyle name="60% - Accent3 6" xfId="327"/>
    <cellStyle name="60% - Accent3 7" xfId="328"/>
    <cellStyle name="60% - Accent4" xfId="329"/>
    <cellStyle name="60% - Accent4 2" xfId="330"/>
    <cellStyle name="60% - Accent4 2 2" xfId="331"/>
    <cellStyle name="60% - Accent4 2 3" xfId="332"/>
    <cellStyle name="60% - Accent4 2 4" xfId="333"/>
    <cellStyle name="60% - Accent4 2 5" xfId="334"/>
    <cellStyle name="60% - Accent4 3" xfId="335"/>
    <cellStyle name="60% - Accent4 4" xfId="336"/>
    <cellStyle name="60% - Accent4 4 2" xfId="337"/>
    <cellStyle name="60% - Accent4 5" xfId="338"/>
    <cellStyle name="60% - Accent4 6" xfId="339"/>
    <cellStyle name="60% - Accent4 7" xfId="340"/>
    <cellStyle name="60% - Accent5" xfId="341"/>
    <cellStyle name="60% - Accent5 2" xfId="342"/>
    <cellStyle name="60% - Accent5 2 2" xfId="343"/>
    <cellStyle name="60% - Accent5 2 3" xfId="344"/>
    <cellStyle name="60% - Accent5 2 4" xfId="345"/>
    <cellStyle name="60% - Accent5 2 5" xfId="346"/>
    <cellStyle name="60% - Accent5 3" xfId="347"/>
    <cellStyle name="60% - Accent5 4" xfId="348"/>
    <cellStyle name="60% - Accent5 4 2" xfId="349"/>
    <cellStyle name="60% - Accent5 5" xfId="350"/>
    <cellStyle name="60% - Accent5 6" xfId="351"/>
    <cellStyle name="60% - Accent5 7" xfId="352"/>
    <cellStyle name="60% - Accent6" xfId="353"/>
    <cellStyle name="60% - Accent6 2" xfId="354"/>
    <cellStyle name="60% - Accent6 2 2" xfId="355"/>
    <cellStyle name="60% - Accent6 2 3" xfId="356"/>
    <cellStyle name="60% - Accent6 2 4" xfId="357"/>
    <cellStyle name="60% - Accent6 2 5" xfId="358"/>
    <cellStyle name="60% - Accent6 3" xfId="359"/>
    <cellStyle name="60% - Accent6 4" xfId="360"/>
    <cellStyle name="60% - Accent6 4 2" xfId="361"/>
    <cellStyle name="60% - Accent6 5" xfId="362"/>
    <cellStyle name="60% - Accent6 6" xfId="363"/>
    <cellStyle name="60% - Accent6 7" xfId="364"/>
    <cellStyle name="Accent1" xfId="365"/>
    <cellStyle name="Accent1 2" xfId="366"/>
    <cellStyle name="Accent1 2 2" xfId="367"/>
    <cellStyle name="Accent1 2 3" xfId="368"/>
    <cellStyle name="Accent1 2 4" xfId="369"/>
    <cellStyle name="Accent1 2 5" xfId="370"/>
    <cellStyle name="Accent1 3" xfId="371"/>
    <cellStyle name="Accent1 4" xfId="372"/>
    <cellStyle name="Accent1 4 2" xfId="373"/>
    <cellStyle name="Accent1 5" xfId="374"/>
    <cellStyle name="Accent1 6" xfId="375"/>
    <cellStyle name="Accent1 7" xfId="376"/>
    <cellStyle name="Accent2" xfId="377"/>
    <cellStyle name="Accent2 2" xfId="378"/>
    <cellStyle name="Accent2 2 2" xfId="379"/>
    <cellStyle name="Accent2 2 3" xfId="380"/>
    <cellStyle name="Accent2 2 4" xfId="381"/>
    <cellStyle name="Accent2 2 5" xfId="382"/>
    <cellStyle name="Accent2 3" xfId="383"/>
    <cellStyle name="Accent2 4" xfId="384"/>
    <cellStyle name="Accent2 4 2" xfId="385"/>
    <cellStyle name="Accent2 5" xfId="386"/>
    <cellStyle name="Accent2 6" xfId="387"/>
    <cellStyle name="Accent2 7" xfId="388"/>
    <cellStyle name="Accent3" xfId="389"/>
    <cellStyle name="Accent3 2" xfId="390"/>
    <cellStyle name="Accent3 2 2" xfId="391"/>
    <cellStyle name="Accent3 2 3" xfId="392"/>
    <cellStyle name="Accent3 2 4" xfId="393"/>
    <cellStyle name="Accent3 2 5" xfId="394"/>
    <cellStyle name="Accent3 3" xfId="395"/>
    <cellStyle name="Accent3 4" xfId="396"/>
    <cellStyle name="Accent3 4 2" xfId="397"/>
    <cellStyle name="Accent3 5" xfId="398"/>
    <cellStyle name="Accent3 6" xfId="399"/>
    <cellStyle name="Accent3 7" xfId="400"/>
    <cellStyle name="Accent4" xfId="401"/>
    <cellStyle name="Accent4 2" xfId="402"/>
    <cellStyle name="Accent4 2 2" xfId="403"/>
    <cellStyle name="Accent4 2 3" xfId="404"/>
    <cellStyle name="Accent4 2 4" xfId="405"/>
    <cellStyle name="Accent4 2 5" xfId="406"/>
    <cellStyle name="Accent4 3" xfId="407"/>
    <cellStyle name="Accent4 4" xfId="408"/>
    <cellStyle name="Accent4 4 2" xfId="409"/>
    <cellStyle name="Accent4 5" xfId="410"/>
    <cellStyle name="Accent4 6" xfId="411"/>
    <cellStyle name="Accent4 7" xfId="412"/>
    <cellStyle name="Accent5" xfId="413"/>
    <cellStyle name="Accent5 2" xfId="414"/>
    <cellStyle name="Accent5 2 2" xfId="415"/>
    <cellStyle name="Accent5 2 3" xfId="416"/>
    <cellStyle name="Accent5 2 4" xfId="417"/>
    <cellStyle name="Accent5 2 5" xfId="418"/>
    <cellStyle name="Accent5 3" xfId="419"/>
    <cellStyle name="Accent5 4" xfId="420"/>
    <cellStyle name="Accent5 4 2" xfId="421"/>
    <cellStyle name="Accent5 5" xfId="422"/>
    <cellStyle name="Accent5 6" xfId="423"/>
    <cellStyle name="Accent5 7" xfId="424"/>
    <cellStyle name="Accent6" xfId="425"/>
    <cellStyle name="Accent6 2" xfId="426"/>
    <cellStyle name="Accent6 2 2" xfId="427"/>
    <cellStyle name="Accent6 2 3" xfId="428"/>
    <cellStyle name="Accent6 2 4" xfId="429"/>
    <cellStyle name="Accent6 2 5" xfId="430"/>
    <cellStyle name="Accent6 3" xfId="431"/>
    <cellStyle name="Accent6 4" xfId="432"/>
    <cellStyle name="Accent6 4 2" xfId="433"/>
    <cellStyle name="Accent6 5" xfId="434"/>
    <cellStyle name="Accent6 6" xfId="435"/>
    <cellStyle name="Accent6 7" xfId="436"/>
    <cellStyle name="Bad" xfId="437"/>
    <cellStyle name="Bad 2" xfId="438"/>
    <cellStyle name="Bad 2 2" xfId="439"/>
    <cellStyle name="Bad 2 3" xfId="440"/>
    <cellStyle name="Bad 2 4" xfId="441"/>
    <cellStyle name="Bad 2 5" xfId="442"/>
    <cellStyle name="Bad 3" xfId="443"/>
    <cellStyle name="Bad 4" xfId="444"/>
    <cellStyle name="Bad 4 2" xfId="445"/>
    <cellStyle name="Bad 5" xfId="446"/>
    <cellStyle name="Bad 6" xfId="447"/>
    <cellStyle name="Bad 7" xfId="448"/>
    <cellStyle name="Calculation" xfId="449"/>
    <cellStyle name="Calculation 2" xfId="450"/>
    <cellStyle name="Calculation 2 2" xfId="451"/>
    <cellStyle name="Calculation 2 3" xfId="452"/>
    <cellStyle name="Calculation 2 4" xfId="453"/>
    <cellStyle name="Calculation 2 5" xfId="454"/>
    <cellStyle name="Calculation 2_anakia II etapi.xls sm. defeqturi" xfId="455"/>
    <cellStyle name="Calculation 3" xfId="456"/>
    <cellStyle name="Calculation 4" xfId="457"/>
    <cellStyle name="Calculation 4 2" xfId="458"/>
    <cellStyle name="Calculation 4_anakia II etapi.xls sm. defeqturi" xfId="459"/>
    <cellStyle name="Calculation 5" xfId="460"/>
    <cellStyle name="Calculation 6" xfId="461"/>
    <cellStyle name="Calculation 7" xfId="462"/>
    <cellStyle name="Check Cell" xfId="463"/>
    <cellStyle name="Check Cell 2" xfId="464"/>
    <cellStyle name="Check Cell 2 2" xfId="465"/>
    <cellStyle name="Check Cell 2 3" xfId="466"/>
    <cellStyle name="Check Cell 2 4" xfId="467"/>
    <cellStyle name="Check Cell 2 5" xfId="468"/>
    <cellStyle name="Check Cell 2_anakia II etapi.xls sm. defeqturi" xfId="469"/>
    <cellStyle name="Check Cell 3" xfId="470"/>
    <cellStyle name="Check Cell 4" xfId="471"/>
    <cellStyle name="Check Cell 4 2" xfId="472"/>
    <cellStyle name="Check Cell 4_anakia II etapi.xls sm. defeqturi" xfId="473"/>
    <cellStyle name="Check Cell 5" xfId="474"/>
    <cellStyle name="Check Cell 6" xfId="475"/>
    <cellStyle name="Check Cell 7" xfId="476"/>
    <cellStyle name="Comma" xfId="901" builtinId="3"/>
    <cellStyle name="Comma 10" xfId="478"/>
    <cellStyle name="Comma 10 2" xfId="479"/>
    <cellStyle name="Comma 11" xfId="480"/>
    <cellStyle name="Comma 12" xfId="481"/>
    <cellStyle name="Comma 12 2" xfId="482"/>
    <cellStyle name="Comma 12 3" xfId="483"/>
    <cellStyle name="Comma 12 4" xfId="484"/>
    <cellStyle name="Comma 12 5" xfId="485"/>
    <cellStyle name="Comma 12 6" xfId="486"/>
    <cellStyle name="Comma 12 7" xfId="487"/>
    <cellStyle name="Comma 12 8" xfId="488"/>
    <cellStyle name="Comma 13" xfId="489"/>
    <cellStyle name="Comma 14" xfId="490"/>
    <cellStyle name="Comma 15" xfId="491"/>
    <cellStyle name="Comma 15 2" xfId="492"/>
    <cellStyle name="Comma 16" xfId="493"/>
    <cellStyle name="Comma 17" xfId="494"/>
    <cellStyle name="Comma 17 2" xfId="495"/>
    <cellStyle name="Comma 18" xfId="496"/>
    <cellStyle name="Comma 19" xfId="497"/>
    <cellStyle name="Comma 2" xfId="498"/>
    <cellStyle name="Comma 2 2" xfId="499"/>
    <cellStyle name="Comma 2 2 2" xfId="500"/>
    <cellStyle name="Comma 2 2 3" xfId="501"/>
    <cellStyle name="Comma 2 3" xfId="502"/>
    <cellStyle name="Comma 20" xfId="503"/>
    <cellStyle name="Comma 3" xfId="504"/>
    <cellStyle name="Comma 4" xfId="505"/>
    <cellStyle name="Comma 5" xfId="506"/>
    <cellStyle name="Comma 6" xfId="507"/>
    <cellStyle name="Comma 7" xfId="508"/>
    <cellStyle name="Comma 8" xfId="509"/>
    <cellStyle name="Comma 9" xfId="510"/>
    <cellStyle name="Explanatory Text" xfId="511"/>
    <cellStyle name="Explanatory Text 2" xfId="512"/>
    <cellStyle name="Explanatory Text 2 2" xfId="513"/>
    <cellStyle name="Explanatory Text 2 3" xfId="514"/>
    <cellStyle name="Explanatory Text 2 4" xfId="515"/>
    <cellStyle name="Explanatory Text 2 5" xfId="516"/>
    <cellStyle name="Explanatory Text 3" xfId="517"/>
    <cellStyle name="Explanatory Text 4" xfId="518"/>
    <cellStyle name="Explanatory Text 4 2" xfId="519"/>
    <cellStyle name="Explanatory Text 5" xfId="520"/>
    <cellStyle name="Explanatory Text 6" xfId="521"/>
    <cellStyle name="Explanatory Text 7" xfId="522"/>
    <cellStyle name="Good" xfId="523"/>
    <cellStyle name="Good 2" xfId="524"/>
    <cellStyle name="Good 2 2" xfId="525"/>
    <cellStyle name="Good 2 3" xfId="526"/>
    <cellStyle name="Good 2 4" xfId="527"/>
    <cellStyle name="Good 2 5" xfId="528"/>
    <cellStyle name="Good 3" xfId="529"/>
    <cellStyle name="Good 4" xfId="530"/>
    <cellStyle name="Good 4 2" xfId="531"/>
    <cellStyle name="Good 5" xfId="532"/>
    <cellStyle name="Good 6" xfId="533"/>
    <cellStyle name="Good 7" xfId="534"/>
    <cellStyle name="Heading 1" xfId="535"/>
    <cellStyle name="Heading 1 2" xfId="536"/>
    <cellStyle name="Heading 1 2 2" xfId="537"/>
    <cellStyle name="Heading 1 2 3" xfId="538"/>
    <cellStyle name="Heading 1 2 4" xfId="539"/>
    <cellStyle name="Heading 1 2 5" xfId="540"/>
    <cellStyle name="Heading 1 2_anakia II etapi.xls sm. defeqturi" xfId="541"/>
    <cellStyle name="Heading 1 3" xfId="542"/>
    <cellStyle name="Heading 1 4" xfId="543"/>
    <cellStyle name="Heading 1 4 2" xfId="544"/>
    <cellStyle name="Heading 1 4_anakia II etapi.xls sm. defeqturi" xfId="545"/>
    <cellStyle name="Heading 1 5" xfId="546"/>
    <cellStyle name="Heading 1 6" xfId="547"/>
    <cellStyle name="Heading 1 7" xfId="548"/>
    <cellStyle name="Heading 2" xfId="549"/>
    <cellStyle name="Heading 2 2" xfId="550"/>
    <cellStyle name="Heading 2 2 2" xfId="551"/>
    <cellStyle name="Heading 2 2 3" xfId="552"/>
    <cellStyle name="Heading 2 2 4" xfId="553"/>
    <cellStyle name="Heading 2 2 5" xfId="554"/>
    <cellStyle name="Heading 2 2_anakia II etapi.xls sm. defeqturi" xfId="555"/>
    <cellStyle name="Heading 2 3" xfId="556"/>
    <cellStyle name="Heading 2 4" xfId="557"/>
    <cellStyle name="Heading 2 4 2" xfId="558"/>
    <cellStyle name="Heading 2 4_anakia II etapi.xls sm. defeqturi" xfId="559"/>
    <cellStyle name="Heading 2 5" xfId="560"/>
    <cellStyle name="Heading 2 6" xfId="561"/>
    <cellStyle name="Heading 2 7" xfId="562"/>
    <cellStyle name="Heading 3" xfId="563"/>
    <cellStyle name="Heading 3 2" xfId="564"/>
    <cellStyle name="Heading 3 2 2" xfId="565"/>
    <cellStyle name="Heading 3 2 3" xfId="566"/>
    <cellStyle name="Heading 3 2 4" xfId="567"/>
    <cellStyle name="Heading 3 2 5" xfId="568"/>
    <cellStyle name="Heading 3 2_anakia II etapi.xls sm. defeqturi" xfId="569"/>
    <cellStyle name="Heading 3 3" xfId="570"/>
    <cellStyle name="Heading 3 4" xfId="571"/>
    <cellStyle name="Heading 3 4 2" xfId="572"/>
    <cellStyle name="Heading 3 4_anakia II etapi.xls sm. defeqturi" xfId="573"/>
    <cellStyle name="Heading 3 5" xfId="574"/>
    <cellStyle name="Heading 3 6" xfId="575"/>
    <cellStyle name="Heading 3 7" xfId="576"/>
    <cellStyle name="Heading 4" xfId="577"/>
    <cellStyle name="Heading 4 2" xfId="578"/>
    <cellStyle name="Heading 4 2 2" xfId="579"/>
    <cellStyle name="Heading 4 2 3" xfId="580"/>
    <cellStyle name="Heading 4 2 4" xfId="581"/>
    <cellStyle name="Heading 4 2 5" xfId="582"/>
    <cellStyle name="Heading 4 3" xfId="583"/>
    <cellStyle name="Heading 4 4" xfId="584"/>
    <cellStyle name="Heading 4 4 2" xfId="585"/>
    <cellStyle name="Heading 4 5" xfId="586"/>
    <cellStyle name="Heading 4 6" xfId="587"/>
    <cellStyle name="Heading 4 7" xfId="588"/>
    <cellStyle name="Hyperlink 2" xfId="589"/>
    <cellStyle name="Input" xfId="590"/>
    <cellStyle name="Input 2" xfId="591"/>
    <cellStyle name="Input 2 2" xfId="592"/>
    <cellStyle name="Input 2 3" xfId="593"/>
    <cellStyle name="Input 2 4" xfId="594"/>
    <cellStyle name="Input 2 5" xfId="595"/>
    <cellStyle name="Input 2_anakia II etapi.xls sm. defeqturi" xfId="596"/>
    <cellStyle name="Input 3" xfId="597"/>
    <cellStyle name="Input 4" xfId="598"/>
    <cellStyle name="Input 4 2" xfId="599"/>
    <cellStyle name="Input 4_anakia II etapi.xls sm. defeqturi" xfId="600"/>
    <cellStyle name="Input 5" xfId="601"/>
    <cellStyle name="Input 6" xfId="602"/>
    <cellStyle name="Input 7" xfId="603"/>
    <cellStyle name="Linked Cell" xfId="604"/>
    <cellStyle name="Linked Cell 2" xfId="605"/>
    <cellStyle name="Linked Cell 2 2" xfId="606"/>
    <cellStyle name="Linked Cell 2 3" xfId="607"/>
    <cellStyle name="Linked Cell 2 4" xfId="608"/>
    <cellStyle name="Linked Cell 2 5" xfId="609"/>
    <cellStyle name="Linked Cell 2_anakia II etapi.xls sm. defeqturi" xfId="610"/>
    <cellStyle name="Linked Cell 3" xfId="611"/>
    <cellStyle name="Linked Cell 4" xfId="612"/>
    <cellStyle name="Linked Cell 4 2" xfId="613"/>
    <cellStyle name="Linked Cell 4_anakia II etapi.xls sm. defeqturi" xfId="614"/>
    <cellStyle name="Linked Cell 5" xfId="615"/>
    <cellStyle name="Linked Cell 6" xfId="616"/>
    <cellStyle name="Linked Cell 7" xfId="617"/>
    <cellStyle name="Neutral" xfId="618"/>
    <cellStyle name="Neutral 2" xfId="619"/>
    <cellStyle name="Neutral 2 2" xfId="620"/>
    <cellStyle name="Neutral 2 3" xfId="621"/>
    <cellStyle name="Neutral 2 4" xfId="622"/>
    <cellStyle name="Neutral 2 5" xfId="623"/>
    <cellStyle name="Neutral 3" xfId="624"/>
    <cellStyle name="Neutral 4" xfId="625"/>
    <cellStyle name="Neutral 4 2" xfId="626"/>
    <cellStyle name="Neutral 5" xfId="627"/>
    <cellStyle name="Neutral 6" xfId="628"/>
    <cellStyle name="Neutral 7" xfId="629"/>
    <cellStyle name="Normal" xfId="0" builtinId="0"/>
    <cellStyle name="Normal 10" xfId="630"/>
    <cellStyle name="Normal 10 2" xfId="631"/>
    <cellStyle name="Normal 11" xfId="632"/>
    <cellStyle name="Normal 11 2" xfId="633"/>
    <cellStyle name="Normal 11 2 2" xfId="634"/>
    <cellStyle name="Normal 11 3" xfId="635"/>
    <cellStyle name="Normal 11_GAZI-2010" xfId="636"/>
    <cellStyle name="Normal 12" xfId="637"/>
    <cellStyle name="Normal 12 2" xfId="638"/>
    <cellStyle name="Normal 12_gazis gare qseli" xfId="639"/>
    <cellStyle name="Normal 13" xfId="640"/>
    <cellStyle name="Normal 13 2" xfId="641"/>
    <cellStyle name="Normal 13 2 2" xfId="642"/>
    <cellStyle name="Normal 13 2 3" xfId="643"/>
    <cellStyle name="Normal 13 3" xfId="644"/>
    <cellStyle name="Normal 13 3 2" xfId="645"/>
    <cellStyle name="Normal 13 3 3" xfId="646"/>
    <cellStyle name="Normal 13 3 3 2" xfId="647"/>
    <cellStyle name="Normal 13 3 3 2 2" xfId="908"/>
    <cellStyle name="Normal 13 3 3 3" xfId="648"/>
    <cellStyle name="Normal 13 3 4" xfId="649"/>
    <cellStyle name="Normal 13 3 5" xfId="650"/>
    <cellStyle name="Normal 13 4" xfId="651"/>
    <cellStyle name="Normal 13 5" xfId="652"/>
    <cellStyle name="Normal 13 5 2" xfId="653"/>
    <cellStyle name="Normal 13 5 3" xfId="654"/>
    <cellStyle name="Normal 13 5 3 2" xfId="655"/>
    <cellStyle name="Normal 13 5 3 3" xfId="656"/>
    <cellStyle name="Normal 13 5 3 4" xfId="657"/>
    <cellStyle name="Normal 13 5 4" xfId="658"/>
    <cellStyle name="Normal 13 6" xfId="659"/>
    <cellStyle name="Normal 13 7" xfId="660"/>
    <cellStyle name="Normal 13 8" xfId="661"/>
    <cellStyle name="Normal 13_# 6-1 27.01.12 - копия (1)" xfId="662"/>
    <cellStyle name="Normal 14" xfId="663"/>
    <cellStyle name="Normal 14 2" xfId="664"/>
    <cellStyle name="Normal 14 3" xfId="665"/>
    <cellStyle name="Normal 14 3 2" xfId="666"/>
    <cellStyle name="Normal 14 4" xfId="667"/>
    <cellStyle name="Normal 14 5" xfId="668"/>
    <cellStyle name="Normal 14 6" xfId="669"/>
    <cellStyle name="Normal 14_anakia II etapi.xls sm. defeqturi" xfId="670"/>
    <cellStyle name="Normal 15" xfId="671"/>
    <cellStyle name="Normal 16" xfId="672"/>
    <cellStyle name="Normal 16 2" xfId="673"/>
    <cellStyle name="Normal 16 3" xfId="674"/>
    <cellStyle name="Normal 16 4" xfId="675"/>
    <cellStyle name="Normal 16_# 6-1 27.01.12 - копия (1)" xfId="676"/>
    <cellStyle name="Normal 17" xfId="677"/>
    <cellStyle name="Normal 18" xfId="678"/>
    <cellStyle name="Normal 19" xfId="679"/>
    <cellStyle name="Normal 2" xfId="3"/>
    <cellStyle name="Normal 2 10" xfId="681"/>
    <cellStyle name="Normal 2 11" xfId="682"/>
    <cellStyle name="Normal 2 12" xfId="680"/>
    <cellStyle name="Normal 2 2" xfId="683"/>
    <cellStyle name="Normal 2 2 2" xfId="684"/>
    <cellStyle name="Normal 2 2 3" xfId="685"/>
    <cellStyle name="Normal 2 2 4" xfId="686"/>
    <cellStyle name="Normal 2 2 5" xfId="687"/>
    <cellStyle name="Normal 2 2 6" xfId="688"/>
    <cellStyle name="Normal 2 2 7" xfId="689"/>
    <cellStyle name="Normal 2 2_2D4CD000" xfId="690"/>
    <cellStyle name="Normal 2 3" xfId="691"/>
    <cellStyle name="Normal 2 4" xfId="692"/>
    <cellStyle name="Normal 2 5" xfId="693"/>
    <cellStyle name="Normal 2 6" xfId="694"/>
    <cellStyle name="Normal 2 7" xfId="695"/>
    <cellStyle name="Normal 2 7 2" xfId="696"/>
    <cellStyle name="Normal 2 7 3" xfId="697"/>
    <cellStyle name="Normal 2 7_anakia II etapi.xls sm. defeqturi" xfId="698"/>
    <cellStyle name="Normal 2 8" xfId="699"/>
    <cellStyle name="Normal 2 9" xfId="700"/>
    <cellStyle name="Normal 2_anakia II etapi.xls sm. defeqturi" xfId="701"/>
    <cellStyle name="Normal 20" xfId="702"/>
    <cellStyle name="Normal 21" xfId="703"/>
    <cellStyle name="Normal 22" xfId="704"/>
    <cellStyle name="Normal 23" xfId="705"/>
    <cellStyle name="Normal 24" xfId="706"/>
    <cellStyle name="Normal 25" xfId="707"/>
    <cellStyle name="Normal 26" xfId="708"/>
    <cellStyle name="Normal 27" xfId="709"/>
    <cellStyle name="Normal 28" xfId="710"/>
    <cellStyle name="Normal 29" xfId="711"/>
    <cellStyle name="Normal 29 2" xfId="712"/>
    <cellStyle name="Normal 3" xfId="1"/>
    <cellStyle name="Normal 3 2" xfId="713"/>
    <cellStyle name="Normal 3 2 2" xfId="714"/>
    <cellStyle name="Normal 3 2_anakia II etapi.xls sm. defeqturi" xfId="715"/>
    <cellStyle name="Normal 3 3" xfId="716"/>
    <cellStyle name="Normal 30" xfId="717"/>
    <cellStyle name="Normal 30 2" xfId="718"/>
    <cellStyle name="Normal 31" xfId="719"/>
    <cellStyle name="Normal 32" xfId="720"/>
    <cellStyle name="Normal 32 2" xfId="721"/>
    <cellStyle name="Normal 32 2 2" xfId="722"/>
    <cellStyle name="Normal 32 3" xfId="723"/>
    <cellStyle name="Normal 32 3 2" xfId="724"/>
    <cellStyle name="Normal 32 3 2 2" xfId="725"/>
    <cellStyle name="Normal 32 4" xfId="726"/>
    <cellStyle name="Normal 32_# 6-1 27.01.12 - копия (1)" xfId="727"/>
    <cellStyle name="Normal 33" xfId="728"/>
    <cellStyle name="Normal 33 2" xfId="729"/>
    <cellStyle name="Normal 34" xfId="730"/>
    <cellStyle name="Normal 35" xfId="731"/>
    <cellStyle name="Normal 35 2" xfId="732"/>
    <cellStyle name="Normal 35 3" xfId="733"/>
    <cellStyle name="Normal 36" xfId="734"/>
    <cellStyle name="Normal 36 2" xfId="735"/>
    <cellStyle name="Normal 36 2 2" xfId="736"/>
    <cellStyle name="Normal 36 2 2 2" xfId="902"/>
    <cellStyle name="Normal 36 2 3" xfId="737"/>
    <cellStyle name="Normal 36 2 4" xfId="738"/>
    <cellStyle name="Normal 36 3" xfId="739"/>
    <cellStyle name="Normal 36 4" xfId="740"/>
    <cellStyle name="Normal 37" xfId="741"/>
    <cellStyle name="Normal 37 2" xfId="742"/>
    <cellStyle name="Normal 38" xfId="743"/>
    <cellStyle name="Normal 38 2" xfId="744"/>
    <cellStyle name="Normal 38 2 2" xfId="745"/>
    <cellStyle name="Normal 38 3" xfId="746"/>
    <cellStyle name="Normal 38 3 2" xfId="747"/>
    <cellStyle name="Normal 38 4" xfId="748"/>
    <cellStyle name="Normal 39" xfId="749"/>
    <cellStyle name="Normal 39 2" xfId="750"/>
    <cellStyle name="Normal 4" xfId="751"/>
    <cellStyle name="Normal 4 2" xfId="752"/>
    <cellStyle name="Normal 4 3" xfId="753"/>
    <cellStyle name="Normal 40" xfId="754"/>
    <cellStyle name="Normal 40 2" xfId="755"/>
    <cellStyle name="Normal 40 3" xfId="756"/>
    <cellStyle name="Normal 41" xfId="757"/>
    <cellStyle name="Normal 41 2" xfId="758"/>
    <cellStyle name="Normal 42" xfId="759"/>
    <cellStyle name="Normal 42 2" xfId="760"/>
    <cellStyle name="Normal 42 3" xfId="761"/>
    <cellStyle name="Normal 43" xfId="762"/>
    <cellStyle name="Normal 44" xfId="763"/>
    <cellStyle name="Normal 45" xfId="764"/>
    <cellStyle name="Normal 46" xfId="765"/>
    <cellStyle name="Normal 47" xfId="766"/>
    <cellStyle name="Normal 47 2" xfId="767"/>
    <cellStyle name="Normal 47 3" xfId="768"/>
    <cellStyle name="Normal 47 3 2" xfId="769"/>
    <cellStyle name="Normal 47 3 3" xfId="770"/>
    <cellStyle name="Normal 47 4" xfId="771"/>
    <cellStyle name="Normal 5" xfId="772"/>
    <cellStyle name="Normal 5 2" xfId="773"/>
    <cellStyle name="Normal 5 2 2" xfId="774"/>
    <cellStyle name="Normal 5 3" xfId="775"/>
    <cellStyle name="Normal 5 4" xfId="776"/>
    <cellStyle name="Normal 5 4 2" xfId="777"/>
    <cellStyle name="Normal 5 4 3" xfId="778"/>
    <cellStyle name="Normal 5 5" xfId="779"/>
    <cellStyle name="Normal 5_Copy of SAN2010" xfId="780"/>
    <cellStyle name="Normal 50" xfId="906"/>
    <cellStyle name="Normal 6" xfId="781"/>
    <cellStyle name="Normal 7" xfId="782"/>
    <cellStyle name="Normal 75" xfId="783"/>
    <cellStyle name="Normal 8" xfId="784"/>
    <cellStyle name="Normal 8 2" xfId="785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_anakia II etapi.xls sm. defeqturi" xfId="792"/>
    <cellStyle name="Normal 9_2D4CD000" xfId="793"/>
    <cellStyle name="Normal_Book1_axalqalaqis skola " xfId="905"/>
    <cellStyle name="Normal_gare wyalsadfenigagarini 10" xfId="899"/>
    <cellStyle name="Normal_gare wyalsadfenigagarini 2 2" xfId="900"/>
    <cellStyle name="Normal_gare wyalsadfenigagarini_SUSTI DENEBI_axalqalaqis skola " xfId="904"/>
    <cellStyle name="Normal_qavtarazis mravalfunqciuri kompleqsis xarjTaRricxva" xfId="907"/>
    <cellStyle name="Normal_SUSTI DENEBI" xfId="903"/>
    <cellStyle name="Note" xfId="794"/>
    <cellStyle name="Note 2" xfId="795"/>
    <cellStyle name="Note 2 2" xfId="796"/>
    <cellStyle name="Note 2 3" xfId="797"/>
    <cellStyle name="Note 2 4" xfId="798"/>
    <cellStyle name="Note 2 5" xfId="799"/>
    <cellStyle name="Note 2_anakia II etapi.xls sm. defeqturi" xfId="800"/>
    <cellStyle name="Note 3" xfId="801"/>
    <cellStyle name="Note 4" xfId="802"/>
    <cellStyle name="Note 4 2" xfId="803"/>
    <cellStyle name="Note 4_anakia II etapi.xls sm. defeqturi" xfId="804"/>
    <cellStyle name="Note 5" xfId="805"/>
    <cellStyle name="Note 6" xfId="806"/>
    <cellStyle name="Note 7" xfId="807"/>
    <cellStyle name="Output" xfId="808"/>
    <cellStyle name="Output 2" xfId="809"/>
    <cellStyle name="Output 2 2" xfId="810"/>
    <cellStyle name="Output 2 3" xfId="811"/>
    <cellStyle name="Output 2 4" xfId="812"/>
    <cellStyle name="Output 2 5" xfId="813"/>
    <cellStyle name="Output 2_anakia II etapi.xls sm. defeqturi" xfId="814"/>
    <cellStyle name="Output 3" xfId="815"/>
    <cellStyle name="Output 4" xfId="816"/>
    <cellStyle name="Output 4 2" xfId="817"/>
    <cellStyle name="Output 4_anakia II etapi.xls sm. defeqturi" xfId="818"/>
    <cellStyle name="Output 5" xfId="819"/>
    <cellStyle name="Output 6" xfId="820"/>
    <cellStyle name="Output 7" xfId="821"/>
    <cellStyle name="Percent 2" xfId="822"/>
    <cellStyle name="Percent 3" xfId="823"/>
    <cellStyle name="Percent 3 2" xfId="824"/>
    <cellStyle name="Percent 4" xfId="825"/>
    <cellStyle name="Percent 5" xfId="826"/>
    <cellStyle name="Percent 6" xfId="827"/>
    <cellStyle name="Style 1" xfId="828"/>
    <cellStyle name="Title" xfId="829"/>
    <cellStyle name="Title 2" xfId="830"/>
    <cellStyle name="Title 2 2" xfId="831"/>
    <cellStyle name="Title 2 3" xfId="832"/>
    <cellStyle name="Title 2 4" xfId="833"/>
    <cellStyle name="Title 2 5" xfId="834"/>
    <cellStyle name="Title 3" xfId="835"/>
    <cellStyle name="Title 4" xfId="836"/>
    <cellStyle name="Title 4 2" xfId="837"/>
    <cellStyle name="Title 5" xfId="838"/>
    <cellStyle name="Title 6" xfId="839"/>
    <cellStyle name="Title 7" xfId="840"/>
    <cellStyle name="Total" xfId="841"/>
    <cellStyle name="Total 2" xfId="842"/>
    <cellStyle name="Total 2 2" xfId="843"/>
    <cellStyle name="Total 2 3" xfId="844"/>
    <cellStyle name="Total 2 4" xfId="845"/>
    <cellStyle name="Total 2 5" xfId="846"/>
    <cellStyle name="Total 2_anakia II etapi.xls sm. defeqturi" xfId="847"/>
    <cellStyle name="Total 3" xfId="848"/>
    <cellStyle name="Total 4" xfId="849"/>
    <cellStyle name="Total 4 2" xfId="850"/>
    <cellStyle name="Total 4_anakia II etapi.xls sm. defeqturi" xfId="851"/>
    <cellStyle name="Total 5" xfId="852"/>
    <cellStyle name="Total 6" xfId="853"/>
    <cellStyle name="Total 7" xfId="854"/>
    <cellStyle name="Warning Text" xfId="855"/>
    <cellStyle name="Warning Text 2" xfId="856"/>
    <cellStyle name="Warning Text 2 2" xfId="857"/>
    <cellStyle name="Warning Text 2 3" xfId="858"/>
    <cellStyle name="Warning Text 2 4" xfId="859"/>
    <cellStyle name="Warning Text 2 5" xfId="860"/>
    <cellStyle name="Warning Text 3" xfId="861"/>
    <cellStyle name="Warning Text 4" xfId="862"/>
    <cellStyle name="Warning Text 4 2" xfId="863"/>
    <cellStyle name="Warning Text 5" xfId="864"/>
    <cellStyle name="Warning Text 6" xfId="865"/>
    <cellStyle name="Warning Text 7" xfId="866"/>
    <cellStyle name="Обычный 10" xfId="867"/>
    <cellStyle name="Обычный 10 2" xfId="868"/>
    <cellStyle name="Обычный 11" xfId="4"/>
    <cellStyle name="Обычный 2" xfId="2"/>
    <cellStyle name="Обычный 2 2" xfId="869"/>
    <cellStyle name="Обычный 3" xfId="870"/>
    <cellStyle name="Обычный 3 2" xfId="871"/>
    <cellStyle name="Обычный 3 3" xfId="872"/>
    <cellStyle name="Обычный 4" xfId="873"/>
    <cellStyle name="Обычный 4 2" xfId="874"/>
    <cellStyle name="Обычный 4 3" xfId="875"/>
    <cellStyle name="Обычный 4 4" xfId="876"/>
    <cellStyle name="Обычный 5" xfId="877"/>
    <cellStyle name="Обычный 5 2" xfId="878"/>
    <cellStyle name="Обычный 5 2 2" xfId="879"/>
    <cellStyle name="Обычный 5 3" xfId="880"/>
    <cellStyle name="Обычный 5 4" xfId="881"/>
    <cellStyle name="Обычный 5 4 2" xfId="882"/>
    <cellStyle name="Обычный 5 5" xfId="883"/>
    <cellStyle name="Обычный 6" xfId="884"/>
    <cellStyle name="Обычный 6 2" xfId="885"/>
    <cellStyle name="Обычный 7" xfId="886"/>
    <cellStyle name="Обычный 8" xfId="887"/>
    <cellStyle name="Обычный 8 2" xfId="888"/>
    <cellStyle name="Обычный 9" xfId="889"/>
    <cellStyle name="Обычный_Лист1" xfId="909"/>
    <cellStyle name="Плохой 2" xfId="890"/>
    <cellStyle name="Процентный 2" xfId="891"/>
    <cellStyle name="Процентный 3" xfId="892"/>
    <cellStyle name="Процентный 3 2" xfId="893"/>
    <cellStyle name="Финансовый 2" xfId="894"/>
    <cellStyle name="Финансовый 2 2" xfId="895"/>
    <cellStyle name="Финансовый 3" xfId="896"/>
    <cellStyle name="Финансовый 4" xfId="897"/>
    <cellStyle name="Финансовый 5" xfId="898"/>
    <cellStyle name="Финансовый 6" xfId="477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CCFF"/>
      <color rgb="FFFF99FF"/>
      <color rgb="FFCCCC00"/>
      <color rgb="FFFF66FF"/>
      <color rgb="FF00FF99"/>
      <color rgb="FF6666FF"/>
      <color rgb="FF9900FF"/>
      <color rgb="FFFED2A2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27"/>
  <sheetViews>
    <sheetView workbookViewId="0">
      <selection activeCell="D36" sqref="D36"/>
    </sheetView>
  </sheetViews>
  <sheetFormatPr defaultRowHeight="15"/>
  <cols>
    <col min="2" max="2" width="22.42578125" customWidth="1"/>
    <col min="3" max="3" width="36.5703125" customWidth="1"/>
    <col min="4" max="6" width="14" customWidth="1"/>
    <col min="7" max="7" width="14" style="445" customWidth="1"/>
    <col min="8" max="8" width="19" customWidth="1"/>
  </cols>
  <sheetData>
    <row r="1" spans="1:7" s="228" customFormat="1" ht="15.75">
      <c r="A1" s="529" t="s">
        <v>247</v>
      </c>
      <c r="B1" s="529"/>
      <c r="C1" s="529"/>
      <c r="D1" s="529"/>
      <c r="E1" s="529"/>
      <c r="F1" s="529"/>
      <c r="G1" s="529"/>
    </row>
    <row r="2" spans="1:7" s="228" customFormat="1" ht="15.75">
      <c r="A2" s="2"/>
      <c r="B2" s="2"/>
      <c r="C2" s="2"/>
      <c r="D2" s="2"/>
      <c r="E2" s="2"/>
      <c r="F2" s="2"/>
      <c r="G2" s="443"/>
    </row>
    <row r="3" spans="1:7" s="228" customFormat="1" ht="42" customHeight="1">
      <c r="A3" s="529" t="s">
        <v>487</v>
      </c>
      <c r="B3" s="529"/>
      <c r="C3" s="529"/>
      <c r="D3" s="529"/>
      <c r="E3" s="529"/>
      <c r="F3" s="529"/>
      <c r="G3" s="529"/>
    </row>
    <row r="4" spans="1:7" s="228" customFormat="1" ht="15.75">
      <c r="A4" s="2"/>
      <c r="B4" s="2"/>
      <c r="C4" s="2"/>
      <c r="D4" s="2"/>
      <c r="E4" s="2"/>
      <c r="F4" s="2"/>
      <c r="G4" s="443"/>
    </row>
    <row r="5" spans="1:7" s="228" customFormat="1" ht="23.25" customHeight="1">
      <c r="A5" s="530" t="s">
        <v>0</v>
      </c>
      <c r="B5" s="530" t="s">
        <v>248</v>
      </c>
      <c r="C5" s="530" t="s">
        <v>249</v>
      </c>
      <c r="D5" s="530" t="s">
        <v>250</v>
      </c>
      <c r="E5" s="530"/>
      <c r="F5" s="530"/>
      <c r="G5" s="530"/>
    </row>
    <row r="6" spans="1:7" s="228" customFormat="1" ht="31.5">
      <c r="A6" s="530"/>
      <c r="B6" s="530"/>
      <c r="C6" s="530"/>
      <c r="D6" s="5" t="s">
        <v>251</v>
      </c>
      <c r="E6" s="5" t="s">
        <v>252</v>
      </c>
      <c r="F6" s="5" t="s">
        <v>253</v>
      </c>
      <c r="G6" s="237" t="s">
        <v>254</v>
      </c>
    </row>
    <row r="7" spans="1:7" s="228" customFormat="1" ht="15.7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237">
        <v>7</v>
      </c>
    </row>
    <row r="8" spans="1:7" s="228" customFormat="1" ht="31.5" hidden="1">
      <c r="A8" s="230" t="s">
        <v>11</v>
      </c>
      <c r="B8" s="230"/>
      <c r="C8" s="230" t="s">
        <v>255</v>
      </c>
      <c r="D8" s="230"/>
      <c r="E8" s="230"/>
      <c r="F8" s="230"/>
      <c r="G8" s="83"/>
    </row>
    <row r="9" spans="1:7" s="228" customFormat="1" ht="15.75" hidden="1">
      <c r="A9" s="5">
        <v>1</v>
      </c>
      <c r="B9" s="5" t="s">
        <v>256</v>
      </c>
      <c r="C9" s="82" t="s">
        <v>24</v>
      </c>
      <c r="D9" s="6"/>
      <c r="E9" s="6"/>
      <c r="F9" s="6"/>
      <c r="G9" s="237">
        <f>D9</f>
        <v>0</v>
      </c>
    </row>
    <row r="10" spans="1:7" s="228" customFormat="1" ht="15.75" hidden="1">
      <c r="A10" s="5">
        <v>2</v>
      </c>
      <c r="B10" s="5" t="s">
        <v>257</v>
      </c>
      <c r="C10" s="82" t="s">
        <v>258</v>
      </c>
      <c r="D10" s="6"/>
      <c r="E10" s="6"/>
      <c r="F10" s="6"/>
      <c r="G10" s="237">
        <f>D10</f>
        <v>0</v>
      </c>
    </row>
    <row r="11" spans="1:7" s="228" customFormat="1" ht="15.75" hidden="1">
      <c r="A11" s="5">
        <v>3</v>
      </c>
      <c r="B11" s="5" t="s">
        <v>259</v>
      </c>
      <c r="C11" s="82" t="s">
        <v>81</v>
      </c>
      <c r="D11" s="231"/>
      <c r="E11" s="6"/>
      <c r="F11" s="6"/>
      <c r="G11" s="237">
        <f>D11</f>
        <v>0</v>
      </c>
    </row>
    <row r="12" spans="1:7" s="228" customFormat="1" ht="15.75" hidden="1">
      <c r="A12" s="5"/>
      <c r="B12" s="5"/>
      <c r="C12" s="82"/>
      <c r="D12" s="60"/>
      <c r="E12" s="6"/>
      <c r="F12" s="6"/>
      <c r="G12" s="237"/>
    </row>
    <row r="13" spans="1:7" s="228" customFormat="1" ht="63" hidden="1">
      <c r="A13" s="230" t="s">
        <v>104</v>
      </c>
      <c r="B13" s="230"/>
      <c r="C13" s="230" t="s">
        <v>260</v>
      </c>
      <c r="D13" s="83"/>
      <c r="E13" s="83"/>
      <c r="F13" s="83"/>
      <c r="G13" s="83"/>
    </row>
    <row r="14" spans="1:7" s="228" customFormat="1" ht="15.75" hidden="1">
      <c r="A14" s="5">
        <v>4</v>
      </c>
      <c r="B14" s="5" t="s">
        <v>261</v>
      </c>
      <c r="C14" s="82" t="s">
        <v>24</v>
      </c>
      <c r="D14" s="6"/>
      <c r="E14" s="6"/>
      <c r="F14" s="6"/>
      <c r="G14" s="237">
        <f>D14</f>
        <v>0</v>
      </c>
    </row>
    <row r="15" spans="1:7" s="228" customFormat="1" ht="31.5" hidden="1">
      <c r="A15" s="5">
        <v>5</v>
      </c>
      <c r="B15" s="5" t="s">
        <v>262</v>
      </c>
      <c r="C15" s="82" t="s">
        <v>263</v>
      </c>
      <c r="D15" s="60"/>
      <c r="E15" s="6"/>
      <c r="F15" s="6"/>
      <c r="G15" s="237">
        <f>D15</f>
        <v>0</v>
      </c>
    </row>
    <row r="16" spans="1:7" s="228" customFormat="1" ht="47.25" hidden="1">
      <c r="A16" s="5">
        <v>6</v>
      </c>
      <c r="B16" s="5" t="s">
        <v>264</v>
      </c>
      <c r="C16" s="82" t="s">
        <v>110</v>
      </c>
      <c r="D16" s="6"/>
      <c r="E16" s="6"/>
      <c r="F16" s="6"/>
      <c r="G16" s="237">
        <f>D16</f>
        <v>0</v>
      </c>
    </row>
    <row r="17" spans="1:9" s="228" customFormat="1" ht="15.75" hidden="1">
      <c r="A17" s="5"/>
      <c r="B17" s="5"/>
      <c r="C17" s="5"/>
      <c r="D17" s="6"/>
      <c r="E17" s="6"/>
      <c r="F17" s="6"/>
      <c r="G17" s="237"/>
    </row>
    <row r="18" spans="1:9" s="228" customFormat="1" ht="15.75">
      <c r="A18" s="230" t="s">
        <v>121</v>
      </c>
      <c r="B18" s="230"/>
      <c r="C18" s="230" t="s">
        <v>265</v>
      </c>
      <c r="D18" s="83"/>
      <c r="E18" s="83"/>
      <c r="F18" s="83"/>
      <c r="G18" s="83"/>
    </row>
    <row r="19" spans="1:9" s="228" customFormat="1" ht="15.75">
      <c r="A19" s="5">
        <v>7</v>
      </c>
      <c r="B19" s="5" t="s">
        <v>244</v>
      </c>
      <c r="C19" s="82" t="s">
        <v>24</v>
      </c>
      <c r="D19" s="7">
        <f>'#3-1'!M333</f>
        <v>0</v>
      </c>
      <c r="E19" s="6"/>
      <c r="F19" s="6"/>
      <c r="G19" s="237">
        <f>D19</f>
        <v>0</v>
      </c>
      <c r="I19" s="229"/>
    </row>
    <row r="20" spans="1:9" s="228" customFormat="1" ht="31.5">
      <c r="A20" s="5">
        <v>8</v>
      </c>
      <c r="B20" s="5" t="s">
        <v>266</v>
      </c>
      <c r="C20" s="82" t="s">
        <v>267</v>
      </c>
      <c r="D20" s="7">
        <f>'#3-2'!M92</f>
        <v>0</v>
      </c>
      <c r="E20" s="6"/>
      <c r="F20" s="6"/>
      <c r="G20" s="237">
        <f>D20</f>
        <v>0</v>
      </c>
    </row>
    <row r="21" spans="1:9" s="228" customFormat="1" ht="31.5">
      <c r="A21" s="5">
        <v>9</v>
      </c>
      <c r="B21" s="5" t="s">
        <v>245</v>
      </c>
      <c r="C21" s="82" t="s">
        <v>235</v>
      </c>
      <c r="D21" s="7">
        <f>'#3-3'!M141</f>
        <v>0</v>
      </c>
      <c r="E21" s="6"/>
      <c r="F21" s="6"/>
      <c r="G21" s="237">
        <f>D21</f>
        <v>0</v>
      </c>
    </row>
    <row r="22" spans="1:9" s="228" customFormat="1" ht="15.75">
      <c r="A22" s="5">
        <v>10</v>
      </c>
      <c r="B22" s="5" t="s">
        <v>246</v>
      </c>
      <c r="C22" s="82" t="s">
        <v>81</v>
      </c>
      <c r="D22" s="7">
        <f>'#3-4'!M33</f>
        <v>0</v>
      </c>
      <c r="E22" s="6"/>
      <c r="F22" s="6"/>
      <c r="G22" s="237">
        <f>D22</f>
        <v>0</v>
      </c>
    </row>
    <row r="23" spans="1:9" s="228" customFormat="1" ht="15.75">
      <c r="A23" s="5"/>
      <c r="B23" s="5"/>
      <c r="C23" s="5"/>
      <c r="D23" s="6"/>
      <c r="E23" s="6"/>
      <c r="F23" s="6"/>
      <c r="G23" s="237"/>
    </row>
    <row r="24" spans="1:9" s="228" customFormat="1" ht="15.75">
      <c r="A24" s="441"/>
      <c r="B24" s="441"/>
      <c r="C24" s="230" t="s">
        <v>20</v>
      </c>
      <c r="D24" s="83"/>
      <c r="E24" s="83"/>
      <c r="F24" s="83"/>
      <c r="G24" s="83">
        <f>SUM(G8:G23)</f>
        <v>0</v>
      </c>
    </row>
    <row r="25" spans="1:9">
      <c r="C25" s="442"/>
    </row>
    <row r="26" spans="1:9">
      <c r="C26" s="444"/>
    </row>
    <row r="27" spans="1:9" ht="15.75" customHeight="1">
      <c r="B27" s="649" t="s">
        <v>503</v>
      </c>
      <c r="C27" s="649"/>
      <c r="D27" s="649"/>
      <c r="E27" s="649"/>
      <c r="F27" s="649"/>
      <c r="G27" s="649"/>
    </row>
  </sheetData>
  <mergeCells count="7">
    <mergeCell ref="B27:G27"/>
    <mergeCell ref="A1:G1"/>
    <mergeCell ref="A3:G3"/>
    <mergeCell ref="A5:A6"/>
    <mergeCell ref="B5:B6"/>
    <mergeCell ref="C5:C6"/>
    <mergeCell ref="D5:G5"/>
  </mergeCells>
  <pageMargins left="0.87" right="0.70866141732283505" top="0.9" bottom="0.69" header="0.43" footer="0.37"/>
  <pageSetup paperSize="9" orientation="landscape" horizontalDpi="1200" verticalDpi="1200" r:id="rId1"/>
  <headerFooter>
    <oddHeader>&amp;R&amp;P--&amp;N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35"/>
  <sheetViews>
    <sheetView topLeftCell="A34" zoomScale="80" zoomScaleNormal="80" workbookViewId="0">
      <selection activeCell="F355" sqref="F355"/>
    </sheetView>
  </sheetViews>
  <sheetFormatPr defaultRowHeight="15"/>
  <cols>
    <col min="1" max="1" width="4.140625" style="485" customWidth="1"/>
    <col min="2" max="2" width="7.7109375" style="457" customWidth="1"/>
    <col min="3" max="3" width="32.85546875" customWidth="1"/>
    <col min="4" max="4" width="7.140625" customWidth="1"/>
    <col min="5" max="5" width="10.42578125" style="276" customWidth="1"/>
    <col min="6" max="6" width="9.5703125" style="276" customWidth="1"/>
    <col min="7" max="7" width="8" style="279" customWidth="1"/>
    <col min="8" max="8" width="11.85546875" style="279" customWidth="1"/>
    <col min="9" max="9" width="7.42578125" style="279" customWidth="1"/>
    <col min="10" max="10" width="10.85546875" style="279" customWidth="1"/>
    <col min="11" max="11" width="6" style="279" customWidth="1"/>
    <col min="12" max="12" width="10.5703125" style="279" customWidth="1"/>
    <col min="13" max="13" width="12.7109375" style="279" customWidth="1"/>
    <col min="14" max="14" width="24.42578125" style="261" customWidth="1"/>
    <col min="15" max="15" width="28.85546875" customWidth="1"/>
  </cols>
  <sheetData>
    <row r="1" spans="1:14" s="89" customFormat="1" ht="29.25" customHeight="1">
      <c r="A1" s="535" t="str">
        <f>krebsiti!A3</f>
        <v>q.dmanisSi wn.ninos q.#38-is mimdebared s.k.#82.01.46.505 skveris reabilitaciis samuSaoebi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262"/>
    </row>
    <row r="2" spans="1:14" s="89" customFormat="1" ht="18" customHeight="1">
      <c r="A2" s="536" t="s">
        <v>140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262"/>
    </row>
    <row r="3" spans="1:14" s="89" customFormat="1" ht="15.75">
      <c r="A3" s="535" t="s">
        <v>141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262"/>
    </row>
    <row r="4" spans="1:14" s="89" customFormat="1" ht="4.5" customHeight="1">
      <c r="A4" s="467"/>
      <c r="B4" s="450"/>
      <c r="C4" s="87"/>
      <c r="D4" s="87"/>
      <c r="E4" s="250"/>
      <c r="F4" s="250"/>
      <c r="G4" s="88"/>
      <c r="H4" s="88"/>
      <c r="I4" s="88"/>
      <c r="J4" s="88"/>
      <c r="K4" s="88"/>
      <c r="L4" s="88"/>
      <c r="M4" s="88"/>
      <c r="N4" s="262"/>
    </row>
    <row r="5" spans="1:14" s="89" customFormat="1" ht="15.75">
      <c r="A5" s="535" t="s">
        <v>24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262"/>
    </row>
    <row r="6" spans="1:14" s="89" customFormat="1" ht="15.75">
      <c r="A6" s="468"/>
      <c r="B6" s="135"/>
      <c r="C6" s="134"/>
      <c r="D6" s="135"/>
      <c r="E6" s="250"/>
      <c r="F6" s="250"/>
      <c r="G6" s="88"/>
      <c r="H6" s="88"/>
      <c r="I6" s="88"/>
      <c r="J6" s="88"/>
      <c r="K6" s="88"/>
      <c r="L6" s="88"/>
      <c r="M6" s="88"/>
      <c r="N6" s="262"/>
    </row>
    <row r="7" spans="1:14" s="89" customFormat="1" ht="30" customHeight="1">
      <c r="A7" s="537" t="s">
        <v>0</v>
      </c>
      <c r="B7" s="538" t="s">
        <v>25</v>
      </c>
      <c r="C7" s="539" t="s">
        <v>1</v>
      </c>
      <c r="D7" s="538" t="s">
        <v>2</v>
      </c>
      <c r="E7" s="541" t="s">
        <v>26</v>
      </c>
      <c r="F7" s="541"/>
      <c r="G7" s="542" t="s">
        <v>27</v>
      </c>
      <c r="H7" s="542"/>
      <c r="I7" s="542" t="s">
        <v>28</v>
      </c>
      <c r="J7" s="542"/>
      <c r="K7" s="546" t="s">
        <v>29</v>
      </c>
      <c r="L7" s="547"/>
      <c r="M7" s="542" t="s">
        <v>30</v>
      </c>
      <c r="N7" s="262"/>
    </row>
    <row r="8" spans="1:14" s="89" customFormat="1" ht="30.75" customHeight="1">
      <c r="A8" s="537"/>
      <c r="B8" s="538"/>
      <c r="C8" s="540"/>
      <c r="D8" s="538"/>
      <c r="E8" s="251" t="s">
        <v>13</v>
      </c>
      <c r="F8" s="251" t="s">
        <v>6</v>
      </c>
      <c r="G8" s="248" t="s">
        <v>31</v>
      </c>
      <c r="H8" s="248" t="s">
        <v>32</v>
      </c>
      <c r="I8" s="248" t="s">
        <v>31</v>
      </c>
      <c r="J8" s="248" t="s">
        <v>32</v>
      </c>
      <c r="K8" s="248" t="s">
        <v>31</v>
      </c>
      <c r="L8" s="248" t="s">
        <v>32</v>
      </c>
      <c r="M8" s="542"/>
      <c r="N8" s="262"/>
    </row>
    <row r="9" spans="1:14" s="85" customFormat="1" ht="16.5">
      <c r="A9" s="440">
        <v>1</v>
      </c>
      <c r="B9" s="239">
        <v>2</v>
      </c>
      <c r="C9" s="104">
        <v>3</v>
      </c>
      <c r="D9" s="8">
        <v>4</v>
      </c>
      <c r="E9" s="251">
        <v>5</v>
      </c>
      <c r="F9" s="9">
        <v>6</v>
      </c>
      <c r="G9" s="251">
        <v>7</v>
      </c>
      <c r="H9" s="9">
        <v>8</v>
      </c>
      <c r="I9" s="251">
        <v>9</v>
      </c>
      <c r="J9" s="9">
        <v>10</v>
      </c>
      <c r="K9" s="251">
        <v>11</v>
      </c>
      <c r="L9" s="9">
        <v>12</v>
      </c>
      <c r="M9" s="251">
        <v>13</v>
      </c>
      <c r="N9" s="263"/>
    </row>
    <row r="10" spans="1:14" s="85" customFormat="1" ht="31.5">
      <c r="A10" s="516" t="s">
        <v>493</v>
      </c>
      <c r="B10" s="515"/>
      <c r="C10" s="517" t="s">
        <v>24</v>
      </c>
      <c r="D10" s="515"/>
      <c r="E10" s="186"/>
      <c r="F10" s="514"/>
      <c r="G10" s="513"/>
      <c r="H10" s="9"/>
      <c r="I10" s="513"/>
      <c r="J10" s="9"/>
      <c r="K10" s="513"/>
      <c r="L10" s="9"/>
      <c r="M10" s="513"/>
      <c r="N10" s="263"/>
    </row>
    <row r="11" spans="1:14" s="89" customFormat="1" ht="31.5">
      <c r="A11" s="469"/>
      <c r="B11" s="140"/>
      <c r="C11" s="139" t="s">
        <v>425</v>
      </c>
      <c r="D11" s="140"/>
      <c r="E11" s="141"/>
      <c r="F11" s="141"/>
      <c r="G11" s="248"/>
      <c r="H11" s="248"/>
      <c r="I11" s="248"/>
      <c r="J11" s="248"/>
      <c r="K11" s="248"/>
      <c r="L11" s="248"/>
      <c r="M11" s="248"/>
      <c r="N11" s="262"/>
    </row>
    <row r="12" spans="1:14" s="89" customFormat="1" ht="54">
      <c r="A12" s="532">
        <v>1</v>
      </c>
      <c r="B12" s="239" t="s">
        <v>143</v>
      </c>
      <c r="C12" s="142" t="s">
        <v>433</v>
      </c>
      <c r="D12" s="14" t="s">
        <v>52</v>
      </c>
      <c r="E12" s="252"/>
      <c r="F12" s="9">
        <v>50</v>
      </c>
      <c r="G12" s="257"/>
      <c r="H12" s="257"/>
      <c r="I12" s="257"/>
      <c r="J12" s="248"/>
      <c r="K12" s="257"/>
      <c r="L12" s="248"/>
      <c r="M12" s="248"/>
      <c r="N12" s="264"/>
    </row>
    <row r="13" spans="1:14" s="89" customFormat="1" ht="15.75">
      <c r="A13" s="533"/>
      <c r="B13" s="239"/>
      <c r="C13" s="143" t="s">
        <v>58</v>
      </c>
      <c r="D13" s="14" t="s">
        <v>9</v>
      </c>
      <c r="E13" s="252">
        <v>0.32300000000000001</v>
      </c>
      <c r="F13" s="252">
        <f>F12*E13</f>
        <v>16.150000000000002</v>
      </c>
      <c r="G13" s="257"/>
      <c r="H13" s="257"/>
      <c r="I13" s="257"/>
      <c r="J13" s="248"/>
      <c r="K13" s="257"/>
      <c r="L13" s="248"/>
      <c r="M13" s="248"/>
      <c r="N13" s="264"/>
    </row>
    <row r="14" spans="1:14" s="89" customFormat="1" ht="15.75">
      <c r="A14" s="534"/>
      <c r="B14" s="239"/>
      <c r="C14" s="144" t="s">
        <v>18</v>
      </c>
      <c r="D14" s="14" t="s">
        <v>7</v>
      </c>
      <c r="E14" s="252">
        <v>2.1499999999999998E-2</v>
      </c>
      <c r="F14" s="252">
        <f>F12*E14</f>
        <v>1.075</v>
      </c>
      <c r="G14" s="257"/>
      <c r="H14" s="257"/>
      <c r="I14" s="257"/>
      <c r="J14" s="248"/>
      <c r="K14" s="257"/>
      <c r="L14" s="248"/>
      <c r="M14" s="248"/>
      <c r="N14" s="264"/>
    </row>
    <row r="15" spans="1:14" s="89" customFormat="1" ht="40.5">
      <c r="A15" s="532">
        <v>2</v>
      </c>
      <c r="B15" s="239" t="s">
        <v>144</v>
      </c>
      <c r="C15" s="142" t="s">
        <v>145</v>
      </c>
      <c r="D15" s="14" t="s">
        <v>43</v>
      </c>
      <c r="E15" s="252"/>
      <c r="F15" s="9">
        <f>F12*0.03</f>
        <v>1.5</v>
      </c>
      <c r="G15" s="257"/>
      <c r="H15" s="257"/>
      <c r="I15" s="257"/>
      <c r="J15" s="248"/>
      <c r="K15" s="257"/>
      <c r="L15" s="248"/>
      <c r="M15" s="248"/>
      <c r="N15" s="264"/>
    </row>
    <row r="16" spans="1:14" s="89" customFormat="1" ht="15.75">
      <c r="A16" s="533"/>
      <c r="B16" s="239"/>
      <c r="C16" s="143" t="s">
        <v>58</v>
      </c>
      <c r="D16" s="14" t="s">
        <v>9</v>
      </c>
      <c r="E16" s="252">
        <v>7.3</v>
      </c>
      <c r="F16" s="252">
        <f>F15*E16</f>
        <v>10.95</v>
      </c>
      <c r="G16" s="257"/>
      <c r="H16" s="257"/>
      <c r="I16" s="257"/>
      <c r="J16" s="248"/>
      <c r="K16" s="257"/>
      <c r="L16" s="248"/>
      <c r="M16" s="248"/>
      <c r="N16" s="264"/>
    </row>
    <row r="17" spans="1:14" s="89" customFormat="1" ht="15.75">
      <c r="A17" s="534"/>
      <c r="B17" s="239"/>
      <c r="C17" s="144" t="s">
        <v>18</v>
      </c>
      <c r="D17" s="14" t="s">
        <v>7</v>
      </c>
      <c r="E17" s="252">
        <v>2.9</v>
      </c>
      <c r="F17" s="252">
        <f>F15*E17</f>
        <v>4.3499999999999996</v>
      </c>
      <c r="G17" s="257"/>
      <c r="H17" s="257"/>
      <c r="I17" s="257"/>
      <c r="J17" s="248"/>
      <c r="K17" s="257"/>
      <c r="L17" s="248"/>
      <c r="M17" s="248"/>
      <c r="N17" s="264"/>
    </row>
    <row r="18" spans="1:14" s="89" customFormat="1" ht="54">
      <c r="A18" s="532">
        <v>3</v>
      </c>
      <c r="B18" s="239" t="s">
        <v>146</v>
      </c>
      <c r="C18" s="145" t="s">
        <v>147</v>
      </c>
      <c r="D18" s="9" t="s">
        <v>52</v>
      </c>
      <c r="E18" s="252"/>
      <c r="F18" s="9">
        <f>38.5+56.5</f>
        <v>95</v>
      </c>
      <c r="G18" s="257"/>
      <c r="H18" s="257"/>
      <c r="I18" s="257"/>
      <c r="J18" s="248"/>
      <c r="K18" s="257"/>
      <c r="L18" s="248"/>
      <c r="M18" s="248"/>
      <c r="N18" s="263"/>
    </row>
    <row r="19" spans="1:14" s="89" customFormat="1" ht="15.75">
      <c r="A19" s="533"/>
      <c r="B19" s="239"/>
      <c r="C19" s="146" t="s">
        <v>42</v>
      </c>
      <c r="D19" s="14" t="s">
        <v>9</v>
      </c>
      <c r="E19" s="252">
        <v>0.186</v>
      </c>
      <c r="F19" s="252">
        <f>F18*E19</f>
        <v>17.669999999999998</v>
      </c>
      <c r="G19" s="257"/>
      <c r="H19" s="257"/>
      <c r="I19" s="257"/>
      <c r="J19" s="248"/>
      <c r="K19" s="257"/>
      <c r="L19" s="248"/>
      <c r="M19" s="248"/>
      <c r="N19" s="262"/>
    </row>
    <row r="20" spans="1:14" s="89" customFormat="1" ht="15.75">
      <c r="A20" s="534"/>
      <c r="B20" s="239"/>
      <c r="C20" s="146" t="s">
        <v>148</v>
      </c>
      <c r="D20" s="14" t="s">
        <v>7</v>
      </c>
      <c r="E20" s="252">
        <v>1.6000000000000001E-3</v>
      </c>
      <c r="F20" s="252">
        <f>F18*E20</f>
        <v>0.152</v>
      </c>
      <c r="G20" s="257"/>
      <c r="H20" s="257"/>
      <c r="I20" s="257"/>
      <c r="J20" s="248"/>
      <c r="K20" s="257"/>
      <c r="L20" s="248"/>
      <c r="M20" s="248"/>
      <c r="N20" s="262"/>
    </row>
    <row r="21" spans="1:14" s="89" customFormat="1" ht="54">
      <c r="A21" s="532">
        <v>4</v>
      </c>
      <c r="B21" s="239" t="s">
        <v>146</v>
      </c>
      <c r="C21" s="463" t="s">
        <v>436</v>
      </c>
      <c r="D21" s="9" t="s">
        <v>52</v>
      </c>
      <c r="E21" s="460"/>
      <c r="F21" s="9">
        <f>3.14*1.4*0.4*2</f>
        <v>3.5167999999999999</v>
      </c>
      <c r="G21" s="466"/>
      <c r="H21" s="466"/>
      <c r="I21" s="466"/>
      <c r="J21" s="461"/>
      <c r="K21" s="466"/>
      <c r="L21" s="461"/>
      <c r="M21" s="461"/>
      <c r="N21" s="262"/>
    </row>
    <row r="22" spans="1:14" s="89" customFormat="1" ht="15.75">
      <c r="A22" s="533"/>
      <c r="B22" s="239"/>
      <c r="C22" s="146" t="s">
        <v>42</v>
      </c>
      <c r="D22" s="460" t="s">
        <v>9</v>
      </c>
      <c r="E22" s="460">
        <v>0.186</v>
      </c>
      <c r="F22" s="460">
        <f>F21*E22</f>
        <v>0.65412479999999995</v>
      </c>
      <c r="G22" s="466"/>
      <c r="H22" s="466"/>
      <c r="I22" s="466"/>
      <c r="J22" s="461"/>
      <c r="K22" s="466"/>
      <c r="L22" s="461"/>
      <c r="M22" s="461"/>
      <c r="N22" s="262"/>
    </row>
    <row r="23" spans="1:14" s="89" customFormat="1" ht="15.75">
      <c r="A23" s="534"/>
      <c r="B23" s="239"/>
      <c r="C23" s="146" t="s">
        <v>148</v>
      </c>
      <c r="D23" s="460" t="s">
        <v>7</v>
      </c>
      <c r="E23" s="460">
        <v>1.6000000000000001E-3</v>
      </c>
      <c r="F23" s="460">
        <f>F21*E23</f>
        <v>5.6268799999999999E-3</v>
      </c>
      <c r="G23" s="466"/>
      <c r="H23" s="466"/>
      <c r="I23" s="466"/>
      <c r="J23" s="461"/>
      <c r="K23" s="466"/>
      <c r="L23" s="461"/>
      <c r="M23" s="461"/>
      <c r="N23" s="262"/>
    </row>
    <row r="24" spans="1:14" s="89" customFormat="1" ht="27">
      <c r="A24" s="532">
        <v>5</v>
      </c>
      <c r="B24" s="239" t="s">
        <v>19</v>
      </c>
      <c r="C24" s="145" t="s">
        <v>149</v>
      </c>
      <c r="D24" s="14"/>
      <c r="E24" s="252"/>
      <c r="F24" s="9"/>
      <c r="G24" s="257"/>
      <c r="H24" s="257"/>
      <c r="I24" s="257"/>
      <c r="J24" s="248"/>
      <c r="K24" s="257"/>
      <c r="L24" s="248"/>
      <c r="M24" s="248"/>
      <c r="N24" s="262"/>
    </row>
    <row r="25" spans="1:14" s="89" customFormat="1" ht="15.75">
      <c r="A25" s="533"/>
      <c r="B25" s="239" t="s">
        <v>105</v>
      </c>
      <c r="C25" s="146" t="s">
        <v>429</v>
      </c>
      <c r="D25" s="14" t="s">
        <v>56</v>
      </c>
      <c r="E25" s="252"/>
      <c r="F25" s="9">
        <v>1</v>
      </c>
      <c r="G25" s="257"/>
      <c r="H25" s="257"/>
      <c r="I25" s="257"/>
      <c r="J25" s="248"/>
      <c r="K25" s="257"/>
      <c r="L25" s="248"/>
      <c r="M25" s="248"/>
      <c r="N25" s="262"/>
    </row>
    <row r="26" spans="1:14" s="89" customFormat="1" ht="15.75">
      <c r="A26" s="533"/>
      <c r="B26" s="239" t="s">
        <v>106</v>
      </c>
      <c r="C26" s="146" t="s">
        <v>426</v>
      </c>
      <c r="D26" s="14" t="s">
        <v>56</v>
      </c>
      <c r="E26" s="252"/>
      <c r="F26" s="9">
        <v>1</v>
      </c>
      <c r="G26" s="257"/>
      <c r="H26" s="257"/>
      <c r="I26" s="257"/>
      <c r="J26" s="248"/>
      <c r="K26" s="257"/>
      <c r="L26" s="248"/>
      <c r="M26" s="248"/>
      <c r="N26" s="262"/>
    </row>
    <row r="27" spans="1:14" s="89" customFormat="1" ht="15.75">
      <c r="A27" s="533"/>
      <c r="B27" s="239" t="s">
        <v>99</v>
      </c>
      <c r="C27" s="146" t="s">
        <v>427</v>
      </c>
      <c r="D27" s="14" t="s">
        <v>56</v>
      </c>
      <c r="E27" s="252"/>
      <c r="F27" s="9">
        <v>1</v>
      </c>
      <c r="G27" s="257"/>
      <c r="H27" s="257"/>
      <c r="I27" s="257"/>
      <c r="J27" s="248"/>
      <c r="K27" s="257"/>
      <c r="L27" s="248"/>
      <c r="M27" s="248"/>
      <c r="N27" s="262"/>
    </row>
    <row r="28" spans="1:14" s="89" customFormat="1" ht="54">
      <c r="A28" s="533"/>
      <c r="B28" s="451" t="s">
        <v>19</v>
      </c>
      <c r="C28" s="145" t="s">
        <v>428</v>
      </c>
      <c r="D28" s="301" t="s">
        <v>56</v>
      </c>
      <c r="E28" s="301"/>
      <c r="F28" s="511">
        <v>10</v>
      </c>
      <c r="G28" s="309"/>
      <c r="H28" s="309"/>
      <c r="I28" s="309"/>
      <c r="J28" s="307"/>
      <c r="K28" s="309"/>
      <c r="L28" s="307"/>
      <c r="M28" s="307"/>
      <c r="N28" s="262"/>
    </row>
    <row r="29" spans="1:14" s="89" customFormat="1" ht="27">
      <c r="A29" s="534"/>
      <c r="B29" s="451"/>
      <c r="C29" s="145" t="s">
        <v>150</v>
      </c>
      <c r="D29" s="14" t="s">
        <v>151</v>
      </c>
      <c r="E29" s="252"/>
      <c r="F29" s="9">
        <v>1</v>
      </c>
      <c r="G29" s="257"/>
      <c r="H29" s="257"/>
      <c r="I29" s="257"/>
      <c r="J29" s="248"/>
      <c r="K29" s="257"/>
      <c r="L29" s="248"/>
      <c r="M29" s="248"/>
      <c r="N29" s="262"/>
    </row>
    <row r="30" spans="1:14" s="89" customFormat="1" ht="15.75">
      <c r="A30" s="470"/>
      <c r="B30" s="239"/>
      <c r="C30" s="144"/>
      <c r="D30" s="302"/>
      <c r="E30" s="302"/>
      <c r="F30" s="489"/>
      <c r="G30" s="308"/>
      <c r="H30" s="308"/>
      <c r="I30" s="308"/>
      <c r="J30" s="303"/>
      <c r="K30" s="20"/>
      <c r="L30" s="303"/>
      <c r="M30" s="303"/>
      <c r="N30" s="262"/>
    </row>
    <row r="31" spans="1:14" s="89" customFormat="1" ht="94.5">
      <c r="A31" s="531" t="s">
        <v>53</v>
      </c>
      <c r="B31" s="241" t="s">
        <v>152</v>
      </c>
      <c r="C31" s="73" t="s">
        <v>277</v>
      </c>
      <c r="D31" s="239" t="s">
        <v>12</v>
      </c>
      <c r="E31" s="305"/>
      <c r="F31" s="27">
        <f>F12*0.03+F15+F18*0.03+F21*0.03+  10</f>
        <v>15.955503999999999</v>
      </c>
      <c r="G31" s="303"/>
      <c r="H31" s="303"/>
      <c r="I31" s="303"/>
      <c r="J31" s="303"/>
      <c r="K31" s="303"/>
      <c r="L31" s="303"/>
      <c r="M31" s="303"/>
      <c r="N31" s="262"/>
    </row>
    <row r="32" spans="1:14" s="89" customFormat="1" ht="15.75">
      <c r="A32" s="531"/>
      <c r="B32" s="239"/>
      <c r="C32" s="147" t="s">
        <v>58</v>
      </c>
      <c r="D32" s="55" t="s">
        <v>9</v>
      </c>
      <c r="E32" s="94">
        <v>0.6</v>
      </c>
      <c r="F32" s="56">
        <f>F31*E32</f>
        <v>9.5733023999999993</v>
      </c>
      <c r="G32" s="20"/>
      <c r="H32" s="303"/>
      <c r="I32" s="20"/>
      <c r="J32" s="303"/>
      <c r="K32" s="303"/>
      <c r="L32" s="303"/>
      <c r="M32" s="303"/>
      <c r="N32" s="262"/>
    </row>
    <row r="33" spans="1:14" s="89" customFormat="1" ht="47.25">
      <c r="A33" s="531"/>
      <c r="B33" s="241" t="s">
        <v>103</v>
      </c>
      <c r="C33" s="148" t="s">
        <v>276</v>
      </c>
      <c r="D33" s="239" t="s">
        <v>46</v>
      </c>
      <c r="E33" s="94"/>
      <c r="F33" s="97">
        <f>F12*0.03*2.2+F15*2.4+F18*0.03*2.4+F21*0.03*2.4  +10*1.65</f>
        <v>30.4932096</v>
      </c>
      <c r="G33" s="20"/>
      <c r="H33" s="303"/>
      <c r="I33" s="20"/>
      <c r="J33" s="303"/>
      <c r="K33" s="20"/>
      <c r="L33" s="303"/>
      <c r="M33" s="303"/>
      <c r="N33" s="262"/>
    </row>
    <row r="34" spans="1:14" s="89" customFormat="1" ht="15.75">
      <c r="A34" s="531"/>
      <c r="B34" s="452"/>
      <c r="C34" s="54" t="s">
        <v>60</v>
      </c>
      <c r="D34" s="55" t="s">
        <v>9</v>
      </c>
      <c r="E34" s="94">
        <v>0.53</v>
      </c>
      <c r="F34" s="56">
        <f>F33*E34</f>
        <v>16.161401088000002</v>
      </c>
      <c r="G34" s="20"/>
      <c r="H34" s="303"/>
      <c r="I34" s="20"/>
      <c r="J34" s="303"/>
      <c r="K34" s="20"/>
      <c r="L34" s="303"/>
      <c r="M34" s="303"/>
      <c r="N34" s="262"/>
    </row>
    <row r="35" spans="1:14" s="89" customFormat="1" ht="15.75">
      <c r="A35" s="531"/>
      <c r="B35" s="239" t="s">
        <v>153</v>
      </c>
      <c r="C35" s="149" t="s">
        <v>280</v>
      </c>
      <c r="D35" s="239" t="s">
        <v>46</v>
      </c>
      <c r="E35" s="94"/>
      <c r="F35" s="97">
        <f>F33</f>
        <v>30.4932096</v>
      </c>
      <c r="G35" s="20"/>
      <c r="H35" s="303"/>
      <c r="I35" s="20"/>
      <c r="J35" s="303"/>
      <c r="K35" s="20"/>
      <c r="L35" s="303"/>
      <c r="M35" s="303"/>
      <c r="N35" s="262"/>
    </row>
    <row r="36" spans="1:14" s="89" customFormat="1" ht="15.75">
      <c r="A36" s="470"/>
      <c r="B36" s="239"/>
      <c r="C36" s="144"/>
      <c r="D36" s="302"/>
      <c r="E36" s="302"/>
      <c r="F36" s="302"/>
      <c r="G36" s="308"/>
      <c r="H36" s="308"/>
      <c r="I36" s="308"/>
      <c r="J36" s="303"/>
      <c r="K36" s="20"/>
      <c r="L36" s="303"/>
      <c r="M36" s="303"/>
      <c r="N36" s="262"/>
    </row>
    <row r="37" spans="1:14" s="89" customFormat="1" ht="31.5">
      <c r="A37" s="471"/>
      <c r="B37" s="268"/>
      <c r="C37" s="267" t="s">
        <v>154</v>
      </c>
      <c r="D37" s="268"/>
      <c r="E37" s="269"/>
      <c r="F37" s="269"/>
      <c r="G37" s="248"/>
      <c r="H37" s="248"/>
      <c r="I37" s="248"/>
      <c r="J37" s="248"/>
      <c r="K37" s="248"/>
      <c r="L37" s="248"/>
      <c r="M37" s="248"/>
      <c r="N37" s="260"/>
    </row>
    <row r="38" spans="1:14" s="85" customFormat="1" ht="16.5">
      <c r="A38" s="472"/>
      <c r="B38" s="152"/>
      <c r="C38" s="155"/>
      <c r="D38" s="151"/>
      <c r="E38" s="240"/>
      <c r="F38" s="240"/>
      <c r="G38" s="18"/>
      <c r="H38" s="248"/>
      <c r="I38" s="18"/>
      <c r="J38" s="248"/>
      <c r="K38" s="19"/>
      <c r="L38" s="248"/>
      <c r="M38" s="248"/>
      <c r="N38" s="260"/>
    </row>
    <row r="39" spans="1:14" s="85" customFormat="1" ht="31.5">
      <c r="A39" s="473" t="s">
        <v>105</v>
      </c>
      <c r="B39" s="336"/>
      <c r="C39" s="150" t="s">
        <v>278</v>
      </c>
      <c r="D39" s="334"/>
      <c r="E39" s="335"/>
      <c r="F39" s="335"/>
      <c r="G39" s="248"/>
      <c r="H39" s="248"/>
      <c r="I39" s="248"/>
      <c r="J39" s="248"/>
      <c r="K39" s="248"/>
      <c r="L39" s="248"/>
      <c r="M39" s="248"/>
      <c r="N39" s="260"/>
    </row>
    <row r="40" spans="1:14" s="85" customFormat="1" ht="47.25">
      <c r="A40" s="543" t="s">
        <v>105</v>
      </c>
      <c r="B40" s="125" t="s">
        <v>155</v>
      </c>
      <c r="C40" s="124" t="s">
        <v>430</v>
      </c>
      <c r="D40" s="121" t="s">
        <v>52</v>
      </c>
      <c r="E40" s="126"/>
      <c r="F40" s="62">
        <f>F18</f>
        <v>95</v>
      </c>
      <c r="G40" s="248"/>
      <c r="H40" s="248"/>
      <c r="I40" s="248"/>
      <c r="J40" s="248"/>
      <c r="K40" s="248"/>
      <c r="L40" s="248"/>
      <c r="M40" s="248"/>
      <c r="N40" s="260"/>
    </row>
    <row r="41" spans="1:14" s="85" customFormat="1" ht="16.5">
      <c r="A41" s="544"/>
      <c r="B41" s="125"/>
      <c r="C41" s="157" t="s">
        <v>42</v>
      </c>
      <c r="D41" s="50" t="s">
        <v>9</v>
      </c>
      <c r="E41" s="254">
        <v>1.9</v>
      </c>
      <c r="F41" s="51">
        <f>F40*E41</f>
        <v>180.5</v>
      </c>
      <c r="G41" s="248"/>
      <c r="H41" s="248"/>
      <c r="I41" s="248"/>
      <c r="J41" s="248"/>
      <c r="K41" s="248"/>
      <c r="L41" s="248"/>
      <c r="M41" s="248"/>
      <c r="N41" s="260"/>
    </row>
    <row r="42" spans="1:14" s="85" customFormat="1" ht="27">
      <c r="A42" s="544"/>
      <c r="B42" s="125" t="s">
        <v>98</v>
      </c>
      <c r="C42" s="122" t="s">
        <v>156</v>
      </c>
      <c r="D42" s="121" t="s">
        <v>50</v>
      </c>
      <c r="E42" s="126">
        <v>2.7E-2</v>
      </c>
      <c r="F42" s="126">
        <f>F40*E42</f>
        <v>2.5649999999999999</v>
      </c>
      <c r="G42" s="248"/>
      <c r="H42" s="248"/>
      <c r="I42" s="248"/>
      <c r="J42" s="248"/>
      <c r="K42" s="248"/>
      <c r="L42" s="248"/>
      <c r="M42" s="248"/>
      <c r="N42" s="260"/>
    </row>
    <row r="43" spans="1:14" s="85" customFormat="1" ht="16.5">
      <c r="A43" s="544"/>
      <c r="B43" s="125"/>
      <c r="C43" s="122" t="s">
        <v>88</v>
      </c>
      <c r="D43" s="121" t="s">
        <v>7</v>
      </c>
      <c r="E43" s="126">
        <v>3.1E-2</v>
      </c>
      <c r="F43" s="126">
        <f>F40*E43</f>
        <v>2.9449999999999998</v>
      </c>
      <c r="G43" s="248"/>
      <c r="H43" s="248"/>
      <c r="I43" s="248"/>
      <c r="J43" s="248"/>
      <c r="K43" s="248"/>
      <c r="L43" s="248"/>
      <c r="M43" s="248"/>
      <c r="N43" s="260"/>
    </row>
    <row r="44" spans="1:14" s="85" customFormat="1" ht="16.5">
      <c r="A44" s="544"/>
      <c r="B44" s="125"/>
      <c r="C44" s="122" t="s">
        <v>95</v>
      </c>
      <c r="D44" s="121" t="s">
        <v>43</v>
      </c>
      <c r="E44" s="126">
        <v>3.2899999999999999E-2</v>
      </c>
      <c r="F44" s="126">
        <f>F40*E44</f>
        <v>3.1254999999999997</v>
      </c>
      <c r="G44" s="248"/>
      <c r="H44" s="248"/>
      <c r="I44" s="248"/>
      <c r="J44" s="248"/>
      <c r="K44" s="248"/>
      <c r="L44" s="248"/>
      <c r="M44" s="248"/>
      <c r="N44" s="260"/>
    </row>
    <row r="45" spans="1:14" s="85" customFormat="1" ht="16.5">
      <c r="A45" s="545"/>
      <c r="B45" s="125"/>
      <c r="C45" s="122" t="s">
        <v>54</v>
      </c>
      <c r="D45" s="121" t="s">
        <v>7</v>
      </c>
      <c r="E45" s="126">
        <v>1E-3</v>
      </c>
      <c r="F45" s="126">
        <f>F40*E45</f>
        <v>9.5000000000000001E-2</v>
      </c>
      <c r="G45" s="248"/>
      <c r="H45" s="248"/>
      <c r="I45" s="248"/>
      <c r="J45" s="248"/>
      <c r="K45" s="248"/>
      <c r="L45" s="248"/>
      <c r="M45" s="248"/>
      <c r="N45" s="260"/>
    </row>
    <row r="46" spans="1:14" s="85" customFormat="1" ht="47.25">
      <c r="A46" s="543" t="s">
        <v>76</v>
      </c>
      <c r="B46" s="578" t="s">
        <v>281</v>
      </c>
      <c r="C46" s="490" t="s">
        <v>304</v>
      </c>
      <c r="D46" s="465" t="s">
        <v>49</v>
      </c>
      <c r="E46" s="126"/>
      <c r="F46" s="62">
        <v>49</v>
      </c>
      <c r="G46" s="461"/>
      <c r="H46" s="461"/>
      <c r="I46" s="461"/>
      <c r="J46" s="461"/>
      <c r="K46" s="461"/>
      <c r="L46" s="461"/>
      <c r="M46" s="461"/>
      <c r="N46" s="260"/>
    </row>
    <row r="47" spans="1:14" s="85" customFormat="1" ht="16.5">
      <c r="A47" s="544"/>
      <c r="B47" s="579"/>
      <c r="C47" s="491"/>
      <c r="D47" s="259" t="s">
        <v>52</v>
      </c>
      <c r="E47" s="270"/>
      <c r="F47" s="62">
        <f>F46*0.4</f>
        <v>19.600000000000001</v>
      </c>
      <c r="G47" s="258"/>
      <c r="H47" s="258"/>
      <c r="I47" s="258"/>
      <c r="J47" s="258"/>
      <c r="K47" s="258"/>
      <c r="L47" s="258"/>
      <c r="M47" s="258"/>
      <c r="N47" s="260"/>
    </row>
    <row r="48" spans="1:14" s="85" customFormat="1" ht="16.5">
      <c r="A48" s="544"/>
      <c r="B48" s="234"/>
      <c r="C48" s="52" t="s">
        <v>42</v>
      </c>
      <c r="D48" s="22" t="s">
        <v>9</v>
      </c>
      <c r="E48" s="23">
        <v>7.6</v>
      </c>
      <c r="F48" s="24">
        <f>F47*E48</f>
        <v>148.96</v>
      </c>
      <c r="G48" s="7"/>
      <c r="H48" s="7"/>
      <c r="I48" s="7"/>
      <c r="J48" s="7"/>
      <c r="K48" s="7"/>
      <c r="L48" s="237"/>
      <c r="M48" s="237"/>
      <c r="N48" s="260"/>
    </row>
    <row r="49" spans="1:14" s="85" customFormat="1" ht="16.5">
      <c r="A49" s="544"/>
      <c r="B49" s="234"/>
      <c r="C49" s="52" t="s">
        <v>18</v>
      </c>
      <c r="D49" s="22" t="s">
        <v>7</v>
      </c>
      <c r="E49" s="23">
        <v>0.2</v>
      </c>
      <c r="F49" s="24">
        <f>F47*E49</f>
        <v>3.9200000000000004</v>
      </c>
      <c r="G49" s="7"/>
      <c r="H49" s="7"/>
      <c r="I49" s="7"/>
      <c r="J49" s="7"/>
      <c r="K49" s="7"/>
      <c r="L49" s="237"/>
      <c r="M49" s="237"/>
      <c r="N49" s="260"/>
    </row>
    <row r="50" spans="1:14" s="85" customFormat="1" ht="31.5">
      <c r="A50" s="544"/>
      <c r="B50" s="234"/>
      <c r="C50" s="52" t="s">
        <v>305</v>
      </c>
      <c r="D50" s="22" t="s">
        <v>52</v>
      </c>
      <c r="E50" s="23">
        <v>1</v>
      </c>
      <c r="F50" s="24">
        <f>F47*E50</f>
        <v>19.600000000000001</v>
      </c>
      <c r="G50" s="7"/>
      <c r="H50" s="7"/>
      <c r="I50" s="7"/>
      <c r="J50" s="7"/>
      <c r="K50" s="7"/>
      <c r="L50" s="237"/>
      <c r="M50" s="237"/>
      <c r="N50" s="260"/>
    </row>
    <row r="51" spans="1:14" s="85" customFormat="1" ht="16.5">
      <c r="A51" s="544"/>
      <c r="B51" s="234"/>
      <c r="C51" s="52" t="s">
        <v>297</v>
      </c>
      <c r="D51" s="22" t="s">
        <v>43</v>
      </c>
      <c r="E51" s="23">
        <v>3.5999999999999997E-2</v>
      </c>
      <c r="F51" s="24">
        <f>F47*E51</f>
        <v>0.7056</v>
      </c>
      <c r="G51" s="7"/>
      <c r="H51" s="7"/>
      <c r="I51" s="7"/>
      <c r="J51" s="7"/>
      <c r="K51" s="7"/>
      <c r="L51" s="237"/>
      <c r="M51" s="237"/>
      <c r="N51" s="260"/>
    </row>
    <row r="52" spans="1:14" s="85" customFormat="1" ht="16.5">
      <c r="A52" s="545"/>
      <c r="B52" s="234"/>
      <c r="C52" s="52" t="s">
        <v>54</v>
      </c>
      <c r="D52" s="22" t="s">
        <v>7</v>
      </c>
      <c r="E52" s="23">
        <v>0.09</v>
      </c>
      <c r="F52" s="24">
        <f>F47*E52</f>
        <v>1.764</v>
      </c>
      <c r="G52" s="7"/>
      <c r="H52" s="7"/>
      <c r="I52" s="7"/>
      <c r="J52" s="7"/>
      <c r="K52" s="7"/>
      <c r="L52" s="237"/>
      <c r="M52" s="237"/>
      <c r="N52" s="260"/>
    </row>
    <row r="53" spans="1:14" s="85" customFormat="1" ht="78.75">
      <c r="A53" s="507" t="s">
        <v>106</v>
      </c>
      <c r="B53" s="125" t="s">
        <v>19</v>
      </c>
      <c r="C53" s="124" t="s">
        <v>431</v>
      </c>
      <c r="D53" s="121" t="s">
        <v>52</v>
      </c>
      <c r="E53" s="126"/>
      <c r="F53" s="62">
        <f>F40</f>
        <v>95</v>
      </c>
      <c r="G53" s="248"/>
      <c r="H53" s="248"/>
      <c r="I53" s="248"/>
      <c r="J53" s="248"/>
      <c r="K53" s="248"/>
      <c r="L53" s="248"/>
      <c r="M53" s="248"/>
      <c r="N53" s="260"/>
    </row>
    <row r="54" spans="1:14" s="85" customFormat="1" ht="16.5">
      <c r="A54" s="521"/>
      <c r="B54" s="125"/>
      <c r="C54" s="124"/>
      <c r="D54" s="522"/>
      <c r="E54" s="126"/>
      <c r="F54" s="458"/>
      <c r="G54" s="520"/>
      <c r="H54" s="520"/>
      <c r="I54" s="520"/>
      <c r="J54" s="520"/>
      <c r="K54" s="520"/>
      <c r="L54" s="520"/>
      <c r="M54" s="520"/>
      <c r="N54" s="260"/>
    </row>
    <row r="55" spans="1:14" s="85" customFormat="1" ht="47.25">
      <c r="A55" s="473" t="s">
        <v>76</v>
      </c>
      <c r="B55" s="336"/>
      <c r="C55" s="150" t="s">
        <v>435</v>
      </c>
      <c r="D55" s="334"/>
      <c r="E55" s="335"/>
      <c r="F55" s="335"/>
      <c r="G55" s="7"/>
      <c r="H55" s="7"/>
      <c r="I55" s="7"/>
      <c r="J55" s="7"/>
      <c r="K55" s="7"/>
      <c r="L55" s="237"/>
      <c r="M55" s="237"/>
      <c r="N55" s="260"/>
    </row>
    <row r="56" spans="1:14" s="85" customFormat="1" ht="47.25">
      <c r="A56" s="543" t="s">
        <v>105</v>
      </c>
      <c r="B56" s="125" t="s">
        <v>155</v>
      </c>
      <c r="C56" s="124" t="s">
        <v>430</v>
      </c>
      <c r="D56" s="465" t="s">
        <v>52</v>
      </c>
      <c r="E56" s="126"/>
      <c r="F56" s="62">
        <f>F21</f>
        <v>3.5167999999999999</v>
      </c>
      <c r="G56" s="461"/>
      <c r="H56" s="461"/>
      <c r="I56" s="461"/>
      <c r="J56" s="461"/>
      <c r="K56" s="461"/>
      <c r="L56" s="461"/>
      <c r="M56" s="461"/>
      <c r="N56" s="260"/>
    </row>
    <row r="57" spans="1:14" s="85" customFormat="1" ht="16.5">
      <c r="A57" s="544"/>
      <c r="B57" s="125"/>
      <c r="C57" s="157" t="s">
        <v>42</v>
      </c>
      <c r="D57" s="50" t="s">
        <v>9</v>
      </c>
      <c r="E57" s="464">
        <v>1.9</v>
      </c>
      <c r="F57" s="51">
        <f>F56*E57</f>
        <v>6.6819199999999999</v>
      </c>
      <c r="G57" s="461"/>
      <c r="H57" s="461"/>
      <c r="I57" s="461"/>
      <c r="J57" s="461"/>
      <c r="K57" s="461"/>
      <c r="L57" s="461"/>
      <c r="M57" s="461"/>
      <c r="N57" s="260"/>
    </row>
    <row r="58" spans="1:14" s="85" customFormat="1" ht="27">
      <c r="A58" s="544"/>
      <c r="B58" s="125" t="s">
        <v>98</v>
      </c>
      <c r="C58" s="122" t="s">
        <v>156</v>
      </c>
      <c r="D58" s="465" t="s">
        <v>50</v>
      </c>
      <c r="E58" s="126">
        <v>2.7E-2</v>
      </c>
      <c r="F58" s="126">
        <f>F56*E58</f>
        <v>9.4953599999999999E-2</v>
      </c>
      <c r="G58" s="461"/>
      <c r="H58" s="461"/>
      <c r="I58" s="461"/>
      <c r="J58" s="461"/>
      <c r="K58" s="461"/>
      <c r="L58" s="461"/>
      <c r="M58" s="461"/>
      <c r="N58" s="260"/>
    </row>
    <row r="59" spans="1:14" s="85" customFormat="1" ht="16.5">
      <c r="A59" s="544"/>
      <c r="B59" s="125"/>
      <c r="C59" s="122" t="s">
        <v>88</v>
      </c>
      <c r="D59" s="465" t="s">
        <v>7</v>
      </c>
      <c r="E59" s="126">
        <v>3.1E-2</v>
      </c>
      <c r="F59" s="126">
        <f>F56*E59</f>
        <v>0.1090208</v>
      </c>
      <c r="G59" s="461"/>
      <c r="H59" s="461"/>
      <c r="I59" s="461"/>
      <c r="J59" s="461"/>
      <c r="K59" s="461"/>
      <c r="L59" s="461"/>
      <c r="M59" s="461"/>
      <c r="N59" s="260"/>
    </row>
    <row r="60" spans="1:14" s="85" customFormat="1" ht="16.5">
      <c r="A60" s="544"/>
      <c r="B60" s="125"/>
      <c r="C60" s="122" t="s">
        <v>95</v>
      </c>
      <c r="D60" s="465" t="s">
        <v>43</v>
      </c>
      <c r="E60" s="126">
        <v>3.2899999999999999E-2</v>
      </c>
      <c r="F60" s="126">
        <f>F56*E60</f>
        <v>0.11570272</v>
      </c>
      <c r="G60" s="461"/>
      <c r="H60" s="461"/>
      <c r="I60" s="461"/>
      <c r="J60" s="461"/>
      <c r="K60" s="461"/>
      <c r="L60" s="461"/>
      <c r="M60" s="461"/>
      <c r="N60" s="260"/>
    </row>
    <row r="61" spans="1:14" s="85" customFormat="1" ht="16.5">
      <c r="A61" s="545"/>
      <c r="B61" s="125"/>
      <c r="C61" s="122" t="s">
        <v>54</v>
      </c>
      <c r="D61" s="465" t="s">
        <v>7</v>
      </c>
      <c r="E61" s="126">
        <v>1E-3</v>
      </c>
      <c r="F61" s="126">
        <f>F56*E61</f>
        <v>3.5168E-3</v>
      </c>
      <c r="G61" s="461"/>
      <c r="H61" s="461"/>
      <c r="I61" s="461"/>
      <c r="J61" s="461"/>
      <c r="K61" s="461"/>
      <c r="L61" s="461"/>
      <c r="M61" s="461"/>
      <c r="N61" s="260"/>
    </row>
    <row r="62" spans="1:14" s="85" customFormat="1" ht="47.25">
      <c r="A62" s="543" t="s">
        <v>76</v>
      </c>
      <c r="B62" s="578" t="s">
        <v>281</v>
      </c>
      <c r="C62" s="490" t="s">
        <v>437</v>
      </c>
      <c r="D62" s="465" t="s">
        <v>49</v>
      </c>
      <c r="E62" s="126"/>
      <c r="F62" s="62">
        <f>3.14*1.4*2</f>
        <v>8.7919999999999998</v>
      </c>
      <c r="G62" s="461"/>
      <c r="H62" s="461"/>
      <c r="I62" s="461"/>
      <c r="J62" s="461"/>
      <c r="K62" s="461"/>
      <c r="L62" s="461"/>
      <c r="M62" s="461"/>
      <c r="N62" s="260"/>
    </row>
    <row r="63" spans="1:14" s="85" customFormat="1" ht="16.5">
      <c r="A63" s="544"/>
      <c r="B63" s="579"/>
      <c r="C63" s="491"/>
      <c r="D63" s="465" t="s">
        <v>52</v>
      </c>
      <c r="E63" s="270"/>
      <c r="F63" s="62">
        <f>F62*0.4</f>
        <v>3.5167999999999999</v>
      </c>
      <c r="G63" s="461"/>
      <c r="H63" s="461"/>
      <c r="I63" s="461"/>
      <c r="J63" s="461"/>
      <c r="K63" s="461"/>
      <c r="L63" s="461"/>
      <c r="M63" s="461"/>
      <c r="N63" s="260"/>
    </row>
    <row r="64" spans="1:14" s="85" customFormat="1" ht="16.5">
      <c r="A64" s="544"/>
      <c r="B64" s="234"/>
      <c r="C64" s="52" t="s">
        <v>42</v>
      </c>
      <c r="D64" s="362" t="s">
        <v>9</v>
      </c>
      <c r="E64" s="23">
        <v>7.6</v>
      </c>
      <c r="F64" s="24">
        <f>F63*E64</f>
        <v>26.727679999999999</v>
      </c>
      <c r="G64" s="7"/>
      <c r="H64" s="7"/>
      <c r="I64" s="7"/>
      <c r="J64" s="7"/>
      <c r="K64" s="7"/>
      <c r="L64" s="237"/>
      <c r="M64" s="237"/>
      <c r="N64" s="260"/>
    </row>
    <row r="65" spans="1:14" s="85" customFormat="1" ht="16.5">
      <c r="A65" s="544"/>
      <c r="B65" s="234"/>
      <c r="C65" s="52" t="s">
        <v>18</v>
      </c>
      <c r="D65" s="362" t="s">
        <v>7</v>
      </c>
      <c r="E65" s="23">
        <v>0.2</v>
      </c>
      <c r="F65" s="24">
        <f>F63*E65</f>
        <v>0.70335999999999999</v>
      </c>
      <c r="G65" s="7"/>
      <c r="H65" s="7"/>
      <c r="I65" s="7"/>
      <c r="J65" s="7"/>
      <c r="K65" s="7"/>
      <c r="L65" s="237"/>
      <c r="M65" s="237"/>
      <c r="N65" s="260"/>
    </row>
    <row r="66" spans="1:14" s="85" customFormat="1" ht="31.5">
      <c r="A66" s="544"/>
      <c r="B66" s="234"/>
      <c r="C66" s="52" t="s">
        <v>438</v>
      </c>
      <c r="D66" s="362" t="s">
        <v>52</v>
      </c>
      <c r="E66" s="23">
        <v>1</v>
      </c>
      <c r="F66" s="24">
        <f>F63*E66</f>
        <v>3.5167999999999999</v>
      </c>
      <c r="G66" s="7"/>
      <c r="H66" s="7"/>
      <c r="I66" s="7"/>
      <c r="J66" s="7"/>
      <c r="K66" s="7"/>
      <c r="L66" s="237"/>
      <c r="M66" s="237"/>
      <c r="N66" s="260"/>
    </row>
    <row r="67" spans="1:14" s="85" customFormat="1" ht="16.5">
      <c r="A67" s="544"/>
      <c r="B67" s="234"/>
      <c r="C67" s="52" t="s">
        <v>297</v>
      </c>
      <c r="D67" s="362" t="s">
        <v>43</v>
      </c>
      <c r="E67" s="23">
        <v>3.5999999999999997E-2</v>
      </c>
      <c r="F67" s="24">
        <f>F63*E67</f>
        <v>0.12660479999999999</v>
      </c>
      <c r="G67" s="7"/>
      <c r="H67" s="7"/>
      <c r="I67" s="7"/>
      <c r="J67" s="7"/>
      <c r="K67" s="7"/>
      <c r="L67" s="237"/>
      <c r="M67" s="237"/>
      <c r="N67" s="260"/>
    </row>
    <row r="68" spans="1:14" s="85" customFormat="1" ht="16.5">
      <c r="A68" s="545"/>
      <c r="B68" s="234"/>
      <c r="C68" s="52" t="s">
        <v>54</v>
      </c>
      <c r="D68" s="362" t="s">
        <v>7</v>
      </c>
      <c r="E68" s="23">
        <v>0.09</v>
      </c>
      <c r="F68" s="24">
        <f>F63*E68</f>
        <v>0.31651199999999996</v>
      </c>
      <c r="G68" s="7"/>
      <c r="H68" s="7"/>
      <c r="I68" s="7"/>
      <c r="J68" s="7"/>
      <c r="K68" s="7"/>
      <c r="L68" s="237"/>
      <c r="M68" s="237"/>
      <c r="N68" s="260"/>
    </row>
    <row r="69" spans="1:14" s="85" customFormat="1" ht="47.25">
      <c r="A69" s="569" t="s">
        <v>101</v>
      </c>
      <c r="B69" s="234" t="s">
        <v>281</v>
      </c>
      <c r="C69" s="124" t="s">
        <v>439</v>
      </c>
      <c r="D69" s="465" t="s">
        <v>52</v>
      </c>
      <c r="E69" s="126"/>
      <c r="F69" s="62">
        <f>F56</f>
        <v>3.5167999999999999</v>
      </c>
      <c r="G69" s="461"/>
      <c r="H69" s="461"/>
      <c r="I69" s="461"/>
      <c r="J69" s="461"/>
      <c r="K69" s="461"/>
      <c r="L69" s="461"/>
      <c r="M69" s="461"/>
      <c r="N69" s="260"/>
    </row>
    <row r="70" spans="1:14" s="85" customFormat="1" ht="16.5">
      <c r="A70" s="569"/>
      <c r="B70" s="234"/>
      <c r="C70" s="52" t="s">
        <v>42</v>
      </c>
      <c r="D70" s="362" t="s">
        <v>9</v>
      </c>
      <c r="E70" s="23">
        <v>7.6</v>
      </c>
      <c r="F70" s="24">
        <f>F69*E70</f>
        <v>26.727679999999999</v>
      </c>
      <c r="G70" s="7"/>
      <c r="H70" s="7"/>
      <c r="I70" s="7"/>
      <c r="J70" s="7"/>
      <c r="K70" s="7"/>
      <c r="L70" s="237"/>
      <c r="M70" s="237"/>
      <c r="N70" s="260"/>
    </row>
    <row r="71" spans="1:14" s="85" customFormat="1" ht="16.5">
      <c r="A71" s="569"/>
      <c r="B71" s="234"/>
      <c r="C71" s="52" t="s">
        <v>18</v>
      </c>
      <c r="D71" s="362" t="s">
        <v>7</v>
      </c>
      <c r="E71" s="23">
        <v>0.2</v>
      </c>
      <c r="F71" s="24">
        <f>F69*E71</f>
        <v>0.70335999999999999</v>
      </c>
      <c r="G71" s="7"/>
      <c r="H71" s="7"/>
      <c r="I71" s="7"/>
      <c r="J71" s="7"/>
      <c r="K71" s="7"/>
      <c r="L71" s="237"/>
      <c r="M71" s="237"/>
      <c r="N71" s="260"/>
    </row>
    <row r="72" spans="1:14" s="85" customFormat="1" ht="16.5">
      <c r="A72" s="569"/>
      <c r="B72" s="234"/>
      <c r="C72" s="52" t="s">
        <v>440</v>
      </c>
      <c r="D72" s="362" t="s">
        <v>52</v>
      </c>
      <c r="E72" s="23">
        <v>1</v>
      </c>
      <c r="F72" s="24">
        <f>F69*E72</f>
        <v>3.5167999999999999</v>
      </c>
      <c r="G72" s="7"/>
      <c r="H72" s="7"/>
      <c r="I72" s="7"/>
      <c r="J72" s="7"/>
      <c r="K72" s="7"/>
      <c r="L72" s="237"/>
      <c r="M72" s="237"/>
      <c r="N72" s="260"/>
    </row>
    <row r="73" spans="1:14" s="85" customFormat="1" ht="16.5">
      <c r="A73" s="569"/>
      <c r="B73" s="234"/>
      <c r="C73" s="52" t="s">
        <v>297</v>
      </c>
      <c r="D73" s="362" t="s">
        <v>43</v>
      </c>
      <c r="E73" s="23">
        <v>3.5999999999999997E-2</v>
      </c>
      <c r="F73" s="24">
        <f>F69*E73</f>
        <v>0.12660479999999999</v>
      </c>
      <c r="G73" s="7"/>
      <c r="H73" s="7"/>
      <c r="I73" s="7"/>
      <c r="J73" s="7"/>
      <c r="K73" s="7"/>
      <c r="L73" s="237"/>
      <c r="M73" s="237"/>
      <c r="N73" s="260"/>
    </row>
    <row r="74" spans="1:14" s="85" customFormat="1" ht="16.5">
      <c r="A74" s="569"/>
      <c r="B74" s="234"/>
      <c r="C74" s="52" t="s">
        <v>54</v>
      </c>
      <c r="D74" s="362" t="s">
        <v>7</v>
      </c>
      <c r="E74" s="23">
        <v>0.09</v>
      </c>
      <c r="F74" s="24">
        <f>F69*E74</f>
        <v>0.31651199999999996</v>
      </c>
      <c r="G74" s="7"/>
      <c r="H74" s="7"/>
      <c r="I74" s="7"/>
      <c r="J74" s="7"/>
      <c r="K74" s="7"/>
      <c r="L74" s="237"/>
      <c r="M74" s="237"/>
      <c r="N74" s="260"/>
    </row>
    <row r="75" spans="1:14" s="85" customFormat="1" ht="16.5">
      <c r="A75" s="474"/>
      <c r="B75" s="152"/>
      <c r="C75" s="155"/>
      <c r="D75" s="151"/>
      <c r="E75" s="153"/>
      <c r="F75" s="153"/>
      <c r="G75" s="18"/>
      <c r="H75" s="303"/>
      <c r="I75" s="18"/>
      <c r="J75" s="303"/>
      <c r="K75" s="19"/>
      <c r="L75" s="303"/>
      <c r="M75" s="303"/>
      <c r="N75" s="260"/>
    </row>
    <row r="76" spans="1:14" s="85" customFormat="1" ht="47.25">
      <c r="A76" s="473" t="s">
        <v>106</v>
      </c>
      <c r="B76" s="98"/>
      <c r="C76" s="150" t="s">
        <v>169</v>
      </c>
      <c r="D76" s="98" t="s">
        <v>49</v>
      </c>
      <c r="E76" s="64"/>
      <c r="F76" s="64">
        <v>29</v>
      </c>
      <c r="G76" s="248"/>
      <c r="H76" s="248"/>
      <c r="I76" s="248"/>
      <c r="J76" s="248"/>
      <c r="K76" s="248"/>
      <c r="L76" s="248"/>
      <c r="M76" s="248"/>
      <c r="N76" s="263"/>
    </row>
    <row r="77" spans="1:14" s="85" customFormat="1" ht="63">
      <c r="A77" s="543" t="s">
        <v>105</v>
      </c>
      <c r="B77" s="239" t="s">
        <v>64</v>
      </c>
      <c r="C77" s="73" t="s">
        <v>160</v>
      </c>
      <c r="D77" s="8" t="s">
        <v>43</v>
      </c>
      <c r="E77" s="251"/>
      <c r="F77" s="27">
        <f>0.1*(0.1+0.1)*F76</f>
        <v>0.58000000000000007</v>
      </c>
      <c r="G77" s="248"/>
      <c r="H77" s="248"/>
      <c r="I77" s="248"/>
      <c r="J77" s="248"/>
      <c r="K77" s="248"/>
      <c r="L77" s="248"/>
      <c r="M77" s="248"/>
      <c r="N77" s="263"/>
    </row>
    <row r="78" spans="1:14" s="85" customFormat="1" ht="16.5">
      <c r="A78" s="545"/>
      <c r="B78" s="455"/>
      <c r="C78" s="122" t="s">
        <v>42</v>
      </c>
      <c r="D78" s="121" t="s">
        <v>9</v>
      </c>
      <c r="E78" s="126">
        <v>2.06</v>
      </c>
      <c r="F78" s="126">
        <f>E78*F77</f>
        <v>1.1948000000000001</v>
      </c>
      <c r="G78" s="48"/>
      <c r="H78" s="248"/>
      <c r="I78" s="48"/>
      <c r="J78" s="248"/>
      <c r="K78" s="248"/>
      <c r="L78" s="248"/>
      <c r="M78" s="248"/>
      <c r="N78" s="263"/>
    </row>
    <row r="79" spans="1:14" s="85" customFormat="1" ht="47.25">
      <c r="A79" s="548" t="s">
        <v>76</v>
      </c>
      <c r="B79" s="96" t="s">
        <v>103</v>
      </c>
      <c r="C79" s="148" t="s">
        <v>279</v>
      </c>
      <c r="D79" s="239" t="s">
        <v>46</v>
      </c>
      <c r="E79" s="94"/>
      <c r="F79" s="97">
        <f>F77*1.95</f>
        <v>1.131</v>
      </c>
      <c r="G79" s="20"/>
      <c r="H79" s="248"/>
      <c r="I79" s="20"/>
      <c r="J79" s="248"/>
      <c r="K79" s="20"/>
      <c r="L79" s="248"/>
      <c r="M79" s="248"/>
      <c r="N79" s="263"/>
    </row>
    <row r="80" spans="1:14" s="85" customFormat="1" ht="16.5">
      <c r="A80" s="549"/>
      <c r="B80" s="452"/>
      <c r="C80" s="54" t="s">
        <v>60</v>
      </c>
      <c r="D80" s="55" t="s">
        <v>9</v>
      </c>
      <c r="E80" s="94">
        <v>0.53</v>
      </c>
      <c r="F80" s="56">
        <f>F79*E80</f>
        <v>0.59943000000000002</v>
      </c>
      <c r="G80" s="20"/>
      <c r="H80" s="248"/>
      <c r="I80" s="20"/>
      <c r="J80" s="248"/>
      <c r="K80" s="20"/>
      <c r="L80" s="248"/>
      <c r="M80" s="248"/>
      <c r="N80" s="263"/>
    </row>
    <row r="81" spans="1:14" s="85" customFormat="1" ht="16.5">
      <c r="A81" s="550"/>
      <c r="B81" s="239" t="s">
        <v>153</v>
      </c>
      <c r="C81" s="149" t="s">
        <v>280</v>
      </c>
      <c r="D81" s="239" t="s">
        <v>46</v>
      </c>
      <c r="E81" s="94"/>
      <c r="F81" s="97">
        <f>F79</f>
        <v>1.131</v>
      </c>
      <c r="G81" s="20"/>
      <c r="H81" s="248"/>
      <c r="I81" s="20"/>
      <c r="J81" s="248"/>
      <c r="K81" s="20"/>
      <c r="L81" s="248"/>
      <c r="M81" s="248"/>
      <c r="N81" s="263"/>
    </row>
    <row r="82" spans="1:14" s="85" customFormat="1" ht="47.25">
      <c r="A82" s="570" t="s">
        <v>106</v>
      </c>
      <c r="B82" s="239" t="s">
        <v>161</v>
      </c>
      <c r="C82" s="73" t="s">
        <v>162</v>
      </c>
      <c r="D82" s="8" t="s">
        <v>39</v>
      </c>
      <c r="E82" s="251"/>
      <c r="F82" s="27">
        <f>0.1*0.1*F76</f>
        <v>0.29000000000000004</v>
      </c>
      <c r="G82" s="248"/>
      <c r="H82" s="248"/>
      <c r="I82" s="248"/>
      <c r="J82" s="248"/>
      <c r="K82" s="248"/>
      <c r="L82" s="248"/>
      <c r="M82" s="248"/>
      <c r="N82" s="263"/>
    </row>
    <row r="83" spans="1:14" s="85" customFormat="1" ht="16.5">
      <c r="A83" s="570"/>
      <c r="B83" s="239"/>
      <c r="C83" s="32" t="s">
        <v>14</v>
      </c>
      <c r="D83" s="13" t="s">
        <v>15</v>
      </c>
      <c r="E83" s="251">
        <v>0.15</v>
      </c>
      <c r="F83" s="487">
        <f>E83*F82</f>
        <v>4.3500000000000004E-2</v>
      </c>
      <c r="G83" s="248"/>
      <c r="H83" s="248"/>
      <c r="I83" s="248"/>
      <c r="J83" s="248"/>
      <c r="K83" s="248"/>
      <c r="L83" s="248"/>
      <c r="M83" s="248"/>
      <c r="N83" s="263"/>
    </row>
    <row r="84" spans="1:14" s="85" customFormat="1" ht="16.5">
      <c r="A84" s="570"/>
      <c r="B84" s="239" t="s">
        <v>34</v>
      </c>
      <c r="C84" s="32" t="s">
        <v>163</v>
      </c>
      <c r="D84" s="13" t="s">
        <v>16</v>
      </c>
      <c r="E84" s="251">
        <v>2.1600000000000001E-2</v>
      </c>
      <c r="F84" s="487">
        <f>E84*F82</f>
        <v>6.2640000000000013E-3</v>
      </c>
      <c r="G84" s="248"/>
      <c r="H84" s="248"/>
      <c r="I84" s="248"/>
      <c r="J84" s="248"/>
      <c r="K84" s="248"/>
      <c r="L84" s="248"/>
      <c r="M84" s="248"/>
      <c r="N84" s="263"/>
    </row>
    <row r="85" spans="1:14" s="85" customFormat="1" ht="16.5">
      <c r="A85" s="570"/>
      <c r="B85" s="239" t="s">
        <v>164</v>
      </c>
      <c r="C85" s="32" t="s">
        <v>165</v>
      </c>
      <c r="D85" s="13" t="s">
        <v>16</v>
      </c>
      <c r="E85" s="251">
        <v>2.7300000000000001E-2</v>
      </c>
      <c r="F85" s="487">
        <f>E85*F82</f>
        <v>7.9170000000000022E-3</v>
      </c>
      <c r="G85" s="248"/>
      <c r="H85" s="248"/>
      <c r="I85" s="248"/>
      <c r="J85" s="248"/>
      <c r="K85" s="248"/>
      <c r="L85" s="248"/>
      <c r="M85" s="248"/>
      <c r="N85" s="263"/>
    </row>
    <row r="86" spans="1:14" s="85" customFormat="1" ht="16.5">
      <c r="A86" s="570"/>
      <c r="B86" s="239"/>
      <c r="C86" s="32" t="s">
        <v>166</v>
      </c>
      <c r="D86" s="13" t="s">
        <v>36</v>
      </c>
      <c r="E86" s="251">
        <v>1.2</v>
      </c>
      <c r="F86" s="488">
        <f>E86*F82</f>
        <v>0.34800000000000003</v>
      </c>
      <c r="G86" s="248"/>
      <c r="H86" s="248"/>
      <c r="I86" s="248"/>
      <c r="J86" s="248"/>
      <c r="K86" s="248"/>
      <c r="L86" s="248"/>
      <c r="M86" s="248"/>
      <c r="N86" s="263"/>
    </row>
    <row r="87" spans="1:14" s="85" customFormat="1" ht="47.25">
      <c r="A87" s="569" t="s">
        <v>99</v>
      </c>
      <c r="B87" s="239" t="s">
        <v>167</v>
      </c>
      <c r="C87" s="73" t="s">
        <v>170</v>
      </c>
      <c r="D87" s="8" t="s">
        <v>67</v>
      </c>
      <c r="E87" s="27"/>
      <c r="F87" s="27">
        <f>F76</f>
        <v>29</v>
      </c>
      <c r="G87" s="248"/>
      <c r="H87" s="248"/>
      <c r="I87" s="248"/>
      <c r="J87" s="248"/>
      <c r="K87" s="248"/>
      <c r="L87" s="248"/>
      <c r="M87" s="248"/>
      <c r="N87" s="263"/>
    </row>
    <row r="88" spans="1:14" s="85" customFormat="1" ht="16.5">
      <c r="A88" s="569"/>
      <c r="B88" s="239"/>
      <c r="C88" s="32" t="s">
        <v>14</v>
      </c>
      <c r="D88" s="13" t="s">
        <v>15</v>
      </c>
      <c r="E88" s="251">
        <v>0.74</v>
      </c>
      <c r="F88" s="487">
        <f>E88*F87</f>
        <v>21.46</v>
      </c>
      <c r="G88" s="248"/>
      <c r="H88" s="248"/>
      <c r="I88" s="248"/>
      <c r="J88" s="248"/>
      <c r="K88" s="248"/>
      <c r="L88" s="248"/>
      <c r="M88" s="248"/>
      <c r="N88" s="263"/>
    </row>
    <row r="89" spans="1:14" s="85" customFormat="1" ht="16.5">
      <c r="A89" s="569"/>
      <c r="B89" s="239"/>
      <c r="C89" s="32" t="s">
        <v>8</v>
      </c>
      <c r="D89" s="13" t="s">
        <v>16</v>
      </c>
      <c r="E89" s="251">
        <f>0.71*0.01</f>
        <v>7.0999999999999995E-3</v>
      </c>
      <c r="F89" s="487">
        <f>E89*F87</f>
        <v>0.2059</v>
      </c>
      <c r="G89" s="248"/>
      <c r="H89" s="248"/>
      <c r="I89" s="248"/>
      <c r="J89" s="248"/>
      <c r="K89" s="248"/>
      <c r="L89" s="248"/>
      <c r="M89" s="248"/>
      <c r="N89" s="263"/>
    </row>
    <row r="90" spans="1:14" s="85" customFormat="1" ht="31.5">
      <c r="A90" s="569"/>
      <c r="B90" s="239"/>
      <c r="C90" s="32" t="s">
        <v>171</v>
      </c>
      <c r="D90" s="13" t="s">
        <v>67</v>
      </c>
      <c r="E90" s="251">
        <v>1</v>
      </c>
      <c r="F90" s="487">
        <f>E90*F87</f>
        <v>29</v>
      </c>
      <c r="G90" s="248"/>
      <c r="H90" s="248"/>
      <c r="I90" s="248"/>
      <c r="J90" s="248"/>
      <c r="K90" s="248"/>
      <c r="L90" s="248"/>
      <c r="M90" s="248"/>
      <c r="N90" s="263"/>
    </row>
    <row r="91" spans="1:14" s="85" customFormat="1" ht="16.5">
      <c r="A91" s="569"/>
      <c r="B91" s="239"/>
      <c r="C91" s="159" t="s">
        <v>172</v>
      </c>
      <c r="D91" s="13" t="s">
        <v>36</v>
      </c>
      <c r="E91" s="251">
        <f>3.9*0.01</f>
        <v>3.9E-2</v>
      </c>
      <c r="F91" s="487">
        <f>F87*E91</f>
        <v>1.131</v>
      </c>
      <c r="G91" s="248"/>
      <c r="H91" s="248"/>
      <c r="I91" s="248"/>
      <c r="J91" s="248"/>
      <c r="K91" s="248"/>
      <c r="L91" s="248"/>
      <c r="M91" s="248"/>
      <c r="N91" s="263"/>
    </row>
    <row r="92" spans="1:14" s="85" customFormat="1" ht="16.5">
      <c r="A92" s="569"/>
      <c r="B92" s="239"/>
      <c r="C92" s="32" t="s">
        <v>168</v>
      </c>
      <c r="D92" s="13" t="s">
        <v>36</v>
      </c>
      <c r="E92" s="251">
        <f>0.06*0.01</f>
        <v>5.9999999999999995E-4</v>
      </c>
      <c r="F92" s="251">
        <f>E92*F87</f>
        <v>1.7399999999999999E-2</v>
      </c>
      <c r="G92" s="248"/>
      <c r="H92" s="248"/>
      <c r="I92" s="248"/>
      <c r="J92" s="248"/>
      <c r="K92" s="248"/>
      <c r="L92" s="248"/>
      <c r="M92" s="248"/>
      <c r="N92" s="263"/>
    </row>
    <row r="93" spans="1:14" s="85" customFormat="1" ht="16.5">
      <c r="A93" s="569"/>
      <c r="B93" s="239"/>
      <c r="C93" s="32" t="s">
        <v>10</v>
      </c>
      <c r="D93" s="13" t="s">
        <v>7</v>
      </c>
      <c r="E93" s="251">
        <f>9.6*0.01</f>
        <v>9.6000000000000002E-2</v>
      </c>
      <c r="F93" s="251">
        <f>E93*F87</f>
        <v>2.7840000000000003</v>
      </c>
      <c r="G93" s="248"/>
      <c r="H93" s="248"/>
      <c r="I93" s="248"/>
      <c r="J93" s="248"/>
      <c r="K93" s="248"/>
      <c r="L93" s="248"/>
      <c r="M93" s="248"/>
      <c r="N93" s="263"/>
    </row>
    <row r="94" spans="1:14" s="85" customFormat="1" ht="78.75">
      <c r="A94" s="473" t="s">
        <v>99</v>
      </c>
      <c r="B94" s="98"/>
      <c r="C94" s="150" t="s">
        <v>432</v>
      </c>
      <c r="D94" s="98" t="s">
        <v>52</v>
      </c>
      <c r="E94" s="64"/>
      <c r="F94" s="64">
        <v>50</v>
      </c>
      <c r="G94" s="303"/>
      <c r="H94" s="303"/>
      <c r="I94" s="303"/>
      <c r="J94" s="303"/>
      <c r="K94" s="303"/>
      <c r="L94" s="303"/>
      <c r="M94" s="303"/>
      <c r="N94" s="263"/>
    </row>
    <row r="95" spans="1:14" s="85" customFormat="1" ht="47.25">
      <c r="A95" s="551" t="s">
        <v>105</v>
      </c>
      <c r="B95" s="39" t="s">
        <v>38</v>
      </c>
      <c r="C95" s="43" t="s">
        <v>174</v>
      </c>
      <c r="D95" s="39" t="s">
        <v>36</v>
      </c>
      <c r="E95" s="42"/>
      <c r="F95" s="46">
        <f>F94*0.2</f>
        <v>10</v>
      </c>
      <c r="G95" s="116"/>
      <c r="H95" s="40"/>
      <c r="I95" s="116"/>
      <c r="J95" s="40"/>
      <c r="K95" s="116"/>
      <c r="L95" s="40"/>
      <c r="M95" s="40"/>
      <c r="N95" s="263"/>
    </row>
    <row r="96" spans="1:14" s="85" customFormat="1" ht="16.5">
      <c r="A96" s="552"/>
      <c r="B96" s="39"/>
      <c r="C96" s="47" t="s">
        <v>40</v>
      </c>
      <c r="D96" s="162" t="s">
        <v>9</v>
      </c>
      <c r="E96" s="42">
        <v>3.88</v>
      </c>
      <c r="F96" s="487">
        <f>F95*E96</f>
        <v>38.799999999999997</v>
      </c>
      <c r="G96" s="40"/>
      <c r="H96" s="40"/>
      <c r="I96" s="40"/>
      <c r="J96" s="40"/>
      <c r="K96" s="40"/>
      <c r="L96" s="40"/>
      <c r="M96" s="40"/>
      <c r="N96" s="263"/>
    </row>
    <row r="97" spans="1:14" s="85" customFormat="1" ht="47.25">
      <c r="A97" s="548" t="s">
        <v>76</v>
      </c>
      <c r="B97" s="96" t="s">
        <v>103</v>
      </c>
      <c r="C97" s="148" t="s">
        <v>279</v>
      </c>
      <c r="D97" s="239" t="s">
        <v>46</v>
      </c>
      <c r="E97" s="94"/>
      <c r="F97" s="97">
        <f>F95*1.95</f>
        <v>19.5</v>
      </c>
      <c r="G97" s="20"/>
      <c r="H97" s="303"/>
      <c r="I97" s="20"/>
      <c r="J97" s="303"/>
      <c r="K97" s="20"/>
      <c r="L97" s="303"/>
      <c r="M97" s="303"/>
      <c r="N97" s="263"/>
    </row>
    <row r="98" spans="1:14" s="85" customFormat="1" ht="16.5">
      <c r="A98" s="549"/>
      <c r="B98" s="452"/>
      <c r="C98" s="54" t="s">
        <v>60</v>
      </c>
      <c r="D98" s="55" t="s">
        <v>9</v>
      </c>
      <c r="E98" s="94">
        <v>0.53</v>
      </c>
      <c r="F98" s="56">
        <f>F97*E98</f>
        <v>10.335000000000001</v>
      </c>
      <c r="G98" s="20"/>
      <c r="H98" s="303"/>
      <c r="I98" s="20"/>
      <c r="J98" s="303"/>
      <c r="K98" s="20"/>
      <c r="L98" s="303"/>
      <c r="M98" s="303"/>
      <c r="N98" s="263"/>
    </row>
    <row r="99" spans="1:14" s="85" customFormat="1" ht="16.5">
      <c r="A99" s="550"/>
      <c r="B99" s="239" t="s">
        <v>153</v>
      </c>
      <c r="C99" s="149" t="s">
        <v>280</v>
      </c>
      <c r="D99" s="239" t="s">
        <v>46</v>
      </c>
      <c r="E99" s="94"/>
      <c r="F99" s="97">
        <f>F97</f>
        <v>19.5</v>
      </c>
      <c r="G99" s="20"/>
      <c r="H99" s="303"/>
      <c r="I99" s="20"/>
      <c r="J99" s="303"/>
      <c r="K99" s="20"/>
      <c r="L99" s="303"/>
      <c r="M99" s="303"/>
      <c r="N99" s="263"/>
    </row>
    <row r="100" spans="1:14" s="85" customFormat="1" ht="31.5">
      <c r="A100" s="543" t="s">
        <v>106</v>
      </c>
      <c r="B100" s="239" t="s">
        <v>41</v>
      </c>
      <c r="C100" s="38" t="s">
        <v>273</v>
      </c>
      <c r="D100" s="239" t="s">
        <v>43</v>
      </c>
      <c r="E100" s="305"/>
      <c r="F100" s="27">
        <f>F94*0.15</f>
        <v>7.5</v>
      </c>
      <c r="G100" s="303"/>
      <c r="H100" s="303"/>
      <c r="I100" s="303"/>
      <c r="J100" s="303"/>
      <c r="K100" s="303"/>
      <c r="L100" s="303"/>
      <c r="M100" s="303"/>
      <c r="N100" s="263"/>
    </row>
    <row r="101" spans="1:14" s="85" customFormat="1" ht="16.5">
      <c r="A101" s="544"/>
      <c r="B101" s="239"/>
      <c r="C101" s="155" t="s">
        <v>42</v>
      </c>
      <c r="D101" s="151" t="s">
        <v>9</v>
      </c>
      <c r="E101" s="153">
        <v>3.52</v>
      </c>
      <c r="F101" s="153">
        <f>F100*E101</f>
        <v>26.4</v>
      </c>
      <c r="G101" s="18"/>
      <c r="H101" s="303"/>
      <c r="I101" s="108"/>
      <c r="J101" s="108"/>
      <c r="K101" s="108"/>
      <c r="L101" s="105"/>
      <c r="M101" s="105"/>
      <c r="N101" s="263"/>
    </row>
    <row r="102" spans="1:14" s="85" customFormat="1" ht="16.5">
      <c r="A102" s="544"/>
      <c r="B102" s="239"/>
      <c r="C102" s="165" t="s">
        <v>18</v>
      </c>
      <c r="D102" s="306" t="s">
        <v>7</v>
      </c>
      <c r="E102" s="33">
        <v>1.06</v>
      </c>
      <c r="F102" s="34">
        <f>F100*E102</f>
        <v>7.95</v>
      </c>
      <c r="G102" s="167"/>
      <c r="H102" s="303"/>
      <c r="I102" s="108"/>
      <c r="J102" s="108"/>
      <c r="K102" s="108"/>
      <c r="L102" s="105"/>
      <c r="M102" s="105"/>
      <c r="N102" s="263"/>
    </row>
    <row r="103" spans="1:14" s="85" customFormat="1" ht="16.5">
      <c r="A103" s="544"/>
      <c r="B103" s="239"/>
      <c r="C103" s="165" t="s">
        <v>37</v>
      </c>
      <c r="D103" s="306" t="s">
        <v>43</v>
      </c>
      <c r="E103" s="33">
        <f>0.18+0.09+0.97</f>
        <v>1.24</v>
      </c>
      <c r="F103" s="34">
        <f>F100*E103</f>
        <v>9.3000000000000007</v>
      </c>
      <c r="G103" s="167"/>
      <c r="H103" s="108"/>
      <c r="I103" s="18"/>
      <c r="J103" s="303"/>
      <c r="K103" s="19"/>
      <c r="L103" s="303"/>
      <c r="M103" s="105"/>
      <c r="N103" s="263"/>
    </row>
    <row r="104" spans="1:14" s="85" customFormat="1" ht="16.5">
      <c r="A104" s="545"/>
      <c r="B104" s="239"/>
      <c r="C104" s="165" t="s">
        <v>54</v>
      </c>
      <c r="D104" s="306" t="s">
        <v>7</v>
      </c>
      <c r="E104" s="33">
        <v>0.02</v>
      </c>
      <c r="F104" s="34">
        <f>F100*E104</f>
        <v>0.15</v>
      </c>
      <c r="G104" s="167"/>
      <c r="H104" s="108"/>
      <c r="I104" s="18"/>
      <c r="J104" s="303"/>
      <c r="K104" s="19"/>
      <c r="L104" s="303"/>
      <c r="M104" s="105"/>
      <c r="N104" s="263"/>
    </row>
    <row r="105" spans="1:14" s="85" customFormat="1" ht="16.5">
      <c r="A105" s="543" t="s">
        <v>99</v>
      </c>
      <c r="B105" s="565" t="s">
        <v>94</v>
      </c>
      <c r="C105" s="567" t="s">
        <v>274</v>
      </c>
      <c r="D105" s="239" t="s">
        <v>52</v>
      </c>
      <c r="E105" s="305"/>
      <c r="F105" s="27">
        <f>F94</f>
        <v>50</v>
      </c>
      <c r="G105" s="93"/>
      <c r="H105" s="303"/>
      <c r="I105" s="303"/>
      <c r="J105" s="303"/>
      <c r="K105" s="93"/>
      <c r="L105" s="303"/>
      <c r="M105" s="303"/>
      <c r="N105" s="263"/>
    </row>
    <row r="106" spans="1:14" s="85" customFormat="1" ht="16.5">
      <c r="A106" s="544"/>
      <c r="B106" s="566"/>
      <c r="C106" s="568"/>
      <c r="D106" s="239" t="s">
        <v>43</v>
      </c>
      <c r="E106" s="305"/>
      <c r="F106" s="27">
        <f>F105*0.12</f>
        <v>6</v>
      </c>
      <c r="G106" s="93"/>
      <c r="H106" s="303"/>
      <c r="I106" s="303"/>
      <c r="J106" s="303"/>
      <c r="K106" s="93"/>
      <c r="L106" s="303"/>
      <c r="M106" s="303"/>
      <c r="N106" s="263"/>
    </row>
    <row r="107" spans="1:14" s="85" customFormat="1" ht="16.5">
      <c r="A107" s="544"/>
      <c r="B107" s="239"/>
      <c r="C107" s="12" t="s">
        <v>42</v>
      </c>
      <c r="D107" s="299" t="s">
        <v>9</v>
      </c>
      <c r="E107" s="305">
        <v>2.9</v>
      </c>
      <c r="F107" s="487">
        <f>F106*E107</f>
        <v>17.399999999999999</v>
      </c>
      <c r="G107" s="303"/>
      <c r="H107" s="303"/>
      <c r="I107" s="303"/>
      <c r="J107" s="303"/>
      <c r="K107" s="93"/>
      <c r="L107" s="303"/>
      <c r="M107" s="303"/>
      <c r="N107" s="263"/>
    </row>
    <row r="108" spans="1:14" s="85" customFormat="1" ht="16.5">
      <c r="A108" s="544"/>
      <c r="B108" s="239"/>
      <c r="C108" s="12" t="s">
        <v>268</v>
      </c>
      <c r="D108" s="299" t="s">
        <v>43</v>
      </c>
      <c r="E108" s="305">
        <v>1.02</v>
      </c>
      <c r="F108" s="487">
        <f>F106*E108</f>
        <v>6.12</v>
      </c>
      <c r="G108" s="93"/>
      <c r="H108" s="303"/>
      <c r="I108" s="303"/>
      <c r="J108" s="303"/>
      <c r="K108" s="93"/>
      <c r="L108" s="303"/>
      <c r="M108" s="303"/>
      <c r="N108" s="263"/>
    </row>
    <row r="109" spans="1:14" s="85" customFormat="1" ht="16.5">
      <c r="A109" s="544"/>
      <c r="B109" s="239"/>
      <c r="C109" s="160" t="s">
        <v>175</v>
      </c>
      <c r="D109" s="17" t="s">
        <v>46</v>
      </c>
      <c r="E109" s="305">
        <v>1.03</v>
      </c>
      <c r="F109" s="74">
        <f>F94*16*1*E109*0.395/1000</f>
        <v>0.32547999999999999</v>
      </c>
      <c r="G109" s="303"/>
      <c r="H109" s="303"/>
      <c r="I109" s="303"/>
      <c r="J109" s="303"/>
      <c r="K109" s="93"/>
      <c r="L109" s="303"/>
      <c r="M109" s="303"/>
      <c r="N109" s="263"/>
    </row>
    <row r="110" spans="1:14" s="85" customFormat="1" ht="16.5">
      <c r="A110" s="545"/>
      <c r="B110" s="239"/>
      <c r="C110" s="12" t="s">
        <v>17</v>
      </c>
      <c r="D110" s="299" t="s">
        <v>7</v>
      </c>
      <c r="E110" s="305">
        <v>0.88</v>
      </c>
      <c r="F110" s="487">
        <f>F106*E110</f>
        <v>5.28</v>
      </c>
      <c r="G110" s="93"/>
      <c r="H110" s="303"/>
      <c r="I110" s="303"/>
      <c r="J110" s="303"/>
      <c r="K110" s="93"/>
      <c r="L110" s="303"/>
      <c r="M110" s="303"/>
      <c r="N110" s="263"/>
    </row>
    <row r="111" spans="1:14" s="85" customFormat="1" ht="63">
      <c r="A111" s="543" t="s">
        <v>101</v>
      </c>
      <c r="B111" s="239" t="s">
        <v>173</v>
      </c>
      <c r="C111" s="38" t="s">
        <v>306</v>
      </c>
      <c r="D111" s="239" t="s">
        <v>52</v>
      </c>
      <c r="E111" s="305"/>
      <c r="F111" s="27">
        <f>F94</f>
        <v>50</v>
      </c>
      <c r="G111" s="303"/>
      <c r="H111" s="303"/>
      <c r="I111" s="303"/>
      <c r="J111" s="303"/>
      <c r="K111" s="303"/>
      <c r="L111" s="303"/>
      <c r="M111" s="303"/>
      <c r="N111" s="263"/>
    </row>
    <row r="112" spans="1:14" s="85" customFormat="1" ht="16.5">
      <c r="A112" s="544"/>
      <c r="B112" s="239"/>
      <c r="C112" s="12" t="s">
        <v>42</v>
      </c>
      <c r="D112" s="299" t="s">
        <v>9</v>
      </c>
      <c r="E112" s="305">
        <v>0.77900000000000003</v>
      </c>
      <c r="F112" s="305">
        <f>F111*E112</f>
        <v>38.950000000000003</v>
      </c>
      <c r="G112" s="303"/>
      <c r="H112" s="303"/>
      <c r="I112" s="303"/>
      <c r="J112" s="303"/>
      <c r="K112" s="303"/>
      <c r="L112" s="303"/>
      <c r="M112" s="303"/>
      <c r="N112" s="263"/>
    </row>
    <row r="113" spans="1:15" s="85" customFormat="1" ht="16.5">
      <c r="A113" s="544"/>
      <c r="B113" s="239"/>
      <c r="C113" s="12" t="s">
        <v>18</v>
      </c>
      <c r="D113" s="299" t="s">
        <v>7</v>
      </c>
      <c r="E113" s="305">
        <v>0.104</v>
      </c>
      <c r="F113" s="305">
        <f>F111*E113</f>
        <v>5.2</v>
      </c>
      <c r="G113" s="303"/>
      <c r="H113" s="303"/>
      <c r="I113" s="303"/>
      <c r="J113" s="303"/>
      <c r="K113" s="303"/>
      <c r="L113" s="303"/>
      <c r="M113" s="303"/>
      <c r="N113" s="263"/>
    </row>
    <row r="114" spans="1:15" s="85" customFormat="1" ht="31.5">
      <c r="A114" s="544"/>
      <c r="B114" s="239"/>
      <c r="C114" s="12" t="s">
        <v>269</v>
      </c>
      <c r="D114" s="299" t="s">
        <v>52</v>
      </c>
      <c r="E114" s="305">
        <v>1.01</v>
      </c>
      <c r="F114" s="305">
        <f>F111*80%*E114</f>
        <v>40.4</v>
      </c>
      <c r="G114" s="303"/>
      <c r="H114" s="303"/>
      <c r="I114" s="303"/>
      <c r="J114" s="303"/>
      <c r="K114" s="303"/>
      <c r="L114" s="303"/>
      <c r="M114" s="303"/>
      <c r="N114" s="263"/>
    </row>
    <row r="115" spans="1:15" s="85" customFormat="1" ht="94.5">
      <c r="A115" s="544"/>
      <c r="B115" s="239"/>
      <c r="C115" s="12" t="s">
        <v>275</v>
      </c>
      <c r="D115" s="299" t="s">
        <v>43</v>
      </c>
      <c r="E115" s="305">
        <v>2.1100000000000001E-2</v>
      </c>
      <c r="F115" s="305">
        <f>F111*E115</f>
        <v>1.0549999999999999</v>
      </c>
      <c r="G115" s="303"/>
      <c r="H115" s="303"/>
      <c r="I115" s="303"/>
      <c r="J115" s="303"/>
      <c r="K115" s="303"/>
      <c r="L115" s="303"/>
      <c r="M115" s="303"/>
      <c r="N115" s="263"/>
    </row>
    <row r="116" spans="1:15" s="85" customFormat="1" ht="16.5">
      <c r="A116" s="545"/>
      <c r="B116" s="239"/>
      <c r="C116" s="12" t="s">
        <v>17</v>
      </c>
      <c r="D116" s="299" t="s">
        <v>7</v>
      </c>
      <c r="E116" s="305">
        <v>4.66</v>
      </c>
      <c r="F116" s="305">
        <f>F111*E116</f>
        <v>233</v>
      </c>
      <c r="G116" s="303"/>
      <c r="H116" s="303"/>
      <c r="I116" s="303"/>
      <c r="J116" s="303"/>
      <c r="K116" s="303"/>
      <c r="L116" s="303"/>
      <c r="M116" s="303"/>
      <c r="N116" s="263"/>
    </row>
    <row r="117" spans="1:15" s="85" customFormat="1" ht="47.25">
      <c r="A117" s="543" t="s">
        <v>102</v>
      </c>
      <c r="B117" s="239" t="s">
        <v>270</v>
      </c>
      <c r="C117" s="38" t="s">
        <v>307</v>
      </c>
      <c r="D117" s="299" t="s">
        <v>52</v>
      </c>
      <c r="E117" s="305"/>
      <c r="F117" s="27">
        <f>F94</f>
        <v>50</v>
      </c>
      <c r="G117" s="304"/>
      <c r="H117" s="303"/>
      <c r="I117" s="304"/>
      <c r="J117" s="303"/>
      <c r="K117" s="304"/>
      <c r="L117" s="303"/>
      <c r="M117" s="303"/>
      <c r="N117" s="263"/>
    </row>
    <row r="118" spans="1:15" s="85" customFormat="1" ht="16.5">
      <c r="A118" s="544"/>
      <c r="B118" s="239"/>
      <c r="C118" s="12" t="s">
        <v>42</v>
      </c>
      <c r="D118" s="299" t="s">
        <v>9</v>
      </c>
      <c r="E118" s="305">
        <v>0.81100000000000005</v>
      </c>
      <c r="F118" s="305">
        <f>F117*E118</f>
        <v>40.550000000000004</v>
      </c>
      <c r="G118" s="304"/>
      <c r="H118" s="303"/>
      <c r="I118" s="303"/>
      <c r="J118" s="303"/>
      <c r="K118" s="303"/>
      <c r="L118" s="303"/>
      <c r="M118" s="303"/>
      <c r="N118" s="263"/>
    </row>
    <row r="119" spans="1:15" s="85" customFormat="1" ht="16.5">
      <c r="A119" s="544"/>
      <c r="B119" s="239"/>
      <c r="C119" s="12" t="s">
        <v>8</v>
      </c>
      <c r="D119" s="299" t="s">
        <v>7</v>
      </c>
      <c r="E119" s="305">
        <v>1.2999999999999999E-2</v>
      </c>
      <c r="F119" s="305">
        <f>F117*E119</f>
        <v>0.65</v>
      </c>
      <c r="G119" s="304"/>
      <c r="H119" s="303"/>
      <c r="I119" s="304"/>
      <c r="J119" s="303"/>
      <c r="K119" s="303"/>
      <c r="L119" s="303"/>
      <c r="M119" s="303"/>
      <c r="N119" s="263"/>
    </row>
    <row r="120" spans="1:15" s="85" customFormat="1" ht="16.5">
      <c r="A120" s="544"/>
      <c r="B120" s="239"/>
      <c r="C120" s="12" t="s">
        <v>271</v>
      </c>
      <c r="D120" s="299" t="s">
        <v>46</v>
      </c>
      <c r="E120" s="305">
        <v>1.8599999999999998E-2</v>
      </c>
      <c r="F120" s="305">
        <f>F117*E120</f>
        <v>0.92999999999999994</v>
      </c>
      <c r="G120" s="304"/>
      <c r="H120" s="303"/>
      <c r="I120" s="303"/>
      <c r="J120" s="303"/>
      <c r="K120" s="303"/>
      <c r="L120" s="303"/>
      <c r="M120" s="303"/>
      <c r="N120" s="263"/>
      <c r="O120" s="85">
        <f>1500/25*30.9</f>
        <v>1854</v>
      </c>
    </row>
    <row r="121" spans="1:15" s="85" customFormat="1" ht="16.5">
      <c r="A121" s="544"/>
      <c r="B121" s="239"/>
      <c r="C121" s="12" t="s">
        <v>272</v>
      </c>
      <c r="D121" s="299" t="s">
        <v>46</v>
      </c>
      <c r="E121" s="305">
        <v>5.0000000000000001E-4</v>
      </c>
      <c r="F121" s="305">
        <f>F117*E121</f>
        <v>2.5000000000000001E-2</v>
      </c>
      <c r="G121" s="304"/>
      <c r="H121" s="303"/>
      <c r="I121" s="303"/>
      <c r="J121" s="303"/>
      <c r="K121" s="303"/>
      <c r="L121" s="303"/>
      <c r="M121" s="303"/>
      <c r="N121" s="263"/>
    </row>
    <row r="122" spans="1:15" s="85" customFormat="1" ht="16.5">
      <c r="A122" s="545"/>
      <c r="B122" s="239"/>
      <c r="C122" s="12" t="s">
        <v>54</v>
      </c>
      <c r="D122" s="299" t="s">
        <v>7</v>
      </c>
      <c r="E122" s="305">
        <v>0.156</v>
      </c>
      <c r="F122" s="305">
        <f>F117*E122</f>
        <v>7.8</v>
      </c>
      <c r="G122" s="304"/>
      <c r="H122" s="303"/>
      <c r="I122" s="303"/>
      <c r="J122" s="303"/>
      <c r="K122" s="303"/>
      <c r="L122" s="303"/>
      <c r="M122" s="303"/>
      <c r="N122" s="263"/>
    </row>
    <row r="123" spans="1:15" s="85" customFormat="1" ht="16.5">
      <c r="A123" s="476"/>
      <c r="B123" s="39"/>
      <c r="C123" s="47"/>
      <c r="D123" s="162"/>
      <c r="E123" s="42"/>
      <c r="F123" s="305"/>
      <c r="G123" s="40"/>
      <c r="H123" s="40"/>
      <c r="I123" s="40"/>
      <c r="J123" s="40"/>
      <c r="K123" s="40"/>
      <c r="L123" s="40"/>
      <c r="M123" s="40"/>
      <c r="N123" s="263"/>
    </row>
    <row r="124" spans="1:15" s="85" customFormat="1" ht="47.25">
      <c r="A124" s="477" t="s">
        <v>101</v>
      </c>
      <c r="B124" s="139"/>
      <c r="C124" s="139" t="s">
        <v>319</v>
      </c>
      <c r="D124" s="139" t="s">
        <v>52</v>
      </c>
      <c r="E124" s="139"/>
      <c r="F124" s="139" t="s">
        <v>434</v>
      </c>
      <c r="G124" s="161"/>
      <c r="H124" s="40"/>
      <c r="I124" s="40"/>
      <c r="J124" s="40"/>
      <c r="K124" s="40"/>
      <c r="L124" s="40"/>
      <c r="M124" s="40"/>
      <c r="N124" s="263"/>
    </row>
    <row r="125" spans="1:15" s="85" customFormat="1" ht="47.25">
      <c r="A125" s="560" t="s">
        <v>105</v>
      </c>
      <c r="B125" s="30" t="s">
        <v>38</v>
      </c>
      <c r="C125" s="29" t="s">
        <v>308</v>
      </c>
      <c r="D125" s="300" t="s">
        <v>43</v>
      </c>
      <c r="E125" s="3"/>
      <c r="F125" s="512">
        <f>F124*0.25</f>
        <v>52.5</v>
      </c>
      <c r="G125" s="7"/>
      <c r="H125" s="40"/>
      <c r="I125" s="7"/>
      <c r="J125" s="40"/>
      <c r="K125" s="7"/>
      <c r="L125" s="40"/>
      <c r="M125" s="40"/>
      <c r="N125" s="263"/>
    </row>
    <row r="126" spans="1:15" s="85" customFormat="1" ht="16.5">
      <c r="A126" s="562"/>
      <c r="B126" s="30"/>
      <c r="C126" s="28" t="s">
        <v>42</v>
      </c>
      <c r="D126" s="300" t="s">
        <v>9</v>
      </c>
      <c r="E126" s="3">
        <v>3.88</v>
      </c>
      <c r="F126" s="333">
        <f>F125*E126</f>
        <v>203.7</v>
      </c>
      <c r="G126" s="7"/>
      <c r="H126" s="40"/>
      <c r="I126" s="7"/>
      <c r="J126" s="40"/>
      <c r="K126" s="7"/>
      <c r="L126" s="40"/>
      <c r="M126" s="40"/>
      <c r="N126" s="263"/>
    </row>
    <row r="127" spans="1:15" s="85" customFormat="1" ht="27">
      <c r="A127" s="544" t="s">
        <v>76</v>
      </c>
      <c r="B127" s="241" t="s">
        <v>103</v>
      </c>
      <c r="C127" s="311" t="s">
        <v>279</v>
      </c>
      <c r="D127" s="312" t="s">
        <v>309</v>
      </c>
      <c r="E127" s="313"/>
      <c r="F127" s="314">
        <f>F125*1.95</f>
        <v>102.375</v>
      </c>
      <c r="G127" s="303"/>
      <c r="H127" s="7"/>
      <c r="I127" s="303"/>
      <c r="J127" s="7"/>
      <c r="K127" s="303"/>
      <c r="L127" s="7"/>
      <c r="M127" s="7"/>
      <c r="N127" s="263"/>
    </row>
    <row r="128" spans="1:15" s="85" customFormat="1" ht="16.5">
      <c r="A128" s="545"/>
      <c r="B128" s="239"/>
      <c r="C128" s="110" t="s">
        <v>58</v>
      </c>
      <c r="D128" s="58" t="s">
        <v>9</v>
      </c>
      <c r="E128" s="59">
        <v>0.53</v>
      </c>
      <c r="F128" s="488">
        <f>F127*E128</f>
        <v>54.258750000000006</v>
      </c>
      <c r="G128" s="303"/>
      <c r="H128" s="7"/>
      <c r="I128" s="303"/>
      <c r="J128" s="7"/>
      <c r="K128" s="303"/>
      <c r="L128" s="7"/>
      <c r="M128" s="7"/>
      <c r="N128" s="263"/>
    </row>
    <row r="129" spans="1:14" s="85" customFormat="1" ht="40.5">
      <c r="A129" s="505" t="s">
        <v>106</v>
      </c>
      <c r="B129" s="239" t="s">
        <v>310</v>
      </c>
      <c r="C129" s="315" t="s">
        <v>496</v>
      </c>
      <c r="D129" s="239" t="s">
        <v>46</v>
      </c>
      <c r="E129" s="9"/>
      <c r="F129" s="27">
        <f>F127</f>
        <v>102.375</v>
      </c>
      <c r="G129" s="303"/>
      <c r="H129" s="7"/>
      <c r="I129" s="303"/>
      <c r="J129" s="7"/>
      <c r="K129" s="20"/>
      <c r="L129" s="7"/>
      <c r="M129" s="7"/>
      <c r="N129" s="263"/>
    </row>
    <row r="130" spans="1:14" s="85" customFormat="1" ht="47.25">
      <c r="A130" s="560" t="s">
        <v>99</v>
      </c>
      <c r="B130" s="30" t="s">
        <v>41</v>
      </c>
      <c r="C130" s="29" t="s">
        <v>311</v>
      </c>
      <c r="D130" s="300" t="s">
        <v>43</v>
      </c>
      <c r="E130" s="3"/>
      <c r="F130" s="512">
        <f>F124*0.15</f>
        <v>31.5</v>
      </c>
      <c r="G130" s="7"/>
      <c r="H130" s="40"/>
      <c r="I130" s="7"/>
      <c r="J130" s="40"/>
      <c r="K130" s="7"/>
      <c r="L130" s="40"/>
      <c r="M130" s="40"/>
      <c r="N130" s="263"/>
    </row>
    <row r="131" spans="1:14" s="85" customFormat="1" ht="16.5">
      <c r="A131" s="561"/>
      <c r="B131" s="239"/>
      <c r="C131" s="12" t="s">
        <v>42</v>
      </c>
      <c r="D131" s="299" t="s">
        <v>9</v>
      </c>
      <c r="E131" s="302">
        <v>3.52</v>
      </c>
      <c r="F131" s="487">
        <f>F130*E131</f>
        <v>110.88</v>
      </c>
      <c r="G131" s="303"/>
      <c r="H131" s="303"/>
      <c r="I131" s="303"/>
      <c r="J131" s="303"/>
      <c r="K131" s="303"/>
      <c r="L131" s="303"/>
      <c r="M131" s="303"/>
      <c r="N131" s="263"/>
    </row>
    <row r="132" spans="1:14" s="85" customFormat="1" ht="16.5">
      <c r="A132" s="561"/>
      <c r="B132" s="239"/>
      <c r="C132" s="12" t="s">
        <v>8</v>
      </c>
      <c r="D132" s="299" t="s">
        <v>7</v>
      </c>
      <c r="E132" s="302">
        <v>1.06</v>
      </c>
      <c r="F132" s="487">
        <f>F130*E132</f>
        <v>33.39</v>
      </c>
      <c r="G132" s="303"/>
      <c r="H132" s="303"/>
      <c r="I132" s="303"/>
      <c r="J132" s="303"/>
      <c r="K132" s="303"/>
      <c r="L132" s="303"/>
      <c r="M132" s="303"/>
      <c r="N132" s="263"/>
    </row>
    <row r="133" spans="1:14" s="85" customFormat="1" ht="16.5">
      <c r="A133" s="561"/>
      <c r="B133" s="239"/>
      <c r="C133" s="12" t="s">
        <v>37</v>
      </c>
      <c r="D133" s="299" t="s">
        <v>43</v>
      </c>
      <c r="E133" s="302">
        <f>0.18+0.09+0.97</f>
        <v>1.24</v>
      </c>
      <c r="F133" s="487">
        <f>F130*E133</f>
        <v>39.06</v>
      </c>
      <c r="G133" s="303"/>
      <c r="H133" s="303"/>
      <c r="I133" s="303"/>
      <c r="J133" s="303"/>
      <c r="K133" s="303"/>
      <c r="L133" s="303"/>
      <c r="M133" s="303"/>
      <c r="N133" s="263"/>
    </row>
    <row r="134" spans="1:14" s="85" customFormat="1" ht="16.5">
      <c r="A134" s="562"/>
      <c r="B134" s="239"/>
      <c r="C134" s="12" t="s">
        <v>10</v>
      </c>
      <c r="D134" s="299" t="s">
        <v>7</v>
      </c>
      <c r="E134" s="302">
        <v>0.02</v>
      </c>
      <c r="F134" s="487">
        <f>F130*E134</f>
        <v>0.63</v>
      </c>
      <c r="G134" s="303"/>
      <c r="H134" s="303"/>
      <c r="I134" s="303"/>
      <c r="J134" s="303"/>
      <c r="K134" s="303"/>
      <c r="L134" s="303"/>
      <c r="M134" s="303"/>
      <c r="N134" s="263"/>
    </row>
    <row r="135" spans="1:14" s="85" customFormat="1" ht="47.25">
      <c r="A135" s="543" t="s">
        <v>101</v>
      </c>
      <c r="B135" s="239" t="s">
        <v>312</v>
      </c>
      <c r="C135" s="73" t="s">
        <v>313</v>
      </c>
      <c r="D135" s="239" t="s">
        <v>43</v>
      </c>
      <c r="E135" s="302"/>
      <c r="F135" s="512">
        <f>F124*0.15</f>
        <v>31.5</v>
      </c>
      <c r="G135" s="7"/>
      <c r="H135" s="40"/>
      <c r="I135" s="7"/>
      <c r="J135" s="40"/>
      <c r="K135" s="7"/>
      <c r="L135" s="40"/>
      <c r="M135" s="40"/>
      <c r="N135" s="263"/>
    </row>
    <row r="136" spans="1:14" s="85" customFormat="1" ht="16.5">
      <c r="A136" s="544"/>
      <c r="B136" s="239"/>
      <c r="C136" s="32" t="s">
        <v>42</v>
      </c>
      <c r="D136" s="299" t="s">
        <v>9</v>
      </c>
      <c r="E136" s="302">
        <v>1.87</v>
      </c>
      <c r="F136" s="487">
        <f>F135*E136</f>
        <v>58.905000000000001</v>
      </c>
      <c r="G136" s="25"/>
      <c r="H136" s="40"/>
      <c r="I136" s="25"/>
      <c r="J136" s="40"/>
      <c r="K136" s="25"/>
      <c r="L136" s="40"/>
      <c r="M136" s="40"/>
      <c r="N136" s="263"/>
    </row>
    <row r="137" spans="1:14" s="85" customFormat="1" ht="16.5">
      <c r="A137" s="544"/>
      <c r="B137" s="239"/>
      <c r="C137" s="32" t="s">
        <v>18</v>
      </c>
      <c r="D137" s="299" t="s">
        <v>7</v>
      </c>
      <c r="E137" s="302">
        <v>0.77</v>
      </c>
      <c r="F137" s="487">
        <f>F135*E137</f>
        <v>24.254999999999999</v>
      </c>
      <c r="G137" s="25"/>
      <c r="H137" s="40"/>
      <c r="I137" s="25"/>
      <c r="J137" s="40"/>
      <c r="K137" s="25"/>
      <c r="L137" s="40"/>
      <c r="M137" s="40"/>
      <c r="N137" s="263"/>
    </row>
    <row r="138" spans="1:14" s="85" customFormat="1" ht="16.5">
      <c r="A138" s="544"/>
      <c r="B138" s="239"/>
      <c r="C138" s="32" t="s">
        <v>158</v>
      </c>
      <c r="D138" s="299" t="s">
        <v>197</v>
      </c>
      <c r="E138" s="302">
        <v>1.0149999999999999</v>
      </c>
      <c r="F138" s="487">
        <f>F135*E138</f>
        <v>31.972499999999997</v>
      </c>
      <c r="G138" s="25"/>
      <c r="H138" s="40"/>
      <c r="I138" s="25"/>
      <c r="J138" s="40"/>
      <c r="K138" s="25"/>
      <c r="L138" s="40"/>
      <c r="M138" s="40"/>
      <c r="N138" s="263"/>
    </row>
    <row r="139" spans="1:14" s="85" customFormat="1" ht="16.5">
      <c r="A139" s="544"/>
      <c r="B139" s="239"/>
      <c r="C139" s="32" t="s">
        <v>314</v>
      </c>
      <c r="D139" s="299" t="s">
        <v>52</v>
      </c>
      <c r="E139" s="302">
        <v>7.5399999999999995E-2</v>
      </c>
      <c r="F139" s="487">
        <f>F135*E139</f>
        <v>2.3750999999999998</v>
      </c>
      <c r="G139" s="25"/>
      <c r="H139" s="40"/>
      <c r="I139" s="25"/>
      <c r="J139" s="40"/>
      <c r="K139" s="25"/>
      <c r="L139" s="40"/>
      <c r="M139" s="40"/>
      <c r="N139" s="263"/>
    </row>
    <row r="140" spans="1:14" s="85" customFormat="1" ht="16.5">
      <c r="A140" s="544"/>
      <c r="B140" s="239"/>
      <c r="C140" s="32" t="s">
        <v>47</v>
      </c>
      <c r="D140" s="299" t="s">
        <v>43</v>
      </c>
      <c r="E140" s="302">
        <f>0.0008</f>
        <v>8.0000000000000004E-4</v>
      </c>
      <c r="F140" s="487">
        <f>F135*E140</f>
        <v>2.52E-2</v>
      </c>
      <c r="G140" s="25"/>
      <c r="H140" s="40"/>
      <c r="I140" s="25"/>
      <c r="J140" s="40"/>
      <c r="K140" s="25"/>
      <c r="L140" s="40"/>
      <c r="M140" s="40"/>
      <c r="N140" s="263"/>
    </row>
    <row r="141" spans="1:14" s="85" customFormat="1" ht="16.5">
      <c r="A141" s="544"/>
      <c r="B141" s="239"/>
      <c r="C141" s="32" t="s">
        <v>10</v>
      </c>
      <c r="D141" s="299" t="s">
        <v>7</v>
      </c>
      <c r="E141" s="302">
        <v>7.0000000000000007E-2</v>
      </c>
      <c r="F141" s="487">
        <f>F135*E141</f>
        <v>2.2050000000000001</v>
      </c>
      <c r="G141" s="25"/>
      <c r="H141" s="40"/>
      <c r="I141" s="25"/>
      <c r="J141" s="40"/>
      <c r="K141" s="25"/>
      <c r="L141" s="40"/>
      <c r="M141" s="40"/>
      <c r="N141" s="263"/>
    </row>
    <row r="142" spans="1:14" s="85" customFormat="1" ht="16.5">
      <c r="A142" s="544"/>
      <c r="B142" s="239"/>
      <c r="C142" s="73" t="s">
        <v>315</v>
      </c>
      <c r="D142" s="239" t="s">
        <v>46</v>
      </c>
      <c r="E142" s="9"/>
      <c r="F142" s="486">
        <f>F124*16*1*1.03*0.395/1000*F120</f>
        <v>1.2713248799999999</v>
      </c>
      <c r="G142" s="25"/>
      <c r="H142" s="40"/>
      <c r="I142" s="25"/>
      <c r="J142" s="40"/>
      <c r="K142" s="25"/>
      <c r="L142" s="40"/>
      <c r="M142" s="40"/>
      <c r="N142" s="263"/>
    </row>
    <row r="143" spans="1:14" s="85" customFormat="1" ht="60">
      <c r="A143" s="580" t="s">
        <v>102</v>
      </c>
      <c r="B143" s="310" t="s">
        <v>316</v>
      </c>
      <c r="C143" s="43" t="s">
        <v>317</v>
      </c>
      <c r="D143" s="163" t="s">
        <v>176</v>
      </c>
      <c r="E143" s="302"/>
      <c r="F143" s="46" t="str">
        <f>F124</f>
        <v>210</v>
      </c>
      <c r="G143" s="164"/>
      <c r="H143" s="40"/>
      <c r="I143" s="316"/>
      <c r="J143" s="40"/>
      <c r="K143" s="316"/>
      <c r="L143" s="40"/>
      <c r="M143" s="40"/>
      <c r="N143" s="263"/>
    </row>
    <row r="144" spans="1:14" s="85" customFormat="1" ht="16.5">
      <c r="A144" s="581"/>
      <c r="B144" s="310"/>
      <c r="C144" s="41" t="s">
        <v>44</v>
      </c>
      <c r="D144" s="317" t="s">
        <v>73</v>
      </c>
      <c r="E144" s="302">
        <v>0.41599999999999998</v>
      </c>
      <c r="F144" s="487">
        <f>F143*E144</f>
        <v>87.36</v>
      </c>
      <c r="G144" s="164"/>
      <c r="H144" s="40"/>
      <c r="I144" s="164"/>
      <c r="J144" s="40"/>
      <c r="K144" s="164"/>
      <c r="L144" s="40"/>
      <c r="M144" s="40"/>
      <c r="N144" s="263"/>
    </row>
    <row r="145" spans="1:14" s="85" customFormat="1" ht="27">
      <c r="A145" s="581"/>
      <c r="B145" s="239"/>
      <c r="C145" s="32" t="s">
        <v>18</v>
      </c>
      <c r="D145" s="299" t="s">
        <v>50</v>
      </c>
      <c r="E145" s="302">
        <f>0.0059</f>
        <v>5.8999999999999999E-3</v>
      </c>
      <c r="F145" s="487">
        <f>F143*E145</f>
        <v>1.2389999999999999</v>
      </c>
      <c r="G145" s="40"/>
      <c r="H145" s="40"/>
      <c r="I145" s="40"/>
      <c r="J145" s="40"/>
      <c r="K145" s="40"/>
      <c r="L145" s="40"/>
      <c r="M145" s="40"/>
      <c r="N145" s="263"/>
    </row>
    <row r="146" spans="1:14" s="85" customFormat="1" ht="16.5">
      <c r="A146" s="581"/>
      <c r="B146" s="39"/>
      <c r="C146" s="47" t="s">
        <v>177</v>
      </c>
      <c r="D146" s="317" t="s">
        <v>122</v>
      </c>
      <c r="E146" s="302">
        <v>0.19</v>
      </c>
      <c r="F146" s="487">
        <f>F143*E146</f>
        <v>39.9</v>
      </c>
      <c r="G146" s="164"/>
      <c r="H146" s="40"/>
      <c r="I146" s="164"/>
      <c r="J146" s="40"/>
      <c r="K146" s="164"/>
      <c r="L146" s="40"/>
      <c r="M146" s="40"/>
      <c r="N146" s="263"/>
    </row>
    <row r="147" spans="1:14" s="85" customFormat="1" ht="31.5">
      <c r="A147" s="581"/>
      <c r="B147" s="239"/>
      <c r="C147" s="41" t="s">
        <v>318</v>
      </c>
      <c r="D147" s="79" t="s">
        <v>178</v>
      </c>
      <c r="E147" s="302">
        <v>1.02</v>
      </c>
      <c r="F147" s="487">
        <f>F143*E147</f>
        <v>214.20000000000002</v>
      </c>
      <c r="G147" s="164"/>
      <c r="H147" s="40"/>
      <c r="I147" s="164"/>
      <c r="J147" s="40"/>
      <c r="K147" s="164"/>
      <c r="L147" s="40"/>
      <c r="M147" s="40"/>
      <c r="N147" s="263"/>
    </row>
    <row r="148" spans="1:14" s="85" customFormat="1" ht="16.5">
      <c r="A148" s="582"/>
      <c r="B148" s="310"/>
      <c r="C148" s="165" t="s">
        <v>54</v>
      </c>
      <c r="D148" s="317" t="s">
        <v>179</v>
      </c>
      <c r="E148" s="302">
        <v>0.08</v>
      </c>
      <c r="F148" s="487">
        <f>F143*E148</f>
        <v>16.8</v>
      </c>
      <c r="G148" s="164"/>
      <c r="H148" s="40"/>
      <c r="I148" s="164"/>
      <c r="J148" s="40"/>
      <c r="K148" s="164"/>
      <c r="L148" s="40"/>
      <c r="M148" s="40"/>
      <c r="N148" s="263"/>
    </row>
    <row r="149" spans="1:14" s="85" customFormat="1" ht="16.5">
      <c r="A149" s="475"/>
      <c r="B149" s="310"/>
      <c r="C149" s="165"/>
      <c r="D149" s="79"/>
      <c r="E149" s="33"/>
      <c r="F149" s="34"/>
      <c r="G149" s="166"/>
      <c r="H149" s="40"/>
      <c r="I149" s="164"/>
      <c r="J149" s="40"/>
      <c r="K149" s="164"/>
      <c r="L149" s="40"/>
      <c r="M149" s="40"/>
      <c r="N149" s="263"/>
    </row>
    <row r="150" spans="1:14" s="85" customFormat="1" ht="31.5">
      <c r="A150" s="473" t="s">
        <v>102</v>
      </c>
      <c r="B150" s="98"/>
      <c r="C150" s="169" t="s">
        <v>182</v>
      </c>
      <c r="D150" s="98" t="s">
        <v>52</v>
      </c>
      <c r="E150" s="64"/>
      <c r="F150" s="64">
        <v>1195</v>
      </c>
      <c r="G150" s="248"/>
      <c r="H150" s="248"/>
      <c r="I150" s="248"/>
      <c r="J150" s="248"/>
      <c r="K150" s="248"/>
      <c r="L150" s="248"/>
      <c r="M150" s="248"/>
      <c r="N150" s="263"/>
    </row>
    <row r="151" spans="1:14" s="85" customFormat="1" ht="31.5">
      <c r="A151" s="553" t="s">
        <v>101</v>
      </c>
      <c r="B151" s="125" t="s">
        <v>183</v>
      </c>
      <c r="C151" s="124" t="s">
        <v>184</v>
      </c>
      <c r="D151" s="125" t="s">
        <v>33</v>
      </c>
      <c r="E151" s="62"/>
      <c r="F151" s="62">
        <f>F150</f>
        <v>1195</v>
      </c>
      <c r="G151" s="248"/>
      <c r="H151" s="248"/>
      <c r="I151" s="248"/>
      <c r="J151" s="248"/>
      <c r="K151" s="248"/>
      <c r="L151" s="248"/>
      <c r="M151" s="248"/>
      <c r="N151" s="263"/>
    </row>
    <row r="152" spans="1:14" s="85" customFormat="1" ht="16.5">
      <c r="A152" s="554"/>
      <c r="B152" s="125"/>
      <c r="C152" s="122" t="s">
        <v>42</v>
      </c>
      <c r="D152" s="13" t="s">
        <v>9</v>
      </c>
      <c r="E152" s="120">
        <f>38.3*0.01</f>
        <v>0.38300000000000001</v>
      </c>
      <c r="F152" s="120">
        <f>F151*E152</f>
        <v>457.685</v>
      </c>
      <c r="G152" s="248"/>
      <c r="H152" s="248"/>
      <c r="I152" s="248"/>
      <c r="J152" s="248"/>
      <c r="K152" s="248"/>
      <c r="L152" s="248"/>
      <c r="M152" s="248"/>
      <c r="N152" s="263"/>
    </row>
    <row r="153" spans="1:14" s="85" customFormat="1" ht="27">
      <c r="A153" s="555"/>
      <c r="B153" s="125" t="s">
        <v>19</v>
      </c>
      <c r="C153" s="122" t="s">
        <v>185</v>
      </c>
      <c r="D153" s="121" t="s">
        <v>83</v>
      </c>
      <c r="E153" s="120">
        <f>2*0.01</f>
        <v>0.02</v>
      </c>
      <c r="F153" s="120">
        <f>E153*F151</f>
        <v>23.900000000000002</v>
      </c>
      <c r="G153" s="248"/>
      <c r="H153" s="248"/>
      <c r="I153" s="248"/>
      <c r="J153" s="248"/>
      <c r="K153" s="248"/>
      <c r="L153" s="248"/>
      <c r="M153" s="248"/>
      <c r="N153" s="263"/>
    </row>
    <row r="154" spans="1:14" s="85" customFormat="1" ht="47.25">
      <c r="A154" s="504" t="s">
        <v>102</v>
      </c>
      <c r="B154" s="239"/>
      <c r="C154" s="169" t="s">
        <v>186</v>
      </c>
      <c r="D154" s="8"/>
      <c r="E154" s="27"/>
      <c r="F154" s="27"/>
      <c r="G154" s="248"/>
      <c r="H154" s="248"/>
      <c r="I154" s="248"/>
      <c r="J154" s="248"/>
      <c r="K154" s="248"/>
      <c r="L154" s="248"/>
      <c r="M154" s="248"/>
      <c r="N154" s="263"/>
    </row>
    <row r="155" spans="1:14" s="85" customFormat="1" ht="16.5">
      <c r="A155" s="531"/>
      <c r="B155" s="37" t="s">
        <v>105</v>
      </c>
      <c r="C155" s="73" t="s">
        <v>187</v>
      </c>
      <c r="D155" s="8" t="s">
        <v>56</v>
      </c>
      <c r="E155" s="251"/>
      <c r="F155" s="27">
        <v>4</v>
      </c>
      <c r="G155" s="248"/>
      <c r="H155" s="248"/>
      <c r="I155" s="248"/>
      <c r="J155" s="248"/>
      <c r="K155" s="248"/>
      <c r="L155" s="248"/>
      <c r="M155" s="248"/>
      <c r="N155" s="263"/>
    </row>
    <row r="156" spans="1:14" s="85" customFormat="1" ht="31.5">
      <c r="A156" s="531"/>
      <c r="B156" s="37" t="s">
        <v>76</v>
      </c>
      <c r="C156" s="73" t="s">
        <v>188</v>
      </c>
      <c r="D156" s="8" t="s">
        <v>56</v>
      </c>
      <c r="E156" s="251"/>
      <c r="F156" s="27">
        <v>19</v>
      </c>
      <c r="G156" s="248"/>
      <c r="H156" s="248"/>
      <c r="I156" s="248"/>
      <c r="J156" s="248"/>
      <c r="K156" s="248"/>
      <c r="L156" s="248"/>
      <c r="M156" s="248"/>
      <c r="N156" s="263"/>
    </row>
    <row r="157" spans="1:14" s="85" customFormat="1" ht="31.5">
      <c r="A157" s="531"/>
      <c r="B157" s="37" t="s">
        <v>106</v>
      </c>
      <c r="C157" s="73" t="s">
        <v>189</v>
      </c>
      <c r="D157" s="8" t="s">
        <v>56</v>
      </c>
      <c r="E157" s="251"/>
      <c r="F157" s="27">
        <v>6</v>
      </c>
      <c r="G157" s="248"/>
      <c r="H157" s="248"/>
      <c r="I157" s="248"/>
      <c r="J157" s="248"/>
      <c r="K157" s="248"/>
      <c r="L157" s="248"/>
      <c r="M157" s="248"/>
      <c r="N157" s="263"/>
    </row>
    <row r="158" spans="1:14" s="85" customFormat="1" ht="16.5">
      <c r="A158" s="507"/>
      <c r="B158" s="100"/>
      <c r="C158" s="73"/>
      <c r="D158" s="8"/>
      <c r="E158" s="251"/>
      <c r="F158" s="27"/>
      <c r="G158" s="248"/>
      <c r="H158" s="248"/>
      <c r="I158" s="248"/>
      <c r="J158" s="248"/>
      <c r="K158" s="248"/>
      <c r="L158" s="248"/>
      <c r="M158" s="248"/>
      <c r="N158" s="263"/>
    </row>
    <row r="159" spans="1:14" s="85" customFormat="1" ht="47.25">
      <c r="A159" s="543" t="s">
        <v>84</v>
      </c>
      <c r="B159" s="239" t="s">
        <v>190</v>
      </c>
      <c r="C159" s="73" t="s">
        <v>191</v>
      </c>
      <c r="D159" s="8" t="s">
        <v>56</v>
      </c>
      <c r="E159" s="251"/>
      <c r="F159" s="27">
        <f>F155+F156+F157+F158</f>
        <v>29</v>
      </c>
      <c r="G159" s="248"/>
      <c r="H159" s="248"/>
      <c r="I159" s="248"/>
      <c r="J159" s="248"/>
      <c r="K159" s="248"/>
      <c r="L159" s="248"/>
      <c r="M159" s="248"/>
      <c r="N159" s="263"/>
    </row>
    <row r="160" spans="1:14" s="85" customFormat="1" ht="16.5">
      <c r="A160" s="545"/>
      <c r="B160" s="239"/>
      <c r="C160" s="32" t="s">
        <v>42</v>
      </c>
      <c r="D160" s="13" t="s">
        <v>9</v>
      </c>
      <c r="E160" s="251">
        <v>3.18</v>
      </c>
      <c r="F160" s="487">
        <f>F159*E160</f>
        <v>92.22</v>
      </c>
      <c r="G160" s="248"/>
      <c r="H160" s="248"/>
      <c r="I160" s="248"/>
      <c r="J160" s="248"/>
      <c r="K160" s="248"/>
      <c r="L160" s="248"/>
      <c r="M160" s="248"/>
      <c r="N160" s="263"/>
    </row>
    <row r="161" spans="1:14" s="85" customFormat="1" ht="31.5">
      <c r="A161" s="504" t="s">
        <v>48</v>
      </c>
      <c r="B161" s="239" t="s">
        <v>192</v>
      </c>
      <c r="C161" s="73" t="s">
        <v>193</v>
      </c>
      <c r="D161" s="8" t="s">
        <v>56</v>
      </c>
      <c r="E161" s="251"/>
      <c r="F161" s="27">
        <f>F159</f>
        <v>29</v>
      </c>
      <c r="G161" s="248"/>
      <c r="H161" s="248"/>
      <c r="I161" s="248"/>
      <c r="J161" s="248"/>
      <c r="K161" s="248"/>
      <c r="L161" s="248"/>
      <c r="M161" s="248"/>
      <c r="N161" s="263"/>
    </row>
    <row r="162" spans="1:14" s="85" customFormat="1" ht="16.5">
      <c r="A162" s="507"/>
      <c r="B162" s="239"/>
      <c r="C162" s="32" t="s">
        <v>42</v>
      </c>
      <c r="D162" s="13" t="s">
        <v>9</v>
      </c>
      <c r="E162" s="251">
        <v>1.6</v>
      </c>
      <c r="F162" s="487">
        <f>F161*E162</f>
        <v>46.400000000000006</v>
      </c>
      <c r="G162" s="248"/>
      <c r="H162" s="248"/>
      <c r="I162" s="248"/>
      <c r="J162" s="248"/>
      <c r="K162" s="248"/>
      <c r="L162" s="248"/>
      <c r="M162" s="248"/>
      <c r="N162" s="263"/>
    </row>
    <row r="163" spans="1:14" s="85" customFormat="1" ht="31.5">
      <c r="A163" s="507"/>
      <c r="B163" s="239" t="s">
        <v>35</v>
      </c>
      <c r="C163" s="32" t="s">
        <v>194</v>
      </c>
      <c r="D163" s="13" t="s">
        <v>50</v>
      </c>
      <c r="E163" s="251">
        <v>7.0999999999999994E-2</v>
      </c>
      <c r="F163" s="251">
        <f>F161*E163</f>
        <v>2.0589999999999997</v>
      </c>
      <c r="G163" s="248"/>
      <c r="H163" s="248"/>
      <c r="I163" s="248"/>
      <c r="J163" s="248"/>
      <c r="K163" s="248"/>
      <c r="L163" s="248"/>
      <c r="M163" s="248"/>
      <c r="N163" s="263"/>
    </row>
    <row r="164" spans="1:14" s="85" customFormat="1" ht="31.5">
      <c r="A164" s="507"/>
      <c r="B164" s="239" t="s">
        <v>97</v>
      </c>
      <c r="C164" s="32" t="s">
        <v>195</v>
      </c>
      <c r="D164" s="13" t="s">
        <v>50</v>
      </c>
      <c r="E164" s="251">
        <v>0.13400000000000001</v>
      </c>
      <c r="F164" s="251">
        <f>F161*E164</f>
        <v>3.8860000000000001</v>
      </c>
      <c r="G164" s="248"/>
      <c r="H164" s="248"/>
      <c r="I164" s="248"/>
      <c r="J164" s="248"/>
      <c r="K164" s="248"/>
      <c r="L164" s="248"/>
      <c r="M164" s="248"/>
      <c r="N164" s="263"/>
    </row>
    <row r="165" spans="1:14" s="85" customFormat="1" ht="16.5">
      <c r="A165" s="507"/>
      <c r="B165" s="239"/>
      <c r="C165" s="73" t="s">
        <v>196</v>
      </c>
      <c r="D165" s="13"/>
      <c r="E165" s="251">
        <v>1</v>
      </c>
      <c r="F165" s="27">
        <f>F161*E165</f>
        <v>29</v>
      </c>
      <c r="G165" s="248"/>
      <c r="H165" s="248"/>
      <c r="I165" s="248"/>
      <c r="J165" s="248"/>
      <c r="K165" s="248"/>
      <c r="L165" s="248"/>
      <c r="M165" s="248"/>
      <c r="N165" s="263"/>
    </row>
    <row r="166" spans="1:14" s="85" customFormat="1" ht="16.5">
      <c r="A166" s="507"/>
      <c r="B166" s="239"/>
      <c r="C166" s="73" t="s">
        <v>187</v>
      </c>
      <c r="D166" s="8" t="s">
        <v>56</v>
      </c>
      <c r="E166" s="251"/>
      <c r="F166" s="251">
        <f>F155</f>
        <v>4</v>
      </c>
      <c r="G166" s="248"/>
      <c r="H166" s="248"/>
      <c r="I166" s="248"/>
      <c r="J166" s="248"/>
      <c r="K166" s="248"/>
      <c r="L166" s="248"/>
      <c r="M166" s="248"/>
      <c r="N166" s="263"/>
    </row>
    <row r="167" spans="1:14" s="85" customFormat="1" ht="31.5">
      <c r="A167" s="507"/>
      <c r="B167" s="239"/>
      <c r="C167" s="73" t="s">
        <v>188</v>
      </c>
      <c r="D167" s="8" t="s">
        <v>56</v>
      </c>
      <c r="E167" s="251"/>
      <c r="F167" s="251">
        <f>F156</f>
        <v>19</v>
      </c>
      <c r="G167" s="248"/>
      <c r="H167" s="248"/>
      <c r="I167" s="248"/>
      <c r="J167" s="248"/>
      <c r="K167" s="248"/>
      <c r="L167" s="248"/>
      <c r="M167" s="248"/>
      <c r="N167" s="263"/>
    </row>
    <row r="168" spans="1:14" s="85" customFormat="1" ht="31.5">
      <c r="A168" s="507"/>
      <c r="B168" s="239"/>
      <c r="C168" s="73" t="s">
        <v>189</v>
      </c>
      <c r="D168" s="8" t="s">
        <v>56</v>
      </c>
      <c r="E168" s="251"/>
      <c r="F168" s="251">
        <f>F157</f>
        <v>6</v>
      </c>
      <c r="G168" s="248"/>
      <c r="H168" s="248"/>
      <c r="I168" s="248"/>
      <c r="J168" s="248"/>
      <c r="K168" s="248"/>
      <c r="L168" s="248"/>
      <c r="M168" s="248"/>
      <c r="N168" s="263"/>
    </row>
    <row r="169" spans="1:14" s="85" customFormat="1" ht="16.5">
      <c r="A169" s="507"/>
      <c r="B169" s="239"/>
      <c r="C169" s="32" t="s">
        <v>120</v>
      </c>
      <c r="D169" s="13" t="s">
        <v>43</v>
      </c>
      <c r="E169" s="251">
        <v>0.26</v>
      </c>
      <c r="F169" s="251">
        <f>F161*E169</f>
        <v>7.54</v>
      </c>
      <c r="G169" s="248"/>
      <c r="H169" s="248"/>
      <c r="I169" s="248"/>
      <c r="J169" s="248"/>
      <c r="K169" s="248"/>
      <c r="L169" s="248"/>
      <c r="M169" s="248"/>
      <c r="N169" s="263"/>
    </row>
    <row r="170" spans="1:14" s="85" customFormat="1" ht="16.5">
      <c r="A170" s="505"/>
      <c r="B170" s="239"/>
      <c r="C170" s="32" t="s">
        <v>54</v>
      </c>
      <c r="D170" s="13" t="s">
        <v>7</v>
      </c>
      <c r="E170" s="251">
        <v>0.17899999999999999</v>
      </c>
      <c r="F170" s="251">
        <f>F161*E170</f>
        <v>5.1909999999999998</v>
      </c>
      <c r="G170" s="248"/>
      <c r="H170" s="248"/>
      <c r="I170" s="248"/>
      <c r="J170" s="248"/>
      <c r="K170" s="248"/>
      <c r="L170" s="248"/>
      <c r="M170" s="248"/>
      <c r="N170" s="263"/>
    </row>
    <row r="171" spans="1:14" s="85" customFormat="1" ht="47.25">
      <c r="A171" s="478" t="s">
        <v>181</v>
      </c>
      <c r="B171" s="98"/>
      <c r="C171" s="337" t="s">
        <v>328</v>
      </c>
      <c r="D171" s="98"/>
      <c r="E171" s="64"/>
      <c r="F171" s="64"/>
      <c r="G171" s="248"/>
      <c r="H171" s="248"/>
      <c r="I171" s="248"/>
      <c r="J171" s="248"/>
      <c r="K171" s="248"/>
      <c r="L171" s="248"/>
      <c r="M171" s="248"/>
      <c r="N171" s="263"/>
    </row>
    <row r="172" spans="1:14" s="85" customFormat="1" ht="31.5">
      <c r="A172" s="574" t="s">
        <v>105</v>
      </c>
      <c r="B172" s="238" t="s">
        <v>143</v>
      </c>
      <c r="C172" s="339" t="s">
        <v>329</v>
      </c>
      <c r="D172" s="340" t="s">
        <v>52</v>
      </c>
      <c r="E172" s="341"/>
      <c r="F172" s="26">
        <f>1.6*1.25*2</f>
        <v>4</v>
      </c>
      <c r="G172" s="7"/>
      <c r="H172" s="7"/>
      <c r="I172" s="7"/>
      <c r="J172" s="7"/>
      <c r="K172" s="7"/>
      <c r="L172" s="237"/>
      <c r="M172" s="237"/>
      <c r="N172" s="263"/>
    </row>
    <row r="173" spans="1:14" s="85" customFormat="1" ht="16.5">
      <c r="A173" s="574"/>
      <c r="B173" s="238"/>
      <c r="C173" s="174" t="s">
        <v>58</v>
      </c>
      <c r="D173" s="58" t="s">
        <v>9</v>
      </c>
      <c r="E173" s="342">
        <v>0.32300000000000001</v>
      </c>
      <c r="F173" s="320">
        <f>F172*E173</f>
        <v>1.292</v>
      </c>
      <c r="G173" s="7"/>
      <c r="H173" s="7"/>
      <c r="I173" s="7"/>
      <c r="J173" s="7"/>
      <c r="K173" s="7"/>
      <c r="L173" s="237"/>
      <c r="M173" s="237"/>
      <c r="N173" s="263"/>
    </row>
    <row r="174" spans="1:14" s="85" customFormat="1" ht="16.5">
      <c r="A174" s="574"/>
      <c r="B174" s="238"/>
      <c r="C174" s="343" t="s">
        <v>8</v>
      </c>
      <c r="D174" s="344" t="s">
        <v>7</v>
      </c>
      <c r="E174" s="342">
        <v>2.1499999999999998E-2</v>
      </c>
      <c r="F174" s="320">
        <f>F172*E174</f>
        <v>8.5999999999999993E-2</v>
      </c>
      <c r="G174" s="7"/>
      <c r="H174" s="7"/>
      <c r="I174" s="7"/>
      <c r="J174" s="7"/>
      <c r="K174" s="7"/>
      <c r="L174" s="237"/>
      <c r="M174" s="237"/>
      <c r="N174" s="263"/>
    </row>
    <row r="175" spans="1:14" s="85" customFormat="1" ht="40.5">
      <c r="A175" s="571">
        <v>2</v>
      </c>
      <c r="B175" s="239" t="s">
        <v>144</v>
      </c>
      <c r="C175" s="326" t="s">
        <v>145</v>
      </c>
      <c r="D175" s="323" t="s">
        <v>43</v>
      </c>
      <c r="E175" s="323"/>
      <c r="F175" s="9">
        <f>F172*0.03</f>
        <v>0.12</v>
      </c>
      <c r="G175" s="329"/>
      <c r="H175" s="329"/>
      <c r="I175" s="329"/>
      <c r="J175" s="324"/>
      <c r="K175" s="329"/>
      <c r="L175" s="324"/>
      <c r="M175" s="324"/>
      <c r="N175" s="263"/>
    </row>
    <row r="176" spans="1:14" s="85" customFormat="1" ht="16.5">
      <c r="A176" s="572"/>
      <c r="B176" s="239"/>
      <c r="C176" s="143" t="s">
        <v>58</v>
      </c>
      <c r="D176" s="323" t="s">
        <v>9</v>
      </c>
      <c r="E176" s="323">
        <v>7.3</v>
      </c>
      <c r="F176" s="323">
        <f>F175*E176</f>
        <v>0.876</v>
      </c>
      <c r="G176" s="329"/>
      <c r="H176" s="329"/>
      <c r="I176" s="329"/>
      <c r="J176" s="324"/>
      <c r="K176" s="329"/>
      <c r="L176" s="324"/>
      <c r="M176" s="324"/>
      <c r="N176" s="263"/>
    </row>
    <row r="177" spans="1:14" s="85" customFormat="1" ht="16.5">
      <c r="A177" s="573"/>
      <c r="B177" s="239"/>
      <c r="C177" s="144" t="s">
        <v>18</v>
      </c>
      <c r="D177" s="323" t="s">
        <v>7</v>
      </c>
      <c r="E177" s="323">
        <v>2.9</v>
      </c>
      <c r="F177" s="323">
        <f>F175*E177</f>
        <v>0.34799999999999998</v>
      </c>
      <c r="G177" s="329"/>
      <c r="H177" s="329"/>
      <c r="I177" s="329"/>
      <c r="J177" s="324"/>
      <c r="K177" s="329"/>
      <c r="L177" s="324"/>
      <c r="M177" s="324"/>
      <c r="N177" s="263"/>
    </row>
    <row r="178" spans="1:14" s="85" customFormat="1" ht="31.5">
      <c r="A178" s="543" t="s">
        <v>106</v>
      </c>
      <c r="B178" s="239" t="s">
        <v>334</v>
      </c>
      <c r="C178" s="170" t="s">
        <v>333</v>
      </c>
      <c r="D178" s="340" t="s">
        <v>52</v>
      </c>
      <c r="E178" s="341"/>
      <c r="F178" s="26">
        <f>(1.6+1.25)*2*2.15-0.8*2*2</f>
        <v>9.0549999999999997</v>
      </c>
      <c r="G178" s="324"/>
      <c r="H178" s="324"/>
      <c r="I178" s="324"/>
      <c r="J178" s="324"/>
      <c r="K178" s="324"/>
      <c r="L178" s="324"/>
      <c r="M178" s="324"/>
      <c r="N178" s="263"/>
    </row>
    <row r="179" spans="1:14" s="85" customFormat="1" ht="16.5">
      <c r="A179" s="545"/>
      <c r="B179" s="239"/>
      <c r="C179" s="174" t="s">
        <v>58</v>
      </c>
      <c r="D179" s="58" t="s">
        <v>9</v>
      </c>
      <c r="E179" s="342">
        <v>0.56000000000000005</v>
      </c>
      <c r="F179" s="320">
        <f>F178*E179</f>
        <v>5.0708000000000002</v>
      </c>
      <c r="G179" s="7"/>
      <c r="H179" s="7"/>
      <c r="I179" s="7"/>
      <c r="J179" s="7"/>
      <c r="K179" s="7"/>
      <c r="L179" s="237"/>
      <c r="M179" s="237"/>
      <c r="N179" s="263"/>
    </row>
    <row r="180" spans="1:14" s="85" customFormat="1" ht="31.5">
      <c r="A180" s="574" t="s">
        <v>99</v>
      </c>
      <c r="B180" s="238" t="s">
        <v>146</v>
      </c>
      <c r="C180" s="339" t="s">
        <v>330</v>
      </c>
      <c r="D180" s="340" t="s">
        <v>52</v>
      </c>
      <c r="E180" s="341"/>
      <c r="F180" s="26">
        <f>F178</f>
        <v>9.0549999999999997</v>
      </c>
      <c r="G180" s="7"/>
      <c r="H180" s="7"/>
      <c r="I180" s="7"/>
      <c r="J180" s="7"/>
      <c r="K180" s="7"/>
      <c r="L180" s="237"/>
      <c r="M180" s="237"/>
      <c r="N180" s="263"/>
    </row>
    <row r="181" spans="1:14" s="85" customFormat="1" ht="16.5">
      <c r="A181" s="574"/>
      <c r="B181" s="238"/>
      <c r="C181" s="32" t="s">
        <v>44</v>
      </c>
      <c r="D181" s="58" t="s">
        <v>9</v>
      </c>
      <c r="E181" s="345">
        <v>0.186</v>
      </c>
      <c r="F181" s="56">
        <f>F180*E181</f>
        <v>1.6842299999999999</v>
      </c>
      <c r="G181" s="20"/>
      <c r="H181" s="237"/>
      <c r="I181" s="20"/>
      <c r="J181" s="237"/>
      <c r="K181" s="20"/>
      <c r="L181" s="237"/>
      <c r="M181" s="237"/>
      <c r="N181" s="263"/>
    </row>
    <row r="182" spans="1:14" s="85" customFormat="1" ht="16.5">
      <c r="A182" s="574"/>
      <c r="B182" s="238"/>
      <c r="C182" s="21" t="s">
        <v>18</v>
      </c>
      <c r="D182" s="58" t="s">
        <v>7</v>
      </c>
      <c r="E182" s="345">
        <v>1.6000000000000001E-3</v>
      </c>
      <c r="F182" s="56">
        <f>F180*E182</f>
        <v>1.4488000000000001E-2</v>
      </c>
      <c r="G182" s="20"/>
      <c r="H182" s="237"/>
      <c r="I182" s="20"/>
      <c r="J182" s="237"/>
      <c r="K182" s="20"/>
      <c r="L182" s="237"/>
      <c r="M182" s="237"/>
      <c r="N182" s="263"/>
    </row>
    <row r="183" spans="1:14" s="85" customFormat="1" ht="31.5">
      <c r="A183" s="560" t="s">
        <v>101</v>
      </c>
      <c r="B183" s="238" t="s">
        <v>331</v>
      </c>
      <c r="C183" s="339" t="s">
        <v>332</v>
      </c>
      <c r="D183" s="340" t="s">
        <v>52</v>
      </c>
      <c r="E183" s="342"/>
      <c r="F183" s="26">
        <f>F172</f>
        <v>4</v>
      </c>
      <c r="G183" s="7"/>
      <c r="H183" s="7"/>
      <c r="I183" s="7"/>
      <c r="J183" s="7"/>
      <c r="K183" s="7"/>
      <c r="L183" s="237"/>
      <c r="M183" s="237"/>
      <c r="N183" s="263"/>
    </row>
    <row r="184" spans="1:14" s="85" customFormat="1" ht="16.5">
      <c r="A184" s="561"/>
      <c r="B184" s="238"/>
      <c r="C184" s="174" t="s">
        <v>58</v>
      </c>
      <c r="D184" s="58" t="s">
        <v>9</v>
      </c>
      <c r="E184" s="342">
        <v>0.57999999999999996</v>
      </c>
      <c r="F184" s="320">
        <f>F183*E184</f>
        <v>2.3199999999999998</v>
      </c>
      <c r="G184" s="7"/>
      <c r="H184" s="7"/>
      <c r="I184" s="7"/>
      <c r="J184" s="7"/>
      <c r="K184" s="7"/>
      <c r="L184" s="237"/>
      <c r="M184" s="237"/>
      <c r="N184" s="263"/>
    </row>
    <row r="185" spans="1:14" s="85" customFormat="1" ht="16.5">
      <c r="A185" s="561"/>
      <c r="B185" s="238"/>
      <c r="C185" s="343" t="s">
        <v>8</v>
      </c>
      <c r="D185" s="344" t="s">
        <v>7</v>
      </c>
      <c r="E185" s="342">
        <v>3.0499999999999999E-2</v>
      </c>
      <c r="F185" s="320">
        <f>F183*E185</f>
        <v>0.122</v>
      </c>
      <c r="G185" s="7"/>
      <c r="H185" s="7"/>
      <c r="I185" s="7"/>
      <c r="J185" s="7"/>
      <c r="K185" s="7"/>
      <c r="L185" s="237"/>
      <c r="M185" s="237"/>
      <c r="N185" s="263"/>
    </row>
    <row r="186" spans="1:14" s="85" customFormat="1" ht="16.5">
      <c r="A186" s="562"/>
      <c r="B186" s="238"/>
      <c r="C186" s="343" t="s">
        <v>54</v>
      </c>
      <c r="D186" s="344" t="s">
        <v>7</v>
      </c>
      <c r="E186" s="342">
        <v>9.8500000000000004E-2</v>
      </c>
      <c r="F186" s="320">
        <f>F183*E186</f>
        <v>0.39400000000000002</v>
      </c>
      <c r="G186" s="7"/>
      <c r="H186" s="7"/>
      <c r="I186" s="7"/>
      <c r="J186" s="7"/>
      <c r="K186" s="7"/>
      <c r="L186" s="237"/>
      <c r="M186" s="237"/>
      <c r="N186" s="263"/>
    </row>
    <row r="187" spans="1:14" s="85" customFormat="1" ht="31.5">
      <c r="A187" s="560" t="s">
        <v>102</v>
      </c>
      <c r="B187" s="238" t="s">
        <v>447</v>
      </c>
      <c r="C187" s="493" t="s">
        <v>442</v>
      </c>
      <c r="D187" s="340" t="s">
        <v>52</v>
      </c>
      <c r="E187" s="341"/>
      <c r="F187" s="492">
        <f>0.8*2.1*2</f>
        <v>3.3600000000000003</v>
      </c>
      <c r="G187" s="7"/>
      <c r="H187" s="7"/>
      <c r="I187" s="7"/>
      <c r="J187" s="7"/>
      <c r="K187" s="7"/>
      <c r="L187" s="237"/>
      <c r="M187" s="237"/>
      <c r="N187" s="263"/>
    </row>
    <row r="188" spans="1:14" s="85" customFormat="1" ht="16.5">
      <c r="A188" s="561"/>
      <c r="B188" s="238"/>
      <c r="C188" s="494" t="s">
        <v>42</v>
      </c>
      <c r="D188" s="449" t="s">
        <v>9</v>
      </c>
      <c r="E188" s="459">
        <v>0.88700000000000001</v>
      </c>
      <c r="F188" s="459">
        <f>F187*E188</f>
        <v>2.9803200000000003</v>
      </c>
      <c r="G188" s="333"/>
      <c r="H188" s="7"/>
      <c r="I188" s="7"/>
      <c r="J188" s="7"/>
      <c r="K188" s="7"/>
      <c r="L188" s="237"/>
      <c r="M188" s="237"/>
      <c r="N188" s="263"/>
    </row>
    <row r="189" spans="1:14" s="85" customFormat="1" ht="16.5">
      <c r="A189" s="562"/>
      <c r="B189" s="238"/>
      <c r="C189" s="494" t="s">
        <v>8</v>
      </c>
      <c r="D189" s="449" t="s">
        <v>7</v>
      </c>
      <c r="E189" s="459">
        <v>9.8400000000000001E-2</v>
      </c>
      <c r="F189" s="459">
        <f>F187*E189</f>
        <v>0.33062400000000003</v>
      </c>
      <c r="G189" s="333"/>
      <c r="H189" s="7"/>
      <c r="I189" s="333"/>
      <c r="J189" s="7"/>
      <c r="K189" s="7"/>
      <c r="L189" s="237"/>
      <c r="M189" s="237"/>
      <c r="N189" s="263"/>
    </row>
    <row r="190" spans="1:14" s="85" customFormat="1" ht="31.5">
      <c r="A190" s="560" t="s">
        <v>84</v>
      </c>
      <c r="B190" s="238" t="s">
        <v>445</v>
      </c>
      <c r="C190" s="493" t="s">
        <v>443</v>
      </c>
      <c r="D190" s="340" t="s">
        <v>52</v>
      </c>
      <c r="E190" s="341"/>
      <c r="F190" s="492">
        <f>3.6*2.7</f>
        <v>9.7200000000000006</v>
      </c>
      <c r="G190" s="7"/>
      <c r="H190" s="7"/>
      <c r="I190" s="7"/>
      <c r="J190" s="7"/>
      <c r="K190" s="7"/>
      <c r="L190" s="237"/>
      <c r="M190" s="237"/>
      <c r="N190" s="263"/>
    </row>
    <row r="191" spans="1:14" s="85" customFormat="1" ht="16.5">
      <c r="A191" s="561"/>
      <c r="B191" s="238"/>
      <c r="C191" s="494" t="s">
        <v>42</v>
      </c>
      <c r="D191" s="449" t="s">
        <v>9</v>
      </c>
      <c r="E191" s="459">
        <v>8.2000000000000003E-2</v>
      </c>
      <c r="F191" s="459">
        <f>F190*E191</f>
        <v>0.79704000000000008</v>
      </c>
      <c r="G191" s="333"/>
      <c r="H191" s="7"/>
      <c r="I191" s="7"/>
      <c r="J191" s="7"/>
      <c r="K191" s="7"/>
      <c r="L191" s="237"/>
      <c r="M191" s="237"/>
      <c r="N191" s="263"/>
    </row>
    <row r="192" spans="1:14" s="85" customFormat="1" ht="16.5">
      <c r="A192" s="562"/>
      <c r="B192" s="238"/>
      <c r="C192" s="494" t="s">
        <v>8</v>
      </c>
      <c r="D192" s="449" t="s">
        <v>7</v>
      </c>
      <c r="E192" s="459">
        <v>5.0000000000000001E-3</v>
      </c>
      <c r="F192" s="459">
        <f>F190*E192</f>
        <v>4.8600000000000004E-2</v>
      </c>
      <c r="G192" s="333"/>
      <c r="H192" s="7"/>
      <c r="I192" s="333"/>
      <c r="J192" s="7"/>
      <c r="K192" s="7"/>
      <c r="L192" s="237"/>
      <c r="M192" s="237"/>
      <c r="N192" s="263"/>
    </row>
    <row r="193" spans="1:14" s="85" customFormat="1" ht="31.5">
      <c r="A193" s="560" t="s">
        <v>48</v>
      </c>
      <c r="B193" s="238" t="s">
        <v>446</v>
      </c>
      <c r="C193" s="493" t="s">
        <v>444</v>
      </c>
      <c r="D193" s="340" t="s">
        <v>52</v>
      </c>
      <c r="E193" s="341"/>
      <c r="F193" s="492">
        <f>F190</f>
        <v>9.7200000000000006</v>
      </c>
      <c r="G193" s="7"/>
      <c r="H193" s="7"/>
      <c r="I193" s="7"/>
      <c r="J193" s="7"/>
      <c r="K193" s="7"/>
      <c r="L193" s="237"/>
      <c r="M193" s="237"/>
      <c r="N193" s="263"/>
    </row>
    <row r="194" spans="1:14" s="85" customFormat="1" ht="16.5">
      <c r="A194" s="561"/>
      <c r="B194" s="238"/>
      <c r="C194" s="494" t="s">
        <v>42</v>
      </c>
      <c r="D194" s="449" t="s">
        <v>9</v>
      </c>
      <c r="E194" s="459">
        <v>1.1000000000000001</v>
      </c>
      <c r="F194" s="459">
        <f>F193*E194</f>
        <v>10.692000000000002</v>
      </c>
      <c r="G194" s="333"/>
      <c r="H194" s="7"/>
      <c r="I194" s="7"/>
      <c r="J194" s="7"/>
      <c r="K194" s="7"/>
      <c r="L194" s="237"/>
      <c r="M194" s="237"/>
      <c r="N194" s="263"/>
    </row>
    <row r="195" spans="1:14" s="85" customFormat="1" ht="16.5">
      <c r="A195" s="562"/>
      <c r="B195" s="238"/>
      <c r="C195" s="494" t="s">
        <v>8</v>
      </c>
      <c r="D195" s="449" t="s">
        <v>7</v>
      </c>
      <c r="E195" s="459">
        <v>0.10299999999999999</v>
      </c>
      <c r="F195" s="459">
        <f>F193*E195</f>
        <v>1.00116</v>
      </c>
      <c r="G195" s="333"/>
      <c r="H195" s="7"/>
      <c r="I195" s="333"/>
      <c r="J195" s="7"/>
      <c r="K195" s="7"/>
      <c r="L195" s="237"/>
      <c r="M195" s="237"/>
      <c r="N195" s="263"/>
    </row>
    <row r="196" spans="1:14" s="85" customFormat="1" ht="47.25">
      <c r="A196" s="574" t="s">
        <v>51</v>
      </c>
      <c r="B196" s="238" t="s">
        <v>146</v>
      </c>
      <c r="C196" s="339" t="s">
        <v>335</v>
      </c>
      <c r="D196" s="340" t="s">
        <v>52</v>
      </c>
      <c r="E196" s="341"/>
      <c r="F196" s="26">
        <f>(3+2)*2*2.2-0.8*2.1*2</f>
        <v>18.64</v>
      </c>
      <c r="G196" s="7"/>
      <c r="H196" s="7"/>
      <c r="I196" s="7"/>
      <c r="J196" s="7"/>
      <c r="K196" s="7"/>
      <c r="L196" s="237"/>
      <c r="M196" s="237"/>
      <c r="N196" s="263"/>
    </row>
    <row r="197" spans="1:14" s="85" customFormat="1" ht="16.5">
      <c r="A197" s="574"/>
      <c r="B197" s="238"/>
      <c r="C197" s="32" t="s">
        <v>44</v>
      </c>
      <c r="D197" s="58" t="s">
        <v>9</v>
      </c>
      <c r="E197" s="345">
        <v>0.186</v>
      </c>
      <c r="F197" s="56">
        <f>F196*E197</f>
        <v>3.4670399999999999</v>
      </c>
      <c r="G197" s="20"/>
      <c r="H197" s="237"/>
      <c r="I197" s="20"/>
      <c r="J197" s="237"/>
      <c r="K197" s="20"/>
      <c r="L197" s="237"/>
      <c r="M197" s="237"/>
      <c r="N197" s="263"/>
    </row>
    <row r="198" spans="1:14" s="85" customFormat="1" ht="16.5">
      <c r="A198" s="574"/>
      <c r="B198" s="238"/>
      <c r="C198" s="21" t="s">
        <v>18</v>
      </c>
      <c r="D198" s="58" t="s">
        <v>7</v>
      </c>
      <c r="E198" s="345">
        <v>1.6000000000000001E-3</v>
      </c>
      <c r="F198" s="56">
        <f>F196*E198</f>
        <v>2.9824000000000003E-2</v>
      </c>
      <c r="G198" s="20"/>
      <c r="H198" s="237"/>
      <c r="I198" s="20"/>
      <c r="J198" s="237"/>
      <c r="K198" s="20"/>
      <c r="L198" s="237"/>
      <c r="M198" s="237"/>
      <c r="N198" s="263"/>
    </row>
    <row r="199" spans="1:14" s="85" customFormat="1" ht="94.5">
      <c r="A199" s="575" t="s">
        <v>53</v>
      </c>
      <c r="B199" s="241" t="s">
        <v>152</v>
      </c>
      <c r="C199" s="73" t="s">
        <v>336</v>
      </c>
      <c r="D199" s="239" t="s">
        <v>12</v>
      </c>
      <c r="E199" s="9"/>
      <c r="F199" s="27">
        <f>F172*0.02+F175*0.03+F178*0.02+F180*0.03+F183*0.1+F187*0.1+F190*0.001+F193*0.03+F196*0.03</f>
        <v>2.1328700000000005</v>
      </c>
      <c r="G199" s="324"/>
      <c r="H199" s="324"/>
      <c r="I199" s="324"/>
      <c r="J199" s="324"/>
      <c r="K199" s="324"/>
      <c r="L199" s="324"/>
      <c r="M199" s="324"/>
      <c r="N199" s="263"/>
    </row>
    <row r="200" spans="1:14" s="85" customFormat="1" ht="16.5">
      <c r="A200" s="576"/>
      <c r="B200" s="239"/>
      <c r="C200" s="32" t="s">
        <v>44</v>
      </c>
      <c r="D200" s="55" t="s">
        <v>9</v>
      </c>
      <c r="E200" s="345">
        <v>0.6</v>
      </c>
      <c r="F200" s="56">
        <f>F199*E200</f>
        <v>1.2797220000000002</v>
      </c>
      <c r="G200" s="20"/>
      <c r="H200" s="324"/>
      <c r="I200" s="20"/>
      <c r="J200" s="324"/>
      <c r="K200" s="324"/>
      <c r="L200" s="324"/>
      <c r="M200" s="324"/>
      <c r="N200" s="263"/>
    </row>
    <row r="201" spans="1:14" s="85" customFormat="1" ht="47.25">
      <c r="A201" s="576"/>
      <c r="B201" s="96" t="s">
        <v>103</v>
      </c>
      <c r="C201" s="148" t="s">
        <v>59</v>
      </c>
      <c r="D201" s="239" t="s">
        <v>46</v>
      </c>
      <c r="E201" s="347"/>
      <c r="F201" s="27">
        <f>F172*0.02*2+F175*0.03*2.4+F178*0.02*2+F180*0.03*2.4+F183*0.1*0.65+F187*0.1*0.65+F190*0.001*7.8+F193*0.03*0.65+F196*0.03*0.65</f>
        <v>2.2900360000000002</v>
      </c>
      <c r="G201" s="20"/>
      <c r="H201" s="324"/>
      <c r="I201" s="20"/>
      <c r="J201" s="324"/>
      <c r="K201" s="20"/>
      <c r="L201" s="324"/>
      <c r="M201" s="324"/>
      <c r="N201" s="263"/>
    </row>
    <row r="202" spans="1:14" s="85" customFormat="1" ht="16.5">
      <c r="A202" s="576"/>
      <c r="B202" s="452"/>
      <c r="C202" s="32" t="s">
        <v>44</v>
      </c>
      <c r="D202" s="55" t="s">
        <v>9</v>
      </c>
      <c r="E202" s="345">
        <v>0.53</v>
      </c>
      <c r="F202" s="56">
        <f>F201*E202</f>
        <v>1.2137190800000002</v>
      </c>
      <c r="G202" s="20"/>
      <c r="H202" s="324"/>
      <c r="I202" s="20"/>
      <c r="J202" s="324"/>
      <c r="K202" s="20"/>
      <c r="L202" s="324"/>
      <c r="M202" s="324"/>
      <c r="N202" s="263"/>
    </row>
    <row r="203" spans="1:14" s="85" customFormat="1" ht="16.5">
      <c r="A203" s="577"/>
      <c r="B203" s="239" t="s">
        <v>153</v>
      </c>
      <c r="C203" s="149" t="s">
        <v>280</v>
      </c>
      <c r="D203" s="239" t="s">
        <v>46</v>
      </c>
      <c r="E203" s="347"/>
      <c r="F203" s="97">
        <f>F201</f>
        <v>2.2900360000000002</v>
      </c>
      <c r="G203" s="20"/>
      <c r="H203" s="324"/>
      <c r="I203" s="20"/>
      <c r="J203" s="324"/>
      <c r="K203" s="20"/>
      <c r="L203" s="324"/>
      <c r="M203" s="324"/>
      <c r="N203" s="263"/>
    </row>
    <row r="204" spans="1:14" s="85" customFormat="1" ht="16.5">
      <c r="A204" s="506"/>
      <c r="B204" s="239"/>
      <c r="C204" s="170"/>
      <c r="D204" s="239"/>
      <c r="E204" s="325"/>
      <c r="F204" s="325"/>
      <c r="G204" s="324"/>
      <c r="H204" s="324"/>
      <c r="I204" s="324"/>
      <c r="J204" s="324"/>
      <c r="K204" s="324"/>
      <c r="L204" s="324"/>
      <c r="M204" s="324"/>
      <c r="N204" s="263"/>
    </row>
    <row r="205" spans="1:14" s="85" customFormat="1" ht="47.25">
      <c r="A205" s="563" t="s">
        <v>181</v>
      </c>
      <c r="B205" s="30" t="s">
        <v>448</v>
      </c>
      <c r="C205" s="359" t="s">
        <v>495</v>
      </c>
      <c r="D205" s="338" t="s">
        <v>52</v>
      </c>
      <c r="E205" s="460"/>
      <c r="F205" s="26">
        <f>F209+F210</f>
        <v>3.8400000000000003</v>
      </c>
      <c r="G205" s="7"/>
      <c r="H205" s="7"/>
      <c r="I205" s="7"/>
      <c r="J205" s="7"/>
      <c r="K205" s="7"/>
      <c r="L205" s="7"/>
      <c r="M205" s="7"/>
      <c r="N205" s="263"/>
    </row>
    <row r="206" spans="1:14" s="85" customFormat="1" ht="16.5">
      <c r="A206" s="564"/>
      <c r="B206" s="30"/>
      <c r="C206" s="351" t="s">
        <v>42</v>
      </c>
      <c r="D206" s="495" t="s">
        <v>9</v>
      </c>
      <c r="E206" s="496">
        <v>2.72</v>
      </c>
      <c r="F206" s="333">
        <f>F205*E206</f>
        <v>10.444800000000001</v>
      </c>
      <c r="G206" s="7"/>
      <c r="H206" s="7"/>
      <c r="I206" s="7"/>
      <c r="J206" s="7"/>
      <c r="K206" s="7"/>
      <c r="L206" s="7"/>
      <c r="M206" s="7"/>
      <c r="N206" s="263"/>
    </row>
    <row r="207" spans="1:14" s="85" customFormat="1" ht="31.5">
      <c r="A207" s="564"/>
      <c r="B207" s="30" t="s">
        <v>97</v>
      </c>
      <c r="C207" s="351" t="s">
        <v>449</v>
      </c>
      <c r="D207" s="495" t="s">
        <v>50</v>
      </c>
      <c r="E207" s="496">
        <v>2.4E-2</v>
      </c>
      <c r="F207" s="333">
        <f>F205*E207</f>
        <v>9.2160000000000006E-2</v>
      </c>
      <c r="G207" s="7"/>
      <c r="H207" s="7"/>
      <c r="I207" s="7"/>
      <c r="J207" s="7"/>
      <c r="K207" s="7"/>
      <c r="L207" s="7"/>
      <c r="M207" s="7"/>
      <c r="N207" s="263"/>
    </row>
    <row r="208" spans="1:14" s="85" customFormat="1" ht="31.5">
      <c r="A208" s="564"/>
      <c r="B208" s="30" t="s">
        <v>450</v>
      </c>
      <c r="C208" s="351" t="s">
        <v>451</v>
      </c>
      <c r="D208" s="495" t="s">
        <v>50</v>
      </c>
      <c r="E208" s="496">
        <v>0.628</v>
      </c>
      <c r="F208" s="333">
        <f>F205*E208</f>
        <v>2.4115200000000003</v>
      </c>
      <c r="G208" s="7"/>
      <c r="H208" s="7"/>
      <c r="I208" s="7"/>
      <c r="J208" s="7"/>
      <c r="K208" s="7"/>
      <c r="L208" s="7"/>
      <c r="M208" s="7"/>
      <c r="N208" s="263"/>
    </row>
    <row r="209" spans="1:14" s="85" customFormat="1" ht="47.25">
      <c r="A209" s="564"/>
      <c r="B209" s="30"/>
      <c r="C209" s="351" t="s">
        <v>452</v>
      </c>
      <c r="D209" s="495" t="s">
        <v>52</v>
      </c>
      <c r="E209" s="496"/>
      <c r="F209" s="26">
        <f>0.8*2.1*2</f>
        <v>3.3600000000000003</v>
      </c>
      <c r="G209" s="7"/>
      <c r="H209" s="7"/>
      <c r="I209" s="7"/>
      <c r="J209" s="7"/>
      <c r="K209" s="7"/>
      <c r="L209" s="7"/>
      <c r="M209" s="7"/>
      <c r="N209" s="263"/>
    </row>
    <row r="210" spans="1:14" s="85" customFormat="1" ht="63">
      <c r="A210" s="564"/>
      <c r="B210" s="30"/>
      <c r="C210" s="351" t="s">
        <v>453</v>
      </c>
      <c r="D210" s="495" t="s">
        <v>52</v>
      </c>
      <c r="E210" s="496"/>
      <c r="F210" s="26">
        <f>0.4*0.6*2</f>
        <v>0.48</v>
      </c>
      <c r="G210" s="7"/>
      <c r="H210" s="7"/>
      <c r="I210" s="7"/>
      <c r="J210" s="7"/>
      <c r="K210" s="7"/>
      <c r="L210" s="7"/>
      <c r="M210" s="7"/>
      <c r="N210" s="263"/>
    </row>
    <row r="211" spans="1:14" s="85" customFormat="1" ht="47.25">
      <c r="A211" s="543" t="s">
        <v>57</v>
      </c>
      <c r="B211" s="239" t="s">
        <v>337</v>
      </c>
      <c r="C211" s="38" t="s">
        <v>338</v>
      </c>
      <c r="D211" s="239" t="s">
        <v>52</v>
      </c>
      <c r="E211" s="9"/>
      <c r="F211" s="26">
        <f>1.6*1.25*2</f>
        <v>4</v>
      </c>
      <c r="G211" s="324"/>
      <c r="H211" s="7"/>
      <c r="I211" s="324"/>
      <c r="J211" s="7"/>
      <c r="K211" s="324"/>
      <c r="L211" s="7"/>
      <c r="M211" s="7"/>
      <c r="N211" s="263"/>
    </row>
    <row r="212" spans="1:14" s="85" customFormat="1" ht="16.5">
      <c r="A212" s="544"/>
      <c r="B212" s="239"/>
      <c r="C212" s="54" t="s">
        <v>60</v>
      </c>
      <c r="D212" s="58" t="s">
        <v>9</v>
      </c>
      <c r="E212" s="345">
        <f>0.188+0.0034*2</f>
        <v>0.1948</v>
      </c>
      <c r="F212" s="325">
        <f>F211*E212</f>
        <v>0.7792</v>
      </c>
      <c r="G212" s="324"/>
      <c r="H212" s="7"/>
      <c r="I212" s="25"/>
      <c r="J212" s="7"/>
      <c r="K212" s="324"/>
      <c r="L212" s="7"/>
      <c r="M212" s="7"/>
      <c r="N212" s="263"/>
    </row>
    <row r="213" spans="1:14" s="85" customFormat="1" ht="16.5">
      <c r="A213" s="544"/>
      <c r="B213" s="239"/>
      <c r="C213" s="54" t="s">
        <v>88</v>
      </c>
      <c r="D213" s="58" t="s">
        <v>7</v>
      </c>
      <c r="E213" s="345">
        <f>0.0095+0.0023*2</f>
        <v>1.41E-2</v>
      </c>
      <c r="F213" s="325">
        <f>F211*E213</f>
        <v>5.6399999999999999E-2</v>
      </c>
      <c r="G213" s="324"/>
      <c r="H213" s="7"/>
      <c r="I213" s="324"/>
      <c r="J213" s="7"/>
      <c r="K213" s="324"/>
      <c r="L213" s="7"/>
      <c r="M213" s="7"/>
      <c r="N213" s="263"/>
    </row>
    <row r="214" spans="1:14" s="85" customFormat="1" ht="16.5">
      <c r="A214" s="544"/>
      <c r="B214" s="239"/>
      <c r="C214" s="36" t="s">
        <v>100</v>
      </c>
      <c r="D214" s="322" t="s">
        <v>43</v>
      </c>
      <c r="E214" s="323">
        <f>0.0204+0.0051*2</f>
        <v>3.0600000000000002E-2</v>
      </c>
      <c r="F214" s="325">
        <f>F211*E214</f>
        <v>0.12240000000000001</v>
      </c>
      <c r="G214" s="324"/>
      <c r="H214" s="7"/>
      <c r="I214" s="324"/>
      <c r="J214" s="7"/>
      <c r="K214" s="324"/>
      <c r="L214" s="7"/>
      <c r="M214" s="7"/>
      <c r="N214" s="263"/>
    </row>
    <row r="215" spans="1:14" s="85" customFormat="1" ht="16.5">
      <c r="A215" s="545"/>
      <c r="B215" s="239"/>
      <c r="C215" s="319" t="s">
        <v>54</v>
      </c>
      <c r="D215" s="58" t="s">
        <v>7</v>
      </c>
      <c r="E215" s="59">
        <f>0.0636</f>
        <v>6.3600000000000004E-2</v>
      </c>
      <c r="F215" s="325">
        <f>F211*E215</f>
        <v>0.25440000000000002</v>
      </c>
      <c r="G215" s="324"/>
      <c r="H215" s="7"/>
      <c r="I215" s="324"/>
      <c r="J215" s="7"/>
      <c r="K215" s="324"/>
      <c r="L215" s="7"/>
      <c r="M215" s="7"/>
      <c r="N215" s="263"/>
    </row>
    <row r="216" spans="1:14" s="85" customFormat="1" ht="40.5">
      <c r="A216" s="543" t="s">
        <v>180</v>
      </c>
      <c r="B216" s="453" t="s">
        <v>352</v>
      </c>
      <c r="C216" s="107" t="s">
        <v>366</v>
      </c>
      <c r="D216" s="353" t="s">
        <v>49</v>
      </c>
      <c r="E216" s="119"/>
      <c r="F216" s="9">
        <f>(0.8+2.1*2)*2*2</f>
        <v>20</v>
      </c>
      <c r="G216" s="108"/>
      <c r="H216" s="108"/>
      <c r="I216" s="108"/>
      <c r="J216" s="108"/>
      <c r="K216" s="108"/>
      <c r="L216" s="108"/>
      <c r="M216" s="108"/>
      <c r="N216" s="263"/>
    </row>
    <row r="217" spans="1:14" s="85" customFormat="1" ht="16.5">
      <c r="A217" s="544"/>
      <c r="B217" s="453"/>
      <c r="C217" s="158" t="s">
        <v>44</v>
      </c>
      <c r="D217" s="352" t="s">
        <v>15</v>
      </c>
      <c r="E217" s="354">
        <v>0.49</v>
      </c>
      <c r="F217" s="23">
        <f>E217*F216</f>
        <v>9.8000000000000007</v>
      </c>
      <c r="G217" s="108"/>
      <c r="H217" s="108"/>
      <c r="I217" s="108"/>
      <c r="J217" s="108"/>
      <c r="K217" s="108"/>
      <c r="L217" s="108"/>
      <c r="M217" s="108"/>
      <c r="N217" s="263"/>
    </row>
    <row r="218" spans="1:14" s="85" customFormat="1" ht="16.5">
      <c r="A218" s="544"/>
      <c r="B218" s="453"/>
      <c r="C218" s="158" t="s">
        <v>8</v>
      </c>
      <c r="D218" s="352" t="s">
        <v>7</v>
      </c>
      <c r="E218" s="354">
        <v>1.7999999999999999E-2</v>
      </c>
      <c r="F218" s="23">
        <f>E218*F216</f>
        <v>0.36</v>
      </c>
      <c r="G218" s="108"/>
      <c r="H218" s="108"/>
      <c r="I218" s="108"/>
      <c r="J218" s="108"/>
      <c r="K218" s="108"/>
      <c r="L218" s="108"/>
      <c r="M218" s="108"/>
      <c r="N218" s="263"/>
    </row>
    <row r="219" spans="1:14" s="85" customFormat="1" ht="16.5">
      <c r="A219" s="545"/>
      <c r="B219" s="453"/>
      <c r="C219" s="158" t="s">
        <v>497</v>
      </c>
      <c r="D219" s="352" t="s">
        <v>353</v>
      </c>
      <c r="E219" s="354">
        <v>1.06E-2</v>
      </c>
      <c r="F219" s="23">
        <f>E219*F216</f>
        <v>0.21199999999999999</v>
      </c>
      <c r="G219" s="108"/>
      <c r="H219" s="108"/>
      <c r="I219" s="108"/>
      <c r="J219" s="108"/>
      <c r="K219" s="108"/>
      <c r="L219" s="108"/>
      <c r="M219" s="108"/>
      <c r="N219" s="263"/>
    </row>
    <row r="220" spans="1:14" s="85" customFormat="1" ht="40.5">
      <c r="A220" s="543" t="s">
        <v>85</v>
      </c>
      <c r="B220" s="453" t="s">
        <v>354</v>
      </c>
      <c r="C220" s="107" t="s">
        <v>355</v>
      </c>
      <c r="D220" s="353" t="s">
        <v>356</v>
      </c>
      <c r="E220" s="119"/>
      <c r="F220" s="9">
        <f>(1.6+1.25)*2*2.2*2-0.8*2.1*2</f>
        <v>21.720000000000002</v>
      </c>
      <c r="G220" s="108"/>
      <c r="H220" s="108"/>
      <c r="I220" s="108"/>
      <c r="J220" s="108"/>
      <c r="K220" s="108"/>
      <c r="L220" s="108"/>
      <c r="M220" s="108"/>
      <c r="N220" s="263"/>
    </row>
    <row r="221" spans="1:14" s="85" customFormat="1" ht="16.5">
      <c r="A221" s="544"/>
      <c r="B221" s="453"/>
      <c r="C221" s="158" t="s">
        <v>44</v>
      </c>
      <c r="D221" s="352" t="s">
        <v>15</v>
      </c>
      <c r="E221" s="354">
        <v>1.01</v>
      </c>
      <c r="F221" s="23">
        <f>E221*F220</f>
        <v>21.937200000000004</v>
      </c>
      <c r="G221" s="108"/>
      <c r="H221" s="108"/>
      <c r="I221" s="108"/>
      <c r="J221" s="108"/>
      <c r="K221" s="108"/>
      <c r="L221" s="108"/>
      <c r="M221" s="108"/>
      <c r="N221" s="263"/>
    </row>
    <row r="222" spans="1:14" s="85" customFormat="1" ht="16.5">
      <c r="A222" s="544"/>
      <c r="B222" s="453" t="s">
        <v>98</v>
      </c>
      <c r="C222" s="158" t="s">
        <v>357</v>
      </c>
      <c r="D222" s="352" t="s">
        <v>16</v>
      </c>
      <c r="E222" s="354">
        <v>4.1000000000000002E-2</v>
      </c>
      <c r="F222" s="23">
        <f>E222*F220</f>
        <v>0.89052000000000009</v>
      </c>
      <c r="G222" s="108"/>
      <c r="H222" s="108"/>
      <c r="I222" s="108"/>
      <c r="J222" s="108"/>
      <c r="K222" s="108"/>
      <c r="L222" s="108"/>
      <c r="M222" s="108"/>
      <c r="N222" s="263"/>
    </row>
    <row r="223" spans="1:14" s="85" customFormat="1" ht="16.5">
      <c r="A223" s="544"/>
      <c r="B223" s="453"/>
      <c r="C223" s="158" t="s">
        <v>8</v>
      </c>
      <c r="D223" s="352" t="s">
        <v>7</v>
      </c>
      <c r="E223" s="354">
        <v>2.7E-2</v>
      </c>
      <c r="F223" s="23">
        <f>E223*F220</f>
        <v>0.58644000000000007</v>
      </c>
      <c r="G223" s="108"/>
      <c r="H223" s="108"/>
      <c r="I223" s="108"/>
      <c r="J223" s="108"/>
      <c r="K223" s="108"/>
      <c r="L223" s="108"/>
      <c r="M223" s="108"/>
      <c r="N223" s="263"/>
    </row>
    <row r="224" spans="1:14" s="85" customFormat="1" ht="27">
      <c r="A224" s="544"/>
      <c r="B224" s="453"/>
      <c r="C224" s="158" t="s">
        <v>358</v>
      </c>
      <c r="D224" s="352" t="s">
        <v>353</v>
      </c>
      <c r="E224" s="354">
        <v>2.2800000000000001E-2</v>
      </c>
      <c r="F224" s="23">
        <f>E224*F220</f>
        <v>0.4952160000000001</v>
      </c>
      <c r="G224" s="108"/>
      <c r="H224" s="108"/>
      <c r="I224" s="108"/>
      <c r="J224" s="108"/>
      <c r="K224" s="108"/>
      <c r="L224" s="108"/>
      <c r="M224" s="108"/>
      <c r="N224" s="263"/>
    </row>
    <row r="225" spans="1:14" s="85" customFormat="1" ht="16.5">
      <c r="A225" s="544"/>
      <c r="B225" s="456"/>
      <c r="C225" s="355" t="s">
        <v>359</v>
      </c>
      <c r="D225" s="356" t="s">
        <v>52</v>
      </c>
      <c r="E225" s="357">
        <v>5.28E-2</v>
      </c>
      <c r="F225" s="358">
        <f>F220*E225</f>
        <v>1.1468160000000001</v>
      </c>
      <c r="G225" s="108"/>
      <c r="H225" s="108"/>
      <c r="I225" s="108"/>
      <c r="J225" s="108"/>
      <c r="K225" s="108"/>
      <c r="L225" s="108"/>
      <c r="M225" s="108"/>
      <c r="N225" s="263"/>
    </row>
    <row r="226" spans="1:14" s="85" customFormat="1" ht="16.5">
      <c r="A226" s="545"/>
      <c r="B226" s="456"/>
      <c r="C226" s="355" t="s">
        <v>10</v>
      </c>
      <c r="D226" s="356" t="s">
        <v>7</v>
      </c>
      <c r="E226" s="357">
        <v>3.0000000000000001E-3</v>
      </c>
      <c r="F226" s="358">
        <f>F220*E226</f>
        <v>6.516000000000001E-2</v>
      </c>
      <c r="G226" s="108"/>
      <c r="H226" s="108"/>
      <c r="I226" s="108"/>
      <c r="J226" s="108"/>
      <c r="K226" s="108"/>
      <c r="L226" s="108"/>
      <c r="M226" s="108"/>
      <c r="N226" s="263"/>
    </row>
    <row r="227" spans="1:14" s="85" customFormat="1" ht="31.5">
      <c r="A227" s="556" t="s">
        <v>322</v>
      </c>
      <c r="B227" s="238" t="s">
        <v>339</v>
      </c>
      <c r="C227" s="29" t="s">
        <v>344</v>
      </c>
      <c r="D227" s="321" t="s">
        <v>52</v>
      </c>
      <c r="E227" s="1"/>
      <c r="F227" s="26">
        <f>F230</f>
        <v>4</v>
      </c>
      <c r="G227" s="7"/>
      <c r="H227" s="7"/>
      <c r="I227" s="7"/>
      <c r="J227" s="7"/>
      <c r="K227" s="7"/>
      <c r="L227" s="7"/>
      <c r="M227" s="7"/>
      <c r="N227" s="263"/>
    </row>
    <row r="228" spans="1:14" s="85" customFormat="1" ht="16.5">
      <c r="A228" s="557"/>
      <c r="B228" s="238"/>
      <c r="C228" s="28" t="s">
        <v>42</v>
      </c>
      <c r="D228" s="321" t="s">
        <v>9</v>
      </c>
      <c r="E228" s="3">
        <v>1.08</v>
      </c>
      <c r="F228" s="333">
        <f>F227*E228</f>
        <v>4.32</v>
      </c>
      <c r="G228" s="7"/>
      <c r="H228" s="7"/>
      <c r="I228" s="7"/>
      <c r="J228" s="7"/>
      <c r="K228" s="7"/>
      <c r="L228" s="7"/>
      <c r="M228" s="7"/>
      <c r="N228" s="263"/>
    </row>
    <row r="229" spans="1:14" s="85" customFormat="1" ht="27">
      <c r="A229" s="557"/>
      <c r="B229" s="238"/>
      <c r="C229" s="223" t="s">
        <v>8</v>
      </c>
      <c r="D229" s="232" t="s">
        <v>50</v>
      </c>
      <c r="E229" s="3">
        <v>4.5199999999999997E-2</v>
      </c>
      <c r="F229" s="333">
        <f>F227*E229</f>
        <v>0.18079999999999999</v>
      </c>
      <c r="G229" s="7"/>
      <c r="H229" s="7"/>
      <c r="I229" s="7"/>
      <c r="J229" s="7"/>
      <c r="K229" s="7"/>
      <c r="L229" s="7"/>
      <c r="M229" s="7"/>
      <c r="N229" s="263"/>
    </row>
    <row r="230" spans="1:14" s="85" customFormat="1" ht="16.5">
      <c r="A230" s="557"/>
      <c r="B230" s="238"/>
      <c r="C230" s="28" t="s">
        <v>343</v>
      </c>
      <c r="D230" s="321" t="s">
        <v>52</v>
      </c>
      <c r="E230" s="1">
        <v>1.05</v>
      </c>
      <c r="F230" s="333">
        <v>4</v>
      </c>
      <c r="G230" s="7"/>
      <c r="H230" s="7"/>
      <c r="I230" s="7"/>
      <c r="J230" s="7"/>
      <c r="K230" s="7"/>
      <c r="L230" s="7"/>
      <c r="M230" s="7"/>
      <c r="N230" s="263"/>
    </row>
    <row r="231" spans="1:14" s="85" customFormat="1" ht="16.5">
      <c r="A231" s="557"/>
      <c r="B231" s="238"/>
      <c r="C231" s="346" t="s">
        <v>341</v>
      </c>
      <c r="D231" s="348" t="s">
        <v>83</v>
      </c>
      <c r="E231" s="349">
        <v>0.3</v>
      </c>
      <c r="F231" s="95">
        <f>F227*E231</f>
        <v>1.2</v>
      </c>
      <c r="G231" s="350"/>
      <c r="H231" s="7"/>
      <c r="I231" s="350"/>
      <c r="J231" s="7"/>
      <c r="K231" s="350"/>
      <c r="L231" s="7"/>
      <c r="M231" s="7"/>
      <c r="N231" s="263"/>
    </row>
    <row r="232" spans="1:14" s="85" customFormat="1" ht="16.5">
      <c r="A232" s="557"/>
      <c r="B232" s="238"/>
      <c r="C232" s="28" t="s">
        <v>342</v>
      </c>
      <c r="D232" s="321" t="s">
        <v>5</v>
      </c>
      <c r="E232" s="1">
        <v>5</v>
      </c>
      <c r="F232" s="333">
        <f>F227*E232</f>
        <v>20</v>
      </c>
      <c r="G232" s="7"/>
      <c r="H232" s="7"/>
      <c r="I232" s="7"/>
      <c r="J232" s="7"/>
      <c r="K232" s="7"/>
      <c r="L232" s="7"/>
      <c r="M232" s="7"/>
      <c r="N232" s="263"/>
    </row>
    <row r="233" spans="1:14" s="85" customFormat="1" ht="16.5">
      <c r="A233" s="558"/>
      <c r="B233" s="238"/>
      <c r="C233" s="351" t="s">
        <v>10</v>
      </c>
      <c r="D233" s="232" t="s">
        <v>7</v>
      </c>
      <c r="E233" s="3">
        <v>4.6600000000000003E-2</v>
      </c>
      <c r="F233" s="333">
        <f>F227*E233</f>
        <v>0.18640000000000001</v>
      </c>
      <c r="G233" s="7"/>
      <c r="H233" s="7"/>
      <c r="I233" s="7"/>
      <c r="J233" s="7"/>
      <c r="K233" s="7"/>
      <c r="L233" s="7"/>
      <c r="M233" s="7"/>
      <c r="N233" s="263"/>
    </row>
    <row r="234" spans="1:14" s="85" customFormat="1" ht="31.5">
      <c r="A234" s="556" t="s">
        <v>323</v>
      </c>
      <c r="B234" s="238" t="s">
        <v>345</v>
      </c>
      <c r="C234" s="29" t="s">
        <v>346</v>
      </c>
      <c r="D234" s="232" t="s">
        <v>49</v>
      </c>
      <c r="E234" s="3"/>
      <c r="F234" s="26">
        <f>(1.6+1.25)*2*2</f>
        <v>11.4</v>
      </c>
      <c r="G234" s="7"/>
      <c r="H234" s="7"/>
      <c r="I234" s="7"/>
      <c r="J234" s="7"/>
      <c r="K234" s="7"/>
      <c r="L234" s="7"/>
      <c r="M234" s="7"/>
      <c r="N234" s="263"/>
    </row>
    <row r="235" spans="1:14" s="85" customFormat="1" ht="16.5">
      <c r="A235" s="557"/>
      <c r="B235" s="238"/>
      <c r="C235" s="147" t="s">
        <v>58</v>
      </c>
      <c r="D235" s="55" t="s">
        <v>9</v>
      </c>
      <c r="E235" s="345">
        <v>0.26900000000000002</v>
      </c>
      <c r="F235" s="333">
        <f>F234*E235</f>
        <v>3.0666000000000002</v>
      </c>
      <c r="G235" s="7"/>
      <c r="H235" s="7"/>
      <c r="I235" s="7"/>
      <c r="J235" s="7"/>
      <c r="K235" s="7"/>
      <c r="L235" s="7"/>
      <c r="M235" s="7"/>
      <c r="N235" s="263"/>
    </row>
    <row r="236" spans="1:14" s="85" customFormat="1" ht="16.5">
      <c r="A236" s="557"/>
      <c r="B236" s="238"/>
      <c r="C236" s="147" t="s">
        <v>88</v>
      </c>
      <c r="D236" s="58" t="s">
        <v>7</v>
      </c>
      <c r="E236" s="345">
        <v>1.1599999999999999E-2</v>
      </c>
      <c r="F236" s="333">
        <f>F234*E236</f>
        <v>0.13224</v>
      </c>
      <c r="G236" s="7"/>
      <c r="H236" s="7"/>
      <c r="I236" s="7"/>
      <c r="J236" s="7"/>
      <c r="K236" s="7"/>
      <c r="L236" s="7"/>
      <c r="M236" s="7"/>
      <c r="N236" s="263"/>
    </row>
    <row r="237" spans="1:14" s="85" customFormat="1" ht="16.5">
      <c r="A237" s="557"/>
      <c r="B237" s="238"/>
      <c r="C237" s="147" t="s">
        <v>340</v>
      </c>
      <c r="D237" s="58" t="s">
        <v>52</v>
      </c>
      <c r="E237" s="345">
        <v>0.157</v>
      </c>
      <c r="F237" s="333">
        <f>F234*E237</f>
        <v>1.7898000000000001</v>
      </c>
      <c r="G237" s="7"/>
      <c r="H237" s="7"/>
      <c r="I237" s="7"/>
      <c r="J237" s="7"/>
      <c r="K237" s="7"/>
      <c r="L237" s="7"/>
      <c r="M237" s="7"/>
      <c r="N237" s="263"/>
    </row>
    <row r="238" spans="1:14" s="85" customFormat="1" ht="16.5">
      <c r="A238" s="558"/>
      <c r="B238" s="238"/>
      <c r="C238" s="351" t="s">
        <v>100</v>
      </c>
      <c r="D238" s="58" t="s">
        <v>43</v>
      </c>
      <c r="E238" s="345">
        <v>1.8E-3</v>
      </c>
      <c r="F238" s="333">
        <f>F234*E238</f>
        <v>2.052E-2</v>
      </c>
      <c r="G238" s="7"/>
      <c r="H238" s="7"/>
      <c r="I238" s="7"/>
      <c r="J238" s="7"/>
      <c r="K238" s="7"/>
      <c r="L238" s="7"/>
      <c r="M238" s="7"/>
      <c r="N238" s="263"/>
    </row>
    <row r="239" spans="1:14" s="85" customFormat="1" ht="40.5">
      <c r="A239" s="556" t="s">
        <v>324</v>
      </c>
      <c r="B239" s="238" t="s">
        <v>347</v>
      </c>
      <c r="C239" s="29" t="s">
        <v>348</v>
      </c>
      <c r="D239" s="232" t="s">
        <v>52</v>
      </c>
      <c r="E239" s="3"/>
      <c r="F239" s="26">
        <f>1.6*1.25*2</f>
        <v>4</v>
      </c>
      <c r="G239" s="7"/>
      <c r="H239" s="7"/>
      <c r="I239" s="7"/>
      <c r="J239" s="7"/>
      <c r="K239" s="7"/>
      <c r="L239" s="7"/>
      <c r="M239" s="7"/>
      <c r="N239" s="263"/>
    </row>
    <row r="240" spans="1:14" s="85" customFormat="1" ht="16.5">
      <c r="A240" s="557"/>
      <c r="B240" s="238"/>
      <c r="C240" s="52" t="s">
        <v>44</v>
      </c>
      <c r="D240" s="22" t="s">
        <v>15</v>
      </c>
      <c r="E240" s="23">
        <f>(261+82.9)*0.01</f>
        <v>3.4390000000000001</v>
      </c>
      <c r="F240" s="24">
        <f>E240*F239</f>
        <v>13.756</v>
      </c>
      <c r="G240" s="7"/>
      <c r="H240" s="7"/>
      <c r="I240" s="7"/>
      <c r="J240" s="7"/>
      <c r="K240" s="7"/>
      <c r="L240" s="7"/>
      <c r="M240" s="7"/>
      <c r="N240" s="263"/>
    </row>
    <row r="241" spans="1:14" s="85" customFormat="1" ht="16.5">
      <c r="A241" s="557"/>
      <c r="B241" s="238"/>
      <c r="C241" s="147" t="s">
        <v>88</v>
      </c>
      <c r="D241" s="22" t="s">
        <v>7</v>
      </c>
      <c r="E241" s="23">
        <f>(3.5+0.39)*0.01</f>
        <v>3.8900000000000004E-2</v>
      </c>
      <c r="F241" s="24">
        <f>E241*F239</f>
        <v>0.15560000000000002</v>
      </c>
      <c r="G241" s="7"/>
      <c r="H241" s="7"/>
      <c r="I241" s="7"/>
      <c r="J241" s="7"/>
      <c r="K241" s="7"/>
      <c r="L241" s="7"/>
      <c r="M241" s="7"/>
      <c r="N241" s="263"/>
    </row>
    <row r="242" spans="1:14" s="85" customFormat="1" ht="16.5">
      <c r="A242" s="557"/>
      <c r="B242" s="238"/>
      <c r="C242" s="52" t="s">
        <v>349</v>
      </c>
      <c r="D242" s="22" t="s">
        <v>67</v>
      </c>
      <c r="E242" s="23">
        <v>6.6</v>
      </c>
      <c r="F242" s="24">
        <f>E242*F239</f>
        <v>26.4</v>
      </c>
      <c r="G242" s="7"/>
      <c r="H242" s="7"/>
      <c r="I242" s="7"/>
      <c r="J242" s="7"/>
      <c r="K242" s="7"/>
      <c r="L242" s="7"/>
      <c r="M242" s="7"/>
      <c r="N242" s="263"/>
    </row>
    <row r="243" spans="1:14" s="85" customFormat="1" ht="16.5">
      <c r="A243" s="557"/>
      <c r="B243" s="238"/>
      <c r="C243" s="52" t="s">
        <v>350</v>
      </c>
      <c r="D243" s="22" t="s">
        <v>83</v>
      </c>
      <c r="E243" s="23">
        <v>0.06</v>
      </c>
      <c r="F243" s="24">
        <f>E243*F239</f>
        <v>0.24</v>
      </c>
      <c r="G243" s="7"/>
      <c r="H243" s="7"/>
      <c r="I243" s="7"/>
      <c r="J243" s="7"/>
      <c r="K243" s="7"/>
      <c r="L243" s="7"/>
      <c r="M243" s="7"/>
      <c r="N243" s="263"/>
    </row>
    <row r="244" spans="1:14" s="85" customFormat="1" ht="16.5">
      <c r="A244" s="558"/>
      <c r="B244" s="238"/>
      <c r="C244" s="52" t="s">
        <v>351</v>
      </c>
      <c r="D244" s="22" t="s">
        <v>45</v>
      </c>
      <c r="E244" s="23">
        <v>1.03</v>
      </c>
      <c r="F244" s="24">
        <f>E244*F239</f>
        <v>4.12</v>
      </c>
      <c r="G244" s="7"/>
      <c r="H244" s="7"/>
      <c r="I244" s="7"/>
      <c r="J244" s="7"/>
      <c r="K244" s="7"/>
      <c r="L244" s="7"/>
      <c r="M244" s="7"/>
      <c r="N244" s="263"/>
    </row>
    <row r="245" spans="1:14" s="85" customFormat="1" ht="47.25">
      <c r="A245" s="556" t="s">
        <v>325</v>
      </c>
      <c r="B245" s="238" t="s">
        <v>360</v>
      </c>
      <c r="C245" s="359" t="s">
        <v>362</v>
      </c>
      <c r="D245" s="232" t="s">
        <v>52</v>
      </c>
      <c r="E245" s="3"/>
      <c r="F245" s="26">
        <f>F220+F216*0.1</f>
        <v>23.720000000000002</v>
      </c>
      <c r="G245" s="7"/>
      <c r="H245" s="7"/>
      <c r="I245" s="7"/>
      <c r="J245" s="7"/>
      <c r="K245" s="7"/>
      <c r="L245" s="7"/>
      <c r="M245" s="7"/>
      <c r="N245" s="263"/>
    </row>
    <row r="246" spans="1:14" s="85" customFormat="1" ht="16.5">
      <c r="A246" s="557"/>
      <c r="B246" s="238"/>
      <c r="C246" s="28" t="s">
        <v>42</v>
      </c>
      <c r="D246" s="321" t="s">
        <v>9</v>
      </c>
      <c r="E246" s="3">
        <v>2.19</v>
      </c>
      <c r="F246" s="333">
        <f>F245*E246</f>
        <v>51.946800000000003</v>
      </c>
      <c r="G246" s="7"/>
      <c r="H246" s="7"/>
      <c r="I246" s="7"/>
      <c r="J246" s="7"/>
      <c r="K246" s="7"/>
      <c r="L246" s="7"/>
      <c r="M246" s="7"/>
      <c r="N246" s="263"/>
    </row>
    <row r="247" spans="1:14" s="85" customFormat="1" ht="27">
      <c r="A247" s="557"/>
      <c r="B247" s="238"/>
      <c r="C247" s="351" t="s">
        <v>8</v>
      </c>
      <c r="D247" s="232" t="s">
        <v>50</v>
      </c>
      <c r="E247" s="3">
        <v>0.02</v>
      </c>
      <c r="F247" s="333">
        <f>F245*E247</f>
        <v>0.47440000000000004</v>
      </c>
      <c r="G247" s="7"/>
      <c r="H247" s="7"/>
      <c r="I247" s="7"/>
      <c r="J247" s="7"/>
      <c r="K247" s="7"/>
      <c r="L247" s="7"/>
      <c r="M247" s="7"/>
      <c r="N247" s="263"/>
    </row>
    <row r="248" spans="1:14" s="85" customFormat="1" ht="16.5">
      <c r="A248" s="557"/>
      <c r="B248" s="238"/>
      <c r="C248" s="28" t="s">
        <v>361</v>
      </c>
      <c r="D248" s="321" t="s">
        <v>52</v>
      </c>
      <c r="E248" s="1">
        <v>1.05</v>
      </c>
      <c r="F248" s="333">
        <f>F245*E248</f>
        <v>24.906000000000002</v>
      </c>
      <c r="G248" s="7"/>
      <c r="H248" s="7"/>
      <c r="I248" s="7"/>
      <c r="J248" s="7"/>
      <c r="K248" s="7"/>
      <c r="L248" s="7"/>
      <c r="M248" s="7"/>
      <c r="N248" s="263"/>
    </row>
    <row r="249" spans="1:14" s="85" customFormat="1" ht="16.5">
      <c r="A249" s="557"/>
      <c r="B249" s="238"/>
      <c r="C249" s="28" t="s">
        <v>342</v>
      </c>
      <c r="D249" s="321" t="s">
        <v>5</v>
      </c>
      <c r="E249" s="1">
        <v>5</v>
      </c>
      <c r="F249" s="333">
        <f>F245*E249</f>
        <v>118.60000000000001</v>
      </c>
      <c r="G249" s="7"/>
      <c r="H249" s="7"/>
      <c r="I249" s="7"/>
      <c r="J249" s="7"/>
      <c r="K249" s="7"/>
      <c r="L249" s="7"/>
      <c r="M249" s="7"/>
      <c r="N249" s="263"/>
    </row>
    <row r="250" spans="1:14" s="85" customFormat="1" ht="16.5">
      <c r="A250" s="557"/>
      <c r="B250" s="238"/>
      <c r="C250" s="360" t="s">
        <v>341</v>
      </c>
      <c r="D250" s="109" t="s">
        <v>83</v>
      </c>
      <c r="E250" s="361">
        <v>0.3</v>
      </c>
      <c r="F250" s="327">
        <f>F245*E250</f>
        <v>7.1160000000000005</v>
      </c>
      <c r="G250" s="7"/>
      <c r="H250" s="7"/>
      <c r="I250" s="7"/>
      <c r="J250" s="7"/>
      <c r="K250" s="7"/>
      <c r="L250" s="7"/>
      <c r="M250" s="7"/>
      <c r="N250" s="263"/>
    </row>
    <row r="251" spans="1:14" s="85" customFormat="1" ht="16.5">
      <c r="A251" s="558"/>
      <c r="B251" s="238"/>
      <c r="C251" s="351" t="s">
        <v>10</v>
      </c>
      <c r="D251" s="232" t="s">
        <v>7</v>
      </c>
      <c r="E251" s="3">
        <v>7.0000000000000001E-3</v>
      </c>
      <c r="F251" s="333">
        <f>F245*E251</f>
        <v>0.16604000000000002</v>
      </c>
      <c r="G251" s="7"/>
      <c r="H251" s="7"/>
      <c r="I251" s="7"/>
      <c r="J251" s="7"/>
      <c r="K251" s="7"/>
      <c r="L251" s="7"/>
      <c r="M251" s="7"/>
      <c r="N251" s="263"/>
    </row>
    <row r="252" spans="1:14" s="85" customFormat="1" ht="16.5">
      <c r="A252" s="508" t="s">
        <v>326</v>
      </c>
      <c r="B252" s="238"/>
      <c r="C252" s="503" t="s">
        <v>478</v>
      </c>
      <c r="D252" s="338"/>
      <c r="E252" s="3"/>
      <c r="F252" s="333"/>
      <c r="G252" s="7"/>
      <c r="H252" s="7"/>
      <c r="I252" s="7"/>
      <c r="J252" s="7"/>
      <c r="K252" s="7"/>
      <c r="L252" s="7"/>
      <c r="M252" s="7"/>
      <c r="N252" s="263"/>
    </row>
    <row r="253" spans="1:14" s="85" customFormat="1" ht="16.5">
      <c r="A253" s="583" t="s">
        <v>479</v>
      </c>
      <c r="B253" s="318" t="s">
        <v>199</v>
      </c>
      <c r="C253" s="497" t="s">
        <v>454</v>
      </c>
      <c r="D253" s="449" t="s">
        <v>455</v>
      </c>
      <c r="E253" s="498"/>
      <c r="F253" s="26">
        <f>3.6*2.7</f>
        <v>9.7200000000000006</v>
      </c>
      <c r="G253" s="7"/>
      <c r="H253" s="7"/>
      <c r="I253" s="7"/>
      <c r="J253" s="7"/>
      <c r="K253" s="7"/>
      <c r="L253" s="7"/>
      <c r="M253" s="7"/>
      <c r="N253" s="263"/>
    </row>
    <row r="254" spans="1:14" s="85" customFormat="1" ht="16.5">
      <c r="A254" s="584"/>
      <c r="B254" s="499"/>
      <c r="C254" s="174" t="s">
        <v>58</v>
      </c>
      <c r="D254" s="173" t="s">
        <v>9</v>
      </c>
      <c r="E254" s="460">
        <v>0.22700000000000001</v>
      </c>
      <c r="F254" s="462">
        <f>F253*E254</f>
        <v>2.2064400000000002</v>
      </c>
      <c r="G254" s="7"/>
      <c r="H254" s="7"/>
      <c r="I254" s="7"/>
      <c r="J254" s="7"/>
      <c r="K254" s="7"/>
      <c r="L254" s="7"/>
      <c r="M254" s="7"/>
      <c r="N254" s="263"/>
    </row>
    <row r="255" spans="1:14" s="85" customFormat="1" ht="16.5">
      <c r="A255" s="584"/>
      <c r="B255" s="499"/>
      <c r="C255" s="174" t="s">
        <v>88</v>
      </c>
      <c r="D255" s="58" t="s">
        <v>7</v>
      </c>
      <c r="E255" s="460">
        <v>2.76E-2</v>
      </c>
      <c r="F255" s="462">
        <f>F253*E255</f>
        <v>0.26827200000000001</v>
      </c>
      <c r="G255" s="7"/>
      <c r="H255" s="7"/>
      <c r="I255" s="7"/>
      <c r="J255" s="7"/>
      <c r="K255" s="7"/>
      <c r="L255" s="7"/>
      <c r="M255" s="7"/>
      <c r="N255" s="263"/>
    </row>
    <row r="256" spans="1:14" s="85" customFormat="1" ht="16.5">
      <c r="A256" s="584"/>
      <c r="B256" s="53"/>
      <c r="C256" s="174" t="s">
        <v>456</v>
      </c>
      <c r="D256" s="173" t="s">
        <v>12</v>
      </c>
      <c r="E256" s="460">
        <v>2.1000000000000001E-2</v>
      </c>
      <c r="F256" s="462">
        <f>F253*E256</f>
        <v>0.20412000000000002</v>
      </c>
      <c r="G256" s="7"/>
      <c r="H256" s="7"/>
      <c r="I256" s="7"/>
      <c r="J256" s="7"/>
      <c r="K256" s="7"/>
      <c r="L256" s="7"/>
      <c r="M256" s="7"/>
      <c r="N256" s="263"/>
    </row>
    <row r="257" spans="1:14" s="85" customFormat="1" ht="16.5">
      <c r="A257" s="584"/>
      <c r="B257" s="53"/>
      <c r="C257" s="174" t="s">
        <v>93</v>
      </c>
      <c r="D257" s="173" t="s">
        <v>5</v>
      </c>
      <c r="E257" s="460">
        <v>7.0000000000000007E-2</v>
      </c>
      <c r="F257" s="462">
        <f>F253*E257</f>
        <v>0.68040000000000012</v>
      </c>
      <c r="G257" s="7"/>
      <c r="H257" s="7"/>
      <c r="I257" s="7"/>
      <c r="J257" s="7"/>
      <c r="K257" s="7"/>
      <c r="L257" s="7"/>
      <c r="M257" s="7"/>
      <c r="N257" s="263"/>
    </row>
    <row r="258" spans="1:14" s="85" customFormat="1" ht="16.5">
      <c r="A258" s="585"/>
      <c r="B258" s="499"/>
      <c r="C258" s="174" t="s">
        <v>54</v>
      </c>
      <c r="D258" s="58" t="s">
        <v>7</v>
      </c>
      <c r="E258" s="460">
        <v>4.4400000000000002E-2</v>
      </c>
      <c r="F258" s="462">
        <f>F253*E258</f>
        <v>0.43156800000000006</v>
      </c>
      <c r="G258" s="7"/>
      <c r="H258" s="7"/>
      <c r="I258" s="7"/>
      <c r="J258" s="7"/>
      <c r="K258" s="7"/>
      <c r="L258" s="7"/>
      <c r="M258" s="7"/>
      <c r="N258" s="263"/>
    </row>
    <row r="259" spans="1:14" s="85" customFormat="1" ht="31.5">
      <c r="A259" s="583" t="s">
        <v>480</v>
      </c>
      <c r="B259" s="238" t="s">
        <v>200</v>
      </c>
      <c r="C259" s="509" t="s">
        <v>201</v>
      </c>
      <c r="D259" s="58" t="s">
        <v>87</v>
      </c>
      <c r="E259" s="59"/>
      <c r="F259" s="26">
        <f>F253</f>
        <v>9.7200000000000006</v>
      </c>
      <c r="G259" s="7"/>
      <c r="H259" s="7"/>
      <c r="I259" s="7"/>
      <c r="J259" s="7"/>
      <c r="K259" s="7"/>
      <c r="L259" s="7"/>
      <c r="M259" s="7"/>
      <c r="N259" s="263"/>
    </row>
    <row r="260" spans="1:14" s="85" customFormat="1" ht="16.5">
      <c r="A260" s="584"/>
      <c r="B260" s="449"/>
      <c r="C260" s="92" t="s">
        <v>58</v>
      </c>
      <c r="D260" s="58" t="s">
        <v>9</v>
      </c>
      <c r="E260" s="59">
        <v>3.0300000000000001E-2</v>
      </c>
      <c r="F260" s="462">
        <f>F259*E260</f>
        <v>0.294516</v>
      </c>
      <c r="G260" s="7"/>
      <c r="H260" s="7"/>
      <c r="I260" s="7"/>
      <c r="J260" s="7"/>
      <c r="K260" s="7"/>
      <c r="L260" s="7"/>
      <c r="M260" s="7"/>
      <c r="N260" s="263"/>
    </row>
    <row r="261" spans="1:14" s="85" customFormat="1" ht="16.5">
      <c r="A261" s="584"/>
      <c r="B261" s="449"/>
      <c r="C261" s="92" t="s">
        <v>88</v>
      </c>
      <c r="D261" s="58" t="s">
        <v>7</v>
      </c>
      <c r="E261" s="59">
        <v>4.1000000000000003E-3</v>
      </c>
      <c r="F261" s="462">
        <f>F259*E261</f>
        <v>3.9852000000000005E-2</v>
      </c>
      <c r="G261" s="7"/>
      <c r="H261" s="7"/>
      <c r="I261" s="7"/>
      <c r="J261" s="7"/>
      <c r="K261" s="7"/>
      <c r="L261" s="7"/>
      <c r="M261" s="7"/>
      <c r="N261" s="263"/>
    </row>
    <row r="262" spans="1:14" s="85" customFormat="1" ht="16.5">
      <c r="A262" s="584"/>
      <c r="B262" s="449"/>
      <c r="C262" s="92" t="s">
        <v>89</v>
      </c>
      <c r="D262" s="58" t="s">
        <v>5</v>
      </c>
      <c r="E262" s="59">
        <v>0.23100000000000001</v>
      </c>
      <c r="F262" s="462">
        <f>F259*E262</f>
        <v>2.2453200000000004</v>
      </c>
      <c r="G262" s="7"/>
      <c r="H262" s="7"/>
      <c r="I262" s="7"/>
      <c r="J262" s="7"/>
      <c r="K262" s="7"/>
      <c r="L262" s="7"/>
      <c r="M262" s="7"/>
      <c r="N262" s="263"/>
    </row>
    <row r="263" spans="1:14" s="85" customFormat="1" ht="16.5">
      <c r="A263" s="584"/>
      <c r="B263" s="449"/>
      <c r="C263" s="92" t="s">
        <v>90</v>
      </c>
      <c r="D263" s="58" t="s">
        <v>5</v>
      </c>
      <c r="E263" s="59">
        <v>5.8000000000000003E-2</v>
      </c>
      <c r="F263" s="462">
        <f>F259*E263</f>
        <v>0.56376000000000004</v>
      </c>
      <c r="G263" s="7"/>
      <c r="H263" s="7"/>
      <c r="I263" s="7"/>
      <c r="J263" s="7"/>
      <c r="K263" s="7"/>
      <c r="L263" s="7"/>
      <c r="M263" s="7"/>
      <c r="N263" s="263"/>
    </row>
    <row r="264" spans="1:14" s="85" customFormat="1" ht="16.5">
      <c r="A264" s="584"/>
      <c r="B264" s="449"/>
      <c r="C264" s="92" t="s">
        <v>91</v>
      </c>
      <c r="D264" s="58" t="s">
        <v>5</v>
      </c>
      <c r="E264" s="59">
        <v>3.5000000000000003E-2</v>
      </c>
      <c r="F264" s="462">
        <f>F259*E264</f>
        <v>0.34020000000000006</v>
      </c>
      <c r="G264" s="7"/>
      <c r="H264" s="7"/>
      <c r="I264" s="7"/>
      <c r="J264" s="7"/>
      <c r="K264" s="7"/>
      <c r="L264" s="7"/>
      <c r="M264" s="7"/>
      <c r="N264" s="263"/>
    </row>
    <row r="265" spans="1:14" s="85" customFormat="1" ht="16.5">
      <c r="A265" s="585"/>
      <c r="B265" s="449"/>
      <c r="C265" s="92" t="s">
        <v>54</v>
      </c>
      <c r="D265" s="58" t="s">
        <v>7</v>
      </c>
      <c r="E265" s="59">
        <v>4.0000000000000002E-4</v>
      </c>
      <c r="F265" s="462">
        <f>F259*E265</f>
        <v>3.8880000000000004E-3</v>
      </c>
      <c r="G265" s="7"/>
      <c r="H265" s="7"/>
      <c r="I265" s="7"/>
      <c r="J265" s="7"/>
      <c r="K265" s="7"/>
      <c r="L265" s="7"/>
      <c r="M265" s="7"/>
      <c r="N265" s="263"/>
    </row>
    <row r="266" spans="1:14" s="85" customFormat="1" ht="31.5">
      <c r="A266" s="583" t="s">
        <v>481</v>
      </c>
      <c r="B266" s="454" t="s">
        <v>202</v>
      </c>
      <c r="C266" s="509" t="s">
        <v>203</v>
      </c>
      <c r="D266" s="58" t="s">
        <v>87</v>
      </c>
      <c r="E266" s="500"/>
      <c r="F266" s="27">
        <f>F259</f>
        <v>9.7200000000000006</v>
      </c>
      <c r="G266" s="7"/>
      <c r="H266" s="7"/>
      <c r="I266" s="7"/>
      <c r="J266" s="7"/>
      <c r="K266" s="7"/>
      <c r="L266" s="7"/>
      <c r="M266" s="7"/>
      <c r="N266" s="263"/>
    </row>
    <row r="267" spans="1:14" s="85" customFormat="1" ht="16.5">
      <c r="A267" s="584"/>
      <c r="B267" s="501"/>
      <c r="C267" s="92" t="s">
        <v>58</v>
      </c>
      <c r="D267" s="58" t="s">
        <v>9</v>
      </c>
      <c r="E267" s="59">
        <v>6.9199999999999998E-2</v>
      </c>
      <c r="F267" s="462">
        <f>F266*E267</f>
        <v>0.672624</v>
      </c>
      <c r="G267" s="7"/>
      <c r="H267" s="7"/>
      <c r="I267" s="7"/>
      <c r="J267" s="7"/>
      <c r="K267" s="7"/>
      <c r="L267" s="7"/>
      <c r="M267" s="7"/>
      <c r="N267" s="263"/>
    </row>
    <row r="268" spans="1:14" s="85" customFormat="1" ht="16.5">
      <c r="A268" s="584"/>
      <c r="B268" s="501"/>
      <c r="C268" s="92" t="s">
        <v>88</v>
      </c>
      <c r="D268" s="58" t="s">
        <v>7</v>
      </c>
      <c r="E268" s="59">
        <v>1.6000000000000001E-3</v>
      </c>
      <c r="F268" s="462">
        <f>F266*E268</f>
        <v>1.5552000000000002E-2</v>
      </c>
      <c r="G268" s="7"/>
      <c r="H268" s="7"/>
      <c r="I268" s="7"/>
      <c r="J268" s="7"/>
      <c r="K268" s="7"/>
      <c r="L268" s="7"/>
      <c r="M268" s="7"/>
      <c r="N268" s="263"/>
    </row>
    <row r="269" spans="1:14" s="85" customFormat="1" ht="16.5">
      <c r="A269" s="585"/>
      <c r="B269" s="501"/>
      <c r="C269" s="92" t="s">
        <v>198</v>
      </c>
      <c r="D269" s="58" t="s">
        <v>5</v>
      </c>
      <c r="E269" s="59">
        <v>0.4</v>
      </c>
      <c r="F269" s="462">
        <f>F266*E269</f>
        <v>3.8880000000000003</v>
      </c>
      <c r="G269" s="7"/>
      <c r="H269" s="7"/>
      <c r="I269" s="7"/>
      <c r="J269" s="7"/>
      <c r="K269" s="7"/>
      <c r="L269" s="7"/>
      <c r="M269" s="7"/>
      <c r="N269" s="263"/>
    </row>
    <row r="270" spans="1:14" s="85" customFormat="1" ht="47.25">
      <c r="A270" s="563" t="s">
        <v>482</v>
      </c>
      <c r="B270" s="30" t="s">
        <v>457</v>
      </c>
      <c r="C270" s="29" t="s">
        <v>458</v>
      </c>
      <c r="D270" s="449" t="s">
        <v>459</v>
      </c>
      <c r="E270" s="502"/>
      <c r="F270" s="26">
        <f>F253/100</f>
        <v>9.7200000000000009E-2</v>
      </c>
      <c r="G270" s="7"/>
      <c r="H270" s="7"/>
      <c r="I270" s="7"/>
      <c r="J270" s="7"/>
      <c r="K270" s="7"/>
      <c r="L270" s="7"/>
      <c r="M270" s="7"/>
      <c r="N270" s="263"/>
    </row>
    <row r="271" spans="1:14" s="85" customFormat="1" ht="16.5">
      <c r="A271" s="564"/>
      <c r="B271" s="338"/>
      <c r="C271" s="28" t="s">
        <v>42</v>
      </c>
      <c r="D271" s="449" t="s">
        <v>9</v>
      </c>
      <c r="E271" s="3">
        <v>42.9</v>
      </c>
      <c r="F271" s="333">
        <f>F270*E271</f>
        <v>4.16988</v>
      </c>
      <c r="G271" s="7"/>
      <c r="H271" s="7"/>
      <c r="I271" s="7"/>
      <c r="J271" s="7"/>
      <c r="K271" s="7"/>
      <c r="L271" s="7"/>
      <c r="M271" s="7"/>
      <c r="N271" s="263"/>
    </row>
    <row r="272" spans="1:14" s="85" customFormat="1" ht="27">
      <c r="A272" s="564"/>
      <c r="B272" s="338"/>
      <c r="C272" s="92" t="s">
        <v>88</v>
      </c>
      <c r="D272" s="338" t="s">
        <v>50</v>
      </c>
      <c r="E272" s="3">
        <v>2.64</v>
      </c>
      <c r="F272" s="333">
        <f>F270*E272</f>
        <v>0.25660800000000006</v>
      </c>
      <c r="G272" s="7"/>
      <c r="H272" s="7"/>
      <c r="I272" s="7"/>
      <c r="J272" s="7"/>
      <c r="K272" s="7"/>
      <c r="L272" s="7"/>
      <c r="M272" s="7"/>
      <c r="N272" s="263"/>
    </row>
    <row r="273" spans="1:14" s="85" customFormat="1" ht="47.25">
      <c r="A273" s="564"/>
      <c r="B273" s="338"/>
      <c r="C273" s="351" t="s">
        <v>460</v>
      </c>
      <c r="D273" s="338" t="s">
        <v>52</v>
      </c>
      <c r="E273" s="3">
        <v>130</v>
      </c>
      <c r="F273" s="333">
        <f>F270*E273</f>
        <v>12.636000000000001</v>
      </c>
      <c r="G273" s="7"/>
      <c r="H273" s="7"/>
      <c r="I273" s="7"/>
      <c r="J273" s="7"/>
      <c r="K273" s="7"/>
      <c r="L273" s="7"/>
      <c r="M273" s="7"/>
      <c r="N273" s="263"/>
    </row>
    <row r="274" spans="1:14" s="85" customFormat="1" ht="16.5">
      <c r="A274" s="564"/>
      <c r="B274" s="338"/>
      <c r="C274" s="351" t="s">
        <v>92</v>
      </c>
      <c r="D274" s="338" t="s">
        <v>56</v>
      </c>
      <c r="E274" s="3">
        <v>600</v>
      </c>
      <c r="F274" s="333">
        <f>F270*E274</f>
        <v>58.320000000000007</v>
      </c>
      <c r="G274" s="7"/>
      <c r="H274" s="7"/>
      <c r="I274" s="7"/>
      <c r="J274" s="7"/>
      <c r="K274" s="7"/>
      <c r="L274" s="7"/>
      <c r="M274" s="7"/>
      <c r="N274" s="263"/>
    </row>
    <row r="275" spans="1:14" s="85" customFormat="1" ht="16.5">
      <c r="A275" s="564"/>
      <c r="B275" s="338"/>
      <c r="C275" s="351" t="s">
        <v>350</v>
      </c>
      <c r="D275" s="338" t="s">
        <v>5</v>
      </c>
      <c r="E275" s="3">
        <v>7.9</v>
      </c>
      <c r="F275" s="333">
        <f>F270*E275</f>
        <v>0.76788000000000012</v>
      </c>
      <c r="G275" s="7"/>
      <c r="H275" s="7"/>
      <c r="I275" s="7"/>
      <c r="J275" s="7"/>
      <c r="K275" s="7"/>
      <c r="L275" s="7"/>
      <c r="M275" s="7"/>
      <c r="N275" s="263"/>
    </row>
    <row r="276" spans="1:14" s="85" customFormat="1" ht="16.5">
      <c r="A276" s="564"/>
      <c r="B276" s="338"/>
      <c r="C276" s="351" t="s">
        <v>461</v>
      </c>
      <c r="D276" s="338" t="s">
        <v>46</v>
      </c>
      <c r="E276" s="3">
        <v>0.02</v>
      </c>
      <c r="F276" s="333">
        <f>F270*E276</f>
        <v>1.9440000000000002E-3</v>
      </c>
      <c r="G276" s="7"/>
      <c r="H276" s="7"/>
      <c r="I276" s="7"/>
      <c r="J276" s="7"/>
      <c r="K276" s="7"/>
      <c r="L276" s="7"/>
      <c r="M276" s="7"/>
      <c r="N276" s="263"/>
    </row>
    <row r="277" spans="1:14" s="85" customFormat="1" ht="16.5">
      <c r="A277" s="586"/>
      <c r="B277" s="338"/>
      <c r="C277" s="28" t="s">
        <v>10</v>
      </c>
      <c r="D277" s="449" t="s">
        <v>7</v>
      </c>
      <c r="E277" s="3">
        <v>6.36</v>
      </c>
      <c r="F277" s="333">
        <f>F270*E277</f>
        <v>0.61819200000000007</v>
      </c>
      <c r="G277" s="7"/>
      <c r="H277" s="7"/>
      <c r="I277" s="7"/>
      <c r="J277" s="7"/>
      <c r="K277" s="7"/>
      <c r="L277" s="7"/>
      <c r="M277" s="7"/>
      <c r="N277" s="263"/>
    </row>
    <row r="278" spans="1:14" s="85" customFormat="1" ht="76.5">
      <c r="A278" s="587" t="s">
        <v>483</v>
      </c>
      <c r="B278" s="238" t="s">
        <v>462</v>
      </c>
      <c r="C278" s="510" t="s">
        <v>463</v>
      </c>
      <c r="D278" s="449" t="s">
        <v>49</v>
      </c>
      <c r="E278" s="498"/>
      <c r="F278" s="26">
        <f>3.6</f>
        <v>3.6</v>
      </c>
      <c r="G278" s="7"/>
      <c r="H278" s="7"/>
      <c r="I278" s="7"/>
      <c r="J278" s="7"/>
      <c r="K278" s="7"/>
      <c r="L278" s="7"/>
      <c r="M278" s="7"/>
      <c r="N278" s="263"/>
    </row>
    <row r="279" spans="1:14" s="85" customFormat="1" ht="16.5">
      <c r="A279" s="587"/>
      <c r="B279" s="449"/>
      <c r="C279" s="92" t="s">
        <v>58</v>
      </c>
      <c r="D279" s="449" t="s">
        <v>9</v>
      </c>
      <c r="E279" s="59">
        <v>0.28599999999999998</v>
      </c>
      <c r="F279" s="462">
        <f>F278*E279</f>
        <v>1.0295999999999998</v>
      </c>
      <c r="G279" s="7"/>
      <c r="H279" s="7"/>
      <c r="I279" s="7"/>
      <c r="J279" s="7"/>
      <c r="K279" s="7"/>
      <c r="L279" s="7"/>
      <c r="M279" s="7"/>
      <c r="N279" s="263"/>
    </row>
    <row r="280" spans="1:14" s="85" customFormat="1" ht="16.5">
      <c r="A280" s="587"/>
      <c r="B280" s="449"/>
      <c r="C280" s="92" t="s">
        <v>8</v>
      </c>
      <c r="D280" s="449" t="s">
        <v>7</v>
      </c>
      <c r="E280" s="59">
        <v>4.1000000000000003E-3</v>
      </c>
      <c r="F280" s="462">
        <f>F278*E280</f>
        <v>1.4760000000000002E-2</v>
      </c>
      <c r="G280" s="7"/>
      <c r="H280" s="7"/>
      <c r="I280" s="7"/>
      <c r="J280" s="7"/>
      <c r="K280" s="7"/>
      <c r="L280" s="7"/>
      <c r="M280" s="7"/>
      <c r="N280" s="263"/>
    </row>
    <row r="281" spans="1:14" s="85" customFormat="1" ht="16.5">
      <c r="A281" s="587"/>
      <c r="B281" s="449"/>
      <c r="C281" s="92" t="s">
        <v>464</v>
      </c>
      <c r="D281" s="58" t="s">
        <v>309</v>
      </c>
      <c r="E281" s="59">
        <v>2.3E-3</v>
      </c>
      <c r="F281" s="333">
        <f>F278*E281</f>
        <v>8.2800000000000009E-3</v>
      </c>
      <c r="G281" s="7"/>
      <c r="H281" s="7"/>
      <c r="I281" s="7"/>
      <c r="J281" s="7"/>
      <c r="K281" s="7"/>
      <c r="L281" s="7"/>
      <c r="M281" s="7"/>
      <c r="N281" s="263"/>
    </row>
    <row r="282" spans="1:14" s="85" customFormat="1" ht="16.5">
      <c r="A282" s="587"/>
      <c r="B282" s="449"/>
      <c r="C282" s="364" t="s">
        <v>465</v>
      </c>
      <c r="D282" s="449" t="s">
        <v>71</v>
      </c>
      <c r="E282" s="498"/>
      <c r="F282" s="333">
        <v>460</v>
      </c>
      <c r="G282" s="7"/>
      <c r="H282" s="7"/>
      <c r="I282" s="7"/>
      <c r="J282" s="7"/>
      <c r="K282" s="7"/>
      <c r="L282" s="7"/>
      <c r="M282" s="7"/>
      <c r="N282" s="263"/>
    </row>
    <row r="283" spans="1:14" s="85" customFormat="1" ht="31.5">
      <c r="A283" s="587"/>
      <c r="B283" s="449"/>
      <c r="C283" s="364" t="s">
        <v>466</v>
      </c>
      <c r="D283" s="449" t="s">
        <v>455</v>
      </c>
      <c r="E283" s="4">
        <v>1.1000000000000001</v>
      </c>
      <c r="F283" s="333">
        <f>F278*E283</f>
        <v>3.9600000000000004</v>
      </c>
      <c r="G283" s="7"/>
      <c r="H283" s="7"/>
      <c r="I283" s="7"/>
      <c r="J283" s="7"/>
      <c r="K283" s="7"/>
      <c r="L283" s="7"/>
      <c r="M283" s="7"/>
      <c r="N283" s="263"/>
    </row>
    <row r="284" spans="1:14" s="85" customFormat="1" ht="16.5">
      <c r="A284" s="587"/>
      <c r="B284" s="449"/>
      <c r="C284" s="92" t="s">
        <v>93</v>
      </c>
      <c r="D284" s="58" t="s">
        <v>5</v>
      </c>
      <c r="E284" s="59">
        <v>3.7999999999999999E-2</v>
      </c>
      <c r="F284" s="333">
        <f>F278*E284</f>
        <v>0.1368</v>
      </c>
      <c r="G284" s="7"/>
      <c r="H284" s="7"/>
      <c r="I284" s="7"/>
      <c r="J284" s="7"/>
      <c r="K284" s="7"/>
      <c r="L284" s="7"/>
      <c r="M284" s="7"/>
      <c r="N284" s="263"/>
    </row>
    <row r="285" spans="1:14" s="85" customFormat="1" ht="16.5">
      <c r="A285" s="587"/>
      <c r="B285" s="449"/>
      <c r="C285" s="92" t="s">
        <v>467</v>
      </c>
      <c r="D285" s="58" t="s">
        <v>5</v>
      </c>
      <c r="E285" s="59">
        <v>3.7999999999999999E-2</v>
      </c>
      <c r="F285" s="333">
        <f>F278*E285</f>
        <v>0.1368</v>
      </c>
      <c r="G285" s="7"/>
      <c r="H285" s="7"/>
      <c r="I285" s="7"/>
      <c r="J285" s="7"/>
      <c r="K285" s="7"/>
      <c r="L285" s="7"/>
      <c r="M285" s="7"/>
      <c r="N285" s="263"/>
    </row>
    <row r="286" spans="1:14" s="85" customFormat="1" ht="16.5">
      <c r="A286" s="587"/>
      <c r="B286" s="449"/>
      <c r="C286" s="92" t="s">
        <v>468</v>
      </c>
      <c r="D286" s="58" t="s">
        <v>5</v>
      </c>
      <c r="E286" s="59">
        <v>1.69</v>
      </c>
      <c r="F286" s="462">
        <f>F278*E286</f>
        <v>6.0839999999999996</v>
      </c>
      <c r="G286" s="7"/>
      <c r="H286" s="7"/>
      <c r="I286" s="7"/>
      <c r="J286" s="7"/>
      <c r="K286" s="7"/>
      <c r="L286" s="7"/>
      <c r="M286" s="7"/>
      <c r="N286" s="263"/>
    </row>
    <row r="287" spans="1:14" s="85" customFormat="1" ht="31.5">
      <c r="A287" s="588" t="s">
        <v>484</v>
      </c>
      <c r="B287" s="318" t="s">
        <v>469</v>
      </c>
      <c r="C287" s="510" t="s">
        <v>470</v>
      </c>
      <c r="D287" s="53" t="s">
        <v>71</v>
      </c>
      <c r="E287" s="498"/>
      <c r="F287" s="27">
        <v>2</v>
      </c>
      <c r="G287" s="461"/>
      <c r="H287" s="7"/>
      <c r="I287" s="461"/>
      <c r="J287" s="7"/>
      <c r="K287" s="461"/>
      <c r="L287" s="7"/>
      <c r="M287" s="7"/>
      <c r="N287" s="263"/>
    </row>
    <row r="288" spans="1:14" s="85" customFormat="1" ht="16.5">
      <c r="A288" s="588"/>
      <c r="B288" s="53"/>
      <c r="C288" s="92" t="s">
        <v>58</v>
      </c>
      <c r="D288" s="58" t="s">
        <v>9</v>
      </c>
      <c r="E288" s="59">
        <v>1.51</v>
      </c>
      <c r="F288" s="462">
        <f>F287*E288</f>
        <v>3.02</v>
      </c>
      <c r="G288" s="461"/>
      <c r="H288" s="7"/>
      <c r="I288" s="461"/>
      <c r="J288" s="7"/>
      <c r="K288" s="461"/>
      <c r="L288" s="7"/>
      <c r="M288" s="7"/>
      <c r="N288" s="263"/>
    </row>
    <row r="289" spans="1:14" s="85" customFormat="1" ht="16.5">
      <c r="A289" s="588"/>
      <c r="B289" s="53"/>
      <c r="C289" s="92" t="s">
        <v>377</v>
      </c>
      <c r="D289" s="58" t="s">
        <v>7</v>
      </c>
      <c r="E289" s="59">
        <v>0.02</v>
      </c>
      <c r="F289" s="462">
        <f>F287*E289</f>
        <v>0.04</v>
      </c>
      <c r="G289" s="461"/>
      <c r="H289" s="7"/>
      <c r="I289" s="461"/>
      <c r="J289" s="7"/>
      <c r="K289" s="461"/>
      <c r="L289" s="7"/>
      <c r="M289" s="7"/>
      <c r="N289" s="263"/>
    </row>
    <row r="290" spans="1:14" s="85" customFormat="1" ht="16.5">
      <c r="A290" s="588"/>
      <c r="B290" s="53"/>
      <c r="C290" s="92" t="s">
        <v>471</v>
      </c>
      <c r="D290" s="58" t="s">
        <v>23</v>
      </c>
      <c r="E290" s="59">
        <v>1</v>
      </c>
      <c r="F290" s="462">
        <f>F287*E290</f>
        <v>2</v>
      </c>
      <c r="G290" s="461"/>
      <c r="H290" s="7"/>
      <c r="I290" s="461"/>
      <c r="J290" s="7"/>
      <c r="K290" s="461"/>
      <c r="L290" s="7"/>
      <c r="M290" s="7"/>
      <c r="N290" s="263"/>
    </row>
    <row r="291" spans="1:14" s="85" customFormat="1" ht="16.5">
      <c r="A291" s="588"/>
      <c r="B291" s="53"/>
      <c r="C291" s="92" t="s">
        <v>472</v>
      </c>
      <c r="D291" s="58" t="s">
        <v>7</v>
      </c>
      <c r="E291" s="59">
        <v>0.28999999999999998</v>
      </c>
      <c r="F291" s="462">
        <f>F287*E291</f>
        <v>0.57999999999999996</v>
      </c>
      <c r="G291" s="461"/>
      <c r="H291" s="7"/>
      <c r="I291" s="461"/>
      <c r="J291" s="7"/>
      <c r="K291" s="461"/>
      <c r="L291" s="7"/>
      <c r="M291" s="7"/>
      <c r="N291" s="263"/>
    </row>
    <row r="292" spans="1:14" s="85" customFormat="1" ht="31.5">
      <c r="A292" s="588" t="s">
        <v>485</v>
      </c>
      <c r="B292" s="318" t="s">
        <v>473</v>
      </c>
      <c r="C292" s="510" t="s">
        <v>474</v>
      </c>
      <c r="D292" s="53" t="s">
        <v>75</v>
      </c>
      <c r="E292" s="498"/>
      <c r="F292" s="27">
        <f>F287*2.5</f>
        <v>5</v>
      </c>
      <c r="G292" s="461"/>
      <c r="H292" s="7"/>
      <c r="I292" s="461"/>
      <c r="J292" s="7"/>
      <c r="K292" s="461"/>
      <c r="L292" s="7"/>
      <c r="M292" s="7"/>
      <c r="N292" s="263"/>
    </row>
    <row r="293" spans="1:14" s="85" customFormat="1" ht="16.5">
      <c r="A293" s="588"/>
      <c r="B293" s="53"/>
      <c r="C293" s="92" t="s">
        <v>58</v>
      </c>
      <c r="D293" s="58" t="s">
        <v>9</v>
      </c>
      <c r="E293" s="59">
        <v>0.74</v>
      </c>
      <c r="F293" s="56">
        <f>F292*E293</f>
        <v>3.7</v>
      </c>
      <c r="G293" s="461"/>
      <c r="H293" s="7"/>
      <c r="I293" s="461"/>
      <c r="J293" s="7"/>
      <c r="K293" s="461"/>
      <c r="L293" s="7"/>
      <c r="M293" s="7"/>
      <c r="N293" s="263"/>
    </row>
    <row r="294" spans="1:14" s="85" customFormat="1" ht="16.5">
      <c r="A294" s="588"/>
      <c r="B294" s="53"/>
      <c r="C294" s="92" t="s">
        <v>475</v>
      </c>
      <c r="D294" s="58" t="s">
        <v>7</v>
      </c>
      <c r="E294" s="59">
        <v>6.6199999999999995E-2</v>
      </c>
      <c r="F294" s="56">
        <f>F292*E294</f>
        <v>0.33099999999999996</v>
      </c>
      <c r="G294" s="461"/>
      <c r="H294" s="7"/>
      <c r="I294" s="461"/>
      <c r="J294" s="7"/>
      <c r="K294" s="461"/>
      <c r="L294" s="7"/>
      <c r="M294" s="7"/>
      <c r="N294" s="263"/>
    </row>
    <row r="295" spans="1:14" s="85" customFormat="1" ht="16.5">
      <c r="A295" s="588"/>
      <c r="B295" s="53"/>
      <c r="C295" s="92" t="s">
        <v>476</v>
      </c>
      <c r="D295" s="55" t="s">
        <v>477</v>
      </c>
      <c r="E295" s="59">
        <v>1.05</v>
      </c>
      <c r="F295" s="56">
        <f>F292*E295</f>
        <v>5.25</v>
      </c>
      <c r="G295" s="461"/>
      <c r="H295" s="7"/>
      <c r="I295" s="461"/>
      <c r="J295" s="7"/>
      <c r="K295" s="461"/>
      <c r="L295" s="7"/>
      <c r="M295" s="7"/>
      <c r="N295" s="263"/>
    </row>
    <row r="296" spans="1:14" s="85" customFormat="1" ht="16.5">
      <c r="A296" s="588"/>
      <c r="B296" s="449"/>
      <c r="C296" s="92" t="s">
        <v>93</v>
      </c>
      <c r="D296" s="58" t="s">
        <v>5</v>
      </c>
      <c r="E296" s="59">
        <v>0.128</v>
      </c>
      <c r="F296" s="56">
        <f>F292*E296</f>
        <v>0.64</v>
      </c>
      <c r="G296" s="461"/>
      <c r="H296" s="7"/>
      <c r="I296" s="461"/>
      <c r="J296" s="7"/>
      <c r="K296" s="461"/>
      <c r="L296" s="7"/>
      <c r="M296" s="7"/>
      <c r="N296" s="263"/>
    </row>
    <row r="297" spans="1:14" s="85" customFormat="1" ht="16.5">
      <c r="A297" s="588"/>
      <c r="B297" s="449"/>
      <c r="C297" s="92" t="s">
        <v>467</v>
      </c>
      <c r="D297" s="58" t="s">
        <v>5</v>
      </c>
      <c r="E297" s="59">
        <v>0.128</v>
      </c>
      <c r="F297" s="56">
        <f>F292*E297</f>
        <v>0.64</v>
      </c>
      <c r="G297" s="461"/>
      <c r="H297" s="7"/>
      <c r="I297" s="461"/>
      <c r="J297" s="7"/>
      <c r="K297" s="461"/>
      <c r="L297" s="7"/>
      <c r="M297" s="7"/>
      <c r="N297" s="263"/>
    </row>
    <row r="298" spans="1:14" s="85" customFormat="1" ht="16.5">
      <c r="A298" s="588"/>
      <c r="B298" s="449"/>
      <c r="C298" s="92" t="s">
        <v>468</v>
      </c>
      <c r="D298" s="58" t="s">
        <v>5</v>
      </c>
      <c r="E298" s="59">
        <v>0.112</v>
      </c>
      <c r="F298" s="56">
        <f>F292*E298</f>
        <v>0.56000000000000005</v>
      </c>
      <c r="G298" s="461"/>
      <c r="H298" s="7"/>
      <c r="I298" s="461"/>
      <c r="J298" s="7"/>
      <c r="K298" s="461"/>
      <c r="L298" s="7"/>
      <c r="M298" s="7"/>
      <c r="N298" s="263"/>
    </row>
    <row r="299" spans="1:14" s="85" customFormat="1" ht="16.5">
      <c r="A299" s="588"/>
      <c r="B299" s="449"/>
      <c r="C299" s="92" t="s">
        <v>472</v>
      </c>
      <c r="D299" s="58" t="s">
        <v>7</v>
      </c>
      <c r="E299" s="59">
        <v>0.13300000000000001</v>
      </c>
      <c r="F299" s="56">
        <f>F292*E299</f>
        <v>0.66500000000000004</v>
      </c>
      <c r="G299" s="7"/>
      <c r="H299" s="7"/>
      <c r="I299" s="7"/>
      <c r="J299" s="7"/>
      <c r="K299" s="7"/>
      <c r="L299" s="7"/>
      <c r="M299" s="7"/>
      <c r="N299" s="263"/>
    </row>
    <row r="300" spans="1:14" s="85" customFormat="1" ht="47.25">
      <c r="A300" s="559" t="s">
        <v>327</v>
      </c>
      <c r="B300" s="234" t="s">
        <v>363</v>
      </c>
      <c r="C300" s="73" t="s">
        <v>441</v>
      </c>
      <c r="D300" s="239" t="s">
        <v>45</v>
      </c>
      <c r="E300" s="323"/>
      <c r="F300" s="27">
        <f>F196</f>
        <v>18.64</v>
      </c>
      <c r="G300" s="7"/>
      <c r="H300" s="7"/>
      <c r="I300" s="7"/>
      <c r="J300" s="7"/>
      <c r="K300" s="7"/>
      <c r="L300" s="7"/>
      <c r="M300" s="7"/>
      <c r="N300" s="263"/>
    </row>
    <row r="301" spans="1:14" s="85" customFormat="1" ht="16.5">
      <c r="A301" s="559"/>
      <c r="B301" s="234"/>
      <c r="C301" s="52" t="s">
        <v>44</v>
      </c>
      <c r="D301" s="22" t="s">
        <v>15</v>
      </c>
      <c r="E301" s="23">
        <v>0.93</v>
      </c>
      <c r="F301" s="24">
        <f>E301*F300</f>
        <v>17.3352</v>
      </c>
      <c r="G301" s="7"/>
      <c r="H301" s="7"/>
      <c r="I301" s="7"/>
      <c r="J301" s="7"/>
      <c r="K301" s="7"/>
      <c r="L301" s="7"/>
      <c r="M301" s="7"/>
      <c r="N301" s="263"/>
    </row>
    <row r="302" spans="1:14" s="85" customFormat="1" ht="16.5">
      <c r="A302" s="559"/>
      <c r="B302" s="234" t="s">
        <v>98</v>
      </c>
      <c r="C302" s="52" t="s">
        <v>364</v>
      </c>
      <c r="D302" s="22" t="s">
        <v>16</v>
      </c>
      <c r="E302" s="23">
        <v>2.4E-2</v>
      </c>
      <c r="F302" s="24">
        <f>E302*F300</f>
        <v>0.44736000000000004</v>
      </c>
      <c r="G302" s="7"/>
      <c r="H302" s="7"/>
      <c r="I302" s="7"/>
      <c r="J302" s="7"/>
      <c r="K302" s="7"/>
      <c r="L302" s="7"/>
      <c r="M302" s="7"/>
      <c r="N302" s="263"/>
    </row>
    <row r="303" spans="1:14" s="85" customFormat="1" ht="16.5">
      <c r="A303" s="559"/>
      <c r="B303" s="234"/>
      <c r="C303" s="52" t="s">
        <v>8</v>
      </c>
      <c r="D303" s="22" t="s">
        <v>7</v>
      </c>
      <c r="E303" s="23">
        <v>2.5999999999999999E-2</v>
      </c>
      <c r="F303" s="24">
        <f>E303*F300</f>
        <v>0.48464000000000002</v>
      </c>
      <c r="G303" s="7"/>
      <c r="H303" s="7"/>
      <c r="I303" s="7"/>
      <c r="J303" s="7"/>
      <c r="K303" s="7"/>
      <c r="L303" s="7"/>
      <c r="M303" s="7"/>
      <c r="N303" s="263"/>
    </row>
    <row r="304" spans="1:14" s="85" customFormat="1" ht="31.5">
      <c r="A304" s="559"/>
      <c r="B304" s="234"/>
      <c r="C304" s="52" t="s">
        <v>358</v>
      </c>
      <c r="D304" s="22" t="s">
        <v>36</v>
      </c>
      <c r="E304" s="23" t="s">
        <v>365</v>
      </c>
      <c r="F304" s="24">
        <f>E304*F300</f>
        <v>0.47531999999999996</v>
      </c>
      <c r="G304" s="7"/>
      <c r="H304" s="7"/>
      <c r="I304" s="7"/>
      <c r="J304" s="7"/>
      <c r="K304" s="7"/>
      <c r="L304" s="7"/>
      <c r="M304" s="7"/>
      <c r="N304" s="263"/>
    </row>
    <row r="305" spans="1:14" s="85" customFormat="1" ht="63">
      <c r="A305" s="559" t="s">
        <v>486</v>
      </c>
      <c r="B305" s="234" t="s">
        <v>367</v>
      </c>
      <c r="C305" s="73" t="s">
        <v>368</v>
      </c>
      <c r="D305" s="239" t="s">
        <v>33</v>
      </c>
      <c r="E305" s="323"/>
      <c r="F305" s="27">
        <f>F300+(0.8+2.1*2)*2*0.1</f>
        <v>19.64</v>
      </c>
      <c r="G305" s="7"/>
      <c r="H305" s="7"/>
      <c r="I305" s="7"/>
      <c r="J305" s="7"/>
      <c r="K305" s="7"/>
      <c r="L305" s="7"/>
      <c r="M305" s="7"/>
      <c r="N305" s="263"/>
    </row>
    <row r="306" spans="1:14" s="85" customFormat="1" ht="16.5">
      <c r="A306" s="559"/>
      <c r="B306" s="234"/>
      <c r="C306" s="52" t="s">
        <v>44</v>
      </c>
      <c r="D306" s="22" t="s">
        <v>15</v>
      </c>
      <c r="E306" s="23">
        <v>0.65800000000000003</v>
      </c>
      <c r="F306" s="24">
        <f>E306*F305</f>
        <v>12.923120000000001</v>
      </c>
      <c r="G306" s="7"/>
      <c r="H306" s="7"/>
      <c r="I306" s="7"/>
      <c r="J306" s="7"/>
      <c r="K306" s="7"/>
      <c r="L306" s="7"/>
      <c r="M306" s="7"/>
      <c r="N306" s="263"/>
    </row>
    <row r="307" spans="1:14" s="85" customFormat="1" ht="16.5">
      <c r="A307" s="559"/>
      <c r="B307" s="234"/>
      <c r="C307" s="52" t="s">
        <v>8</v>
      </c>
      <c r="D307" s="22" t="s">
        <v>7</v>
      </c>
      <c r="E307" s="23">
        <v>0.01</v>
      </c>
      <c r="F307" s="24">
        <f>E307*F305</f>
        <v>0.19640000000000002</v>
      </c>
      <c r="G307" s="7"/>
      <c r="H307" s="7"/>
      <c r="I307" s="7"/>
      <c r="J307" s="7"/>
      <c r="K307" s="7"/>
      <c r="L307" s="7"/>
      <c r="M307" s="7"/>
      <c r="N307" s="263"/>
    </row>
    <row r="308" spans="1:14" s="85" customFormat="1" ht="16.5">
      <c r="A308" s="559"/>
      <c r="B308" s="234"/>
      <c r="C308" s="52" t="s">
        <v>369</v>
      </c>
      <c r="D308" s="22" t="s">
        <v>5</v>
      </c>
      <c r="E308" s="23">
        <v>0.5</v>
      </c>
      <c r="F308" s="24">
        <f>F305*E308</f>
        <v>9.82</v>
      </c>
      <c r="G308" s="7"/>
      <c r="H308" s="7"/>
      <c r="I308" s="7"/>
      <c r="J308" s="7"/>
      <c r="K308" s="7"/>
      <c r="L308" s="7"/>
      <c r="M308" s="7"/>
      <c r="N308" s="263"/>
    </row>
    <row r="309" spans="1:14" s="85" customFormat="1" ht="16.5">
      <c r="A309" s="559"/>
      <c r="B309" s="234"/>
      <c r="C309" s="52" t="s">
        <v>370</v>
      </c>
      <c r="D309" s="22" t="s">
        <v>52</v>
      </c>
      <c r="E309" s="23">
        <v>0.05</v>
      </c>
      <c r="F309" s="24">
        <f>F305*E309</f>
        <v>0.9820000000000001</v>
      </c>
      <c r="G309" s="7"/>
      <c r="H309" s="7"/>
      <c r="I309" s="7"/>
      <c r="J309" s="7"/>
      <c r="K309" s="7"/>
      <c r="L309" s="7"/>
      <c r="M309" s="7"/>
      <c r="N309" s="263"/>
    </row>
    <row r="310" spans="1:14" s="85" customFormat="1" ht="16.5">
      <c r="A310" s="559"/>
      <c r="B310" s="234"/>
      <c r="C310" s="52" t="s">
        <v>371</v>
      </c>
      <c r="D310" s="22" t="s">
        <v>5</v>
      </c>
      <c r="E310" s="23">
        <v>0.15</v>
      </c>
      <c r="F310" s="24">
        <f>F305*E310</f>
        <v>2.9460000000000002</v>
      </c>
      <c r="G310" s="7"/>
      <c r="H310" s="7"/>
      <c r="I310" s="7"/>
      <c r="J310" s="7"/>
      <c r="K310" s="7"/>
      <c r="L310" s="7"/>
      <c r="M310" s="7"/>
      <c r="N310" s="263"/>
    </row>
    <row r="311" spans="1:14" s="85" customFormat="1" ht="16.5">
      <c r="A311" s="559"/>
      <c r="B311" s="234"/>
      <c r="C311" s="52" t="s">
        <v>372</v>
      </c>
      <c r="D311" s="22" t="s">
        <v>83</v>
      </c>
      <c r="E311" s="23">
        <v>0.45</v>
      </c>
      <c r="F311" s="24">
        <f>E311*F305</f>
        <v>8.838000000000001</v>
      </c>
      <c r="G311" s="7"/>
      <c r="H311" s="7"/>
      <c r="I311" s="7"/>
      <c r="J311" s="7"/>
      <c r="K311" s="7"/>
      <c r="L311" s="7"/>
      <c r="M311" s="7"/>
      <c r="N311" s="263"/>
    </row>
    <row r="312" spans="1:14" s="85" customFormat="1" ht="16.5">
      <c r="A312" s="559"/>
      <c r="B312" s="234"/>
      <c r="C312" s="52" t="s">
        <v>10</v>
      </c>
      <c r="D312" s="22" t="s">
        <v>7</v>
      </c>
      <c r="E312" s="23">
        <v>1.2999999999999999E-3</v>
      </c>
      <c r="F312" s="24">
        <f>E312*F305</f>
        <v>2.5531999999999999E-2</v>
      </c>
      <c r="G312" s="7"/>
      <c r="H312" s="7"/>
      <c r="I312" s="7"/>
      <c r="J312" s="7"/>
      <c r="K312" s="7"/>
      <c r="L312" s="7"/>
      <c r="M312" s="7"/>
      <c r="N312" s="263"/>
    </row>
    <row r="313" spans="1:14" s="85" customFormat="1" ht="16.5">
      <c r="A313" s="440"/>
      <c r="B313" s="239"/>
      <c r="C313" s="170"/>
      <c r="D313" s="239"/>
      <c r="E313" s="325"/>
      <c r="F313" s="325"/>
      <c r="G313" s="324"/>
      <c r="H313" s="324"/>
      <c r="I313" s="324"/>
      <c r="J313" s="324"/>
      <c r="K313" s="324"/>
      <c r="L313" s="324"/>
      <c r="M313" s="324"/>
      <c r="N313" s="263"/>
    </row>
    <row r="314" spans="1:14" s="91" customFormat="1" ht="126">
      <c r="A314" s="531" t="s">
        <v>57</v>
      </c>
      <c r="B314" s="241" t="s">
        <v>152</v>
      </c>
      <c r="C314" s="73" t="s">
        <v>282</v>
      </c>
      <c r="D314" s="8" t="s">
        <v>12</v>
      </c>
      <c r="E314" s="251"/>
      <c r="F314" s="27">
        <v>10</v>
      </c>
      <c r="G314" s="248"/>
      <c r="H314" s="248"/>
      <c r="I314" s="248"/>
      <c r="J314" s="248"/>
      <c r="K314" s="248"/>
      <c r="L314" s="248"/>
      <c r="M314" s="248"/>
      <c r="N314" s="265"/>
    </row>
    <row r="315" spans="1:14" s="91" customFormat="1" ht="16.5">
      <c r="A315" s="531"/>
      <c r="B315" s="239"/>
      <c r="C315" s="147" t="s">
        <v>58</v>
      </c>
      <c r="D315" s="55" t="s">
        <v>9</v>
      </c>
      <c r="E315" s="94">
        <v>0.6</v>
      </c>
      <c r="F315" s="56">
        <f>F314*E315</f>
        <v>6</v>
      </c>
      <c r="G315" s="20"/>
      <c r="H315" s="248"/>
      <c r="I315" s="20"/>
      <c r="J315" s="248"/>
      <c r="K315" s="248"/>
      <c r="L315" s="248"/>
      <c r="M315" s="248"/>
      <c r="N315" s="265"/>
    </row>
    <row r="316" spans="1:14" s="91" customFormat="1" ht="47.25">
      <c r="A316" s="531"/>
      <c r="B316" s="96" t="s">
        <v>103</v>
      </c>
      <c r="C316" s="148" t="s">
        <v>59</v>
      </c>
      <c r="D316" s="8" t="s">
        <v>46</v>
      </c>
      <c r="E316" s="94"/>
      <c r="F316" s="97">
        <f>F314*1.65</f>
        <v>16.5</v>
      </c>
      <c r="G316" s="20"/>
      <c r="H316" s="248"/>
      <c r="I316" s="20"/>
      <c r="J316" s="248"/>
      <c r="K316" s="20"/>
      <c r="L316" s="248"/>
      <c r="M316" s="248"/>
      <c r="N316" s="265"/>
    </row>
    <row r="317" spans="1:14" s="91" customFormat="1" ht="16.5">
      <c r="A317" s="531"/>
      <c r="B317" s="452"/>
      <c r="C317" s="54" t="s">
        <v>60</v>
      </c>
      <c r="D317" s="55" t="s">
        <v>9</v>
      </c>
      <c r="E317" s="94">
        <v>0.53</v>
      </c>
      <c r="F317" s="56">
        <f>F316*E317</f>
        <v>8.745000000000001</v>
      </c>
      <c r="G317" s="20"/>
      <c r="H317" s="248"/>
      <c r="I317" s="20"/>
      <c r="J317" s="248"/>
      <c r="K317" s="20"/>
      <c r="L317" s="248"/>
      <c r="M317" s="248"/>
      <c r="N317" s="265"/>
    </row>
    <row r="318" spans="1:14" s="91" customFormat="1" ht="31.5">
      <c r="A318" s="531"/>
      <c r="B318" s="239" t="s">
        <v>153</v>
      </c>
      <c r="C318" s="149" t="s">
        <v>299</v>
      </c>
      <c r="D318" s="8" t="s">
        <v>46</v>
      </c>
      <c r="E318" s="94"/>
      <c r="F318" s="97">
        <f>F316</f>
        <v>16.5</v>
      </c>
      <c r="G318" s="20"/>
      <c r="H318" s="248"/>
      <c r="I318" s="20"/>
      <c r="J318" s="248"/>
      <c r="K318" s="19"/>
      <c r="L318" s="248"/>
      <c r="M318" s="248"/>
      <c r="N318" s="265"/>
    </row>
    <row r="319" spans="1:14" s="91" customFormat="1" ht="16.5">
      <c r="A319" s="440"/>
      <c r="B319" s="239"/>
      <c r="C319" s="73"/>
      <c r="D319" s="8"/>
      <c r="E319" s="251"/>
      <c r="F319" s="251"/>
      <c r="G319" s="248"/>
      <c r="H319" s="248"/>
      <c r="I319" s="248"/>
      <c r="J319" s="248"/>
      <c r="K319" s="248"/>
      <c r="L319" s="248"/>
      <c r="M319" s="248"/>
      <c r="N319" s="265"/>
    </row>
    <row r="320" spans="1:14" s="85" customFormat="1" ht="16.5">
      <c r="A320" s="440"/>
      <c r="B320" s="239"/>
      <c r="C320" s="73"/>
      <c r="D320" s="8"/>
      <c r="E320" s="251"/>
      <c r="F320" s="251"/>
      <c r="G320" s="248"/>
      <c r="H320" s="248"/>
      <c r="I320" s="248"/>
      <c r="J320" s="248"/>
      <c r="K320" s="248"/>
      <c r="L320" s="248"/>
      <c r="M320" s="248"/>
      <c r="N320" s="263"/>
    </row>
    <row r="321" spans="1:14" s="85" customFormat="1" ht="31.5">
      <c r="A321" s="479"/>
      <c r="B321" s="425"/>
      <c r="C321" s="414" t="s">
        <v>204</v>
      </c>
      <c r="D321" s="425"/>
      <c r="E321" s="426"/>
      <c r="F321" s="427"/>
      <c r="G321" s="428"/>
      <c r="H321" s="428"/>
      <c r="I321" s="428"/>
      <c r="J321" s="428"/>
      <c r="K321" s="428"/>
      <c r="L321" s="428"/>
      <c r="M321" s="428"/>
      <c r="N321" s="429">
        <f>H321+J321+L321</f>
        <v>0</v>
      </c>
    </row>
    <row r="322" spans="1:14" s="85" customFormat="1" ht="31.5">
      <c r="A322" s="480"/>
      <c r="B322" s="391"/>
      <c r="C322" s="392" t="s">
        <v>405</v>
      </c>
      <c r="D322" s="391"/>
      <c r="E322" s="393"/>
      <c r="F322" s="394" t="s">
        <v>504</v>
      </c>
      <c r="G322" s="395"/>
      <c r="H322" s="395"/>
      <c r="I322" s="395"/>
      <c r="J322" s="395"/>
      <c r="K322" s="395"/>
      <c r="L322" s="395"/>
      <c r="M322" s="396"/>
      <c r="N322" s="263"/>
    </row>
    <row r="323" spans="1:14" s="85" customFormat="1" ht="16.5">
      <c r="A323" s="480"/>
      <c r="B323" s="391"/>
      <c r="C323" s="397" t="s">
        <v>20</v>
      </c>
      <c r="D323" s="391"/>
      <c r="E323" s="393"/>
      <c r="F323" s="398"/>
      <c r="G323" s="395"/>
      <c r="H323" s="395"/>
      <c r="I323" s="395"/>
      <c r="J323" s="395"/>
      <c r="K323" s="395"/>
      <c r="L323" s="395"/>
      <c r="M323" s="396"/>
      <c r="N323" s="263"/>
    </row>
    <row r="324" spans="1:14" s="85" customFormat="1" ht="16.5">
      <c r="A324" s="481"/>
      <c r="B324" s="400"/>
      <c r="C324" s="401" t="s">
        <v>406</v>
      </c>
      <c r="D324" s="402"/>
      <c r="E324" s="403"/>
      <c r="F324" s="404" t="s">
        <v>504</v>
      </c>
      <c r="G324" s="373"/>
      <c r="H324" s="373"/>
      <c r="I324" s="373"/>
      <c r="J324" s="373"/>
      <c r="K324" s="373"/>
      <c r="L324" s="373"/>
      <c r="M324" s="373"/>
      <c r="N324" s="263"/>
    </row>
    <row r="325" spans="1:14" s="177" customFormat="1" ht="16.5">
      <c r="A325" s="482"/>
      <c r="B325" s="406"/>
      <c r="C325" s="397" t="s">
        <v>20</v>
      </c>
      <c r="D325" s="407"/>
      <c r="E325" s="408"/>
      <c r="F325" s="409"/>
      <c r="G325" s="377"/>
      <c r="H325" s="377"/>
      <c r="I325" s="377"/>
      <c r="J325" s="377"/>
      <c r="K325" s="377"/>
      <c r="L325" s="377"/>
      <c r="M325" s="377"/>
      <c r="N325" s="266"/>
    </row>
    <row r="326" spans="1:14" s="85" customFormat="1" ht="16.5">
      <c r="A326" s="482"/>
      <c r="B326" s="406"/>
      <c r="C326" s="410" t="s">
        <v>80</v>
      </c>
      <c r="D326" s="407"/>
      <c r="E326" s="408"/>
      <c r="F326" s="411" t="s">
        <v>504</v>
      </c>
      <c r="G326" s="377"/>
      <c r="H326" s="377"/>
      <c r="I326" s="377"/>
      <c r="J326" s="377"/>
      <c r="K326" s="377"/>
      <c r="L326" s="377"/>
      <c r="M326" s="377"/>
      <c r="N326" s="263"/>
    </row>
    <row r="327" spans="1:14" s="177" customFormat="1" ht="16.5">
      <c r="A327" s="483"/>
      <c r="B327" s="413"/>
      <c r="C327" s="414" t="s">
        <v>407</v>
      </c>
      <c r="D327" s="415"/>
      <c r="E327" s="416"/>
      <c r="F327" s="417"/>
      <c r="G327" s="418"/>
      <c r="H327" s="418"/>
      <c r="I327" s="418"/>
      <c r="J327" s="418"/>
      <c r="K327" s="418"/>
      <c r="L327" s="418"/>
      <c r="M327" s="419"/>
      <c r="N327" s="266"/>
    </row>
    <row r="328" spans="1:14" s="85" customFormat="1" ht="31.5">
      <c r="A328" s="482"/>
      <c r="B328" s="406"/>
      <c r="C328" s="410" t="s">
        <v>4</v>
      </c>
      <c r="D328" s="407"/>
      <c r="E328" s="408"/>
      <c r="F328" s="420" t="s">
        <v>61</v>
      </c>
      <c r="G328" s="377"/>
      <c r="H328" s="377"/>
      <c r="I328" s="377"/>
      <c r="J328" s="377"/>
      <c r="K328" s="377"/>
      <c r="L328" s="377"/>
      <c r="M328" s="377"/>
      <c r="N328" s="263"/>
    </row>
    <row r="329" spans="1:14" s="85" customFormat="1" ht="16.5">
      <c r="A329" s="482"/>
      <c r="B329" s="406"/>
      <c r="C329" s="432" t="s">
        <v>20</v>
      </c>
      <c r="D329" s="407"/>
      <c r="E329" s="408"/>
      <c r="F329" s="421"/>
      <c r="G329" s="377"/>
      <c r="H329" s="377"/>
      <c r="I329" s="377"/>
      <c r="J329" s="377"/>
      <c r="K329" s="377"/>
      <c r="L329" s="377"/>
      <c r="M329" s="377"/>
      <c r="N329" s="263"/>
    </row>
    <row r="330" spans="1:14" s="85" customFormat="1" ht="31.5">
      <c r="A330" s="482"/>
      <c r="B330" s="406"/>
      <c r="C330" s="433" t="s">
        <v>408</v>
      </c>
      <c r="D330" s="407"/>
      <c r="E330" s="408"/>
      <c r="F330" s="423" t="s">
        <v>504</v>
      </c>
      <c r="G330" s="377"/>
      <c r="H330" s="377"/>
      <c r="I330" s="377"/>
      <c r="J330" s="377"/>
      <c r="K330" s="377"/>
      <c r="L330" s="377"/>
      <c r="M330" s="377"/>
      <c r="N330" s="263"/>
    </row>
    <row r="331" spans="1:14" s="85" customFormat="1" ht="16.5">
      <c r="A331" s="482"/>
      <c r="B331" s="406"/>
      <c r="C331" s="432" t="s">
        <v>20</v>
      </c>
      <c r="D331" s="407"/>
      <c r="E331" s="408"/>
      <c r="F331" s="421"/>
      <c r="G331" s="377"/>
      <c r="H331" s="377"/>
      <c r="I331" s="377"/>
      <c r="J331" s="377"/>
      <c r="K331" s="377"/>
      <c r="L331" s="377"/>
      <c r="M331" s="377"/>
      <c r="N331" s="263"/>
    </row>
    <row r="332" spans="1:14" s="85" customFormat="1" ht="16.5">
      <c r="A332" s="482"/>
      <c r="B332" s="406"/>
      <c r="C332" s="434" t="s">
        <v>409</v>
      </c>
      <c r="D332" s="407"/>
      <c r="E332" s="408"/>
      <c r="F332" s="420" t="s">
        <v>62</v>
      </c>
      <c r="G332" s="377"/>
      <c r="H332" s="377"/>
      <c r="I332" s="377"/>
      <c r="J332" s="377"/>
      <c r="K332" s="377"/>
      <c r="L332" s="377"/>
      <c r="M332" s="377"/>
      <c r="N332" s="263"/>
    </row>
    <row r="333" spans="1:14" s="85" customFormat="1" ht="16.5">
      <c r="A333" s="479"/>
      <c r="B333" s="425"/>
      <c r="C333" s="414" t="s">
        <v>407</v>
      </c>
      <c r="D333" s="425"/>
      <c r="E333" s="426"/>
      <c r="F333" s="427"/>
      <c r="G333" s="428"/>
      <c r="H333" s="428"/>
      <c r="I333" s="428"/>
      <c r="J333" s="428"/>
      <c r="K333" s="428"/>
      <c r="L333" s="428"/>
      <c r="M333" s="83"/>
      <c r="N333" s="263"/>
    </row>
    <row r="334" spans="1:14" s="85" customFormat="1" ht="16.5">
      <c r="A334" s="484"/>
      <c r="B334" s="86"/>
      <c r="D334" s="86"/>
      <c r="E334" s="178"/>
      <c r="F334" s="178"/>
      <c r="G334" s="101"/>
      <c r="H334" s="113"/>
      <c r="I334" s="113"/>
      <c r="J334" s="101"/>
      <c r="K334" s="101"/>
      <c r="L334" s="101"/>
      <c r="M334" s="101"/>
      <c r="N334" s="263"/>
    </row>
    <row r="335" spans="1:14" s="85" customFormat="1" ht="16.5">
      <c r="A335" s="484"/>
      <c r="B335" s="86"/>
      <c r="C335" s="134"/>
      <c r="D335" s="179"/>
      <c r="E335" s="180"/>
      <c r="F335" s="178"/>
      <c r="G335" s="101"/>
      <c r="H335" s="101"/>
      <c r="I335" s="101"/>
      <c r="J335" s="101"/>
      <c r="K335" s="101"/>
      <c r="L335" s="101"/>
      <c r="M335" s="101"/>
      <c r="N335" s="263"/>
    </row>
  </sheetData>
  <mergeCells count="74">
    <mergeCell ref="A278:A286"/>
    <mergeCell ref="A287:A291"/>
    <mergeCell ref="A292:A299"/>
    <mergeCell ref="A46:A52"/>
    <mergeCell ref="B46:B47"/>
    <mergeCell ref="A239:A244"/>
    <mergeCell ref="A125:A126"/>
    <mergeCell ref="A117:A122"/>
    <mergeCell ref="A211:A215"/>
    <mergeCell ref="A227:A233"/>
    <mergeCell ref="A180:A182"/>
    <mergeCell ref="A183:A186"/>
    <mergeCell ref="A253:A258"/>
    <mergeCell ref="A259:A265"/>
    <mergeCell ref="A266:A269"/>
    <mergeCell ref="A270:A277"/>
    <mergeCell ref="A190:A192"/>
    <mergeCell ref="A187:A189"/>
    <mergeCell ref="A234:A238"/>
    <mergeCell ref="A216:A219"/>
    <mergeCell ref="A220:A226"/>
    <mergeCell ref="A172:A174"/>
    <mergeCell ref="A56:A61"/>
    <mergeCell ref="A62:A68"/>
    <mergeCell ref="B62:B63"/>
    <mergeCell ref="A69:A74"/>
    <mergeCell ref="A127:A128"/>
    <mergeCell ref="A130:A134"/>
    <mergeCell ref="A135:A142"/>
    <mergeCell ref="A143:A148"/>
    <mergeCell ref="B105:B106"/>
    <mergeCell ref="C105:C106"/>
    <mergeCell ref="A111:A116"/>
    <mergeCell ref="A87:A93"/>
    <mergeCell ref="A77:A78"/>
    <mergeCell ref="A82:A86"/>
    <mergeCell ref="A105:A110"/>
    <mergeCell ref="A314:A318"/>
    <mergeCell ref="A79:A81"/>
    <mergeCell ref="A95:A96"/>
    <mergeCell ref="A97:A99"/>
    <mergeCell ref="A100:A104"/>
    <mergeCell ref="A159:A160"/>
    <mergeCell ref="A151:A153"/>
    <mergeCell ref="A245:A251"/>
    <mergeCell ref="A300:A304"/>
    <mergeCell ref="A305:A312"/>
    <mergeCell ref="A193:A195"/>
    <mergeCell ref="A205:A210"/>
    <mergeCell ref="A178:A179"/>
    <mergeCell ref="A175:A177"/>
    <mergeCell ref="A196:A198"/>
    <mergeCell ref="A199:A203"/>
    <mergeCell ref="A1:M1"/>
    <mergeCell ref="A2:M2"/>
    <mergeCell ref="A3:M3"/>
    <mergeCell ref="A5:M5"/>
    <mergeCell ref="A7:A8"/>
    <mergeCell ref="B7:B8"/>
    <mergeCell ref="C7:C8"/>
    <mergeCell ref="D7:D8"/>
    <mergeCell ref="E7:F7"/>
    <mergeCell ref="G7:H7"/>
    <mergeCell ref="I7:J7"/>
    <mergeCell ref="K7:L7"/>
    <mergeCell ref="M7:M8"/>
    <mergeCell ref="A155:A157"/>
    <mergeCell ref="A12:A14"/>
    <mergeCell ref="A15:A17"/>
    <mergeCell ref="A31:A35"/>
    <mergeCell ref="A21:A23"/>
    <mergeCell ref="A18:A20"/>
    <mergeCell ref="A40:A45"/>
    <mergeCell ref="A24:A29"/>
  </mergeCells>
  <conditionalFormatting sqref="C149:D149">
    <cfRule type="cellIs" dxfId="4" priority="13" stopIfTrue="1" operator="equal">
      <formula>8223.307275</formula>
    </cfRule>
  </conditionalFormatting>
  <conditionalFormatting sqref="C102:D104">
    <cfRule type="cellIs" dxfId="3" priority="5" stopIfTrue="1" operator="equal">
      <formula>8223.307275</formula>
    </cfRule>
  </conditionalFormatting>
  <conditionalFormatting sqref="C147">
    <cfRule type="cellIs" dxfId="2" priority="2" stopIfTrue="1" operator="equal">
      <formula>8223.307275</formula>
    </cfRule>
  </conditionalFormatting>
  <conditionalFormatting sqref="D143:D144 C148 D146:D148">
    <cfRule type="cellIs" dxfId="1" priority="4" stopIfTrue="1" operator="equal">
      <formula>8223.307275</formula>
    </cfRule>
  </conditionalFormatting>
  <conditionalFormatting sqref="C143">
    <cfRule type="cellIs" dxfId="0" priority="3" stopIfTrue="1" operator="equal">
      <formula>8223.307275</formula>
    </cfRule>
  </conditionalFormatting>
  <pageMargins left="0.62" right="0.11811023622047245" top="0.5" bottom="0.53" header="0.23622047244094491" footer="0.28999999999999998"/>
  <pageSetup paperSize="9" orientation="landscape" horizontalDpi="1200" verticalDpi="1200" r:id="rId1"/>
  <headerFooter>
    <oddHeader>&amp;R&amp;P--&amp;N</oddHeader>
    <oddFooter>&amp;R&amp;P--&amp;N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95"/>
  <sheetViews>
    <sheetView topLeftCell="A89" zoomScale="80" zoomScaleNormal="80" workbookViewId="0">
      <selection activeCell="C98" sqref="C97:C98"/>
    </sheetView>
  </sheetViews>
  <sheetFormatPr defaultRowHeight="15"/>
  <cols>
    <col min="1" max="1" width="4.42578125" bestFit="1" customWidth="1"/>
    <col min="2" max="2" width="7.5703125" customWidth="1"/>
    <col min="3" max="3" width="32.140625" customWidth="1"/>
    <col min="4" max="4" width="5.7109375" customWidth="1"/>
    <col min="5" max="5" width="9.140625" style="276"/>
    <col min="6" max="6" width="7.85546875" style="276" customWidth="1"/>
    <col min="7" max="7" width="8.85546875" style="279" customWidth="1"/>
    <col min="8" max="8" width="10" style="279" customWidth="1"/>
    <col min="9" max="9" width="6.85546875" style="279" customWidth="1"/>
    <col min="10" max="10" width="9.140625" style="279"/>
    <col min="11" max="11" width="6.85546875" style="279" customWidth="1"/>
    <col min="12" max="12" width="7.5703125" style="279" customWidth="1"/>
    <col min="13" max="13" width="11.85546875" style="279" customWidth="1"/>
    <col min="14" max="15" width="31" customWidth="1"/>
  </cols>
  <sheetData>
    <row r="1" spans="1:13" s="89" customFormat="1" ht="38.25" customHeight="1">
      <c r="A1" s="535" t="str">
        <f>krebsiti!A3</f>
        <v>q.dmanisSi wn.ninos q.#38-is mimdebared s.k.#82.01.46.505 skveris reabilitaciis samuSaoebi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</row>
    <row r="2" spans="1:13" s="89" customFormat="1" ht="21">
      <c r="A2" s="536" t="s">
        <v>140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</row>
    <row r="3" spans="1:13" s="89" customFormat="1" ht="15.75">
      <c r="A3" s="535" t="s">
        <v>206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</row>
    <row r="4" spans="1:13" s="89" customFormat="1" ht="15.75">
      <c r="A4" s="87"/>
      <c r="B4" s="87"/>
      <c r="C4" s="87"/>
      <c r="D4" s="87"/>
      <c r="E4" s="250"/>
      <c r="F4" s="250"/>
      <c r="G4" s="88"/>
      <c r="H4" s="88"/>
      <c r="I4" s="88"/>
      <c r="J4" s="88"/>
      <c r="K4" s="88"/>
      <c r="L4" s="88"/>
      <c r="M4" s="88"/>
    </row>
    <row r="5" spans="1:13" s="89" customFormat="1" ht="15.75">
      <c r="A5" s="535" t="s">
        <v>207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</row>
    <row r="6" spans="1:13" s="89" customFormat="1" ht="15.75">
      <c r="A6" s="181"/>
      <c r="B6" s="181"/>
      <c r="C6" s="181"/>
      <c r="D6" s="182"/>
      <c r="E6" s="183"/>
      <c r="F6" s="183"/>
      <c r="G6" s="103"/>
      <c r="H6" s="103"/>
      <c r="I6" s="103"/>
      <c r="J6" s="103"/>
      <c r="K6" s="103"/>
      <c r="L6" s="103"/>
      <c r="M6" s="103"/>
    </row>
    <row r="7" spans="1:13" s="89" customFormat="1" ht="31.5" customHeight="1">
      <c r="A7" s="539" t="s">
        <v>0</v>
      </c>
      <c r="B7" s="539" t="s">
        <v>25</v>
      </c>
      <c r="C7" s="539" t="s">
        <v>1</v>
      </c>
      <c r="D7" s="539" t="s">
        <v>2</v>
      </c>
      <c r="E7" s="591" t="s">
        <v>63</v>
      </c>
      <c r="F7" s="591" t="s">
        <v>3</v>
      </c>
      <c r="G7" s="546" t="s">
        <v>27</v>
      </c>
      <c r="H7" s="547"/>
      <c r="I7" s="546" t="s">
        <v>28</v>
      </c>
      <c r="J7" s="547"/>
      <c r="K7" s="546" t="s">
        <v>29</v>
      </c>
      <c r="L7" s="547"/>
      <c r="M7" s="593" t="s">
        <v>30</v>
      </c>
    </row>
    <row r="8" spans="1:13" s="89" customFormat="1" ht="31.5">
      <c r="A8" s="540"/>
      <c r="B8" s="540"/>
      <c r="C8" s="540"/>
      <c r="D8" s="540"/>
      <c r="E8" s="592"/>
      <c r="F8" s="592"/>
      <c r="G8" s="248" t="s">
        <v>31</v>
      </c>
      <c r="H8" s="248" t="s">
        <v>32</v>
      </c>
      <c r="I8" s="248" t="s">
        <v>31</v>
      </c>
      <c r="J8" s="248" t="s">
        <v>32</v>
      </c>
      <c r="K8" s="248" t="s">
        <v>31</v>
      </c>
      <c r="L8" s="248" t="s">
        <v>32</v>
      </c>
      <c r="M8" s="594"/>
    </row>
    <row r="9" spans="1:13" s="85" customFormat="1" ht="16.5">
      <c r="A9" s="13">
        <v>1</v>
      </c>
      <c r="B9" s="13">
        <v>2</v>
      </c>
      <c r="C9" s="104">
        <v>3</v>
      </c>
      <c r="D9" s="13">
        <v>4</v>
      </c>
      <c r="E9" s="251">
        <v>5</v>
      </c>
      <c r="F9" s="252">
        <v>6</v>
      </c>
      <c r="G9" s="251">
        <v>7</v>
      </c>
      <c r="H9" s="252">
        <v>8</v>
      </c>
      <c r="I9" s="251">
        <v>9</v>
      </c>
      <c r="J9" s="252">
        <v>10</v>
      </c>
      <c r="K9" s="251">
        <v>11</v>
      </c>
      <c r="L9" s="252">
        <v>12</v>
      </c>
      <c r="M9" s="251">
        <v>13</v>
      </c>
    </row>
    <row r="10" spans="1:13" s="85" customFormat="1" ht="16.5" hidden="1">
      <c r="A10" s="136"/>
      <c r="B10" s="136"/>
      <c r="C10" s="137" t="s">
        <v>142</v>
      </c>
      <c r="D10" s="136"/>
      <c r="E10" s="184"/>
      <c r="F10" s="271"/>
      <c r="G10" s="277"/>
      <c r="H10" s="277"/>
      <c r="I10" s="277"/>
      <c r="J10" s="277"/>
      <c r="K10" s="277"/>
      <c r="L10" s="277"/>
      <c r="M10" s="277"/>
    </row>
    <row r="11" spans="1:13" s="85" customFormat="1" ht="31.5">
      <c r="A11" s="185" t="s">
        <v>494</v>
      </c>
      <c r="B11" s="185"/>
      <c r="C11" s="186" t="s">
        <v>206</v>
      </c>
      <c r="D11" s="185"/>
      <c r="E11" s="185"/>
      <c r="F11" s="185"/>
      <c r="G11" s="278"/>
      <c r="H11" s="278"/>
      <c r="I11" s="278"/>
      <c r="J11" s="278"/>
      <c r="K11" s="278"/>
      <c r="L11" s="278"/>
      <c r="M11" s="278"/>
    </row>
    <row r="12" spans="1:13" s="85" customFormat="1" ht="16.5">
      <c r="A12" s="187"/>
      <c r="B12" s="187"/>
      <c r="C12" s="188" t="s">
        <v>208</v>
      </c>
      <c r="D12" s="189"/>
      <c r="E12" s="61"/>
      <c r="F12" s="61"/>
      <c r="G12" s="18"/>
      <c r="H12" s="248"/>
      <c r="I12" s="18"/>
      <c r="J12" s="248"/>
      <c r="K12" s="19"/>
      <c r="L12" s="248"/>
      <c r="M12" s="248"/>
    </row>
    <row r="13" spans="1:13" s="85" customFormat="1" ht="31.5">
      <c r="A13" s="615"/>
      <c r="B13" s="615"/>
      <c r="C13" s="69" t="s">
        <v>373</v>
      </c>
      <c r="D13" s="8" t="s">
        <v>71</v>
      </c>
      <c r="E13" s="251"/>
      <c r="F13" s="27">
        <f>F14+F15</f>
        <v>13</v>
      </c>
      <c r="G13" s="612"/>
      <c r="H13" s="612"/>
      <c r="I13" s="612"/>
      <c r="J13" s="612"/>
      <c r="K13" s="612"/>
      <c r="L13" s="612"/>
      <c r="M13" s="612"/>
    </row>
    <row r="14" spans="1:13" s="85" customFormat="1" ht="16.5">
      <c r="A14" s="616"/>
      <c r="B14" s="616"/>
      <c r="C14" s="363" t="s">
        <v>488</v>
      </c>
      <c r="D14" s="239" t="s">
        <v>71</v>
      </c>
      <c r="E14" s="325"/>
      <c r="F14" s="27">
        <v>9</v>
      </c>
      <c r="G14" s="613"/>
      <c r="H14" s="613"/>
      <c r="I14" s="613"/>
      <c r="J14" s="613"/>
      <c r="K14" s="613"/>
      <c r="L14" s="613"/>
      <c r="M14" s="613"/>
    </row>
    <row r="15" spans="1:13" s="85" customFormat="1" ht="16.5">
      <c r="A15" s="617"/>
      <c r="B15" s="617"/>
      <c r="C15" s="363" t="s">
        <v>489</v>
      </c>
      <c r="D15" s="239" t="s">
        <v>71</v>
      </c>
      <c r="E15" s="325"/>
      <c r="F15" s="27">
        <v>4</v>
      </c>
      <c r="G15" s="614"/>
      <c r="H15" s="614"/>
      <c r="I15" s="614"/>
      <c r="J15" s="614"/>
      <c r="K15" s="614"/>
      <c r="L15" s="614"/>
      <c r="M15" s="614"/>
    </row>
    <row r="16" spans="1:13" s="85" customFormat="1" ht="31.5">
      <c r="A16" s="595">
        <v>1</v>
      </c>
      <c r="B16" s="190" t="s">
        <v>283</v>
      </c>
      <c r="C16" s="154" t="s">
        <v>284</v>
      </c>
      <c r="D16" s="190" t="s">
        <v>86</v>
      </c>
      <c r="E16" s="191"/>
      <c r="F16" s="272">
        <f>250*0.25*0.7</f>
        <v>43.75</v>
      </c>
      <c r="G16" s="18"/>
      <c r="H16" s="248"/>
      <c r="I16" s="18"/>
      <c r="J16" s="248"/>
      <c r="K16" s="19"/>
      <c r="L16" s="248"/>
      <c r="M16" s="248"/>
    </row>
    <row r="17" spans="1:13" s="85" customFormat="1" ht="27">
      <c r="A17" s="596"/>
      <c r="B17" s="192"/>
      <c r="C17" s="155" t="s">
        <v>72</v>
      </c>
      <c r="D17" s="192" t="s">
        <v>73</v>
      </c>
      <c r="E17" s="191">
        <v>2.06</v>
      </c>
      <c r="F17" s="191">
        <f>F16*E17</f>
        <v>90.125</v>
      </c>
      <c r="G17" s="18"/>
      <c r="H17" s="248"/>
      <c r="I17" s="18"/>
      <c r="J17" s="248"/>
      <c r="K17" s="19"/>
      <c r="L17" s="248"/>
      <c r="M17" s="248"/>
    </row>
    <row r="18" spans="1:13" s="85" customFormat="1" ht="63">
      <c r="A18" s="589">
        <v>2</v>
      </c>
      <c r="B18" s="152" t="s">
        <v>38</v>
      </c>
      <c r="C18" s="193" t="s">
        <v>209</v>
      </c>
      <c r="D18" s="190" t="s">
        <v>86</v>
      </c>
      <c r="E18" s="153"/>
      <c r="F18" s="227">
        <f>0.4*0.4*0.8*F13</f>
        <v>1.6640000000000004</v>
      </c>
      <c r="G18" s="18"/>
      <c r="H18" s="248"/>
      <c r="I18" s="18"/>
      <c r="J18" s="248"/>
      <c r="K18" s="19"/>
      <c r="L18" s="248"/>
      <c r="M18" s="248"/>
    </row>
    <row r="19" spans="1:13" s="85" customFormat="1" ht="27">
      <c r="A19" s="590"/>
      <c r="B19" s="151"/>
      <c r="C19" s="155" t="s">
        <v>72</v>
      </c>
      <c r="D19" s="151" t="s">
        <v>73</v>
      </c>
      <c r="E19" s="153">
        <v>3.88</v>
      </c>
      <c r="F19" s="153">
        <f>F18*E19</f>
        <v>6.4563200000000016</v>
      </c>
      <c r="G19" s="18"/>
      <c r="H19" s="248"/>
      <c r="I19" s="18"/>
      <c r="J19" s="248"/>
      <c r="K19" s="19"/>
      <c r="L19" s="248"/>
      <c r="M19" s="248"/>
    </row>
    <row r="20" spans="1:13" s="85" customFormat="1" ht="31.5">
      <c r="A20" s="597">
        <v>4</v>
      </c>
      <c r="B20" s="194" t="s">
        <v>65</v>
      </c>
      <c r="C20" s="195" t="s">
        <v>210</v>
      </c>
      <c r="D20" s="194" t="s">
        <v>211</v>
      </c>
      <c r="E20" s="196"/>
      <c r="F20" s="273">
        <f>250*0.25*0.25</f>
        <v>15.625</v>
      </c>
      <c r="G20" s="18"/>
      <c r="H20" s="248"/>
      <c r="I20" s="18"/>
      <c r="J20" s="248"/>
      <c r="K20" s="19"/>
      <c r="L20" s="248"/>
      <c r="M20" s="248"/>
    </row>
    <row r="21" spans="1:13" s="85" customFormat="1" ht="27">
      <c r="A21" s="598"/>
      <c r="B21" s="197"/>
      <c r="C21" s="198" t="s">
        <v>72</v>
      </c>
      <c r="D21" s="197" t="s">
        <v>73</v>
      </c>
      <c r="E21" s="196">
        <v>1.8</v>
      </c>
      <c r="F21" s="196">
        <f>F20*E21</f>
        <v>28.125</v>
      </c>
      <c r="G21" s="18"/>
      <c r="H21" s="248"/>
      <c r="I21" s="18"/>
      <c r="J21" s="248"/>
      <c r="K21" s="19"/>
      <c r="L21" s="248"/>
      <c r="M21" s="248"/>
    </row>
    <row r="22" spans="1:13" s="85" customFormat="1" ht="16.5">
      <c r="A22" s="599"/>
      <c r="B22" s="197"/>
      <c r="C22" s="198" t="s">
        <v>424</v>
      </c>
      <c r="D22" s="197" t="s">
        <v>211</v>
      </c>
      <c r="E22" s="196">
        <v>1.1000000000000001</v>
      </c>
      <c r="F22" s="196">
        <f>F20*E22</f>
        <v>17.1875</v>
      </c>
      <c r="G22" s="18"/>
      <c r="H22" s="248"/>
      <c r="I22" s="18"/>
      <c r="J22" s="248"/>
      <c r="K22" s="19"/>
      <c r="L22" s="248"/>
      <c r="M22" s="248"/>
    </row>
    <row r="23" spans="1:13" s="85" customFormat="1" ht="46.5">
      <c r="A23" s="595">
        <v>5</v>
      </c>
      <c r="B23" s="190" t="s">
        <v>66</v>
      </c>
      <c r="C23" s="117" t="s">
        <v>499</v>
      </c>
      <c r="D23" s="190" t="s">
        <v>212</v>
      </c>
      <c r="E23" s="280"/>
      <c r="F23" s="272">
        <f>250</f>
        <v>250</v>
      </c>
      <c r="G23" s="18"/>
      <c r="H23" s="248"/>
      <c r="I23" s="18"/>
      <c r="J23" s="248"/>
      <c r="K23" s="19"/>
      <c r="L23" s="248"/>
      <c r="M23" s="248"/>
    </row>
    <row r="24" spans="1:13" s="85" customFormat="1" ht="27">
      <c r="A24" s="596"/>
      <c r="B24" s="192"/>
      <c r="C24" s="155" t="s">
        <v>72</v>
      </c>
      <c r="D24" s="192" t="s">
        <v>73</v>
      </c>
      <c r="E24" s="280">
        <v>0.105</v>
      </c>
      <c r="F24" s="191">
        <f>F23*E24</f>
        <v>26.25</v>
      </c>
      <c r="G24" s="18"/>
      <c r="H24" s="248"/>
      <c r="I24" s="18"/>
      <c r="J24" s="248"/>
      <c r="K24" s="19"/>
      <c r="L24" s="248"/>
      <c r="M24" s="248"/>
    </row>
    <row r="25" spans="1:13" s="85" customFormat="1" ht="27">
      <c r="A25" s="596"/>
      <c r="B25" s="192"/>
      <c r="C25" s="155" t="s">
        <v>213</v>
      </c>
      <c r="D25" s="192" t="s">
        <v>22</v>
      </c>
      <c r="E25" s="280">
        <v>5.3800000000000001E-2</v>
      </c>
      <c r="F25" s="191">
        <f>F23*E25</f>
        <v>13.45</v>
      </c>
      <c r="G25" s="18"/>
      <c r="H25" s="248"/>
      <c r="I25" s="18"/>
      <c r="J25" s="248"/>
      <c r="K25" s="19"/>
      <c r="L25" s="248"/>
      <c r="M25" s="248"/>
    </row>
    <row r="26" spans="1:13" s="85" customFormat="1" ht="30.75">
      <c r="A26" s="596"/>
      <c r="B26" s="192"/>
      <c r="C26" s="168" t="s">
        <v>498</v>
      </c>
      <c r="D26" s="192" t="s">
        <v>212</v>
      </c>
      <c r="E26" s="280">
        <v>1.01</v>
      </c>
      <c r="F26" s="191">
        <f>F23*E26</f>
        <v>252.5</v>
      </c>
      <c r="G26" s="18"/>
      <c r="H26" s="248"/>
      <c r="I26" s="18"/>
      <c r="J26" s="248"/>
      <c r="K26" s="19"/>
      <c r="L26" s="248"/>
      <c r="M26" s="248"/>
    </row>
    <row r="27" spans="1:13" s="85" customFormat="1" ht="27">
      <c r="A27" s="600"/>
      <c r="B27" s="192"/>
      <c r="C27" s="155" t="s">
        <v>116</v>
      </c>
      <c r="D27" s="192" t="s">
        <v>22</v>
      </c>
      <c r="E27" s="280">
        <v>1.1999999999999999E-3</v>
      </c>
      <c r="F27" s="191">
        <f>F23*E27</f>
        <v>0.3</v>
      </c>
      <c r="G27" s="18"/>
      <c r="H27" s="248"/>
      <c r="I27" s="18"/>
      <c r="J27" s="248"/>
      <c r="K27" s="19"/>
      <c r="L27" s="248"/>
      <c r="M27" s="248"/>
    </row>
    <row r="28" spans="1:13" s="85" customFormat="1" ht="31.5">
      <c r="A28" s="601">
        <v>6</v>
      </c>
      <c r="B28" s="125" t="s">
        <v>214</v>
      </c>
      <c r="C28" s="124" t="s">
        <v>215</v>
      </c>
      <c r="D28" s="125" t="s">
        <v>212</v>
      </c>
      <c r="E28" s="62"/>
      <c r="F28" s="62">
        <f>250</f>
        <v>250</v>
      </c>
      <c r="G28" s="18"/>
      <c r="H28" s="248"/>
      <c r="I28" s="18"/>
      <c r="J28" s="248"/>
      <c r="K28" s="19"/>
      <c r="L28" s="248"/>
      <c r="M28" s="248"/>
    </row>
    <row r="29" spans="1:13" s="85" customFormat="1" ht="27">
      <c r="A29" s="602"/>
      <c r="B29" s="121"/>
      <c r="C29" s="122" t="s">
        <v>72</v>
      </c>
      <c r="D29" s="192" t="s">
        <v>73</v>
      </c>
      <c r="E29" s="120">
        <f>11/1000</f>
        <v>1.0999999999999999E-2</v>
      </c>
      <c r="F29" s="120">
        <f>F28*E29</f>
        <v>2.75</v>
      </c>
      <c r="G29" s="18"/>
      <c r="H29" s="248"/>
      <c r="I29" s="18"/>
      <c r="J29" s="248"/>
      <c r="K29" s="19"/>
      <c r="L29" s="248"/>
      <c r="M29" s="248"/>
    </row>
    <row r="30" spans="1:13" s="85" customFormat="1" ht="27">
      <c r="A30" s="603"/>
      <c r="B30" s="199"/>
      <c r="C30" s="200" t="s">
        <v>216</v>
      </c>
      <c r="D30" s="201" t="s">
        <v>212</v>
      </c>
      <c r="E30" s="202"/>
      <c r="F30" s="202">
        <f>F28</f>
        <v>250</v>
      </c>
      <c r="G30" s="18"/>
      <c r="H30" s="248"/>
      <c r="I30" s="18"/>
      <c r="J30" s="248"/>
      <c r="K30" s="19"/>
      <c r="L30" s="248"/>
      <c r="M30" s="248"/>
    </row>
    <row r="31" spans="1:13" s="85" customFormat="1" ht="31.5">
      <c r="A31" s="604">
        <v>7</v>
      </c>
      <c r="B31" s="203" t="s">
        <v>68</v>
      </c>
      <c r="C31" s="204" t="s">
        <v>217</v>
      </c>
      <c r="D31" s="203" t="s">
        <v>211</v>
      </c>
      <c r="E31" s="72"/>
      <c r="F31" s="274">
        <f>250*0.25*(0.7-0.25)</f>
        <v>28.124999999999996</v>
      </c>
      <c r="G31" s="18"/>
      <c r="H31" s="248"/>
      <c r="I31" s="18"/>
      <c r="J31" s="248"/>
      <c r="K31" s="19"/>
      <c r="L31" s="248"/>
      <c r="M31" s="248"/>
    </row>
    <row r="32" spans="1:13" s="85" customFormat="1" ht="27">
      <c r="A32" s="605"/>
      <c r="B32" s="70"/>
      <c r="C32" s="205" t="s">
        <v>72</v>
      </c>
      <c r="D32" s="70" t="s">
        <v>73</v>
      </c>
      <c r="E32" s="72">
        <v>1.21</v>
      </c>
      <c r="F32" s="72">
        <f>F31*E32</f>
        <v>34.031249999999993</v>
      </c>
      <c r="G32" s="18"/>
      <c r="H32" s="248"/>
      <c r="I32" s="18"/>
      <c r="J32" s="248"/>
      <c r="K32" s="19"/>
      <c r="L32" s="248"/>
      <c r="M32" s="248"/>
    </row>
    <row r="33" spans="1:14" s="85" customFormat="1" ht="31.5">
      <c r="A33" s="595">
        <v>8</v>
      </c>
      <c r="B33" s="190" t="s">
        <v>69</v>
      </c>
      <c r="C33" s="154" t="s">
        <v>218</v>
      </c>
      <c r="D33" s="190" t="s">
        <v>211</v>
      </c>
      <c r="E33" s="191"/>
      <c r="F33" s="272">
        <f>0.4*0.4*(0.8)*F13</f>
        <v>1.6640000000000004</v>
      </c>
      <c r="G33" s="18"/>
      <c r="H33" s="248"/>
      <c r="I33" s="18"/>
      <c r="J33" s="248"/>
      <c r="K33" s="19"/>
      <c r="L33" s="248"/>
      <c r="M33" s="248"/>
    </row>
    <row r="34" spans="1:14" s="85" customFormat="1" ht="27">
      <c r="A34" s="596"/>
      <c r="B34" s="192"/>
      <c r="C34" s="155" t="s">
        <v>72</v>
      </c>
      <c r="D34" s="192" t="s">
        <v>73</v>
      </c>
      <c r="E34" s="191">
        <v>1.37</v>
      </c>
      <c r="F34" s="191">
        <f>F33*E34</f>
        <v>2.2796800000000008</v>
      </c>
      <c r="G34" s="18"/>
      <c r="H34" s="248"/>
      <c r="I34" s="18"/>
      <c r="J34" s="248"/>
      <c r="K34" s="19"/>
      <c r="L34" s="248"/>
      <c r="M34" s="248"/>
    </row>
    <row r="35" spans="1:14" s="85" customFormat="1" ht="27">
      <c r="A35" s="596"/>
      <c r="B35" s="192"/>
      <c r="C35" s="155" t="s">
        <v>213</v>
      </c>
      <c r="D35" s="192" t="s">
        <v>22</v>
      </c>
      <c r="E35" s="191">
        <v>0.28299999999999997</v>
      </c>
      <c r="F35" s="191">
        <f>F33*E35</f>
        <v>0.47091200000000005</v>
      </c>
      <c r="G35" s="18"/>
      <c r="H35" s="248"/>
      <c r="I35" s="18"/>
      <c r="J35" s="248"/>
      <c r="K35" s="19"/>
      <c r="L35" s="248"/>
      <c r="M35" s="248"/>
    </row>
    <row r="36" spans="1:14" s="85" customFormat="1" ht="16.5">
      <c r="A36" s="596"/>
      <c r="B36" s="192"/>
      <c r="C36" s="155" t="s">
        <v>219</v>
      </c>
      <c r="D36" s="192" t="s">
        <v>211</v>
      </c>
      <c r="E36" s="191">
        <v>1.02</v>
      </c>
      <c r="F36" s="191">
        <f>F33*E36</f>
        <v>1.6972800000000003</v>
      </c>
      <c r="G36" s="18"/>
      <c r="H36" s="248"/>
      <c r="I36" s="18"/>
      <c r="J36" s="248"/>
      <c r="K36" s="19"/>
      <c r="L36" s="248"/>
      <c r="M36" s="248"/>
    </row>
    <row r="37" spans="1:14" s="85" customFormat="1" ht="16.5">
      <c r="A37" s="596"/>
      <c r="B37" s="13"/>
      <c r="C37" s="32" t="s">
        <v>220</v>
      </c>
      <c r="D37" s="13" t="s">
        <v>221</v>
      </c>
      <c r="E37" s="191">
        <v>1.03</v>
      </c>
      <c r="F37" s="191">
        <f>0.4*4*2*1.03*0.395/1000*F13</f>
        <v>1.6924960000000003E-2</v>
      </c>
      <c r="G37" s="18"/>
      <c r="H37" s="248"/>
      <c r="I37" s="18"/>
      <c r="J37" s="248"/>
      <c r="K37" s="19"/>
      <c r="L37" s="248"/>
      <c r="M37" s="248"/>
    </row>
    <row r="38" spans="1:14" s="85" customFormat="1" ht="27">
      <c r="A38" s="596"/>
      <c r="B38" s="206"/>
      <c r="C38" s="205" t="s">
        <v>222</v>
      </c>
      <c r="D38" s="207" t="s">
        <v>22</v>
      </c>
      <c r="E38" s="72">
        <v>0.62</v>
      </c>
      <c r="F38" s="72">
        <f>F33*E38</f>
        <v>1.0316800000000002</v>
      </c>
      <c r="G38" s="18"/>
      <c r="H38" s="248"/>
      <c r="I38" s="248"/>
      <c r="J38" s="248"/>
      <c r="K38" s="19"/>
      <c r="L38" s="248"/>
      <c r="M38" s="248"/>
    </row>
    <row r="39" spans="1:14" s="85" customFormat="1" ht="31.5">
      <c r="A39" s="98"/>
      <c r="B39" s="98"/>
      <c r="C39" s="150" t="s">
        <v>204</v>
      </c>
      <c r="D39" s="208"/>
      <c r="E39" s="63"/>
      <c r="F39" s="64"/>
      <c r="G39" s="65"/>
      <c r="H39" s="99"/>
      <c r="I39" s="65"/>
      <c r="J39" s="99"/>
      <c r="K39" s="66"/>
      <c r="L39" s="99"/>
      <c r="M39" s="99"/>
      <c r="N39" s="429">
        <f>H39+J39+L39</f>
        <v>0</v>
      </c>
    </row>
    <row r="40" spans="1:14" s="85" customFormat="1" ht="63">
      <c r="A40" s="13"/>
      <c r="B40" s="37"/>
      <c r="C40" s="175" t="s">
        <v>205</v>
      </c>
      <c r="D40" s="100"/>
      <c r="E40" s="67"/>
      <c r="F40" s="394" t="s">
        <v>504</v>
      </c>
      <c r="G40" s="176"/>
      <c r="H40" s="176"/>
      <c r="I40" s="176"/>
      <c r="J40" s="176"/>
      <c r="K40" s="176"/>
      <c r="L40" s="176"/>
      <c r="M40" s="332"/>
    </row>
    <row r="41" spans="1:14" s="85" customFormat="1" ht="16.5">
      <c r="A41" s="13"/>
      <c r="B41" s="37"/>
      <c r="C41" s="397" t="s">
        <v>20</v>
      </c>
      <c r="D41" s="100"/>
      <c r="E41" s="67"/>
      <c r="F41" s="67"/>
      <c r="G41" s="176"/>
      <c r="H41" s="176"/>
      <c r="I41" s="176"/>
      <c r="J41" s="176"/>
      <c r="K41" s="176"/>
      <c r="L41" s="176"/>
      <c r="M41" s="332"/>
    </row>
    <row r="42" spans="1:14" s="85" customFormat="1" ht="16.5">
      <c r="A42" s="8"/>
      <c r="B42" s="100"/>
      <c r="C42" s="175" t="s">
        <v>223</v>
      </c>
      <c r="D42" s="100"/>
      <c r="E42" s="67"/>
      <c r="F42" s="404" t="s">
        <v>504</v>
      </c>
      <c r="G42" s="176"/>
      <c r="H42" s="176"/>
      <c r="I42" s="176"/>
      <c r="J42" s="176"/>
      <c r="K42" s="176"/>
      <c r="L42" s="176"/>
      <c r="M42" s="332"/>
    </row>
    <row r="43" spans="1:14" s="85" customFormat="1" ht="16.5">
      <c r="A43" s="209"/>
      <c r="B43" s="210"/>
      <c r="C43" s="211" t="s">
        <v>224</v>
      </c>
      <c r="D43" s="210"/>
      <c r="E43" s="212"/>
      <c r="F43" s="212"/>
      <c r="G43" s="213"/>
      <c r="H43" s="213"/>
      <c r="I43" s="213"/>
      <c r="J43" s="213"/>
      <c r="K43" s="213"/>
      <c r="L43" s="213"/>
      <c r="M43" s="213"/>
    </row>
    <row r="44" spans="1:14" s="85" customFormat="1" ht="16.5">
      <c r="A44" s="214"/>
      <c r="B44" s="214"/>
      <c r="C44" s="215" t="s">
        <v>225</v>
      </c>
      <c r="D44" s="216"/>
      <c r="E44" s="217"/>
      <c r="F44" s="217"/>
      <c r="G44" s="218"/>
      <c r="H44" s="255"/>
      <c r="I44" s="218"/>
      <c r="J44" s="255"/>
      <c r="K44" s="219"/>
      <c r="L44" s="255"/>
      <c r="M44" s="255"/>
    </row>
    <row r="45" spans="1:14" s="85" customFormat="1" ht="47.25">
      <c r="A45" s="618" t="s">
        <v>55</v>
      </c>
      <c r="B45" s="68" t="s">
        <v>70</v>
      </c>
      <c r="C45" s="69" t="s">
        <v>226</v>
      </c>
      <c r="D45" s="13" t="s">
        <v>71</v>
      </c>
      <c r="E45" s="251"/>
      <c r="F45" s="27">
        <f>F48+F49</f>
        <v>13</v>
      </c>
      <c r="G45" s="248"/>
      <c r="H45" s="248"/>
      <c r="I45" s="248"/>
      <c r="J45" s="248"/>
      <c r="K45" s="248"/>
      <c r="L45" s="248"/>
      <c r="M45" s="248"/>
    </row>
    <row r="46" spans="1:14" s="85" customFormat="1" ht="27">
      <c r="A46" s="618"/>
      <c r="B46" s="70"/>
      <c r="C46" s="71" t="s">
        <v>72</v>
      </c>
      <c r="D46" s="70" t="s">
        <v>73</v>
      </c>
      <c r="E46" s="72">
        <v>1</v>
      </c>
      <c r="F46" s="72">
        <f>F45*E46</f>
        <v>13</v>
      </c>
      <c r="G46" s="18"/>
      <c r="H46" s="248"/>
      <c r="I46" s="18"/>
      <c r="J46" s="248"/>
      <c r="K46" s="19"/>
      <c r="L46" s="248"/>
      <c r="M46" s="331"/>
    </row>
    <row r="47" spans="1:14" s="85" customFormat="1" ht="27">
      <c r="A47" s="618"/>
      <c r="B47" s="70"/>
      <c r="C47" s="71" t="s">
        <v>8</v>
      </c>
      <c r="D47" s="70" t="s">
        <v>7</v>
      </c>
      <c r="E47" s="72">
        <v>1.1599999999999999</v>
      </c>
      <c r="F47" s="72">
        <f>F45*E47</f>
        <v>15.079999999999998</v>
      </c>
      <c r="G47" s="18"/>
      <c r="H47" s="248"/>
      <c r="I47" s="18"/>
      <c r="J47" s="248"/>
      <c r="K47" s="19"/>
      <c r="L47" s="248"/>
      <c r="M47" s="331"/>
    </row>
    <row r="48" spans="1:14" s="85" customFormat="1" ht="47.25">
      <c r="A48" s="618"/>
      <c r="B48" s="13"/>
      <c r="C48" s="32" t="s">
        <v>491</v>
      </c>
      <c r="D48" s="13" t="s">
        <v>74</v>
      </c>
      <c r="E48" s="251"/>
      <c r="F48" s="251">
        <f>F14</f>
        <v>9</v>
      </c>
      <c r="G48" s="248"/>
      <c r="H48" s="248"/>
      <c r="I48" s="18"/>
      <c r="J48" s="248"/>
      <c r="K48" s="248"/>
      <c r="L48" s="248"/>
      <c r="M48" s="331"/>
    </row>
    <row r="49" spans="1:13" s="85" customFormat="1" ht="31.5">
      <c r="A49" s="618"/>
      <c r="B49" s="13"/>
      <c r="C49" s="32" t="s">
        <v>492</v>
      </c>
      <c r="D49" s="13" t="s">
        <v>74</v>
      </c>
      <c r="E49" s="251"/>
      <c r="F49" s="251">
        <f>F15</f>
        <v>4</v>
      </c>
      <c r="G49" s="248"/>
      <c r="H49" s="248"/>
      <c r="I49" s="18"/>
      <c r="J49" s="248"/>
      <c r="K49" s="248"/>
      <c r="L49" s="248"/>
      <c r="M49" s="331"/>
    </row>
    <row r="50" spans="1:13" s="85" customFormat="1" ht="27">
      <c r="A50" s="618"/>
      <c r="B50" s="13"/>
      <c r="C50" s="32" t="s">
        <v>54</v>
      </c>
      <c r="D50" s="13" t="s">
        <v>7</v>
      </c>
      <c r="E50" s="251">
        <v>0.05</v>
      </c>
      <c r="F50" s="251">
        <f>F45*E50</f>
        <v>0.65</v>
      </c>
      <c r="G50" s="248"/>
      <c r="H50" s="248"/>
      <c r="I50" s="18"/>
      <c r="J50" s="248"/>
      <c r="K50" s="248"/>
      <c r="L50" s="248"/>
      <c r="M50" s="331"/>
    </row>
    <row r="51" spans="1:13" s="85" customFormat="1" ht="31.5">
      <c r="A51" s="615" t="s">
        <v>96</v>
      </c>
      <c r="B51" s="239" t="s">
        <v>107</v>
      </c>
      <c r="C51" s="281" t="s">
        <v>227</v>
      </c>
      <c r="D51" s="249" t="s">
        <v>108</v>
      </c>
      <c r="E51" s="252"/>
      <c r="F51" s="27">
        <f>F53+F54</f>
        <v>290</v>
      </c>
      <c r="G51" s="11"/>
      <c r="H51" s="7"/>
      <c r="I51" s="11"/>
      <c r="J51" s="248"/>
      <c r="K51" s="248"/>
      <c r="L51" s="248"/>
      <c r="M51" s="248"/>
    </row>
    <row r="52" spans="1:13" s="85" customFormat="1" ht="16.5">
      <c r="A52" s="616"/>
      <c r="B52" s="249"/>
      <c r="C52" s="32" t="s">
        <v>60</v>
      </c>
      <c r="D52" s="249" t="s">
        <v>21</v>
      </c>
      <c r="E52" s="252">
        <v>0.13900000000000001</v>
      </c>
      <c r="F52" s="251">
        <f>F51*E52</f>
        <v>40.31</v>
      </c>
      <c r="G52" s="248"/>
      <c r="H52" s="7"/>
      <c r="I52" s="248"/>
      <c r="J52" s="248"/>
      <c r="K52" s="248"/>
      <c r="L52" s="248"/>
      <c r="M52" s="331"/>
    </row>
    <row r="53" spans="1:13" s="85" customFormat="1" ht="16.5">
      <c r="A53" s="616"/>
      <c r="B53" s="249"/>
      <c r="C53" s="32" t="s">
        <v>285</v>
      </c>
      <c r="D53" s="249" t="s">
        <v>49</v>
      </c>
      <c r="E53" s="252"/>
      <c r="F53" s="251">
        <v>250</v>
      </c>
      <c r="G53" s="248"/>
      <c r="H53" s="248"/>
      <c r="I53" s="18"/>
      <c r="J53" s="248"/>
      <c r="K53" s="248"/>
      <c r="L53" s="248"/>
      <c r="M53" s="331"/>
    </row>
    <row r="54" spans="1:13" s="85" customFormat="1" ht="16.5">
      <c r="A54" s="616"/>
      <c r="B54" s="249"/>
      <c r="C54" s="32" t="s">
        <v>298</v>
      </c>
      <c r="D54" s="296" t="s">
        <v>49</v>
      </c>
      <c r="E54" s="252"/>
      <c r="F54" s="251">
        <v>40</v>
      </c>
      <c r="G54" s="248"/>
      <c r="H54" s="297"/>
      <c r="I54" s="18"/>
      <c r="J54" s="248"/>
      <c r="K54" s="248"/>
      <c r="L54" s="248"/>
      <c r="M54" s="331"/>
    </row>
    <row r="55" spans="1:13" s="85" customFormat="1" ht="27">
      <c r="A55" s="617"/>
      <c r="B55" s="249"/>
      <c r="C55" s="32" t="s">
        <v>109</v>
      </c>
      <c r="D55" s="249" t="s">
        <v>22</v>
      </c>
      <c r="E55" s="252">
        <v>9.7000000000000003E-3</v>
      </c>
      <c r="F55" s="72">
        <f>F51*E55</f>
        <v>2.8130000000000002</v>
      </c>
      <c r="G55" s="248"/>
      <c r="H55" s="7"/>
      <c r="I55" s="18"/>
      <c r="J55" s="248"/>
      <c r="K55" s="248"/>
      <c r="L55" s="248"/>
      <c r="M55" s="331"/>
    </row>
    <row r="56" spans="1:13" s="85" customFormat="1" ht="16.5">
      <c r="A56" s="13"/>
      <c r="B56" s="13"/>
      <c r="C56" s="32"/>
      <c r="D56" s="13"/>
      <c r="E56" s="251"/>
      <c r="F56" s="251"/>
      <c r="G56" s="248"/>
      <c r="H56" s="248"/>
      <c r="I56" s="18"/>
      <c r="J56" s="248"/>
      <c r="K56" s="248"/>
      <c r="L56" s="248"/>
      <c r="M56" s="331"/>
    </row>
    <row r="57" spans="1:13" s="85" customFormat="1" ht="16.5">
      <c r="A57" s="609" t="s">
        <v>76</v>
      </c>
      <c r="B57" s="239" t="s">
        <v>228</v>
      </c>
      <c r="C57" s="90" t="s">
        <v>229</v>
      </c>
      <c r="D57" s="13"/>
      <c r="E57" s="252"/>
      <c r="F57" s="72" t="s">
        <v>105</v>
      </c>
      <c r="G57" s="257"/>
      <c r="H57" s="108"/>
      <c r="I57" s="18"/>
      <c r="J57" s="248"/>
      <c r="K57" s="248"/>
      <c r="L57" s="248"/>
      <c r="M57" s="331"/>
    </row>
    <row r="58" spans="1:13" s="85" customFormat="1" ht="16.5">
      <c r="A58" s="610"/>
      <c r="B58" s="13"/>
      <c r="C58" s="111" t="s">
        <v>60</v>
      </c>
      <c r="D58" s="13" t="s">
        <v>21</v>
      </c>
      <c r="E58" s="252">
        <v>7.05</v>
      </c>
      <c r="F58" s="252">
        <f>F57*E58</f>
        <v>7.05</v>
      </c>
      <c r="G58" s="257"/>
      <c r="H58" s="108"/>
      <c r="I58" s="257"/>
      <c r="J58" s="108"/>
      <c r="K58" s="257"/>
      <c r="L58" s="108"/>
      <c r="M58" s="331"/>
    </row>
    <row r="59" spans="1:13" s="85" customFormat="1" ht="39.75">
      <c r="A59" s="610"/>
      <c r="B59" s="156"/>
      <c r="C59" s="111" t="s">
        <v>490</v>
      </c>
      <c r="D59" s="13" t="s">
        <v>56</v>
      </c>
      <c r="E59" s="252"/>
      <c r="F59" s="72" t="s">
        <v>105</v>
      </c>
      <c r="G59" s="257"/>
      <c r="H59" s="248"/>
      <c r="I59" s="18"/>
      <c r="J59" s="248"/>
      <c r="K59" s="248"/>
      <c r="L59" s="248"/>
      <c r="M59" s="331"/>
    </row>
    <row r="60" spans="1:13" s="85" customFormat="1" ht="27">
      <c r="A60" s="610"/>
      <c r="B60" s="156"/>
      <c r="C60" s="111" t="s">
        <v>375</v>
      </c>
      <c r="D60" s="322" t="s">
        <v>56</v>
      </c>
      <c r="E60" s="323"/>
      <c r="F60" s="72">
        <v>13</v>
      </c>
      <c r="G60" s="329"/>
      <c r="H60" s="324"/>
      <c r="I60" s="18"/>
      <c r="J60" s="324"/>
      <c r="K60" s="324"/>
      <c r="L60" s="324"/>
      <c r="M60" s="331"/>
    </row>
    <row r="61" spans="1:13" s="85" customFormat="1" ht="27">
      <c r="A61" s="610"/>
      <c r="B61" s="156"/>
      <c r="C61" s="111" t="s">
        <v>501</v>
      </c>
      <c r="D61" s="13" t="s">
        <v>56</v>
      </c>
      <c r="E61" s="252"/>
      <c r="F61" s="72">
        <v>1</v>
      </c>
      <c r="G61" s="257"/>
      <c r="H61" s="248"/>
      <c r="I61" s="18"/>
      <c r="J61" s="248"/>
      <c r="K61" s="248"/>
      <c r="L61" s="248"/>
      <c r="M61" s="331"/>
    </row>
    <row r="62" spans="1:13" s="85" customFormat="1" ht="27">
      <c r="A62" s="610"/>
      <c r="B62" s="13"/>
      <c r="C62" s="111" t="s">
        <v>500</v>
      </c>
      <c r="D62" s="13" t="s">
        <v>56</v>
      </c>
      <c r="E62" s="252"/>
      <c r="F62" s="72">
        <v>13</v>
      </c>
      <c r="G62" s="257"/>
      <c r="H62" s="248"/>
      <c r="I62" s="18"/>
      <c r="J62" s="248"/>
      <c r="K62" s="248"/>
      <c r="L62" s="248"/>
      <c r="M62" s="331"/>
    </row>
    <row r="63" spans="1:13" s="85" customFormat="1" ht="16.5">
      <c r="A63" s="610"/>
      <c r="B63" s="13"/>
      <c r="C63" s="111" t="s">
        <v>502</v>
      </c>
      <c r="D63" s="13" t="s">
        <v>56</v>
      </c>
      <c r="E63" s="252"/>
      <c r="F63" s="72">
        <v>1</v>
      </c>
      <c r="G63" s="257"/>
      <c r="H63" s="248"/>
      <c r="I63" s="18"/>
      <c r="J63" s="248"/>
      <c r="K63" s="248"/>
      <c r="L63" s="248"/>
      <c r="M63" s="331"/>
    </row>
    <row r="64" spans="1:13" s="85" customFormat="1" ht="16.5">
      <c r="A64" s="610"/>
      <c r="B64" s="13"/>
      <c r="C64" s="111" t="s">
        <v>374</v>
      </c>
      <c r="D64" s="13" t="s">
        <v>56</v>
      </c>
      <c r="E64" s="252"/>
      <c r="F64" s="72">
        <v>1</v>
      </c>
      <c r="G64" s="257"/>
      <c r="H64" s="248"/>
      <c r="I64" s="18"/>
      <c r="J64" s="248"/>
      <c r="K64" s="248"/>
      <c r="L64" s="248"/>
      <c r="M64" s="331"/>
    </row>
    <row r="65" spans="1:14" s="85" customFormat="1" ht="16.5">
      <c r="A65" s="610"/>
      <c r="B65" s="13"/>
      <c r="C65" s="111" t="s">
        <v>230</v>
      </c>
      <c r="D65" s="13" t="s">
        <v>56</v>
      </c>
      <c r="E65" s="252"/>
      <c r="F65" s="72">
        <v>1</v>
      </c>
      <c r="G65" s="257"/>
      <c r="H65" s="248"/>
      <c r="I65" s="18"/>
      <c r="J65" s="248"/>
      <c r="K65" s="248"/>
      <c r="L65" s="248"/>
      <c r="M65" s="331"/>
    </row>
    <row r="66" spans="1:14" s="85" customFormat="1" ht="16.5">
      <c r="A66" s="611"/>
      <c r="B66" s="13"/>
      <c r="C66" s="111" t="s">
        <v>286</v>
      </c>
      <c r="D66" s="13" t="s">
        <v>56</v>
      </c>
      <c r="E66" s="252"/>
      <c r="F66" s="72">
        <v>1</v>
      </c>
      <c r="G66" s="257"/>
      <c r="H66" s="248"/>
      <c r="I66" s="18"/>
      <c r="J66" s="248"/>
      <c r="K66" s="248"/>
      <c r="L66" s="248"/>
      <c r="M66" s="331"/>
    </row>
    <row r="67" spans="1:14" s="85" customFormat="1" ht="31.5">
      <c r="A67" s="13" t="s">
        <v>99</v>
      </c>
      <c r="B67" s="13"/>
      <c r="C67" s="150" t="s">
        <v>77</v>
      </c>
      <c r="D67" s="13"/>
      <c r="E67" s="74"/>
      <c r="F67" s="74"/>
      <c r="G67" s="75"/>
      <c r="H67" s="75"/>
      <c r="I67" s="76"/>
      <c r="J67" s="75"/>
      <c r="K67" s="75"/>
      <c r="L67" s="75"/>
      <c r="M67" s="331"/>
    </row>
    <row r="68" spans="1:14" s="85" customFormat="1" ht="54">
      <c r="A68" s="606" t="s">
        <v>157</v>
      </c>
      <c r="B68" s="39" t="s">
        <v>78</v>
      </c>
      <c r="C68" s="45" t="s">
        <v>290</v>
      </c>
      <c r="D68" s="77" t="s">
        <v>56</v>
      </c>
      <c r="E68" s="282"/>
      <c r="F68" s="46">
        <f>F71</f>
        <v>13</v>
      </c>
      <c r="G68" s="40"/>
      <c r="H68" s="49"/>
      <c r="I68" s="49"/>
      <c r="J68" s="49"/>
      <c r="K68" s="49"/>
      <c r="L68" s="49"/>
      <c r="M68" s="331"/>
    </row>
    <row r="69" spans="1:14" s="85" customFormat="1" ht="16.5">
      <c r="A69" s="607"/>
      <c r="B69" s="253"/>
      <c r="C69" s="41" t="s">
        <v>42</v>
      </c>
      <c r="D69" s="77" t="s">
        <v>9</v>
      </c>
      <c r="E69" s="283">
        <v>0.9</v>
      </c>
      <c r="F69" s="44">
        <f>E69*F68</f>
        <v>11.700000000000001</v>
      </c>
      <c r="G69" s="40"/>
      <c r="H69" s="49"/>
      <c r="I69" s="49"/>
      <c r="J69" s="49"/>
      <c r="K69" s="49"/>
      <c r="L69" s="49"/>
      <c r="M69" s="331"/>
    </row>
    <row r="70" spans="1:14" s="85" customFormat="1" ht="16.5">
      <c r="A70" s="607"/>
      <c r="B70" s="253"/>
      <c r="C70" s="47" t="s">
        <v>8</v>
      </c>
      <c r="D70" s="77" t="s">
        <v>7</v>
      </c>
      <c r="E70" s="283">
        <v>7.0000000000000007E-2</v>
      </c>
      <c r="F70" s="78">
        <f>E70*F68</f>
        <v>0.91000000000000014</v>
      </c>
      <c r="G70" s="40"/>
      <c r="H70" s="49"/>
      <c r="I70" s="49"/>
      <c r="J70" s="49"/>
      <c r="K70" s="49"/>
      <c r="L70" s="49"/>
      <c r="M70" s="331"/>
    </row>
    <row r="71" spans="1:14" s="85" customFormat="1" ht="31.5">
      <c r="A71" s="607"/>
      <c r="B71" s="79"/>
      <c r="C71" s="47" t="s">
        <v>79</v>
      </c>
      <c r="D71" s="80" t="s">
        <v>56</v>
      </c>
      <c r="E71" s="284"/>
      <c r="F71" s="44">
        <v>13</v>
      </c>
      <c r="G71" s="40"/>
      <c r="H71" s="49"/>
      <c r="I71" s="49"/>
      <c r="J71" s="49"/>
      <c r="K71" s="49"/>
      <c r="L71" s="49"/>
      <c r="M71" s="331"/>
    </row>
    <row r="72" spans="1:14" s="85" customFormat="1" ht="16.5">
      <c r="A72" s="608"/>
      <c r="B72" s="253"/>
      <c r="C72" s="41" t="s">
        <v>10</v>
      </c>
      <c r="D72" s="77" t="s">
        <v>7</v>
      </c>
      <c r="E72" s="283">
        <v>0.14000000000000001</v>
      </c>
      <c r="F72" s="44">
        <f>E72*F68</f>
        <v>1.8200000000000003</v>
      </c>
      <c r="G72" s="40"/>
      <c r="H72" s="49"/>
      <c r="I72" s="40"/>
      <c r="J72" s="49"/>
      <c r="K72" s="40"/>
      <c r="L72" s="49"/>
      <c r="M72" s="331"/>
    </row>
    <row r="73" spans="1:14" s="85" customFormat="1" ht="63">
      <c r="A73" s="606" t="s">
        <v>159</v>
      </c>
      <c r="B73" s="39" t="s">
        <v>287</v>
      </c>
      <c r="C73" s="45" t="s">
        <v>288</v>
      </c>
      <c r="D73" s="80" t="s">
        <v>49</v>
      </c>
      <c r="E73" s="282"/>
      <c r="F73" s="46">
        <f>F76</f>
        <v>13</v>
      </c>
      <c r="G73" s="40"/>
      <c r="H73" s="49"/>
      <c r="I73" s="49"/>
      <c r="J73" s="49"/>
      <c r="K73" s="49"/>
      <c r="L73" s="49"/>
      <c r="M73" s="331"/>
    </row>
    <row r="74" spans="1:14" s="85" customFormat="1" ht="16.5">
      <c r="A74" s="607"/>
      <c r="B74" s="253"/>
      <c r="C74" s="41" t="s">
        <v>42</v>
      </c>
      <c r="D74" s="77" t="s">
        <v>9</v>
      </c>
      <c r="E74" s="283">
        <v>0.26</v>
      </c>
      <c r="F74" s="44">
        <f>E74*F73</f>
        <v>3.38</v>
      </c>
      <c r="G74" s="40"/>
      <c r="H74" s="49"/>
      <c r="I74" s="49"/>
      <c r="J74" s="49"/>
      <c r="K74" s="49"/>
      <c r="L74" s="49"/>
      <c r="M74" s="331"/>
    </row>
    <row r="75" spans="1:14" s="85" customFormat="1" ht="16.5">
      <c r="A75" s="607"/>
      <c r="B75" s="253"/>
      <c r="C75" s="47" t="s">
        <v>8</v>
      </c>
      <c r="D75" s="77" t="s">
        <v>7</v>
      </c>
      <c r="E75" s="283">
        <v>1.6E-2</v>
      </c>
      <c r="F75" s="78">
        <f>E75*F73</f>
        <v>0.20800000000000002</v>
      </c>
      <c r="G75" s="40"/>
      <c r="H75" s="49"/>
      <c r="I75" s="49"/>
      <c r="J75" s="49"/>
      <c r="K75" s="49"/>
      <c r="L75" s="49"/>
      <c r="M75" s="331"/>
    </row>
    <row r="76" spans="1:14" s="85" customFormat="1" ht="31.5">
      <c r="A76" s="607"/>
      <c r="B76" s="79"/>
      <c r="C76" s="47" t="s">
        <v>289</v>
      </c>
      <c r="D76" s="80" t="s">
        <v>49</v>
      </c>
      <c r="E76" s="284"/>
      <c r="F76" s="46">
        <v>13</v>
      </c>
      <c r="G76" s="40"/>
      <c r="H76" s="49"/>
      <c r="I76" s="49"/>
      <c r="J76" s="49"/>
      <c r="K76" s="49"/>
      <c r="L76" s="49"/>
      <c r="M76" s="331"/>
    </row>
    <row r="77" spans="1:14" s="85" customFormat="1" ht="16.5">
      <c r="A77" s="608"/>
      <c r="B77" s="253"/>
      <c r="C77" s="41" t="s">
        <v>10</v>
      </c>
      <c r="D77" s="77" t="s">
        <v>7</v>
      </c>
      <c r="E77" s="283">
        <v>0.35299999999999998</v>
      </c>
      <c r="F77" s="44">
        <f>E77*F73</f>
        <v>4.5889999999999995</v>
      </c>
      <c r="G77" s="40"/>
      <c r="H77" s="49"/>
      <c r="I77" s="40"/>
      <c r="J77" s="49"/>
      <c r="K77" s="40"/>
      <c r="L77" s="49"/>
      <c r="M77" s="331"/>
    </row>
    <row r="78" spans="1:14" s="85" customFormat="1" ht="16.5">
      <c r="A78" s="220"/>
      <c r="B78" s="79"/>
      <c r="C78" s="47"/>
      <c r="D78" s="80"/>
      <c r="E78" s="81"/>
      <c r="F78" s="44"/>
      <c r="G78" s="40"/>
      <c r="H78" s="49"/>
      <c r="I78" s="49"/>
      <c r="J78" s="49"/>
      <c r="K78" s="49"/>
      <c r="L78" s="49"/>
      <c r="M78" s="49"/>
    </row>
    <row r="79" spans="1:14" s="85" customFormat="1" ht="31.5">
      <c r="A79" s="98"/>
      <c r="B79" s="98"/>
      <c r="C79" s="150" t="s">
        <v>204</v>
      </c>
      <c r="D79" s="98"/>
      <c r="E79" s="64"/>
      <c r="F79" s="64"/>
      <c r="G79" s="99"/>
      <c r="H79" s="99"/>
      <c r="I79" s="99"/>
      <c r="J79" s="99"/>
      <c r="K79" s="99"/>
      <c r="L79" s="99"/>
      <c r="M79" s="99"/>
      <c r="N79" s="429">
        <f>H79+J79+L79</f>
        <v>0</v>
      </c>
    </row>
    <row r="80" spans="1:14" s="85" customFormat="1" ht="63">
      <c r="A80" s="13"/>
      <c r="B80" s="37"/>
      <c r="C80" s="175" t="s">
        <v>205</v>
      </c>
      <c r="D80" s="100"/>
      <c r="E80" s="67"/>
      <c r="F80" s="394" t="s">
        <v>504</v>
      </c>
      <c r="G80" s="176"/>
      <c r="H80" s="176"/>
      <c r="I80" s="176"/>
      <c r="J80" s="176"/>
      <c r="K80" s="176"/>
      <c r="L80" s="176"/>
      <c r="M80" s="332"/>
    </row>
    <row r="81" spans="1:14" s="85" customFormat="1" ht="16.5">
      <c r="A81" s="13"/>
      <c r="B81" s="37"/>
      <c r="C81" s="397" t="s">
        <v>20</v>
      </c>
      <c r="D81" s="100"/>
      <c r="E81" s="67"/>
      <c r="F81" s="67"/>
      <c r="G81" s="176"/>
      <c r="H81" s="176"/>
      <c r="I81" s="176"/>
      <c r="J81" s="176"/>
      <c r="K81" s="176"/>
      <c r="L81" s="176"/>
      <c r="M81" s="176"/>
    </row>
    <row r="82" spans="1:14" s="85" customFormat="1" ht="47.25">
      <c r="A82" s="13"/>
      <c r="B82" s="13"/>
      <c r="C82" s="104" t="s">
        <v>231</v>
      </c>
      <c r="D82" s="8"/>
      <c r="E82" s="251"/>
      <c r="F82" s="430" t="s">
        <v>504</v>
      </c>
      <c r="G82" s="248"/>
      <c r="H82" s="248"/>
      <c r="I82" s="248"/>
      <c r="J82" s="248"/>
      <c r="K82" s="248"/>
      <c r="L82" s="248"/>
      <c r="M82" s="248"/>
    </row>
    <row r="83" spans="1:14" s="85" customFormat="1" ht="16.5">
      <c r="A83" s="98"/>
      <c r="B83" s="98"/>
      <c r="C83" s="150" t="s">
        <v>232</v>
      </c>
      <c r="D83" s="98"/>
      <c r="E83" s="64"/>
      <c r="F83" s="64"/>
      <c r="G83" s="99"/>
      <c r="H83" s="99"/>
      <c r="I83" s="99"/>
      <c r="J83" s="99"/>
      <c r="K83" s="99"/>
      <c r="L83" s="99"/>
      <c r="M83" s="99"/>
    </row>
    <row r="84" spans="1:14" s="85" customFormat="1" ht="16.5">
      <c r="A84" s="424"/>
      <c r="B84" s="425"/>
      <c r="C84" s="414" t="s">
        <v>233</v>
      </c>
      <c r="D84" s="425"/>
      <c r="E84" s="426"/>
      <c r="F84" s="427"/>
      <c r="G84" s="428"/>
      <c r="H84" s="428"/>
      <c r="I84" s="428"/>
      <c r="J84" s="428"/>
      <c r="K84" s="428"/>
      <c r="L84" s="428"/>
      <c r="M84" s="428"/>
      <c r="N84" s="429"/>
    </row>
    <row r="85" spans="1:14" s="85" customFormat="1" ht="47.25">
      <c r="A85" s="13"/>
      <c r="B85" s="13"/>
      <c r="C85" s="104" t="s">
        <v>410</v>
      </c>
      <c r="D85" s="8"/>
      <c r="E85" s="251"/>
      <c r="F85" s="430" t="s">
        <v>504</v>
      </c>
      <c r="G85" s="248"/>
      <c r="H85" s="248"/>
      <c r="I85" s="248"/>
      <c r="J85" s="248"/>
      <c r="K85" s="248"/>
      <c r="L85" s="248"/>
      <c r="M85" s="248"/>
    </row>
    <row r="86" spans="1:14" s="85" customFormat="1" ht="31.5">
      <c r="A86" s="424"/>
      <c r="B86" s="425"/>
      <c r="C86" s="414" t="s">
        <v>414</v>
      </c>
      <c r="D86" s="425"/>
      <c r="E86" s="426"/>
      <c r="F86" s="427"/>
      <c r="G86" s="428"/>
      <c r="H86" s="428"/>
      <c r="I86" s="428"/>
      <c r="J86" s="428"/>
      <c r="K86" s="428"/>
      <c r="L86" s="428"/>
      <c r="M86" s="419"/>
    </row>
    <row r="87" spans="1:14" s="85" customFormat="1" ht="31.5">
      <c r="A87" s="8"/>
      <c r="B87" s="13"/>
      <c r="C87" s="12" t="s">
        <v>4</v>
      </c>
      <c r="D87" s="8"/>
      <c r="E87" s="251"/>
      <c r="F87" s="10" t="s">
        <v>61</v>
      </c>
      <c r="G87" s="248"/>
      <c r="H87" s="248"/>
      <c r="I87" s="248"/>
      <c r="J87" s="248"/>
      <c r="K87" s="248"/>
      <c r="L87" s="248"/>
      <c r="M87" s="248"/>
    </row>
    <row r="88" spans="1:14" s="85" customFormat="1" ht="16.5">
      <c r="A88" s="8"/>
      <c r="B88" s="13"/>
      <c r="C88" s="397" t="s">
        <v>20</v>
      </c>
      <c r="D88" s="8"/>
      <c r="E88" s="251"/>
      <c r="F88" s="27"/>
      <c r="G88" s="248"/>
      <c r="H88" s="248"/>
      <c r="I88" s="248"/>
      <c r="J88" s="248"/>
      <c r="K88" s="248"/>
      <c r="L88" s="248"/>
      <c r="M88" s="248"/>
    </row>
    <row r="89" spans="1:14" s="85" customFormat="1" ht="31.5">
      <c r="A89" s="405"/>
      <c r="B89" s="406"/>
      <c r="C89" s="422" t="s">
        <v>408</v>
      </c>
      <c r="D89" s="407"/>
      <c r="E89" s="408"/>
      <c r="F89" s="423" t="s">
        <v>504</v>
      </c>
      <c r="G89" s="377"/>
      <c r="H89" s="377"/>
      <c r="I89" s="377"/>
      <c r="J89" s="431"/>
      <c r="K89" s="377"/>
      <c r="L89" s="377"/>
      <c r="M89" s="377"/>
    </row>
    <row r="90" spans="1:14" s="85" customFormat="1" ht="16.5">
      <c r="A90" s="405"/>
      <c r="B90" s="406"/>
      <c r="C90" s="397" t="s">
        <v>20</v>
      </c>
      <c r="D90" s="407"/>
      <c r="E90" s="408"/>
      <c r="F90" s="421"/>
      <c r="G90" s="377"/>
      <c r="H90" s="377"/>
      <c r="I90" s="377"/>
      <c r="J90" s="397"/>
      <c r="K90" s="377"/>
      <c r="L90" s="377"/>
      <c r="M90" s="377"/>
    </row>
    <row r="91" spans="1:14" s="85" customFormat="1" ht="16.5">
      <c r="A91" s="8"/>
      <c r="B91" s="13"/>
      <c r="C91" s="12"/>
      <c r="D91" s="8"/>
      <c r="E91" s="251"/>
      <c r="F91" s="10" t="s">
        <v>62</v>
      </c>
      <c r="G91" s="248"/>
      <c r="H91" s="248"/>
      <c r="I91" s="248"/>
      <c r="J91" s="248"/>
      <c r="K91" s="248"/>
      <c r="L91" s="248"/>
      <c r="M91" s="248"/>
    </row>
    <row r="92" spans="1:14" s="85" customFormat="1" ht="31.5">
      <c r="A92" s="424"/>
      <c r="B92" s="425"/>
      <c r="C92" s="414" t="s">
        <v>414</v>
      </c>
      <c r="D92" s="425"/>
      <c r="E92" s="426"/>
      <c r="F92" s="427"/>
      <c r="G92" s="428"/>
      <c r="H92" s="428"/>
      <c r="I92" s="428"/>
      <c r="J92" s="428"/>
      <c r="K92" s="428"/>
      <c r="L92" s="428"/>
      <c r="M92" s="419"/>
    </row>
    <row r="93" spans="1:14" s="85" customFormat="1" ht="16.5">
      <c r="A93" s="242"/>
      <c r="B93" s="242"/>
      <c r="C93" s="243"/>
      <c r="D93" s="242"/>
      <c r="E93" s="244"/>
      <c r="F93" s="275"/>
      <c r="G93" s="245"/>
      <c r="H93" s="245"/>
      <c r="I93" s="245"/>
      <c r="J93" s="245"/>
      <c r="K93" s="245"/>
      <c r="L93" s="245"/>
      <c r="M93" s="246"/>
    </row>
    <row r="94" spans="1:14" s="85" customFormat="1" ht="16.5">
      <c r="A94" s="112"/>
      <c r="B94" s="112"/>
      <c r="C94" s="221"/>
      <c r="D94" s="86"/>
      <c r="E94" s="178"/>
      <c r="F94" s="178"/>
      <c r="G94" s="101"/>
      <c r="H94" s="101"/>
      <c r="I94" s="101"/>
      <c r="J94" s="101"/>
      <c r="K94" s="101"/>
      <c r="L94" s="101"/>
      <c r="M94" s="101"/>
    </row>
    <row r="95" spans="1:14" s="85" customFormat="1" ht="16.5">
      <c r="A95" s="112"/>
      <c r="B95" s="112"/>
      <c r="C95" s="133"/>
      <c r="D95" s="86"/>
      <c r="E95" s="178"/>
      <c r="F95" s="178"/>
      <c r="G95" s="101"/>
      <c r="H95" s="101"/>
      <c r="I95" s="101"/>
      <c r="J95" s="101"/>
      <c r="K95" s="101"/>
      <c r="L95" s="101"/>
      <c r="M95" s="101"/>
    </row>
  </sheetData>
  <mergeCells count="35">
    <mergeCell ref="A73:A77"/>
    <mergeCell ref="A57:A66"/>
    <mergeCell ref="L13:L15"/>
    <mergeCell ref="M13:M15"/>
    <mergeCell ref="A13:A15"/>
    <mergeCell ref="B13:B15"/>
    <mergeCell ref="G13:G15"/>
    <mergeCell ref="H13:H15"/>
    <mergeCell ref="I13:I15"/>
    <mergeCell ref="J13:J15"/>
    <mergeCell ref="K13:K15"/>
    <mergeCell ref="A45:A50"/>
    <mergeCell ref="A51:A55"/>
    <mergeCell ref="A68:A72"/>
    <mergeCell ref="A20:A22"/>
    <mergeCell ref="A23:A27"/>
    <mergeCell ref="A28:A30"/>
    <mergeCell ref="A31:A32"/>
    <mergeCell ref="A33:A38"/>
    <mergeCell ref="A18:A19"/>
    <mergeCell ref="A1:M1"/>
    <mergeCell ref="A2:M2"/>
    <mergeCell ref="A3:M3"/>
    <mergeCell ref="A5:M5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M7:M8"/>
    <mergeCell ref="A16:A17"/>
  </mergeCells>
  <pageMargins left="0.70866141732283472" right="0.27" top="0.26" bottom="0.18" header="0.22" footer="0.15"/>
  <pageSetup paperSize="9" orientation="landscape" horizontalDpi="1200" verticalDpi="1200" r:id="rId1"/>
  <headerFooter>
    <oddHeader>&amp;R&amp;P--&amp;N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43"/>
  <sheetViews>
    <sheetView zoomScale="80" zoomScaleNormal="80" workbookViewId="0">
      <selection activeCell="C143" sqref="C143"/>
    </sheetView>
  </sheetViews>
  <sheetFormatPr defaultRowHeight="15"/>
  <cols>
    <col min="1" max="1" width="4.5703125" customWidth="1"/>
    <col min="2" max="2" width="7.140625" customWidth="1"/>
    <col min="3" max="3" width="32.7109375" customWidth="1"/>
    <col min="4" max="4" width="6.5703125" customWidth="1"/>
    <col min="5" max="5" width="7.85546875" style="276" customWidth="1"/>
    <col min="6" max="6" width="12.42578125" style="276" bestFit="1" customWidth="1"/>
    <col min="7" max="7" width="7.85546875" customWidth="1"/>
    <col min="8" max="8" width="9" customWidth="1"/>
    <col min="9" max="9" width="7.140625" customWidth="1"/>
    <col min="11" max="11" width="5.42578125" customWidth="1"/>
    <col min="13" max="13" width="11.140625" customWidth="1"/>
    <col min="14" max="14" width="34.28515625" customWidth="1"/>
    <col min="15" max="15" width="32.85546875" customWidth="1"/>
  </cols>
  <sheetData>
    <row r="1" spans="1:13" s="222" customFormat="1" ht="51" customHeight="1">
      <c r="A1" s="535" t="str">
        <f>krebsiti!A3</f>
        <v>q.dmanisSi wn.ninos q.#38-is mimdebared s.k.#82.01.46.505 skveris reabilitaciis samuSaoebi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</row>
    <row r="2" spans="1:13" s="222" customFormat="1" ht="21">
      <c r="A2" s="536" t="s">
        <v>140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</row>
    <row r="3" spans="1:13" s="222" customFormat="1" ht="15.75">
      <c r="A3" s="535" t="s">
        <v>234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</row>
    <row r="4" spans="1:13" s="222" customFormat="1" ht="15.75">
      <c r="A4" s="135"/>
      <c r="B4" s="135"/>
      <c r="C4" s="135"/>
      <c r="D4" s="135"/>
      <c r="E4" s="518"/>
      <c r="F4" s="518"/>
      <c r="G4" s="88"/>
      <c r="H4" s="88"/>
      <c r="I4" s="88"/>
      <c r="J4" s="88"/>
      <c r="K4" s="88"/>
      <c r="L4" s="88"/>
      <c r="M4" s="88"/>
    </row>
    <row r="5" spans="1:13" s="222" customFormat="1" ht="15.75">
      <c r="A5" s="535" t="s">
        <v>235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</row>
    <row r="6" spans="1:13" s="222" customFormat="1">
      <c r="A6" s="181"/>
      <c r="B6" s="181"/>
      <c r="C6" s="181"/>
      <c r="D6" s="181"/>
      <c r="E6" s="183"/>
      <c r="F6" s="183"/>
      <c r="G6" s="103"/>
      <c r="H6" s="103"/>
      <c r="I6" s="103"/>
      <c r="J6" s="103"/>
      <c r="K6" s="103"/>
      <c r="L6" s="103"/>
      <c r="M6" s="103"/>
    </row>
    <row r="7" spans="1:13" s="222" customFormat="1" ht="15.75">
      <c r="A7" s="619" t="s">
        <v>0</v>
      </c>
      <c r="B7" s="619" t="s">
        <v>25</v>
      </c>
      <c r="C7" s="619" t="s">
        <v>1</v>
      </c>
      <c r="D7" s="619" t="s">
        <v>2</v>
      </c>
      <c r="E7" s="541" t="s">
        <v>63</v>
      </c>
      <c r="F7" s="541" t="s">
        <v>3</v>
      </c>
      <c r="G7" s="542" t="s">
        <v>27</v>
      </c>
      <c r="H7" s="542"/>
      <c r="I7" s="542" t="s">
        <v>28</v>
      </c>
      <c r="J7" s="542"/>
      <c r="K7" s="542" t="s">
        <v>29</v>
      </c>
      <c r="L7" s="542"/>
      <c r="M7" s="542" t="s">
        <v>30</v>
      </c>
    </row>
    <row r="8" spans="1:13" s="222" customFormat="1" ht="47.25">
      <c r="A8" s="619"/>
      <c r="B8" s="619"/>
      <c r="C8" s="619"/>
      <c r="D8" s="619"/>
      <c r="E8" s="541"/>
      <c r="F8" s="541"/>
      <c r="G8" s="16" t="s">
        <v>31</v>
      </c>
      <c r="H8" s="16" t="s">
        <v>32</v>
      </c>
      <c r="I8" s="16" t="s">
        <v>31</v>
      </c>
      <c r="J8" s="16" t="s">
        <v>32</v>
      </c>
      <c r="K8" s="16" t="s">
        <v>31</v>
      </c>
      <c r="L8" s="16" t="s">
        <v>32</v>
      </c>
      <c r="M8" s="542"/>
    </row>
    <row r="9" spans="1:13" s="222" customFormat="1" ht="15.75">
      <c r="A9" s="104">
        <v>1</v>
      </c>
      <c r="B9" s="104">
        <v>2</v>
      </c>
      <c r="C9" s="104">
        <v>3</v>
      </c>
      <c r="D9" s="104">
        <v>4</v>
      </c>
      <c r="E9" s="519">
        <v>5</v>
      </c>
      <c r="F9" s="519">
        <v>6</v>
      </c>
      <c r="G9" s="15">
        <v>7</v>
      </c>
      <c r="H9" s="104">
        <v>8</v>
      </c>
      <c r="I9" s="15">
        <v>9</v>
      </c>
      <c r="J9" s="104">
        <v>10</v>
      </c>
      <c r="K9" s="15">
        <v>11</v>
      </c>
      <c r="L9" s="104">
        <v>12</v>
      </c>
      <c r="M9" s="15">
        <v>13</v>
      </c>
    </row>
    <row r="10" spans="1:13" s="222" customFormat="1" ht="63">
      <c r="A10" s="288"/>
      <c r="B10" s="289"/>
      <c r="C10" s="290" t="s">
        <v>320</v>
      </c>
      <c r="D10" s="288"/>
      <c r="E10" s="291"/>
      <c r="F10" s="292"/>
      <c r="G10" s="16"/>
      <c r="H10" s="16"/>
      <c r="I10" s="16"/>
      <c r="J10" s="16"/>
      <c r="K10" s="16"/>
      <c r="L10" s="16"/>
      <c r="M10" s="16"/>
    </row>
    <row r="11" spans="1:13" s="222" customFormat="1" ht="31.5">
      <c r="A11" s="622">
        <v>1</v>
      </c>
      <c r="B11" s="620"/>
      <c r="C11" s="293" t="s">
        <v>295</v>
      </c>
      <c r="D11" s="622" t="s">
        <v>49</v>
      </c>
      <c r="E11" s="624"/>
      <c r="F11" s="294">
        <v>50</v>
      </c>
      <c r="G11" s="16"/>
      <c r="H11" s="16"/>
      <c r="I11" s="16"/>
      <c r="J11" s="16"/>
      <c r="K11" s="16"/>
      <c r="L11" s="16"/>
      <c r="M11" s="16"/>
    </row>
    <row r="12" spans="1:13" s="222" customFormat="1" ht="31.5">
      <c r="A12" s="623"/>
      <c r="B12" s="621"/>
      <c r="C12" s="171" t="s">
        <v>321</v>
      </c>
      <c r="D12" s="623"/>
      <c r="E12" s="625"/>
      <c r="F12" s="295"/>
      <c r="G12" s="248"/>
      <c r="H12" s="248"/>
      <c r="I12" s="248"/>
      <c r="J12" s="248"/>
      <c r="K12" s="248"/>
      <c r="L12" s="248"/>
      <c r="M12" s="248"/>
    </row>
    <row r="13" spans="1:13" s="222" customFormat="1" ht="47.25">
      <c r="A13" s="640">
        <v>1</v>
      </c>
      <c r="B13" s="8" t="s">
        <v>64</v>
      </c>
      <c r="C13" s="73" t="s">
        <v>123</v>
      </c>
      <c r="D13" s="8" t="s">
        <v>39</v>
      </c>
      <c r="E13" s="27"/>
      <c r="F13" s="27">
        <f>F11*0.5*1</f>
        <v>25</v>
      </c>
      <c r="G13" s="11"/>
      <c r="H13" s="16"/>
      <c r="I13" s="11"/>
      <c r="J13" s="16"/>
      <c r="K13" s="11"/>
      <c r="L13" s="16"/>
      <c r="M13" s="16"/>
    </row>
    <row r="14" spans="1:13" s="222" customFormat="1" ht="15.75">
      <c r="A14" s="641"/>
      <c r="B14" s="8"/>
      <c r="C14" s="32" t="s">
        <v>14</v>
      </c>
      <c r="D14" s="13" t="s">
        <v>15</v>
      </c>
      <c r="E14" s="519">
        <v>2.06</v>
      </c>
      <c r="F14" s="519">
        <f>E14*F13</f>
        <v>51.5</v>
      </c>
      <c r="G14" s="16"/>
      <c r="H14" s="16"/>
      <c r="I14" s="16"/>
      <c r="J14" s="16"/>
      <c r="K14" s="16"/>
      <c r="L14" s="16"/>
      <c r="M14" s="16"/>
    </row>
    <row r="15" spans="1:13" s="222" customFormat="1" ht="47.25">
      <c r="A15" s="626" t="s">
        <v>76</v>
      </c>
      <c r="B15" s="96" t="s">
        <v>103</v>
      </c>
      <c r="C15" s="148" t="s">
        <v>279</v>
      </c>
      <c r="D15" s="239" t="s">
        <v>46</v>
      </c>
      <c r="E15" s="94"/>
      <c r="F15" s="97">
        <f>F13*1.95</f>
        <v>48.75</v>
      </c>
      <c r="G15" s="20"/>
      <c r="H15" s="248"/>
      <c r="I15" s="20"/>
      <c r="J15" s="248"/>
      <c r="K15" s="20"/>
      <c r="L15" s="248"/>
      <c r="M15" s="248"/>
    </row>
    <row r="16" spans="1:13" s="222" customFormat="1" ht="27">
      <c r="A16" s="627"/>
      <c r="B16" s="57"/>
      <c r="C16" s="54" t="s">
        <v>60</v>
      </c>
      <c r="D16" s="55" t="s">
        <v>9</v>
      </c>
      <c r="E16" s="94">
        <v>0.53</v>
      </c>
      <c r="F16" s="56">
        <f>F15*E16</f>
        <v>25.837500000000002</v>
      </c>
      <c r="G16" s="20"/>
      <c r="H16" s="248"/>
      <c r="I16" s="20"/>
      <c r="J16" s="248"/>
      <c r="K16" s="20"/>
      <c r="L16" s="248"/>
      <c r="M16" s="248"/>
    </row>
    <row r="17" spans="1:13" s="222" customFormat="1" ht="15.75">
      <c r="A17" s="628"/>
      <c r="B17" s="249" t="s">
        <v>153</v>
      </c>
      <c r="C17" s="149" t="s">
        <v>280</v>
      </c>
      <c r="D17" s="239" t="s">
        <v>46</v>
      </c>
      <c r="E17" s="94"/>
      <c r="F17" s="97">
        <f>F15</f>
        <v>48.75</v>
      </c>
      <c r="G17" s="20"/>
      <c r="H17" s="248"/>
      <c r="I17" s="20"/>
      <c r="J17" s="248"/>
      <c r="K17" s="20"/>
      <c r="L17" s="248"/>
      <c r="M17" s="248"/>
    </row>
    <row r="18" spans="1:13" s="222" customFormat="1" ht="47.25">
      <c r="A18" s="601" t="s">
        <v>106</v>
      </c>
      <c r="B18" s="8" t="s">
        <v>124</v>
      </c>
      <c r="C18" s="115" t="s">
        <v>125</v>
      </c>
      <c r="D18" s="8" t="s">
        <v>39</v>
      </c>
      <c r="E18" s="27"/>
      <c r="F18" s="27">
        <f>F11*0.5*0.2</f>
        <v>5</v>
      </c>
      <c r="G18" s="116"/>
      <c r="H18" s="16"/>
      <c r="I18" s="40"/>
      <c r="J18" s="16"/>
      <c r="K18" s="40"/>
      <c r="L18" s="16"/>
      <c r="M18" s="16"/>
    </row>
    <row r="19" spans="1:13" s="222" customFormat="1" ht="27">
      <c r="A19" s="602"/>
      <c r="B19" s="13"/>
      <c r="C19" s="32" t="s">
        <v>14</v>
      </c>
      <c r="D19" s="13" t="s">
        <v>9</v>
      </c>
      <c r="E19" s="519">
        <f>18/10</f>
        <v>1.8</v>
      </c>
      <c r="F19" s="519">
        <f>E19*F18</f>
        <v>9</v>
      </c>
      <c r="G19" s="16"/>
      <c r="H19" s="16"/>
      <c r="I19" s="16"/>
      <c r="J19" s="16"/>
      <c r="K19" s="16"/>
      <c r="L19" s="16"/>
      <c r="M19" s="16"/>
    </row>
    <row r="20" spans="1:13" s="222" customFormat="1" ht="15.75">
      <c r="A20" s="602"/>
      <c r="B20" s="13"/>
      <c r="C20" s="32" t="s">
        <v>126</v>
      </c>
      <c r="D20" s="13" t="s">
        <v>36</v>
      </c>
      <c r="E20" s="519">
        <v>1.1000000000000001</v>
      </c>
      <c r="F20" s="519">
        <f>F18*E20</f>
        <v>5.5</v>
      </c>
      <c r="G20" s="16"/>
      <c r="H20" s="16"/>
      <c r="I20" s="114"/>
      <c r="J20" s="16"/>
      <c r="K20" s="16"/>
      <c r="L20" s="16"/>
      <c r="M20" s="16"/>
    </row>
    <row r="21" spans="1:13" s="222" customFormat="1" ht="63">
      <c r="A21" s="642" t="s">
        <v>99</v>
      </c>
      <c r="B21" s="8" t="s">
        <v>135</v>
      </c>
      <c r="C21" s="73" t="s">
        <v>236</v>
      </c>
      <c r="D21" s="8" t="s">
        <v>49</v>
      </c>
      <c r="E21" s="27"/>
      <c r="F21" s="27">
        <f>F11</f>
        <v>50</v>
      </c>
      <c r="G21" s="11"/>
      <c r="H21" s="16"/>
      <c r="I21" s="11"/>
      <c r="J21" s="16"/>
      <c r="K21" s="11"/>
      <c r="L21" s="16"/>
      <c r="M21" s="16"/>
    </row>
    <row r="22" spans="1:13" s="222" customFormat="1" ht="27">
      <c r="A22" s="642"/>
      <c r="B22" s="13"/>
      <c r="C22" s="32" t="s">
        <v>111</v>
      </c>
      <c r="D22" s="13" t="s">
        <v>73</v>
      </c>
      <c r="E22" s="519">
        <v>9.5899999999999999E-2</v>
      </c>
      <c r="F22" s="519">
        <f>F21*E22</f>
        <v>4.7949999999999999</v>
      </c>
      <c r="G22" s="16"/>
      <c r="H22" s="16"/>
      <c r="I22" s="16"/>
      <c r="J22" s="16"/>
      <c r="K22" s="16"/>
      <c r="L22" s="16"/>
      <c r="M22" s="16"/>
    </row>
    <row r="23" spans="1:13" s="222" customFormat="1" ht="15.75">
      <c r="A23" s="642"/>
      <c r="B23" s="13"/>
      <c r="C23" s="32" t="s">
        <v>112</v>
      </c>
      <c r="D23" s="13" t="s">
        <v>22</v>
      </c>
      <c r="E23" s="519">
        <v>4.5199999999999997E-2</v>
      </c>
      <c r="F23" s="519">
        <f>F21*E23</f>
        <v>2.2599999999999998</v>
      </c>
      <c r="G23" s="16"/>
      <c r="H23" s="16"/>
      <c r="I23" s="16"/>
      <c r="J23" s="16"/>
      <c r="K23" s="16"/>
      <c r="L23" s="16"/>
      <c r="M23" s="16"/>
    </row>
    <row r="24" spans="1:13" s="222" customFormat="1" ht="30.75">
      <c r="A24" s="642"/>
      <c r="B24" s="13"/>
      <c r="C24" s="32" t="s">
        <v>237</v>
      </c>
      <c r="D24" s="13" t="s">
        <v>113</v>
      </c>
      <c r="E24" s="519">
        <v>1.01</v>
      </c>
      <c r="F24" s="519">
        <f>F21*E24</f>
        <v>50.5</v>
      </c>
      <c r="G24" s="16"/>
      <c r="H24" s="16"/>
      <c r="I24" s="16"/>
      <c r="J24" s="16"/>
      <c r="K24" s="16"/>
      <c r="L24" s="16"/>
      <c r="M24" s="16"/>
    </row>
    <row r="25" spans="1:13" s="222" customFormat="1" ht="15.75">
      <c r="A25" s="642"/>
      <c r="B25" s="13"/>
      <c r="C25" s="32" t="s">
        <v>109</v>
      </c>
      <c r="D25" s="13" t="s">
        <v>22</v>
      </c>
      <c r="E25" s="519">
        <v>5.9999999999999995E-4</v>
      </c>
      <c r="F25" s="519">
        <f>F21*E25</f>
        <v>0.03</v>
      </c>
      <c r="G25" s="16"/>
      <c r="H25" s="16"/>
      <c r="I25" s="16"/>
      <c r="J25" s="16"/>
      <c r="K25" s="16"/>
      <c r="L25" s="16"/>
      <c r="M25" s="16"/>
    </row>
    <row r="26" spans="1:13" s="222" customFormat="1" ht="31.5">
      <c r="A26" s="642" t="s">
        <v>101</v>
      </c>
      <c r="B26" s="8" t="s">
        <v>128</v>
      </c>
      <c r="C26" s="117" t="s">
        <v>129</v>
      </c>
      <c r="D26" s="8" t="s">
        <v>39</v>
      </c>
      <c r="E26" s="118"/>
      <c r="F26" s="27">
        <f>F11*0.5*0.8</f>
        <v>20</v>
      </c>
      <c r="G26" s="116"/>
      <c r="H26" s="16"/>
      <c r="I26" s="116"/>
      <c r="J26" s="16"/>
      <c r="K26" s="116"/>
      <c r="L26" s="16"/>
      <c r="M26" s="16"/>
    </row>
    <row r="27" spans="1:13" s="222" customFormat="1" ht="27">
      <c r="A27" s="642"/>
      <c r="B27" s="13"/>
      <c r="C27" s="32" t="s">
        <v>14</v>
      </c>
      <c r="D27" s="13" t="s">
        <v>9</v>
      </c>
      <c r="E27" s="519">
        <f>17.8/10</f>
        <v>1.78</v>
      </c>
      <c r="F27" s="519">
        <f>E27*F26</f>
        <v>35.6</v>
      </c>
      <c r="G27" s="40"/>
      <c r="H27" s="16"/>
      <c r="I27" s="40"/>
      <c r="J27" s="16"/>
      <c r="K27" s="40"/>
      <c r="L27" s="16"/>
      <c r="M27" s="16"/>
    </row>
    <row r="28" spans="1:13" s="222" customFormat="1" ht="15.75">
      <c r="A28" s="642"/>
      <c r="B28" s="13"/>
      <c r="C28" s="32" t="s">
        <v>37</v>
      </c>
      <c r="D28" s="13" t="s">
        <v>36</v>
      </c>
      <c r="E28" s="519">
        <v>1.1000000000000001</v>
      </c>
      <c r="F28" s="519">
        <f>E28*F26</f>
        <v>22</v>
      </c>
      <c r="G28" s="40"/>
      <c r="H28" s="16"/>
      <c r="I28" s="40"/>
      <c r="J28" s="16"/>
      <c r="K28" s="40"/>
      <c r="L28" s="16"/>
      <c r="M28" s="16"/>
    </row>
    <row r="29" spans="1:13" s="222" customFormat="1" ht="31.5">
      <c r="A29" s="618" t="s">
        <v>102</v>
      </c>
      <c r="B29" s="8" t="s">
        <v>115</v>
      </c>
      <c r="C29" s="73" t="s">
        <v>127</v>
      </c>
      <c r="D29" s="8" t="s">
        <v>71</v>
      </c>
      <c r="E29" s="27"/>
      <c r="F29" s="27">
        <f>F32</f>
        <v>2</v>
      </c>
      <c r="G29" s="11"/>
      <c r="H29" s="7"/>
      <c r="I29" s="11"/>
      <c r="J29" s="7"/>
      <c r="K29" s="11"/>
      <c r="L29" s="7"/>
      <c r="M29" s="7"/>
    </row>
    <row r="30" spans="1:13" s="222" customFormat="1" ht="27">
      <c r="A30" s="618"/>
      <c r="B30" s="13"/>
      <c r="C30" s="32" t="s">
        <v>111</v>
      </c>
      <c r="D30" s="13" t="s">
        <v>73</v>
      </c>
      <c r="E30" s="519">
        <v>1.51</v>
      </c>
      <c r="F30" s="519">
        <f>F29*E30</f>
        <v>3.02</v>
      </c>
      <c r="G30" s="16"/>
      <c r="H30" s="7"/>
      <c r="I30" s="16"/>
      <c r="J30" s="16"/>
      <c r="K30" s="16"/>
      <c r="L30" s="7"/>
      <c r="M30" s="16"/>
    </row>
    <row r="31" spans="1:13" s="222" customFormat="1" ht="15.75">
      <c r="A31" s="618"/>
      <c r="B31" s="13"/>
      <c r="C31" s="32" t="s">
        <v>114</v>
      </c>
      <c r="D31" s="13" t="s">
        <v>22</v>
      </c>
      <c r="E31" s="519">
        <v>0.13</v>
      </c>
      <c r="F31" s="519">
        <f>F29*E31</f>
        <v>0.26</v>
      </c>
      <c r="G31" s="16"/>
      <c r="H31" s="7"/>
      <c r="I31" s="16"/>
      <c r="J31" s="7"/>
      <c r="K31" s="16"/>
      <c r="L31" s="16"/>
      <c r="M31" s="16"/>
    </row>
    <row r="32" spans="1:13" s="222" customFormat="1" ht="15.75">
      <c r="A32" s="618"/>
      <c r="B32" s="13"/>
      <c r="C32" s="32" t="s">
        <v>238</v>
      </c>
      <c r="D32" s="13" t="s">
        <v>71</v>
      </c>
      <c r="E32" s="519">
        <v>1</v>
      </c>
      <c r="F32" s="519">
        <v>2</v>
      </c>
      <c r="G32" s="16"/>
      <c r="H32" s="16"/>
      <c r="I32" s="16"/>
      <c r="J32" s="7"/>
      <c r="K32" s="16"/>
      <c r="L32" s="7"/>
      <c r="M32" s="16"/>
    </row>
    <row r="33" spans="1:13" s="222" customFormat="1" ht="15.75">
      <c r="A33" s="618"/>
      <c r="B33" s="13"/>
      <c r="C33" s="32" t="s">
        <v>109</v>
      </c>
      <c r="D33" s="13" t="s">
        <v>22</v>
      </c>
      <c r="E33" s="519">
        <v>7.0000000000000007E-2</v>
      </c>
      <c r="F33" s="519">
        <f>F29*E33</f>
        <v>0.14000000000000001</v>
      </c>
      <c r="G33" s="16"/>
      <c r="H33" s="16"/>
      <c r="I33" s="16"/>
      <c r="J33" s="7"/>
      <c r="K33" s="16"/>
      <c r="L33" s="7"/>
      <c r="M33" s="16"/>
    </row>
    <row r="34" spans="1:13" s="222" customFormat="1" ht="31.5">
      <c r="A34" s="615" t="s">
        <v>84</v>
      </c>
      <c r="B34" s="8" t="s">
        <v>117</v>
      </c>
      <c r="C34" s="73" t="s">
        <v>118</v>
      </c>
      <c r="D34" s="13" t="s">
        <v>119</v>
      </c>
      <c r="E34" s="519"/>
      <c r="F34" s="27">
        <f>F11/100</f>
        <v>0.5</v>
      </c>
      <c r="G34" s="16"/>
      <c r="H34" s="16"/>
      <c r="I34" s="16"/>
      <c r="J34" s="16"/>
      <c r="K34" s="16"/>
      <c r="L34" s="16"/>
      <c r="M34" s="16"/>
    </row>
    <row r="35" spans="1:13" s="222" customFormat="1" ht="27">
      <c r="A35" s="616"/>
      <c r="B35" s="13"/>
      <c r="C35" s="32" t="s">
        <v>111</v>
      </c>
      <c r="D35" s="13" t="s">
        <v>73</v>
      </c>
      <c r="E35" s="519">
        <v>5.16</v>
      </c>
      <c r="F35" s="519">
        <f>F34*E35</f>
        <v>2.58</v>
      </c>
      <c r="G35" s="16"/>
      <c r="H35" s="16"/>
      <c r="I35" s="16"/>
      <c r="J35" s="16"/>
      <c r="K35" s="16"/>
      <c r="L35" s="16"/>
      <c r="M35" s="16"/>
    </row>
    <row r="36" spans="1:13" s="222" customFormat="1" ht="15.75">
      <c r="A36" s="616"/>
      <c r="B36" s="13"/>
      <c r="C36" s="32" t="s">
        <v>120</v>
      </c>
      <c r="D36" s="13" t="s">
        <v>43</v>
      </c>
      <c r="E36" s="519">
        <v>1</v>
      </c>
      <c r="F36" s="519">
        <f>F34*E36</f>
        <v>0.5</v>
      </c>
      <c r="G36" s="16"/>
      <c r="H36" s="16"/>
      <c r="I36" s="16"/>
      <c r="J36" s="16"/>
      <c r="K36" s="16"/>
      <c r="L36" s="16"/>
      <c r="M36" s="16"/>
    </row>
    <row r="37" spans="1:13" s="222" customFormat="1" ht="15.75">
      <c r="A37" s="617"/>
      <c r="B37" s="13"/>
      <c r="C37" s="32" t="s">
        <v>54</v>
      </c>
      <c r="D37" s="13" t="s">
        <v>7</v>
      </c>
      <c r="E37" s="519">
        <v>0.11</v>
      </c>
      <c r="F37" s="519">
        <f>F34*E37</f>
        <v>5.5E-2</v>
      </c>
      <c r="G37" s="16"/>
      <c r="H37" s="16"/>
      <c r="I37" s="16"/>
      <c r="J37" s="16"/>
      <c r="K37" s="16"/>
      <c r="L37" s="16"/>
      <c r="M37" s="16"/>
    </row>
    <row r="38" spans="1:13" s="222" customFormat="1" ht="47.25">
      <c r="A38" s="601" t="s">
        <v>48</v>
      </c>
      <c r="B38" s="125" t="s">
        <v>131</v>
      </c>
      <c r="C38" s="73" t="s">
        <v>239</v>
      </c>
      <c r="D38" s="125" t="s">
        <v>23</v>
      </c>
      <c r="E38" s="62"/>
      <c r="F38" s="27">
        <v>1</v>
      </c>
      <c r="G38" s="116"/>
      <c r="H38" s="16"/>
      <c r="I38" s="40"/>
      <c r="J38" s="16"/>
      <c r="K38" s="40"/>
      <c r="L38" s="16"/>
      <c r="M38" s="16"/>
    </row>
    <row r="39" spans="1:13" s="222" customFormat="1" ht="27">
      <c r="A39" s="602"/>
      <c r="B39" s="121"/>
      <c r="C39" s="32" t="s">
        <v>42</v>
      </c>
      <c r="D39" s="13" t="s">
        <v>9</v>
      </c>
      <c r="E39" s="519">
        <v>3.15</v>
      </c>
      <c r="F39" s="519">
        <f>F38*E39</f>
        <v>3.15</v>
      </c>
      <c r="G39" s="40"/>
      <c r="H39" s="16"/>
      <c r="I39" s="40"/>
      <c r="J39" s="16"/>
      <c r="K39" s="40"/>
      <c r="L39" s="16"/>
      <c r="M39" s="16"/>
    </row>
    <row r="40" spans="1:13" s="222" customFormat="1" ht="15.75">
      <c r="A40" s="602"/>
      <c r="B40" s="121"/>
      <c r="C40" s="122" t="s">
        <v>8</v>
      </c>
      <c r="D40" s="121" t="s">
        <v>7</v>
      </c>
      <c r="E40" s="120">
        <v>0.84</v>
      </c>
      <c r="F40" s="120">
        <f>F38*E40</f>
        <v>0.84</v>
      </c>
      <c r="G40" s="40"/>
      <c r="H40" s="16"/>
      <c r="I40" s="40"/>
      <c r="J40" s="16"/>
      <c r="K40" s="40"/>
      <c r="L40" s="16"/>
      <c r="M40" s="16"/>
    </row>
    <row r="41" spans="1:13" s="222" customFormat="1" ht="15.75">
      <c r="A41" s="602"/>
      <c r="B41" s="121"/>
      <c r="C41" s="122" t="s">
        <v>132</v>
      </c>
      <c r="D41" s="121" t="s">
        <v>122</v>
      </c>
      <c r="E41" s="120">
        <v>20</v>
      </c>
      <c r="F41" s="126">
        <f>E41*F38</f>
        <v>20</v>
      </c>
      <c r="G41" s="40"/>
      <c r="H41" s="16"/>
      <c r="I41" s="40"/>
      <c r="J41" s="16"/>
      <c r="K41" s="40"/>
      <c r="L41" s="16"/>
      <c r="M41" s="16"/>
    </row>
    <row r="42" spans="1:13" s="222" customFormat="1" ht="15.75">
      <c r="A42" s="603"/>
      <c r="B42" s="121"/>
      <c r="C42" s="122" t="s">
        <v>10</v>
      </c>
      <c r="D42" s="121" t="s">
        <v>7</v>
      </c>
      <c r="E42" s="120">
        <v>0.47</v>
      </c>
      <c r="F42" s="120">
        <f>F38*E42</f>
        <v>0.47</v>
      </c>
      <c r="G42" s="40"/>
      <c r="H42" s="16"/>
      <c r="I42" s="40"/>
      <c r="J42" s="16"/>
      <c r="K42" s="40"/>
      <c r="L42" s="16"/>
      <c r="M42" s="16"/>
    </row>
    <row r="43" spans="1:13" s="222" customFormat="1" ht="47.25">
      <c r="A43" s="140">
        <v>1</v>
      </c>
      <c r="B43" s="138"/>
      <c r="C43" s="139" t="s">
        <v>296</v>
      </c>
      <c r="D43" s="140" t="s">
        <v>49</v>
      </c>
      <c r="E43" s="172"/>
      <c r="F43" s="141">
        <v>50</v>
      </c>
      <c r="G43" s="123"/>
      <c r="H43" s="16"/>
      <c r="I43" s="40"/>
      <c r="J43" s="16"/>
      <c r="K43" s="40"/>
      <c r="L43" s="16"/>
      <c r="M43" s="16"/>
    </row>
    <row r="44" spans="1:13" s="222" customFormat="1" ht="31.5">
      <c r="A44" s="601">
        <v>1</v>
      </c>
      <c r="B44" s="256" t="s">
        <v>64</v>
      </c>
      <c r="C44" s="124" t="s">
        <v>133</v>
      </c>
      <c r="D44" s="125" t="s">
        <v>39</v>
      </c>
      <c r="E44" s="270"/>
      <c r="F44" s="27">
        <f>F43*0.5*1</f>
        <v>25</v>
      </c>
      <c r="G44" s="123"/>
      <c r="H44" s="248"/>
      <c r="I44" s="123"/>
      <c r="J44" s="248"/>
      <c r="K44" s="123"/>
      <c r="L44" s="248"/>
      <c r="M44" s="248"/>
    </row>
    <row r="45" spans="1:13" s="222" customFormat="1" ht="15.75">
      <c r="A45" s="603"/>
      <c r="B45" s="127"/>
      <c r="C45" s="122" t="s">
        <v>42</v>
      </c>
      <c r="D45" s="256" t="s">
        <v>36</v>
      </c>
      <c r="E45" s="270">
        <v>2.06</v>
      </c>
      <c r="F45" s="126">
        <f>E45*F44</f>
        <v>51.5</v>
      </c>
      <c r="G45" s="48"/>
      <c r="H45" s="248"/>
      <c r="I45" s="48"/>
      <c r="J45" s="248"/>
      <c r="K45" s="40"/>
      <c r="L45" s="248"/>
      <c r="M45" s="248"/>
    </row>
    <row r="46" spans="1:13" s="222" customFormat="1" ht="47.25">
      <c r="A46" s="626" t="s">
        <v>76</v>
      </c>
      <c r="B46" s="96" t="s">
        <v>103</v>
      </c>
      <c r="C46" s="148" t="s">
        <v>279</v>
      </c>
      <c r="D46" s="239" t="s">
        <v>46</v>
      </c>
      <c r="E46" s="94"/>
      <c r="F46" s="97">
        <f>F44*1.95</f>
        <v>48.75</v>
      </c>
      <c r="G46" s="20"/>
      <c r="H46" s="248"/>
      <c r="I46" s="20"/>
      <c r="J46" s="248"/>
      <c r="K46" s="20"/>
      <c r="L46" s="248"/>
      <c r="M46" s="248"/>
    </row>
    <row r="47" spans="1:13" s="222" customFormat="1" ht="27">
      <c r="A47" s="627"/>
      <c r="B47" s="57"/>
      <c r="C47" s="54" t="s">
        <v>60</v>
      </c>
      <c r="D47" s="55" t="s">
        <v>9</v>
      </c>
      <c r="E47" s="94">
        <v>0.53</v>
      </c>
      <c r="F47" s="56">
        <f>F46*E47</f>
        <v>25.837500000000002</v>
      </c>
      <c r="G47" s="20"/>
      <c r="H47" s="248"/>
      <c r="I47" s="20"/>
      <c r="J47" s="248"/>
      <c r="K47" s="20"/>
      <c r="L47" s="248"/>
      <c r="M47" s="248"/>
    </row>
    <row r="48" spans="1:13" s="222" customFormat="1" ht="15.75">
      <c r="A48" s="628"/>
      <c r="B48" s="249" t="s">
        <v>153</v>
      </c>
      <c r="C48" s="149" t="s">
        <v>280</v>
      </c>
      <c r="D48" s="239" t="s">
        <v>46</v>
      </c>
      <c r="E48" s="94"/>
      <c r="F48" s="97">
        <f>F46</f>
        <v>48.75</v>
      </c>
      <c r="G48" s="20"/>
      <c r="H48" s="248"/>
      <c r="I48" s="20"/>
      <c r="J48" s="248"/>
      <c r="K48" s="20"/>
      <c r="L48" s="248"/>
      <c r="M48" s="248"/>
    </row>
    <row r="49" spans="1:14" s="222" customFormat="1" ht="31.5">
      <c r="A49" s="642" t="s">
        <v>106</v>
      </c>
      <c r="B49" s="249" t="s">
        <v>124</v>
      </c>
      <c r="C49" s="115" t="s">
        <v>134</v>
      </c>
      <c r="D49" s="239" t="s">
        <v>39</v>
      </c>
      <c r="E49" s="9"/>
      <c r="F49" s="27">
        <f>0.5*0.3*F43-3.14*0.05*0.05*F43</f>
        <v>7.1074999999999999</v>
      </c>
      <c r="G49" s="48"/>
      <c r="H49" s="248"/>
      <c r="I49" s="48"/>
      <c r="J49" s="248"/>
      <c r="K49" s="40"/>
      <c r="L49" s="248"/>
      <c r="M49" s="248"/>
    </row>
    <row r="50" spans="1:14" s="222" customFormat="1" ht="27">
      <c r="A50" s="642"/>
      <c r="B50" s="249"/>
      <c r="C50" s="32" t="s">
        <v>14</v>
      </c>
      <c r="D50" s="249" t="s">
        <v>9</v>
      </c>
      <c r="E50" s="523">
        <f>18/10</f>
        <v>1.8</v>
      </c>
      <c r="F50" s="519">
        <f>E50*F49</f>
        <v>12.7935</v>
      </c>
      <c r="G50" s="48"/>
      <c r="H50" s="248"/>
      <c r="I50" s="48"/>
      <c r="J50" s="248"/>
      <c r="K50" s="40"/>
      <c r="L50" s="248"/>
      <c r="M50" s="248"/>
    </row>
    <row r="51" spans="1:14" s="222" customFormat="1" ht="15.75">
      <c r="A51" s="642"/>
      <c r="B51" s="249"/>
      <c r="C51" s="32" t="s">
        <v>126</v>
      </c>
      <c r="D51" s="249" t="s">
        <v>36</v>
      </c>
      <c r="E51" s="523">
        <v>1.1499999999999999</v>
      </c>
      <c r="F51" s="519">
        <f>F49*E51</f>
        <v>8.1736249999999995</v>
      </c>
      <c r="G51" s="48"/>
      <c r="H51" s="248"/>
      <c r="I51" s="48"/>
      <c r="J51" s="248"/>
      <c r="K51" s="40"/>
      <c r="L51" s="248"/>
      <c r="M51" s="248"/>
    </row>
    <row r="52" spans="1:14" s="222" customFormat="1" ht="31.5">
      <c r="A52" s="601" t="s">
        <v>99</v>
      </c>
      <c r="B52" s="239" t="s">
        <v>135</v>
      </c>
      <c r="C52" s="115" t="s">
        <v>291</v>
      </c>
      <c r="D52" s="125" t="s">
        <v>49</v>
      </c>
      <c r="E52" s="285"/>
      <c r="F52" s="27">
        <f>F43</f>
        <v>50</v>
      </c>
      <c r="G52" s="116"/>
      <c r="H52" s="248"/>
      <c r="I52" s="40"/>
      <c r="J52" s="248"/>
      <c r="K52" s="40"/>
      <c r="L52" s="248"/>
      <c r="M52" s="248"/>
    </row>
    <row r="53" spans="1:14" s="222" customFormat="1" ht="27">
      <c r="A53" s="602"/>
      <c r="B53" s="256"/>
      <c r="C53" s="32" t="s">
        <v>42</v>
      </c>
      <c r="D53" s="249" t="s">
        <v>9</v>
      </c>
      <c r="E53" s="286">
        <f>95.9*0.001</f>
        <v>9.5900000000000013E-2</v>
      </c>
      <c r="F53" s="120">
        <f>F52*E53</f>
        <v>4.7950000000000008</v>
      </c>
      <c r="G53" s="40"/>
      <c r="H53" s="248"/>
      <c r="I53" s="40"/>
      <c r="J53" s="248"/>
      <c r="K53" s="40"/>
      <c r="L53" s="248"/>
      <c r="M53" s="248"/>
    </row>
    <row r="54" spans="1:14" s="222" customFormat="1" ht="15.75">
      <c r="A54" s="602"/>
      <c r="B54" s="256"/>
      <c r="C54" s="122" t="s">
        <v>8</v>
      </c>
      <c r="D54" s="256" t="s">
        <v>7</v>
      </c>
      <c r="E54" s="286">
        <f>45.2/1000</f>
        <v>4.5200000000000004E-2</v>
      </c>
      <c r="F54" s="120">
        <f>F52*E54</f>
        <v>2.2600000000000002</v>
      </c>
      <c r="G54" s="128"/>
      <c r="H54" s="248"/>
      <c r="I54" s="128"/>
      <c r="J54" s="248"/>
      <c r="K54" s="128"/>
      <c r="L54" s="248"/>
      <c r="M54" s="248"/>
    </row>
    <row r="55" spans="1:14" s="222" customFormat="1" ht="15.75">
      <c r="A55" s="602"/>
      <c r="B55" s="256"/>
      <c r="C55" s="122" t="s">
        <v>292</v>
      </c>
      <c r="D55" s="256" t="str">
        <f>D52</f>
        <v>g/m</v>
      </c>
      <c r="E55" s="286">
        <f>1010*0.001</f>
        <v>1.01</v>
      </c>
      <c r="F55" s="120">
        <f>F52*E55</f>
        <v>50.5</v>
      </c>
      <c r="G55" s="40"/>
      <c r="H55" s="248"/>
      <c r="I55" s="40"/>
      <c r="J55" s="248"/>
      <c r="K55" s="40"/>
      <c r="L55" s="248"/>
      <c r="M55" s="248"/>
    </row>
    <row r="56" spans="1:14" s="222" customFormat="1" ht="15.75">
      <c r="A56" s="602"/>
      <c r="B56" s="256"/>
      <c r="C56" s="92" t="s">
        <v>293</v>
      </c>
      <c r="D56" s="58" t="s">
        <v>56</v>
      </c>
      <c r="E56" s="286"/>
      <c r="F56" s="120">
        <v>8</v>
      </c>
      <c r="G56" s="40"/>
      <c r="H56" s="248"/>
      <c r="I56" s="40"/>
      <c r="J56" s="248"/>
      <c r="K56" s="40"/>
      <c r="L56" s="248"/>
      <c r="M56" s="248"/>
    </row>
    <row r="57" spans="1:14" s="222" customFormat="1" ht="15.75">
      <c r="A57" s="603"/>
      <c r="B57" s="256"/>
      <c r="C57" s="122" t="s">
        <v>10</v>
      </c>
      <c r="D57" s="256" t="s">
        <v>7</v>
      </c>
      <c r="E57" s="286">
        <f>0.6*0.001</f>
        <v>5.9999999999999995E-4</v>
      </c>
      <c r="F57" s="120">
        <f>F52*E57</f>
        <v>0.03</v>
      </c>
      <c r="G57" s="40"/>
      <c r="H57" s="248"/>
      <c r="I57" s="40"/>
      <c r="J57" s="248"/>
      <c r="K57" s="40"/>
      <c r="L57" s="248"/>
      <c r="M57" s="248"/>
    </row>
    <row r="58" spans="1:14" s="222" customFormat="1" ht="31.5">
      <c r="A58" s="642" t="s">
        <v>101</v>
      </c>
      <c r="B58" s="130" t="s">
        <v>136</v>
      </c>
      <c r="C58" s="117" t="s">
        <v>129</v>
      </c>
      <c r="D58" s="239" t="s">
        <v>39</v>
      </c>
      <c r="E58" s="287"/>
      <c r="F58" s="27">
        <f>F43*0.5*0.7</f>
        <v>17.5</v>
      </c>
      <c r="G58" s="48"/>
      <c r="H58" s="248"/>
      <c r="I58" s="48"/>
      <c r="J58" s="248"/>
      <c r="K58" s="40"/>
      <c r="L58" s="248"/>
      <c r="M58" s="248"/>
    </row>
    <row r="59" spans="1:14" s="222" customFormat="1" ht="27">
      <c r="A59" s="642"/>
      <c r="B59" s="249"/>
      <c r="C59" s="32" t="s">
        <v>14</v>
      </c>
      <c r="D59" s="249" t="s">
        <v>9</v>
      </c>
      <c r="E59" s="523">
        <f>17.8/10</f>
        <v>1.78</v>
      </c>
      <c r="F59" s="519">
        <f>E59*F58</f>
        <v>31.150000000000002</v>
      </c>
      <c r="G59" s="48"/>
      <c r="H59" s="248"/>
      <c r="I59" s="48"/>
      <c r="J59" s="248"/>
      <c r="K59" s="40"/>
      <c r="L59" s="248"/>
      <c r="M59" s="248"/>
    </row>
    <row r="60" spans="1:14" s="222" customFormat="1" ht="15.75">
      <c r="A60" s="642"/>
      <c r="B60" s="249"/>
      <c r="C60" s="32" t="s">
        <v>37</v>
      </c>
      <c r="D60" s="249" t="s">
        <v>36</v>
      </c>
      <c r="E60" s="523">
        <v>1.1000000000000001</v>
      </c>
      <c r="F60" s="519">
        <f>E60*F58</f>
        <v>19.25</v>
      </c>
      <c r="G60" s="48"/>
      <c r="H60" s="248"/>
      <c r="I60" s="48"/>
      <c r="J60" s="248"/>
      <c r="K60" s="40"/>
      <c r="L60" s="248"/>
      <c r="M60" s="248"/>
    </row>
    <row r="61" spans="1:14" s="222" customFormat="1" ht="63">
      <c r="A61" s="629" t="s">
        <v>102</v>
      </c>
      <c r="B61" s="130" t="s">
        <v>137</v>
      </c>
      <c r="C61" s="117" t="s">
        <v>294</v>
      </c>
      <c r="D61" s="130" t="s">
        <v>138</v>
      </c>
      <c r="E61" s="287"/>
      <c r="F61" s="27">
        <v>1</v>
      </c>
      <c r="G61" s="131"/>
      <c r="H61" s="248"/>
      <c r="I61" s="131"/>
      <c r="J61" s="248"/>
      <c r="K61" s="131"/>
      <c r="L61" s="248"/>
      <c r="M61" s="248"/>
      <c r="N61" s="89"/>
    </row>
    <row r="62" spans="1:14" s="222" customFormat="1" ht="27">
      <c r="A62" s="630"/>
      <c r="B62" s="132"/>
      <c r="C62" s="32" t="s">
        <v>14</v>
      </c>
      <c r="D62" s="249" t="s">
        <v>9</v>
      </c>
      <c r="E62" s="523">
        <v>17</v>
      </c>
      <c r="F62" s="519">
        <f>F61*E62</f>
        <v>17</v>
      </c>
      <c r="G62" s="248"/>
      <c r="H62" s="248"/>
      <c r="I62" s="248"/>
      <c r="J62" s="248"/>
      <c r="K62" s="248"/>
      <c r="L62" s="248"/>
      <c r="M62" s="248"/>
    </row>
    <row r="63" spans="1:14" s="222" customFormat="1" ht="15.75">
      <c r="A63" s="630"/>
      <c r="B63" s="249"/>
      <c r="C63" s="32" t="s">
        <v>139</v>
      </c>
      <c r="D63" s="249" t="s">
        <v>12</v>
      </c>
      <c r="E63" s="523">
        <v>0.05</v>
      </c>
      <c r="F63" s="519">
        <f>F61*E63</f>
        <v>0.05</v>
      </c>
      <c r="G63" s="40"/>
      <c r="H63" s="248"/>
      <c r="I63" s="40"/>
      <c r="J63" s="248"/>
      <c r="K63" s="40"/>
      <c r="L63" s="248"/>
      <c r="M63" s="248"/>
    </row>
    <row r="64" spans="1:14" s="222" customFormat="1" ht="15.75">
      <c r="A64" s="630"/>
      <c r="B64" s="249"/>
      <c r="C64" s="32" t="s">
        <v>37</v>
      </c>
      <c r="D64" s="249" t="s">
        <v>36</v>
      </c>
      <c r="E64" s="523">
        <v>0.2</v>
      </c>
      <c r="F64" s="519">
        <f>F61*E64</f>
        <v>0.2</v>
      </c>
      <c r="G64" s="40"/>
      <c r="H64" s="248"/>
      <c r="I64" s="40"/>
      <c r="J64" s="248"/>
      <c r="K64" s="40"/>
      <c r="L64" s="248"/>
      <c r="M64" s="248"/>
    </row>
    <row r="65" spans="1:13" s="222" customFormat="1" ht="15.75">
      <c r="A65" s="630"/>
      <c r="B65" s="132"/>
      <c r="C65" s="32" t="s">
        <v>130</v>
      </c>
      <c r="D65" s="249" t="s">
        <v>5</v>
      </c>
      <c r="E65" s="523">
        <v>7.8</v>
      </c>
      <c r="F65" s="519">
        <f>F61*E65</f>
        <v>7.8</v>
      </c>
      <c r="G65" s="248"/>
      <c r="H65" s="248"/>
      <c r="I65" s="248"/>
      <c r="J65" s="248"/>
      <c r="K65" s="40"/>
      <c r="L65" s="248"/>
      <c r="M65" s="248"/>
    </row>
    <row r="66" spans="1:13" s="222" customFormat="1" ht="15.75">
      <c r="A66" s="631"/>
      <c r="B66" s="132"/>
      <c r="C66" s="32" t="s">
        <v>54</v>
      </c>
      <c r="D66" s="249" t="s">
        <v>7</v>
      </c>
      <c r="E66" s="523">
        <v>1.08</v>
      </c>
      <c r="F66" s="519">
        <f>F61*E66</f>
        <v>1.08</v>
      </c>
      <c r="G66" s="248"/>
      <c r="H66" s="248"/>
      <c r="I66" s="248"/>
      <c r="J66" s="248"/>
      <c r="K66" s="40"/>
      <c r="L66" s="248"/>
      <c r="M66" s="248"/>
    </row>
    <row r="67" spans="1:13" s="222" customFormat="1" ht="15.75">
      <c r="A67" s="328"/>
      <c r="B67" s="132"/>
      <c r="C67" s="32"/>
      <c r="D67" s="322"/>
      <c r="E67" s="523"/>
      <c r="F67" s="519"/>
      <c r="G67" s="324"/>
      <c r="H67" s="324"/>
      <c r="I67" s="324"/>
      <c r="J67" s="324"/>
      <c r="K67" s="40"/>
      <c r="L67" s="324"/>
      <c r="M67" s="324"/>
    </row>
    <row r="68" spans="1:13" s="222" customFormat="1" ht="47.25">
      <c r="A68" s="288"/>
      <c r="B68" s="289"/>
      <c r="C68" s="290" t="s">
        <v>376</v>
      </c>
      <c r="D68" s="288"/>
      <c r="E68" s="291"/>
      <c r="F68" s="292"/>
      <c r="G68" s="248"/>
      <c r="H68" s="248"/>
      <c r="I68" s="248"/>
      <c r="J68" s="248"/>
      <c r="K68" s="40"/>
      <c r="L68" s="248"/>
      <c r="M68" s="248"/>
    </row>
    <row r="69" spans="1:13" s="222" customFormat="1" ht="31.5">
      <c r="A69" s="632">
        <v>1</v>
      </c>
      <c r="B69" s="365" t="s">
        <v>381</v>
      </c>
      <c r="C69" s="366" t="s">
        <v>380</v>
      </c>
      <c r="D69" s="365" t="s">
        <v>23</v>
      </c>
      <c r="E69" s="367"/>
      <c r="F69" s="368">
        <f>F72</f>
        <v>2</v>
      </c>
      <c r="G69" s="369"/>
      <c r="H69" s="7"/>
      <c r="I69" s="369"/>
      <c r="J69" s="7"/>
      <c r="K69" s="369"/>
      <c r="L69" s="7"/>
      <c r="M69" s="7"/>
    </row>
    <row r="70" spans="1:13" s="222" customFormat="1" ht="27">
      <c r="A70" s="633"/>
      <c r="B70" s="365"/>
      <c r="C70" s="12" t="s">
        <v>42</v>
      </c>
      <c r="D70" s="322" t="s">
        <v>9</v>
      </c>
      <c r="E70" s="523">
        <v>3.66</v>
      </c>
      <c r="F70" s="519">
        <f>F69*E70</f>
        <v>7.32</v>
      </c>
      <c r="G70" s="370"/>
      <c r="H70" s="7"/>
      <c r="I70" s="370"/>
      <c r="J70" s="7"/>
      <c r="K70" s="370"/>
      <c r="L70" s="7"/>
      <c r="M70" s="7"/>
    </row>
    <row r="71" spans="1:13" s="222" customFormat="1" ht="15.75">
      <c r="A71" s="633"/>
      <c r="B71" s="365"/>
      <c r="C71" s="12" t="s">
        <v>377</v>
      </c>
      <c r="D71" s="322" t="s">
        <v>7</v>
      </c>
      <c r="E71" s="523">
        <v>0.28000000000000003</v>
      </c>
      <c r="F71" s="519">
        <f>F69*E71</f>
        <v>0.56000000000000005</v>
      </c>
      <c r="G71" s="370"/>
      <c r="H71" s="7"/>
      <c r="I71" s="370"/>
      <c r="J71" s="7"/>
      <c r="K71" s="370"/>
      <c r="L71" s="7"/>
      <c r="M71" s="7"/>
    </row>
    <row r="72" spans="1:13" s="222" customFormat="1" ht="31.5">
      <c r="A72" s="633"/>
      <c r="B72" s="365"/>
      <c r="C72" s="12" t="s">
        <v>382</v>
      </c>
      <c r="D72" s="322" t="s">
        <v>378</v>
      </c>
      <c r="E72" s="523">
        <v>1</v>
      </c>
      <c r="F72" s="519">
        <v>2</v>
      </c>
      <c r="G72" s="370"/>
      <c r="H72" s="7"/>
      <c r="I72" s="370"/>
      <c r="J72" s="7"/>
      <c r="K72" s="370"/>
      <c r="L72" s="7"/>
      <c r="M72" s="7"/>
    </row>
    <row r="73" spans="1:13" s="222" customFormat="1" ht="15.75">
      <c r="A73" s="634"/>
      <c r="B73" s="365"/>
      <c r="C73" s="12" t="s">
        <v>54</v>
      </c>
      <c r="D73" s="322" t="s">
        <v>379</v>
      </c>
      <c r="E73" s="523">
        <v>1.24</v>
      </c>
      <c r="F73" s="519">
        <f>F69*E73</f>
        <v>2.48</v>
      </c>
      <c r="G73" s="370"/>
      <c r="H73" s="7"/>
      <c r="I73" s="370"/>
      <c r="J73" s="7"/>
      <c r="K73" s="370"/>
      <c r="L73" s="7"/>
      <c r="M73" s="7"/>
    </row>
    <row r="74" spans="1:13" s="222" customFormat="1" ht="15.75">
      <c r="A74" s="632">
        <v>2</v>
      </c>
      <c r="B74" s="365" t="s">
        <v>383</v>
      </c>
      <c r="C74" s="366" t="s">
        <v>384</v>
      </c>
      <c r="D74" s="365" t="s">
        <v>7</v>
      </c>
      <c r="E74" s="367"/>
      <c r="F74" s="368">
        <f>F77</f>
        <v>2</v>
      </c>
      <c r="G74" s="369"/>
      <c r="H74" s="7"/>
      <c r="I74" s="369"/>
      <c r="J74" s="7"/>
      <c r="K74" s="369"/>
      <c r="L74" s="7"/>
      <c r="M74" s="7"/>
    </row>
    <row r="75" spans="1:13" s="222" customFormat="1" ht="27">
      <c r="A75" s="633"/>
      <c r="B75" s="365"/>
      <c r="C75" s="12" t="s">
        <v>42</v>
      </c>
      <c r="D75" s="322" t="s">
        <v>9</v>
      </c>
      <c r="E75" s="523">
        <v>2.19</v>
      </c>
      <c r="F75" s="519">
        <f>F74*E75</f>
        <v>4.38</v>
      </c>
      <c r="G75" s="370"/>
      <c r="H75" s="7"/>
      <c r="I75" s="370"/>
      <c r="J75" s="7"/>
      <c r="K75" s="370"/>
      <c r="L75" s="7"/>
      <c r="M75" s="7"/>
    </row>
    <row r="76" spans="1:13" s="222" customFormat="1" ht="15.75">
      <c r="A76" s="633"/>
      <c r="B76" s="365"/>
      <c r="C76" s="12" t="s">
        <v>377</v>
      </c>
      <c r="D76" s="322" t="s">
        <v>7</v>
      </c>
      <c r="E76" s="523">
        <v>7.0000000000000007E-2</v>
      </c>
      <c r="F76" s="519">
        <f>F74*E76</f>
        <v>0.14000000000000001</v>
      </c>
      <c r="G76" s="370"/>
      <c r="H76" s="7"/>
      <c r="I76" s="370"/>
      <c r="J76" s="7"/>
      <c r="K76" s="370"/>
      <c r="L76" s="7"/>
      <c r="M76" s="7"/>
    </row>
    <row r="77" spans="1:13" s="222" customFormat="1" ht="47.25">
      <c r="A77" s="633"/>
      <c r="B77" s="365"/>
      <c r="C77" s="12" t="s">
        <v>385</v>
      </c>
      <c r="D77" s="322" t="s">
        <v>378</v>
      </c>
      <c r="E77" s="523">
        <v>1</v>
      </c>
      <c r="F77" s="519">
        <v>2</v>
      </c>
      <c r="G77" s="370"/>
      <c r="H77" s="7"/>
      <c r="I77" s="370"/>
      <c r="J77" s="7"/>
      <c r="K77" s="370"/>
      <c r="L77" s="7"/>
      <c r="M77" s="7"/>
    </row>
    <row r="78" spans="1:13" s="222" customFormat="1" ht="15.75">
      <c r="A78" s="634"/>
      <c r="B78" s="365"/>
      <c r="C78" s="12" t="s">
        <v>54</v>
      </c>
      <c r="D78" s="322" t="s">
        <v>7</v>
      </c>
      <c r="E78" s="523">
        <v>0.37</v>
      </c>
      <c r="F78" s="519">
        <f>F74*E78</f>
        <v>0.74</v>
      </c>
      <c r="G78" s="370"/>
      <c r="H78" s="7"/>
      <c r="I78" s="370"/>
      <c r="J78" s="7"/>
      <c r="K78" s="370"/>
      <c r="L78" s="7"/>
      <c r="M78" s="7"/>
    </row>
    <row r="79" spans="1:13" s="222" customFormat="1" ht="31.5">
      <c r="A79" s="635" t="s">
        <v>106</v>
      </c>
      <c r="B79" s="371" t="s">
        <v>386</v>
      </c>
      <c r="C79" s="386" t="s">
        <v>387</v>
      </c>
      <c r="D79" s="371" t="s">
        <v>23</v>
      </c>
      <c r="E79" s="525"/>
      <c r="F79" s="526">
        <v>2</v>
      </c>
      <c r="G79" s="372"/>
      <c r="H79" s="373"/>
      <c r="I79" s="372"/>
      <c r="J79" s="373"/>
      <c r="K79" s="372"/>
      <c r="L79" s="373"/>
      <c r="M79" s="373"/>
    </row>
    <row r="80" spans="1:13" s="222" customFormat="1" ht="27">
      <c r="A80" s="636"/>
      <c r="B80" s="374"/>
      <c r="C80" s="375" t="s">
        <v>42</v>
      </c>
      <c r="D80" s="374" t="s">
        <v>9</v>
      </c>
      <c r="E80" s="527">
        <v>0.82</v>
      </c>
      <c r="F80" s="528">
        <f>F79*E80</f>
        <v>1.64</v>
      </c>
      <c r="G80" s="376"/>
      <c r="H80" s="377"/>
      <c r="I80" s="376"/>
      <c r="J80" s="377"/>
      <c r="K80" s="376"/>
      <c r="L80" s="377"/>
      <c r="M80" s="7"/>
    </row>
    <row r="81" spans="1:13" s="222" customFormat="1" ht="15.75">
      <c r="A81" s="636"/>
      <c r="B81" s="374"/>
      <c r="C81" s="375" t="s">
        <v>377</v>
      </c>
      <c r="D81" s="374" t="s">
        <v>379</v>
      </c>
      <c r="E81" s="527">
        <v>0.01</v>
      </c>
      <c r="F81" s="528">
        <f>F79*E81</f>
        <v>0.02</v>
      </c>
      <c r="G81" s="376"/>
      <c r="H81" s="377"/>
      <c r="I81" s="376"/>
      <c r="J81" s="377"/>
      <c r="K81" s="376"/>
      <c r="L81" s="377"/>
      <c r="M81" s="7"/>
    </row>
    <row r="82" spans="1:13" s="222" customFormat="1" ht="15.75">
      <c r="A82" s="636"/>
      <c r="B82" s="374"/>
      <c r="C82" s="375" t="s">
        <v>388</v>
      </c>
      <c r="D82" s="374" t="s">
        <v>378</v>
      </c>
      <c r="E82" s="527">
        <v>1</v>
      </c>
      <c r="F82" s="528">
        <f>F79*E82</f>
        <v>2</v>
      </c>
      <c r="G82" s="376"/>
      <c r="H82" s="377"/>
      <c r="I82" s="376"/>
      <c r="J82" s="377"/>
      <c r="K82" s="376"/>
      <c r="L82" s="377"/>
      <c r="M82" s="7"/>
    </row>
    <row r="83" spans="1:13" s="222" customFormat="1" ht="15.75">
      <c r="A83" s="637"/>
      <c r="B83" s="374"/>
      <c r="C83" s="375" t="s">
        <v>54</v>
      </c>
      <c r="D83" s="374" t="s">
        <v>379</v>
      </c>
      <c r="E83" s="527">
        <v>7.0000000000000007E-2</v>
      </c>
      <c r="F83" s="528">
        <f>F79*E83</f>
        <v>0.14000000000000001</v>
      </c>
      <c r="G83" s="376"/>
      <c r="H83" s="377"/>
      <c r="I83" s="376"/>
      <c r="J83" s="377"/>
      <c r="K83" s="376"/>
      <c r="L83" s="377"/>
      <c r="M83" s="7"/>
    </row>
    <row r="84" spans="1:13" s="222" customFormat="1" ht="54">
      <c r="A84" s="615" t="s">
        <v>99</v>
      </c>
      <c r="B84" s="322" t="s">
        <v>390</v>
      </c>
      <c r="C84" s="73" t="s">
        <v>422</v>
      </c>
      <c r="D84" s="239" t="s">
        <v>49</v>
      </c>
      <c r="E84" s="9"/>
      <c r="F84" s="27">
        <f>F87</f>
        <v>30</v>
      </c>
      <c r="G84" s="11"/>
      <c r="H84" s="7"/>
      <c r="I84" s="11"/>
      <c r="J84" s="7"/>
      <c r="K84" s="11"/>
      <c r="L84" s="7"/>
      <c r="M84" s="7"/>
    </row>
    <row r="85" spans="1:13" s="222" customFormat="1" ht="27">
      <c r="A85" s="616"/>
      <c r="B85" s="322"/>
      <c r="C85" s="32" t="s">
        <v>111</v>
      </c>
      <c r="D85" s="322" t="s">
        <v>73</v>
      </c>
      <c r="E85" s="523">
        <f>143*0.01</f>
        <v>1.43</v>
      </c>
      <c r="F85" s="519">
        <f>F84*E85</f>
        <v>42.9</v>
      </c>
      <c r="G85" s="324"/>
      <c r="H85" s="7"/>
      <c r="I85" s="324"/>
      <c r="J85" s="7"/>
      <c r="K85" s="324"/>
      <c r="L85" s="7"/>
      <c r="M85" s="7"/>
    </row>
    <row r="86" spans="1:13" s="222" customFormat="1" ht="15.75">
      <c r="A86" s="616"/>
      <c r="B86" s="322"/>
      <c r="C86" s="32" t="s">
        <v>112</v>
      </c>
      <c r="D86" s="322" t="s">
        <v>22</v>
      </c>
      <c r="E86" s="523">
        <f>2.57*0.01</f>
        <v>2.5700000000000001E-2</v>
      </c>
      <c r="F86" s="519">
        <f>F84*E86</f>
        <v>0.77100000000000002</v>
      </c>
      <c r="G86" s="324"/>
      <c r="H86" s="7"/>
      <c r="I86" s="324"/>
      <c r="J86" s="7"/>
      <c r="K86" s="324"/>
      <c r="L86" s="7"/>
      <c r="M86" s="7"/>
    </row>
    <row r="87" spans="1:13" s="222" customFormat="1" ht="15.75">
      <c r="A87" s="616"/>
      <c r="B87" s="322"/>
      <c r="C87" s="32" t="s">
        <v>423</v>
      </c>
      <c r="D87" s="322" t="s">
        <v>113</v>
      </c>
      <c r="E87" s="523">
        <v>1</v>
      </c>
      <c r="F87" s="519">
        <v>30</v>
      </c>
      <c r="G87" s="324"/>
      <c r="H87" s="7"/>
      <c r="I87" s="324"/>
      <c r="J87" s="7"/>
      <c r="K87" s="324"/>
      <c r="L87" s="7"/>
      <c r="M87" s="7"/>
    </row>
    <row r="88" spans="1:13" s="222" customFormat="1" ht="31.5">
      <c r="A88" s="616"/>
      <c r="B88" s="322"/>
      <c r="C88" s="32" t="s">
        <v>391</v>
      </c>
      <c r="D88" s="322" t="s">
        <v>71</v>
      </c>
      <c r="E88" s="523">
        <v>0.152</v>
      </c>
      <c r="F88" s="519">
        <f>F84*E88</f>
        <v>4.5599999999999996</v>
      </c>
      <c r="G88" s="324"/>
      <c r="H88" s="7"/>
      <c r="I88" s="324"/>
      <c r="J88" s="7"/>
      <c r="K88" s="324"/>
      <c r="L88" s="7"/>
      <c r="M88" s="7"/>
    </row>
    <row r="89" spans="1:13" s="222" customFormat="1" ht="15.75">
      <c r="A89" s="617"/>
      <c r="B89" s="322"/>
      <c r="C89" s="32" t="s">
        <v>109</v>
      </c>
      <c r="D89" s="322" t="s">
        <v>22</v>
      </c>
      <c r="E89" s="523">
        <f>4.57*0.01</f>
        <v>4.5700000000000005E-2</v>
      </c>
      <c r="F89" s="519">
        <f>F84*E89</f>
        <v>1.3710000000000002</v>
      </c>
      <c r="G89" s="324"/>
      <c r="H89" s="7"/>
      <c r="I89" s="324"/>
      <c r="J89" s="7"/>
      <c r="K89" s="324"/>
      <c r="L89" s="7"/>
      <c r="M89" s="7"/>
    </row>
    <row r="90" spans="1:13" s="222" customFormat="1" ht="47.25">
      <c r="A90" s="615" t="s">
        <v>101</v>
      </c>
      <c r="B90" s="365" t="s">
        <v>392</v>
      </c>
      <c r="C90" s="385" t="s">
        <v>393</v>
      </c>
      <c r="D90" s="365" t="s">
        <v>49</v>
      </c>
      <c r="E90" s="367"/>
      <c r="F90" s="368">
        <f>F93</f>
        <v>15</v>
      </c>
      <c r="G90" s="369"/>
      <c r="H90" s="7"/>
      <c r="I90" s="369"/>
      <c r="J90" s="7"/>
      <c r="K90" s="369"/>
      <c r="L90" s="7"/>
      <c r="M90" s="7"/>
    </row>
    <row r="91" spans="1:13" s="222" customFormat="1" ht="15.75">
      <c r="A91" s="616"/>
      <c r="B91" s="365"/>
      <c r="C91" s="32" t="s">
        <v>42</v>
      </c>
      <c r="D91" s="322" t="s">
        <v>15</v>
      </c>
      <c r="E91" s="523">
        <v>0.60899999999999999</v>
      </c>
      <c r="F91" s="519">
        <f>F90*E91</f>
        <v>9.1349999999999998</v>
      </c>
      <c r="G91" s="370"/>
      <c r="H91" s="7"/>
      <c r="I91" s="370"/>
      <c r="J91" s="7"/>
      <c r="K91" s="370"/>
      <c r="L91" s="7"/>
      <c r="M91" s="7"/>
    </row>
    <row r="92" spans="1:13" s="222" customFormat="1" ht="15.75">
      <c r="A92" s="616"/>
      <c r="B92" s="365"/>
      <c r="C92" s="32" t="s">
        <v>377</v>
      </c>
      <c r="D92" s="322" t="s">
        <v>379</v>
      </c>
      <c r="E92" s="523">
        <v>2.0999999999999999E-3</v>
      </c>
      <c r="F92" s="519">
        <f>F90*E92</f>
        <v>3.15E-2</v>
      </c>
      <c r="G92" s="370"/>
      <c r="H92" s="7"/>
      <c r="I92" s="370"/>
      <c r="J92" s="7"/>
      <c r="K92" s="370"/>
      <c r="L92" s="7"/>
      <c r="M92" s="7"/>
    </row>
    <row r="93" spans="1:13" s="222" customFormat="1" ht="15.75">
      <c r="A93" s="616"/>
      <c r="B93" s="365"/>
      <c r="C93" s="32" t="s">
        <v>394</v>
      </c>
      <c r="D93" s="322" t="s">
        <v>395</v>
      </c>
      <c r="E93" s="523">
        <v>1</v>
      </c>
      <c r="F93" s="519">
        <v>15</v>
      </c>
      <c r="G93" s="370"/>
      <c r="H93" s="7"/>
      <c r="I93" s="370"/>
      <c r="J93" s="7"/>
      <c r="K93" s="370"/>
      <c r="L93" s="7"/>
      <c r="M93" s="7"/>
    </row>
    <row r="94" spans="1:13" s="222" customFormat="1" ht="15.75">
      <c r="A94" s="616"/>
      <c r="B94" s="365"/>
      <c r="C94" s="378" t="s">
        <v>396</v>
      </c>
      <c r="D94" s="379" t="s">
        <v>122</v>
      </c>
      <c r="E94" s="380">
        <f>14*0.01</f>
        <v>0.14000000000000001</v>
      </c>
      <c r="F94" s="381">
        <f>E94*F90</f>
        <v>2.1</v>
      </c>
      <c r="G94" s="382"/>
      <c r="H94" s="7"/>
      <c r="I94" s="382"/>
      <c r="J94" s="7"/>
      <c r="K94" s="382"/>
      <c r="L94" s="7"/>
      <c r="M94" s="7"/>
    </row>
    <row r="95" spans="1:13" s="222" customFormat="1" ht="15.75">
      <c r="A95" s="617"/>
      <c r="B95" s="365"/>
      <c r="C95" s="32" t="s">
        <v>54</v>
      </c>
      <c r="D95" s="322" t="s">
        <v>379</v>
      </c>
      <c r="E95" s="523">
        <v>0.156</v>
      </c>
      <c r="F95" s="519">
        <f>F90*E95</f>
        <v>2.34</v>
      </c>
      <c r="G95" s="370"/>
      <c r="H95" s="7"/>
      <c r="I95" s="370"/>
      <c r="J95" s="7"/>
      <c r="K95" s="370"/>
      <c r="L95" s="7"/>
      <c r="M95" s="7"/>
    </row>
    <row r="96" spans="1:13" s="222" customFormat="1" ht="47.25">
      <c r="A96" s="615" t="s">
        <v>102</v>
      </c>
      <c r="B96" s="365" t="s">
        <v>397</v>
      </c>
      <c r="C96" s="385" t="s">
        <v>398</v>
      </c>
      <c r="D96" s="365" t="s">
        <v>49</v>
      </c>
      <c r="E96" s="367"/>
      <c r="F96" s="368">
        <f>F99</f>
        <v>20</v>
      </c>
      <c r="G96" s="369"/>
      <c r="H96" s="7"/>
      <c r="I96" s="369"/>
      <c r="J96" s="7"/>
      <c r="K96" s="369"/>
      <c r="L96" s="7"/>
      <c r="M96" s="7"/>
    </row>
    <row r="97" spans="1:13" s="222" customFormat="1" ht="15.75">
      <c r="A97" s="616"/>
      <c r="B97" s="365"/>
      <c r="C97" s="32" t="s">
        <v>42</v>
      </c>
      <c r="D97" s="322" t="s">
        <v>15</v>
      </c>
      <c r="E97" s="523">
        <f>58.3*0.01</f>
        <v>0.58299999999999996</v>
      </c>
      <c r="F97" s="519">
        <f>F96*E97</f>
        <v>11.66</v>
      </c>
      <c r="G97" s="370"/>
      <c r="H97" s="7"/>
      <c r="I97" s="370"/>
      <c r="J97" s="7"/>
      <c r="K97" s="370"/>
      <c r="L97" s="7"/>
      <c r="M97" s="7"/>
    </row>
    <row r="98" spans="1:13" s="222" customFormat="1" ht="15.75">
      <c r="A98" s="616"/>
      <c r="B98" s="365"/>
      <c r="C98" s="32" t="s">
        <v>377</v>
      </c>
      <c r="D98" s="322" t="s">
        <v>379</v>
      </c>
      <c r="E98" s="523">
        <f>0.46*0.01</f>
        <v>4.5999999999999999E-3</v>
      </c>
      <c r="F98" s="519">
        <f>F96*E98</f>
        <v>9.1999999999999998E-2</v>
      </c>
      <c r="G98" s="370"/>
      <c r="H98" s="7"/>
      <c r="I98" s="370"/>
      <c r="J98" s="7"/>
      <c r="K98" s="370"/>
      <c r="L98" s="7"/>
      <c r="M98" s="7"/>
    </row>
    <row r="99" spans="1:13" s="222" customFormat="1" ht="15.75">
      <c r="A99" s="616"/>
      <c r="B99" s="365"/>
      <c r="C99" s="32" t="s">
        <v>399</v>
      </c>
      <c r="D99" s="322" t="s">
        <v>395</v>
      </c>
      <c r="E99" s="523">
        <v>1</v>
      </c>
      <c r="F99" s="519">
        <v>20</v>
      </c>
      <c r="G99" s="370"/>
      <c r="H99" s="7"/>
      <c r="I99" s="370"/>
      <c r="J99" s="7"/>
      <c r="K99" s="370"/>
      <c r="L99" s="7"/>
      <c r="M99" s="7"/>
    </row>
    <row r="100" spans="1:13" s="222" customFormat="1" ht="15.75">
      <c r="A100" s="616"/>
      <c r="B100" s="365"/>
      <c r="C100" s="378" t="s">
        <v>396</v>
      </c>
      <c r="D100" s="379" t="s">
        <v>122</v>
      </c>
      <c r="E100" s="380">
        <f>23*0.01</f>
        <v>0.23</v>
      </c>
      <c r="F100" s="381">
        <f>E100*F96</f>
        <v>4.6000000000000005</v>
      </c>
      <c r="G100" s="382"/>
      <c r="H100" s="7"/>
      <c r="I100" s="382"/>
      <c r="J100" s="7"/>
      <c r="K100" s="382"/>
      <c r="L100" s="7"/>
      <c r="M100" s="7"/>
    </row>
    <row r="101" spans="1:13" s="222" customFormat="1" ht="15.75">
      <c r="A101" s="617"/>
      <c r="B101" s="365"/>
      <c r="C101" s="32" t="s">
        <v>54</v>
      </c>
      <c r="D101" s="322" t="s">
        <v>379</v>
      </c>
      <c r="E101" s="523">
        <f>20.8*0.01</f>
        <v>0.20800000000000002</v>
      </c>
      <c r="F101" s="519">
        <f>F96*E101</f>
        <v>4.16</v>
      </c>
      <c r="G101" s="370"/>
      <c r="H101" s="7"/>
      <c r="I101" s="370"/>
      <c r="J101" s="7"/>
      <c r="K101" s="370"/>
      <c r="L101" s="7"/>
      <c r="M101" s="7"/>
    </row>
    <row r="102" spans="1:13" s="222" customFormat="1" ht="31.5">
      <c r="A102" s="618" t="s">
        <v>84</v>
      </c>
      <c r="B102" s="322" t="s">
        <v>115</v>
      </c>
      <c r="C102" s="73" t="s">
        <v>400</v>
      </c>
      <c r="D102" s="239" t="s">
        <v>71</v>
      </c>
      <c r="E102" s="9"/>
      <c r="F102" s="27">
        <f>SUM(F105:F105)</f>
        <v>2</v>
      </c>
      <c r="G102" s="11"/>
      <c r="H102" s="7"/>
      <c r="I102" s="11"/>
      <c r="J102" s="7"/>
      <c r="K102" s="11"/>
      <c r="L102" s="7"/>
      <c r="M102" s="7"/>
    </row>
    <row r="103" spans="1:13" s="222" customFormat="1" ht="27">
      <c r="A103" s="618"/>
      <c r="B103" s="322"/>
      <c r="C103" s="32" t="s">
        <v>111</v>
      </c>
      <c r="D103" s="322" t="s">
        <v>73</v>
      </c>
      <c r="E103" s="523">
        <v>1.51</v>
      </c>
      <c r="F103" s="519">
        <f>F102*E103</f>
        <v>3.02</v>
      </c>
      <c r="G103" s="324"/>
      <c r="H103" s="7"/>
      <c r="I103" s="324"/>
      <c r="J103" s="7"/>
      <c r="K103" s="324"/>
      <c r="L103" s="7"/>
      <c r="M103" s="7"/>
    </row>
    <row r="104" spans="1:13" s="222" customFormat="1" ht="15.75">
      <c r="A104" s="618"/>
      <c r="B104" s="322"/>
      <c r="C104" s="32" t="s">
        <v>114</v>
      </c>
      <c r="D104" s="322" t="s">
        <v>22</v>
      </c>
      <c r="E104" s="523">
        <v>0.13</v>
      </c>
      <c r="F104" s="519">
        <f>F102*E104</f>
        <v>0.26</v>
      </c>
      <c r="G104" s="324"/>
      <c r="H104" s="7"/>
      <c r="I104" s="324"/>
      <c r="J104" s="7"/>
      <c r="K104" s="324"/>
      <c r="L104" s="7"/>
      <c r="M104" s="7"/>
    </row>
    <row r="105" spans="1:13" s="222" customFormat="1" ht="15.75">
      <c r="A105" s="618"/>
      <c r="B105" s="322"/>
      <c r="C105" s="32" t="s">
        <v>401</v>
      </c>
      <c r="D105" s="322" t="s">
        <v>71</v>
      </c>
      <c r="E105" s="523">
        <v>1</v>
      </c>
      <c r="F105" s="519">
        <v>2</v>
      </c>
      <c r="G105" s="324"/>
      <c r="H105" s="7"/>
      <c r="I105" s="324"/>
      <c r="J105" s="7"/>
      <c r="K105" s="324"/>
      <c r="L105" s="7"/>
      <c r="M105" s="7"/>
    </row>
    <row r="106" spans="1:13" s="222" customFormat="1" ht="15.75">
      <c r="A106" s="618"/>
      <c r="B106" s="322"/>
      <c r="C106" s="32" t="s">
        <v>109</v>
      </c>
      <c r="D106" s="322" t="s">
        <v>22</v>
      </c>
      <c r="E106" s="523">
        <v>7.0000000000000007E-2</v>
      </c>
      <c r="F106" s="519">
        <f>F102*E106</f>
        <v>0.14000000000000001</v>
      </c>
      <c r="G106" s="324"/>
      <c r="H106" s="7"/>
      <c r="I106" s="324"/>
      <c r="J106" s="7"/>
      <c r="K106" s="324"/>
      <c r="L106" s="7"/>
      <c r="M106" s="7"/>
    </row>
    <row r="107" spans="1:13" s="222" customFormat="1" ht="78.75">
      <c r="A107" s="615" t="s">
        <v>48</v>
      </c>
      <c r="B107" s="383" t="s">
        <v>402</v>
      </c>
      <c r="C107" s="73" t="s">
        <v>403</v>
      </c>
      <c r="D107" s="239" t="s">
        <v>71</v>
      </c>
      <c r="E107" s="9"/>
      <c r="F107" s="27">
        <v>40</v>
      </c>
      <c r="G107" s="11"/>
      <c r="H107" s="7"/>
      <c r="I107" s="11"/>
      <c r="J107" s="7"/>
      <c r="K107" s="11"/>
      <c r="L107" s="7"/>
      <c r="M107" s="7"/>
    </row>
    <row r="108" spans="1:13" s="222" customFormat="1" ht="15.75">
      <c r="A108" s="616"/>
      <c r="B108" s="365"/>
      <c r="C108" s="32" t="s">
        <v>42</v>
      </c>
      <c r="D108" s="322" t="s">
        <v>15</v>
      </c>
      <c r="E108" s="384">
        <f>(3.89+5.84+7.88)/3/10</f>
        <v>0.58699999999999997</v>
      </c>
      <c r="F108" s="519">
        <f>F107*E108</f>
        <v>23.479999999999997</v>
      </c>
      <c r="G108" s="370"/>
      <c r="H108" s="7"/>
      <c r="I108" s="370"/>
      <c r="J108" s="7"/>
      <c r="K108" s="370"/>
      <c r="L108" s="7"/>
      <c r="M108" s="7"/>
    </row>
    <row r="109" spans="1:13" s="222" customFormat="1" ht="15.75">
      <c r="A109" s="616"/>
      <c r="B109" s="365"/>
      <c r="C109" s="32" t="s">
        <v>377</v>
      </c>
      <c r="D109" s="322" t="s">
        <v>379</v>
      </c>
      <c r="E109" s="384">
        <f>(1.51+2.27+3.02)/3/10</f>
        <v>0.22666666666666671</v>
      </c>
      <c r="F109" s="519">
        <f>F107*E109</f>
        <v>9.0666666666666682</v>
      </c>
      <c r="G109" s="370"/>
      <c r="H109" s="7"/>
      <c r="I109" s="370"/>
      <c r="J109" s="7"/>
      <c r="K109" s="370"/>
      <c r="L109" s="7"/>
      <c r="M109" s="7"/>
    </row>
    <row r="110" spans="1:13" s="222" customFormat="1" ht="63">
      <c r="A110" s="616"/>
      <c r="B110" s="365"/>
      <c r="C110" s="32" t="s">
        <v>404</v>
      </c>
      <c r="D110" s="322" t="s">
        <v>23</v>
      </c>
      <c r="E110" s="384"/>
      <c r="F110" s="519">
        <f>F107</f>
        <v>40</v>
      </c>
      <c r="G110" s="370"/>
      <c r="H110" s="7"/>
      <c r="I110" s="324"/>
      <c r="J110" s="7"/>
      <c r="K110" s="324"/>
      <c r="L110" s="7"/>
      <c r="M110" s="7"/>
    </row>
    <row r="111" spans="1:13" s="222" customFormat="1" ht="15.75">
      <c r="A111" s="617"/>
      <c r="B111" s="322"/>
      <c r="C111" s="32" t="s">
        <v>116</v>
      </c>
      <c r="D111" s="322" t="s">
        <v>22</v>
      </c>
      <c r="E111" s="523">
        <f>(0.24+0.24+0.24)/3/10</f>
        <v>2.4E-2</v>
      </c>
      <c r="F111" s="519">
        <f>F107*E111</f>
        <v>0.96</v>
      </c>
      <c r="G111" s="324"/>
      <c r="H111" s="7"/>
      <c r="I111" s="324"/>
      <c r="J111" s="7"/>
      <c r="K111" s="324"/>
      <c r="L111" s="7"/>
      <c r="M111" s="7"/>
    </row>
    <row r="112" spans="1:13" s="222" customFormat="1" ht="47.25">
      <c r="A112" s="643" t="s">
        <v>51</v>
      </c>
      <c r="B112" s="389" t="s">
        <v>417</v>
      </c>
      <c r="C112" s="29" t="s">
        <v>418</v>
      </c>
      <c r="D112" s="389" t="s">
        <v>419</v>
      </c>
      <c r="E112" s="3"/>
      <c r="F112" s="27">
        <v>1</v>
      </c>
      <c r="G112" s="7"/>
      <c r="H112" s="7"/>
      <c r="I112" s="7"/>
      <c r="J112" s="7"/>
      <c r="K112" s="7"/>
      <c r="L112" s="7"/>
      <c r="M112" s="7"/>
    </row>
    <row r="113" spans="1:13" s="222" customFormat="1" ht="27">
      <c r="A113" s="644"/>
      <c r="B113" s="389"/>
      <c r="C113" s="12" t="s">
        <v>111</v>
      </c>
      <c r="D113" s="388" t="s">
        <v>73</v>
      </c>
      <c r="E113" s="523">
        <v>4.9800000000000004</v>
      </c>
      <c r="F113" s="519">
        <f>F112*E113</f>
        <v>4.9800000000000004</v>
      </c>
      <c r="G113" s="390"/>
      <c r="H113" s="7"/>
      <c r="I113" s="390"/>
      <c r="J113" s="7"/>
      <c r="K113" s="390"/>
      <c r="L113" s="7"/>
      <c r="M113" s="7"/>
    </row>
    <row r="114" spans="1:13" s="222" customFormat="1" ht="15.75">
      <c r="A114" s="644"/>
      <c r="B114" s="389"/>
      <c r="C114" s="12" t="s">
        <v>112</v>
      </c>
      <c r="D114" s="388" t="s">
        <v>22</v>
      </c>
      <c r="E114" s="523">
        <v>0.08</v>
      </c>
      <c r="F114" s="519">
        <f>F112*E114</f>
        <v>0.08</v>
      </c>
      <c r="G114" s="390"/>
      <c r="H114" s="7"/>
      <c r="I114" s="390"/>
      <c r="J114" s="7"/>
      <c r="K114" s="390"/>
      <c r="L114" s="7"/>
      <c r="M114" s="7"/>
    </row>
    <row r="115" spans="1:13" s="222" customFormat="1" ht="15.75">
      <c r="A115" s="645"/>
      <c r="B115" s="389"/>
      <c r="C115" s="12" t="s">
        <v>116</v>
      </c>
      <c r="D115" s="388" t="s">
        <v>22</v>
      </c>
      <c r="E115" s="523">
        <v>0.23</v>
      </c>
      <c r="F115" s="519">
        <f>F112*E115</f>
        <v>0.23</v>
      </c>
      <c r="G115" s="390"/>
      <c r="H115" s="7"/>
      <c r="I115" s="390"/>
      <c r="J115" s="7"/>
      <c r="K115" s="390"/>
      <c r="L115" s="7"/>
      <c r="M115" s="7"/>
    </row>
    <row r="116" spans="1:13" s="222" customFormat="1" ht="63">
      <c r="A116" s="629" t="s">
        <v>53</v>
      </c>
      <c r="B116" s="129" t="s">
        <v>137</v>
      </c>
      <c r="C116" s="448" t="s">
        <v>294</v>
      </c>
      <c r="D116" s="130" t="s">
        <v>138</v>
      </c>
      <c r="E116" s="287"/>
      <c r="F116" s="27">
        <v>1</v>
      </c>
      <c r="G116" s="131"/>
      <c r="H116" s="7"/>
      <c r="I116" s="131"/>
      <c r="J116" s="7"/>
      <c r="K116" s="131"/>
      <c r="L116" s="7"/>
      <c r="M116" s="7"/>
    </row>
    <row r="117" spans="1:13" s="222" customFormat="1" ht="27">
      <c r="A117" s="630"/>
      <c r="B117" s="132"/>
      <c r="C117" s="12" t="s">
        <v>14</v>
      </c>
      <c r="D117" s="388" t="s">
        <v>9</v>
      </c>
      <c r="E117" s="523">
        <v>17</v>
      </c>
      <c r="F117" s="519">
        <f>F116*E117</f>
        <v>17</v>
      </c>
      <c r="G117" s="390"/>
      <c r="H117" s="7"/>
      <c r="I117" s="390"/>
      <c r="J117" s="7"/>
      <c r="K117" s="390"/>
      <c r="L117" s="7"/>
      <c r="M117" s="7"/>
    </row>
    <row r="118" spans="1:13" s="222" customFormat="1" ht="15.75">
      <c r="A118" s="630"/>
      <c r="B118" s="388"/>
      <c r="C118" s="12" t="s">
        <v>420</v>
      </c>
      <c r="D118" s="388" t="s">
        <v>12</v>
      </c>
      <c r="E118" s="523">
        <v>0.05</v>
      </c>
      <c r="F118" s="519">
        <f>E118*F116</f>
        <v>0.05</v>
      </c>
      <c r="G118" s="40"/>
      <c r="H118" s="7"/>
      <c r="I118" s="40"/>
      <c r="J118" s="7"/>
      <c r="K118" s="40"/>
      <c r="L118" s="7"/>
      <c r="M118" s="7"/>
    </row>
    <row r="119" spans="1:13" s="222" customFormat="1" ht="15.75">
      <c r="A119" s="630"/>
      <c r="B119" s="388"/>
      <c r="C119" s="12" t="s">
        <v>421</v>
      </c>
      <c r="D119" s="388" t="s">
        <v>36</v>
      </c>
      <c r="E119" s="523">
        <v>1.1000000000000001</v>
      </c>
      <c r="F119" s="519">
        <f>E119*F117</f>
        <v>18.700000000000003</v>
      </c>
      <c r="G119" s="40"/>
      <c r="H119" s="7"/>
      <c r="I119" s="40"/>
      <c r="J119" s="7"/>
      <c r="K119" s="40"/>
      <c r="L119" s="7"/>
      <c r="M119" s="7"/>
    </row>
    <row r="120" spans="1:13" s="222" customFormat="1" ht="15.75">
      <c r="A120" s="630"/>
      <c r="B120" s="132"/>
      <c r="C120" s="12" t="s">
        <v>130</v>
      </c>
      <c r="D120" s="388" t="s">
        <v>5</v>
      </c>
      <c r="E120" s="523">
        <v>7.8</v>
      </c>
      <c r="F120" s="519">
        <f>E120*F116</f>
        <v>7.8</v>
      </c>
      <c r="G120" s="390"/>
      <c r="H120" s="7"/>
      <c r="I120" s="390"/>
      <c r="J120" s="7"/>
      <c r="K120" s="40"/>
      <c r="L120" s="7"/>
      <c r="M120" s="7"/>
    </row>
    <row r="121" spans="1:13" s="222" customFormat="1" ht="15.75">
      <c r="A121" s="631"/>
      <c r="B121" s="132"/>
      <c r="C121" s="32" t="s">
        <v>54</v>
      </c>
      <c r="D121" s="388" t="s">
        <v>7</v>
      </c>
      <c r="E121" s="523">
        <v>1.08</v>
      </c>
      <c r="F121" s="519">
        <f>E121*F116</f>
        <v>1.08</v>
      </c>
      <c r="G121" s="390"/>
      <c r="H121" s="7"/>
      <c r="I121" s="390"/>
      <c r="J121" s="7"/>
      <c r="K121" s="40"/>
      <c r="L121" s="7"/>
      <c r="M121" s="7"/>
    </row>
    <row r="122" spans="1:13" s="222" customFormat="1" ht="15.75">
      <c r="A122" s="387"/>
      <c r="B122" s="388"/>
      <c r="C122" s="32"/>
      <c r="D122" s="388"/>
      <c r="E122" s="523"/>
      <c r="F122" s="519"/>
      <c r="G122" s="390"/>
      <c r="H122" s="7"/>
      <c r="I122" s="390"/>
      <c r="J122" s="7"/>
      <c r="K122" s="390"/>
      <c r="L122" s="7"/>
      <c r="M122" s="7"/>
    </row>
    <row r="123" spans="1:13" s="222" customFormat="1" ht="47.25">
      <c r="A123" s="638" t="s">
        <v>181</v>
      </c>
      <c r="B123" s="232" t="s">
        <v>19</v>
      </c>
      <c r="C123" s="73" t="s">
        <v>389</v>
      </c>
      <c r="D123" s="232" t="s">
        <v>82</v>
      </c>
      <c r="E123" s="3"/>
      <c r="F123" s="27">
        <v>2</v>
      </c>
      <c r="G123" s="7"/>
      <c r="H123" s="7"/>
      <c r="I123" s="7"/>
      <c r="J123" s="7"/>
      <c r="K123" s="7"/>
      <c r="L123" s="7"/>
      <c r="M123" s="7"/>
    </row>
    <row r="124" spans="1:13" s="222" customFormat="1" ht="27">
      <c r="A124" s="639"/>
      <c r="B124" s="232"/>
      <c r="C124" s="32" t="s">
        <v>42</v>
      </c>
      <c r="D124" s="322" t="s">
        <v>9</v>
      </c>
      <c r="E124" s="523">
        <v>1</v>
      </c>
      <c r="F124" s="519">
        <f>F123*E124</f>
        <v>2</v>
      </c>
      <c r="G124" s="370"/>
      <c r="H124" s="7"/>
      <c r="I124" s="370"/>
      <c r="J124" s="7"/>
      <c r="K124" s="370"/>
      <c r="L124" s="7"/>
      <c r="M124" s="7"/>
    </row>
    <row r="125" spans="1:13" s="222" customFormat="1" ht="15.75">
      <c r="A125" s="322"/>
      <c r="B125" s="132"/>
      <c r="C125" s="32"/>
      <c r="D125" s="322"/>
      <c r="E125" s="519"/>
      <c r="F125" s="519"/>
      <c r="G125" s="324"/>
      <c r="H125" s="324"/>
      <c r="I125" s="324"/>
      <c r="J125" s="324"/>
      <c r="K125" s="40"/>
      <c r="L125" s="324"/>
      <c r="M125" s="324"/>
    </row>
    <row r="126" spans="1:13" s="222" customFormat="1" ht="15.75">
      <c r="A126" s="322"/>
      <c r="B126" s="132"/>
      <c r="C126" s="32"/>
      <c r="D126" s="322"/>
      <c r="E126" s="519"/>
      <c r="F126" s="519"/>
      <c r="G126" s="324"/>
      <c r="H126" s="324"/>
      <c r="I126" s="324"/>
      <c r="J126" s="324"/>
      <c r="K126" s="40"/>
      <c r="L126" s="324"/>
      <c r="M126" s="324"/>
    </row>
    <row r="127" spans="1:13" s="222" customFormat="1" ht="15.75">
      <c r="A127" s="322"/>
      <c r="B127" s="132"/>
      <c r="C127" s="32"/>
      <c r="D127" s="322"/>
      <c r="E127" s="519"/>
      <c r="F127" s="519"/>
      <c r="G127" s="324"/>
      <c r="H127" s="324"/>
      <c r="I127" s="324"/>
      <c r="J127" s="324"/>
      <c r="K127" s="40"/>
      <c r="L127" s="324"/>
      <c r="M127" s="324"/>
    </row>
    <row r="128" spans="1:13" s="222" customFormat="1" ht="15.75">
      <c r="A128" s="322"/>
      <c r="B128" s="132"/>
      <c r="C128" s="32"/>
      <c r="D128" s="322"/>
      <c r="E128" s="519"/>
      <c r="F128" s="519"/>
      <c r="G128" s="324"/>
      <c r="H128" s="324"/>
      <c r="I128" s="324"/>
      <c r="J128" s="324"/>
      <c r="K128" s="40"/>
      <c r="L128" s="324"/>
      <c r="M128" s="324"/>
    </row>
    <row r="129" spans="1:14" s="222" customFormat="1" ht="33">
      <c r="A129" s="427"/>
      <c r="B129" s="426"/>
      <c r="C129" s="435" t="s">
        <v>204</v>
      </c>
      <c r="D129" s="426"/>
      <c r="E129" s="427"/>
      <c r="F129" s="427"/>
      <c r="G129" s="427"/>
      <c r="H129" s="428"/>
      <c r="I129" s="428"/>
      <c r="J129" s="428"/>
      <c r="K129" s="428"/>
      <c r="L129" s="428"/>
      <c r="M129" s="428"/>
      <c r="N129" s="524">
        <f>H129+J129+L129</f>
        <v>0</v>
      </c>
    </row>
    <row r="130" spans="1:14" s="222" customFormat="1" ht="31.5">
      <c r="A130" s="338"/>
      <c r="B130" s="391"/>
      <c r="C130" s="392" t="s">
        <v>405</v>
      </c>
      <c r="D130" s="391"/>
      <c r="E130" s="393"/>
      <c r="F130" s="394" t="s">
        <v>504</v>
      </c>
      <c r="G130" s="395"/>
      <c r="H130" s="395"/>
      <c r="I130" s="395"/>
      <c r="J130" s="395"/>
      <c r="K130" s="395"/>
      <c r="L130" s="395"/>
      <c r="M130" s="396"/>
    </row>
    <row r="131" spans="1:14" s="222" customFormat="1" ht="15.75">
      <c r="A131" s="338"/>
      <c r="B131" s="391"/>
      <c r="C131" s="397" t="s">
        <v>20</v>
      </c>
      <c r="D131" s="391"/>
      <c r="E131" s="393"/>
      <c r="F131" s="398"/>
      <c r="G131" s="395"/>
      <c r="H131" s="395"/>
      <c r="I131" s="395"/>
      <c r="J131" s="395"/>
      <c r="K131" s="395"/>
      <c r="L131" s="395"/>
      <c r="M131" s="396"/>
    </row>
    <row r="132" spans="1:14" s="222" customFormat="1" ht="15.75">
      <c r="A132" s="399"/>
      <c r="B132" s="400"/>
      <c r="C132" s="401" t="s">
        <v>406</v>
      </c>
      <c r="D132" s="402"/>
      <c r="E132" s="403"/>
      <c r="F132" s="404" t="s">
        <v>504</v>
      </c>
      <c r="G132" s="373"/>
      <c r="H132" s="373"/>
      <c r="I132" s="373"/>
      <c r="J132" s="373"/>
      <c r="K132" s="373"/>
      <c r="L132" s="373"/>
      <c r="M132" s="373"/>
    </row>
    <row r="133" spans="1:14" s="222" customFormat="1" ht="15.75">
      <c r="A133" s="405"/>
      <c r="B133" s="406"/>
      <c r="C133" s="397" t="s">
        <v>20</v>
      </c>
      <c r="D133" s="407"/>
      <c r="E133" s="408"/>
      <c r="F133" s="409"/>
      <c r="G133" s="377"/>
      <c r="H133" s="377"/>
      <c r="I133" s="377"/>
      <c r="J133" s="377"/>
      <c r="K133" s="377"/>
      <c r="L133" s="377"/>
      <c r="M133" s="377"/>
    </row>
    <row r="134" spans="1:14" s="222" customFormat="1" ht="15.75">
      <c r="A134" s="405"/>
      <c r="B134" s="406"/>
      <c r="C134" s="410" t="s">
        <v>80</v>
      </c>
      <c r="D134" s="407"/>
      <c r="E134" s="408"/>
      <c r="F134" s="411" t="s">
        <v>504</v>
      </c>
      <c r="G134" s="377"/>
      <c r="H134" s="377"/>
      <c r="I134" s="377"/>
      <c r="J134" s="377"/>
      <c r="K134" s="377"/>
      <c r="L134" s="377"/>
      <c r="M134" s="377"/>
    </row>
    <row r="135" spans="1:14" s="222" customFormat="1" ht="15.75">
      <c r="A135" s="412"/>
      <c r="B135" s="413"/>
      <c r="C135" s="414" t="s">
        <v>413</v>
      </c>
      <c r="D135" s="415"/>
      <c r="E135" s="416"/>
      <c r="F135" s="417"/>
      <c r="G135" s="418"/>
      <c r="H135" s="418"/>
      <c r="I135" s="418"/>
      <c r="J135" s="418"/>
      <c r="K135" s="418"/>
      <c r="L135" s="418"/>
      <c r="M135" s="419"/>
    </row>
    <row r="136" spans="1:14" s="222" customFormat="1" ht="31.5">
      <c r="A136" s="405"/>
      <c r="B136" s="406"/>
      <c r="C136" s="410" t="s">
        <v>4</v>
      </c>
      <c r="D136" s="407"/>
      <c r="E136" s="408"/>
      <c r="F136" s="420" t="s">
        <v>61</v>
      </c>
      <c r="G136" s="377"/>
      <c r="H136" s="377"/>
      <c r="I136" s="377"/>
      <c r="J136" s="377"/>
      <c r="K136" s="377"/>
      <c r="L136" s="377"/>
      <c r="M136" s="377"/>
    </row>
    <row r="137" spans="1:14" s="222" customFormat="1" ht="15.75">
      <c r="A137" s="405"/>
      <c r="B137" s="406"/>
      <c r="C137" s="397" t="s">
        <v>20</v>
      </c>
      <c r="D137" s="407"/>
      <c r="E137" s="408"/>
      <c r="F137" s="421"/>
      <c r="G137" s="377"/>
      <c r="H137" s="377"/>
      <c r="I137" s="377"/>
      <c r="J137" s="377"/>
      <c r="K137" s="377"/>
      <c r="L137" s="377"/>
      <c r="M137" s="377"/>
    </row>
    <row r="138" spans="1:14" s="222" customFormat="1" ht="31.5">
      <c r="A138" s="405"/>
      <c r="B138" s="406"/>
      <c r="C138" s="422" t="s">
        <v>408</v>
      </c>
      <c r="D138" s="407"/>
      <c r="E138" s="408"/>
      <c r="F138" s="423" t="s">
        <v>504</v>
      </c>
      <c r="G138" s="377"/>
      <c r="H138" s="377"/>
      <c r="I138" s="377"/>
      <c r="J138" s="377"/>
      <c r="K138" s="377"/>
      <c r="L138" s="377"/>
      <c r="M138" s="377"/>
    </row>
    <row r="139" spans="1:14" s="222" customFormat="1" ht="15.75">
      <c r="A139" s="405"/>
      <c r="B139" s="406"/>
      <c r="C139" s="397" t="s">
        <v>20</v>
      </c>
      <c r="D139" s="407"/>
      <c r="E139" s="408"/>
      <c r="F139" s="421"/>
      <c r="G139" s="377"/>
      <c r="H139" s="377"/>
      <c r="I139" s="377"/>
      <c r="J139" s="377"/>
      <c r="K139" s="377"/>
      <c r="L139" s="377"/>
      <c r="M139" s="377"/>
    </row>
    <row r="140" spans="1:14" s="222" customFormat="1" ht="15.75">
      <c r="A140" s="405"/>
      <c r="B140" s="406"/>
      <c r="C140" s="410" t="s">
        <v>409</v>
      </c>
      <c r="D140" s="407"/>
      <c r="E140" s="408"/>
      <c r="F140" s="420" t="s">
        <v>62</v>
      </c>
      <c r="G140" s="377"/>
      <c r="H140" s="377"/>
      <c r="I140" s="377"/>
      <c r="J140" s="377"/>
      <c r="K140" s="377"/>
      <c r="L140" s="377"/>
      <c r="M140" s="377"/>
    </row>
    <row r="141" spans="1:14" s="222" customFormat="1" ht="15.75">
      <c r="A141" s="424"/>
      <c r="B141" s="425"/>
      <c r="C141" s="414" t="s">
        <v>413</v>
      </c>
      <c r="D141" s="425"/>
      <c r="E141" s="426"/>
      <c r="F141" s="427"/>
      <c r="G141" s="428"/>
      <c r="H141" s="428"/>
      <c r="I141" s="428"/>
      <c r="J141" s="428"/>
      <c r="K141" s="428"/>
      <c r="L141" s="428"/>
      <c r="M141" s="83"/>
    </row>
    <row r="142" spans="1:14" s="222" customFormat="1" ht="15.75">
      <c r="A142" s="102"/>
      <c r="B142" s="102"/>
      <c r="C142" s="221"/>
      <c r="D142" s="102"/>
      <c r="E142" s="183"/>
      <c r="F142" s="183"/>
      <c r="G142" s="103"/>
      <c r="H142" s="103"/>
      <c r="I142" s="103"/>
      <c r="J142" s="103"/>
      <c r="K142" s="103"/>
      <c r="L142" s="103"/>
      <c r="M142" s="103"/>
    </row>
    <row r="143" spans="1:14" ht="15.75">
      <c r="C143" s="221"/>
    </row>
  </sheetData>
  <mergeCells count="43">
    <mergeCell ref="A112:A115"/>
    <mergeCell ref="A116:A121"/>
    <mergeCell ref="A84:A89"/>
    <mergeCell ref="A90:A95"/>
    <mergeCell ref="A96:A101"/>
    <mergeCell ref="A102:A106"/>
    <mergeCell ref="A107:A111"/>
    <mergeCell ref="A69:A73"/>
    <mergeCell ref="A74:A78"/>
    <mergeCell ref="A79:A83"/>
    <mergeCell ref="A123:A124"/>
    <mergeCell ref="M7:M8"/>
    <mergeCell ref="A13:A14"/>
    <mergeCell ref="A49:A51"/>
    <mergeCell ref="A52:A57"/>
    <mergeCell ref="A58:A60"/>
    <mergeCell ref="A21:A25"/>
    <mergeCell ref="A26:A28"/>
    <mergeCell ref="A29:A33"/>
    <mergeCell ref="A34:A37"/>
    <mergeCell ref="A38:A42"/>
    <mergeCell ref="A44:A45"/>
    <mergeCell ref="A46:A48"/>
    <mergeCell ref="B11:B12"/>
    <mergeCell ref="D11:D12"/>
    <mergeCell ref="E11:E12"/>
    <mergeCell ref="A15:A17"/>
    <mergeCell ref="A61:A66"/>
    <mergeCell ref="A18:A20"/>
    <mergeCell ref="A11:A12"/>
    <mergeCell ref="A1:M1"/>
    <mergeCell ref="A2:M2"/>
    <mergeCell ref="A3:M3"/>
    <mergeCell ref="A5:M5"/>
    <mergeCell ref="A7:A8"/>
    <mergeCell ref="B7:B8"/>
    <mergeCell ref="C7:C8"/>
    <mergeCell ref="D7:D8"/>
    <mergeCell ref="E7:E8"/>
    <mergeCell ref="F7:F8"/>
    <mergeCell ref="G7:H7"/>
    <mergeCell ref="I7:J7"/>
    <mergeCell ref="K7:L7"/>
  </mergeCells>
  <pageMargins left="0.70866141732283505" right="0.35" top="0.38" bottom="0.39" header="0.31496062992126" footer="0.31496062992126"/>
  <pageSetup paperSize="9" orientation="landscape" horizontalDpi="1200" verticalDpi="1200" r:id="rId1"/>
  <headerFooter>
    <oddHeader>&amp;R&amp;P--&amp;N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6"/>
  <sheetViews>
    <sheetView tabSelected="1" zoomScale="80" zoomScaleNormal="80" workbookViewId="0">
      <selection activeCell="M36" sqref="M36"/>
    </sheetView>
  </sheetViews>
  <sheetFormatPr defaultRowHeight="15"/>
  <cols>
    <col min="1" max="1" width="5.5703125" customWidth="1"/>
    <col min="2" max="2" width="6.28515625" customWidth="1"/>
    <col min="3" max="3" width="30.7109375" customWidth="1"/>
    <col min="4" max="4" width="7.28515625" customWidth="1"/>
    <col min="5" max="5" width="9.140625" customWidth="1"/>
    <col min="6" max="6" width="7.7109375" customWidth="1"/>
    <col min="8" max="8" width="11.42578125" customWidth="1"/>
    <col min="9" max="9" width="7.85546875" customWidth="1"/>
    <col min="11" max="11" width="7.42578125" customWidth="1"/>
    <col min="13" max="13" width="12.85546875" customWidth="1"/>
    <col min="14" max="14" width="23.28515625" customWidth="1"/>
    <col min="15" max="15" width="36.7109375" customWidth="1"/>
    <col min="16" max="17" width="23.28515625" customWidth="1"/>
  </cols>
  <sheetData>
    <row r="1" spans="1:14" s="89" customFormat="1" ht="48.75" customHeight="1">
      <c r="A1" s="535" t="str">
        <f>krebsiti!A3</f>
        <v>q.dmanisSi wn.ninos q.#38-is mimdebared s.k.#82.01.46.505 skveris reabilitaciis samuSaoebi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</row>
    <row r="2" spans="1:14" s="89" customFormat="1" ht="21">
      <c r="A2" s="536" t="s">
        <v>140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</row>
    <row r="3" spans="1:14" s="89" customFormat="1" ht="16.5">
      <c r="A3" s="646" t="s">
        <v>240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</row>
    <row r="4" spans="1:14" s="89" customFormat="1" ht="15.75">
      <c r="A4" s="86"/>
      <c r="B4" s="86"/>
      <c r="C4" s="135"/>
      <c r="D4" s="86"/>
      <c r="E4" s="87"/>
      <c r="F4" s="87"/>
      <c r="G4" s="88"/>
      <c r="H4" s="88"/>
      <c r="I4" s="88"/>
      <c r="J4" s="88"/>
      <c r="K4" s="88"/>
      <c r="L4" s="88"/>
      <c r="M4" s="88"/>
    </row>
    <row r="5" spans="1:14" s="89" customFormat="1" ht="16.5">
      <c r="A5" s="646" t="s">
        <v>81</v>
      </c>
      <c r="B5" s="646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</row>
    <row r="6" spans="1:14" s="89" customFormat="1" ht="15.75">
      <c r="A6" s="102"/>
      <c r="B6" s="102"/>
      <c r="C6" s="181"/>
      <c r="D6" s="102"/>
      <c r="E6" s="183"/>
      <c r="F6" s="183"/>
      <c r="G6" s="103"/>
      <c r="H6" s="103"/>
      <c r="I6" s="103"/>
      <c r="J6" s="103"/>
      <c r="K6" s="103"/>
      <c r="L6" s="103"/>
      <c r="M6" s="103"/>
    </row>
    <row r="7" spans="1:14" s="89" customFormat="1" ht="37.5" customHeight="1">
      <c r="A7" s="618" t="s">
        <v>0</v>
      </c>
      <c r="B7" s="618" t="s">
        <v>25</v>
      </c>
      <c r="C7" s="618" t="s">
        <v>1</v>
      </c>
      <c r="D7" s="618" t="s">
        <v>2</v>
      </c>
      <c r="E7" s="647" t="s">
        <v>63</v>
      </c>
      <c r="F7" s="647" t="s">
        <v>3</v>
      </c>
      <c r="G7" s="648" t="s">
        <v>27</v>
      </c>
      <c r="H7" s="648"/>
      <c r="I7" s="648" t="s">
        <v>28</v>
      </c>
      <c r="J7" s="648"/>
      <c r="K7" s="648" t="s">
        <v>29</v>
      </c>
      <c r="L7" s="648"/>
      <c r="M7" s="648" t="s">
        <v>30</v>
      </c>
    </row>
    <row r="8" spans="1:14" s="89" customFormat="1" ht="27">
      <c r="A8" s="618"/>
      <c r="B8" s="618"/>
      <c r="C8" s="618"/>
      <c r="D8" s="618"/>
      <c r="E8" s="647"/>
      <c r="F8" s="647"/>
      <c r="G8" s="106" t="s">
        <v>31</v>
      </c>
      <c r="H8" s="106" t="s">
        <v>32</v>
      </c>
      <c r="I8" s="106" t="s">
        <v>31</v>
      </c>
      <c r="J8" s="106" t="s">
        <v>32</v>
      </c>
      <c r="K8" s="106" t="s">
        <v>31</v>
      </c>
      <c r="L8" s="106" t="s">
        <v>32</v>
      </c>
      <c r="M8" s="648"/>
    </row>
    <row r="9" spans="1:14" s="89" customFormat="1" ht="15.75">
      <c r="A9" s="13">
        <v>1</v>
      </c>
      <c r="B9" s="13">
        <v>2</v>
      </c>
      <c r="C9" s="104">
        <v>3</v>
      </c>
      <c r="D9" s="13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</row>
    <row r="10" spans="1:14" s="89" customFormat="1" ht="47.25">
      <c r="A10" s="13" t="s">
        <v>76</v>
      </c>
      <c r="B10" s="13" t="s">
        <v>19</v>
      </c>
      <c r="C10" s="69" t="s">
        <v>241</v>
      </c>
      <c r="D10" s="31" t="s">
        <v>56</v>
      </c>
      <c r="E10" s="15"/>
      <c r="F10" s="15">
        <v>5</v>
      </c>
      <c r="G10" s="16"/>
      <c r="H10" s="16"/>
      <c r="I10" s="16"/>
      <c r="J10" s="16"/>
      <c r="K10" s="16"/>
      <c r="L10" s="16"/>
      <c r="M10" s="16"/>
    </row>
    <row r="11" spans="1:14" s="89" customFormat="1" ht="27">
      <c r="A11" s="13" t="s">
        <v>106</v>
      </c>
      <c r="B11" s="13" t="s">
        <v>19</v>
      </c>
      <c r="C11" s="69" t="s">
        <v>242</v>
      </c>
      <c r="D11" s="31" t="s">
        <v>56</v>
      </c>
      <c r="E11" s="15"/>
      <c r="F11" s="15">
        <v>5</v>
      </c>
      <c r="G11" s="16"/>
      <c r="H11" s="16"/>
      <c r="I11" s="16"/>
      <c r="J11" s="16"/>
      <c r="K11" s="16"/>
      <c r="L11" s="16"/>
      <c r="M11" s="16"/>
    </row>
    <row r="12" spans="1:14" s="89" customFormat="1" ht="15.75">
      <c r="A12" s="13"/>
      <c r="B12" s="13"/>
      <c r="C12" s="69"/>
      <c r="D12" s="31"/>
      <c r="E12" s="15"/>
      <c r="F12" s="15"/>
      <c r="G12" s="16"/>
      <c r="H12" s="16"/>
      <c r="I12" s="16"/>
      <c r="J12" s="16"/>
      <c r="K12" s="16"/>
      <c r="L12" s="16"/>
      <c r="M12" s="16"/>
    </row>
    <row r="13" spans="1:14" s="89" customFormat="1" ht="31.5">
      <c r="A13" s="13" t="s">
        <v>101</v>
      </c>
      <c r="B13" s="13"/>
      <c r="C13" s="150" t="s">
        <v>243</v>
      </c>
      <c r="D13" s="31"/>
      <c r="E13" s="15"/>
      <c r="F13" s="15"/>
      <c r="G13" s="16"/>
      <c r="H13" s="16"/>
      <c r="I13" s="16"/>
      <c r="J13" s="16"/>
      <c r="K13" s="16"/>
      <c r="L13" s="16"/>
      <c r="M13" s="16"/>
    </row>
    <row r="14" spans="1:14" s="89" customFormat="1" ht="63">
      <c r="A14" s="233"/>
      <c r="B14" s="233"/>
      <c r="C14" s="32" t="s">
        <v>300</v>
      </c>
      <c r="D14" s="35" t="s">
        <v>56</v>
      </c>
      <c r="E14" s="236"/>
      <c r="F14" s="236">
        <v>1</v>
      </c>
      <c r="G14" s="40"/>
      <c r="H14" s="298"/>
      <c r="I14" s="235"/>
      <c r="J14" s="235"/>
      <c r="K14" s="235"/>
      <c r="L14" s="235"/>
      <c r="M14" s="235"/>
      <c r="N14" s="101"/>
    </row>
    <row r="15" spans="1:14" s="89" customFormat="1" ht="31.5">
      <c r="A15" s="233"/>
      <c r="B15" s="233"/>
      <c r="C15" s="32" t="s">
        <v>301</v>
      </c>
      <c r="D15" s="35" t="s">
        <v>56</v>
      </c>
      <c r="E15" s="236"/>
      <c r="F15" s="236">
        <v>1</v>
      </c>
      <c r="G15" s="40"/>
      <c r="H15" s="298"/>
      <c r="I15" s="235"/>
      <c r="J15" s="235"/>
      <c r="K15" s="235"/>
      <c r="L15" s="235"/>
      <c r="M15" s="235"/>
    </row>
    <row r="16" spans="1:14" s="89" customFormat="1" ht="31.5">
      <c r="A16" s="233"/>
      <c r="B16" s="233"/>
      <c r="C16" s="32" t="s">
        <v>302</v>
      </c>
      <c r="D16" s="35" t="s">
        <v>56</v>
      </c>
      <c r="E16" s="236"/>
      <c r="F16" s="236">
        <v>1</v>
      </c>
      <c r="G16" s="40"/>
      <c r="H16" s="298"/>
      <c r="I16" s="235"/>
      <c r="J16" s="235"/>
      <c r="K16" s="235"/>
      <c r="L16" s="235"/>
      <c r="M16" s="235"/>
    </row>
    <row r="17" spans="1:14" s="89" customFormat="1" ht="47.25">
      <c r="A17" s="13"/>
      <c r="B17" s="13"/>
      <c r="C17" s="32" t="s">
        <v>303</v>
      </c>
      <c r="D17" s="35" t="s">
        <v>56</v>
      </c>
      <c r="E17" s="15"/>
      <c r="F17" s="15">
        <v>2</v>
      </c>
      <c r="G17" s="40"/>
      <c r="H17" s="298"/>
      <c r="I17" s="16"/>
      <c r="J17" s="298"/>
      <c r="K17" s="16"/>
      <c r="L17" s="16"/>
      <c r="M17" s="298"/>
    </row>
    <row r="18" spans="1:14" s="89" customFormat="1" ht="15.75">
      <c r="A18" s="13"/>
      <c r="B18" s="13"/>
      <c r="C18" s="69"/>
      <c r="D18" s="31"/>
      <c r="E18" s="15"/>
      <c r="F18" s="15"/>
      <c r="G18" s="16"/>
      <c r="H18" s="16"/>
      <c r="I18" s="16"/>
      <c r="J18" s="16"/>
      <c r="K18" s="16"/>
      <c r="L18" s="16"/>
      <c r="M18" s="16"/>
    </row>
    <row r="19" spans="1:14" s="89" customFormat="1" ht="15.75">
      <c r="A19" s="13"/>
      <c r="B19" s="13"/>
      <c r="C19" s="69"/>
      <c r="D19" s="31"/>
      <c r="E19" s="15"/>
      <c r="F19" s="15"/>
      <c r="G19" s="16"/>
      <c r="H19" s="16"/>
      <c r="I19" s="16"/>
      <c r="J19" s="16"/>
      <c r="K19" s="16"/>
      <c r="L19" s="16"/>
      <c r="M19" s="16"/>
    </row>
    <row r="20" spans="1:14" s="89" customFormat="1" ht="15.75">
      <c r="A20" s="13"/>
      <c r="B20" s="13"/>
      <c r="C20" s="69"/>
      <c r="D20" s="31"/>
      <c r="E20" s="15"/>
      <c r="F20" s="15"/>
      <c r="G20" s="16"/>
      <c r="H20" s="16"/>
      <c r="I20" s="16"/>
      <c r="J20" s="16"/>
      <c r="K20" s="16"/>
      <c r="L20" s="16"/>
      <c r="M20" s="16"/>
    </row>
    <row r="21" spans="1:14" s="89" customFormat="1" ht="31.5">
      <c r="A21" s="424"/>
      <c r="B21" s="425"/>
      <c r="C21" s="414" t="s">
        <v>204</v>
      </c>
      <c r="D21" s="425"/>
      <c r="E21" s="426"/>
      <c r="F21" s="427"/>
      <c r="G21" s="428"/>
      <c r="H21" s="428"/>
      <c r="I21" s="428"/>
      <c r="J21" s="428"/>
      <c r="K21" s="428"/>
      <c r="L21" s="428"/>
      <c r="M21" s="428"/>
      <c r="N21" s="101">
        <f>H21+J21+L21</f>
        <v>0</v>
      </c>
    </row>
    <row r="22" spans="1:14" s="89" customFormat="1" ht="40.5">
      <c r="A22" s="391"/>
      <c r="B22" s="391"/>
      <c r="C22" s="447" t="s">
        <v>411</v>
      </c>
      <c r="D22" s="391"/>
      <c r="E22" s="393"/>
      <c r="F22" s="394" t="s">
        <v>504</v>
      </c>
      <c r="G22" s="395"/>
      <c r="H22" s="395"/>
      <c r="I22" s="395"/>
      <c r="J22" s="395"/>
      <c r="K22" s="395"/>
      <c r="L22" s="395"/>
      <c r="M22" s="395"/>
    </row>
    <row r="23" spans="1:14" s="89" customFormat="1" ht="15.75">
      <c r="A23" s="26"/>
      <c r="B23" s="247"/>
      <c r="C23" s="397" t="s">
        <v>20</v>
      </c>
      <c r="D23" s="247"/>
      <c r="E23" s="26"/>
      <c r="F23" s="26"/>
      <c r="G23" s="26"/>
      <c r="H23" s="436"/>
      <c r="I23" s="436"/>
      <c r="J23" s="436"/>
      <c r="K23" s="436"/>
      <c r="L23" s="436"/>
      <c r="M23" s="436"/>
    </row>
    <row r="24" spans="1:14" s="89" customFormat="1" ht="49.5">
      <c r="A24" s="330"/>
      <c r="B24" s="1"/>
      <c r="C24" s="446" t="s">
        <v>412</v>
      </c>
      <c r="D24" s="1"/>
      <c r="E24" s="330"/>
      <c r="F24" s="430" t="s">
        <v>504</v>
      </c>
      <c r="G24" s="330"/>
      <c r="H24" s="330"/>
      <c r="I24" s="330"/>
      <c r="J24" s="237"/>
      <c r="K24" s="237"/>
      <c r="L24" s="237"/>
      <c r="M24" s="237"/>
    </row>
    <row r="25" spans="1:14" s="89" customFormat="1" ht="15.75">
      <c r="A25" s="330"/>
      <c r="B25" s="1"/>
      <c r="C25" s="397" t="s">
        <v>20</v>
      </c>
      <c r="D25" s="1"/>
      <c r="E25" s="330"/>
      <c r="F25" s="84"/>
      <c r="G25" s="330"/>
      <c r="H25" s="330"/>
      <c r="I25" s="330"/>
      <c r="J25" s="237"/>
      <c r="K25" s="237"/>
      <c r="L25" s="237"/>
      <c r="M25" s="237"/>
    </row>
    <row r="26" spans="1:14" s="89" customFormat="1" ht="66">
      <c r="A26" s="330"/>
      <c r="B26" s="1"/>
      <c r="C26" s="446" t="s">
        <v>416</v>
      </c>
      <c r="D26" s="1"/>
      <c r="E26" s="330"/>
      <c r="F26" s="430" t="s">
        <v>504</v>
      </c>
      <c r="G26" s="330"/>
      <c r="H26" s="330"/>
      <c r="I26" s="330"/>
      <c r="J26" s="237"/>
      <c r="K26" s="237"/>
      <c r="L26" s="237"/>
      <c r="M26" s="237"/>
    </row>
    <row r="27" spans="1:14" s="89" customFormat="1" ht="33">
      <c r="A27" s="437"/>
      <c r="B27" s="438"/>
      <c r="C27" s="435" t="s">
        <v>415</v>
      </c>
      <c r="D27" s="438"/>
      <c r="E27" s="437"/>
      <c r="F27" s="269"/>
      <c r="G27" s="437"/>
      <c r="H27" s="437"/>
      <c r="I27" s="437"/>
      <c r="J27" s="439"/>
      <c r="K27" s="439"/>
      <c r="L27" s="439"/>
      <c r="M27" s="83"/>
    </row>
    <row r="28" spans="1:14" s="89" customFormat="1" ht="31.5">
      <c r="A28" s="405"/>
      <c r="B28" s="406"/>
      <c r="C28" s="410" t="s">
        <v>4</v>
      </c>
      <c r="D28" s="407"/>
      <c r="E28" s="408"/>
      <c r="F28" s="420" t="s">
        <v>61</v>
      </c>
      <c r="G28" s="377"/>
      <c r="H28" s="377"/>
      <c r="I28" s="377"/>
      <c r="J28" s="377"/>
      <c r="K28" s="377"/>
      <c r="L28" s="377"/>
      <c r="M28" s="377"/>
    </row>
    <row r="29" spans="1:14" s="89" customFormat="1" ht="15.75">
      <c r="A29" s="405"/>
      <c r="B29" s="406"/>
      <c r="C29" s="397" t="s">
        <v>20</v>
      </c>
      <c r="D29" s="407"/>
      <c r="E29" s="408"/>
      <c r="F29" s="421"/>
      <c r="G29" s="377"/>
      <c r="H29" s="377"/>
      <c r="I29" s="377"/>
      <c r="J29" s="377"/>
      <c r="K29" s="377"/>
      <c r="L29" s="377"/>
      <c r="M29" s="377"/>
    </row>
    <row r="30" spans="1:14" s="89" customFormat="1" ht="31.5">
      <c r="A30" s="405"/>
      <c r="B30" s="406"/>
      <c r="C30" s="422" t="s">
        <v>408</v>
      </c>
      <c r="D30" s="407"/>
      <c r="E30" s="408"/>
      <c r="F30" s="423" t="s">
        <v>504</v>
      </c>
      <c r="G30" s="377"/>
      <c r="H30" s="377"/>
      <c r="I30" s="377"/>
      <c r="J30" s="377"/>
      <c r="K30" s="377"/>
      <c r="L30" s="377"/>
      <c r="M30" s="377"/>
    </row>
    <row r="31" spans="1:14" s="89" customFormat="1" ht="15.75">
      <c r="A31" s="405"/>
      <c r="B31" s="406"/>
      <c r="C31" s="397" t="s">
        <v>20</v>
      </c>
      <c r="D31" s="407"/>
      <c r="E31" s="408"/>
      <c r="F31" s="421"/>
      <c r="G31" s="377"/>
      <c r="H31" s="377"/>
      <c r="I31" s="377"/>
      <c r="J31" s="377"/>
      <c r="K31" s="377"/>
      <c r="L31" s="377"/>
      <c r="M31" s="377"/>
    </row>
    <row r="32" spans="1:14" s="89" customFormat="1" ht="15.75">
      <c r="A32" s="405"/>
      <c r="B32" s="406"/>
      <c r="C32" s="410" t="s">
        <v>409</v>
      </c>
      <c r="D32" s="407"/>
      <c r="E32" s="408"/>
      <c r="F32" s="420" t="s">
        <v>62</v>
      </c>
      <c r="G32" s="377"/>
      <c r="H32" s="377"/>
      <c r="I32" s="377"/>
      <c r="J32" s="377"/>
      <c r="K32" s="377"/>
      <c r="L32" s="377"/>
      <c r="M32" s="377"/>
    </row>
    <row r="33" spans="1:13" s="89" customFormat="1" ht="31.5">
      <c r="A33" s="424"/>
      <c r="B33" s="425"/>
      <c r="C33" s="414" t="s">
        <v>415</v>
      </c>
      <c r="D33" s="425"/>
      <c r="E33" s="426"/>
      <c r="F33" s="427"/>
      <c r="G33" s="428"/>
      <c r="H33" s="428"/>
      <c r="I33" s="428"/>
      <c r="J33" s="428"/>
      <c r="K33" s="428"/>
      <c r="L33" s="428"/>
      <c r="M33" s="83"/>
    </row>
    <row r="34" spans="1:13" s="89" customFormat="1" ht="15.75">
      <c r="A34" s="102"/>
      <c r="B34" s="102"/>
      <c r="C34" s="181"/>
      <c r="D34" s="102"/>
      <c r="E34" s="183"/>
      <c r="F34" s="183"/>
      <c r="G34" s="103"/>
      <c r="H34" s="103"/>
      <c r="I34" s="103"/>
      <c r="J34" s="103"/>
      <c r="K34" s="103"/>
      <c r="L34" s="103"/>
      <c r="M34" s="103"/>
    </row>
    <row r="35" spans="1:13" s="89" customFormat="1" ht="15.75">
      <c r="A35" s="102"/>
      <c r="B35" s="112"/>
      <c r="C35" s="221"/>
      <c r="D35" s="86"/>
      <c r="E35" s="178"/>
      <c r="F35" s="178"/>
      <c r="G35" s="101"/>
      <c r="H35" s="101"/>
      <c r="I35" s="113"/>
      <c r="J35" s="113"/>
      <c r="K35" s="113"/>
      <c r="L35" s="113"/>
      <c r="M35" s="113"/>
    </row>
    <row r="36" spans="1:13" s="89" customFormat="1" ht="15.75">
      <c r="A36" s="102"/>
      <c r="B36" s="112"/>
      <c r="C36" s="224"/>
      <c r="D36" s="225"/>
      <c r="E36" s="226"/>
      <c r="F36" s="183"/>
      <c r="G36" s="103"/>
      <c r="H36" s="103"/>
      <c r="I36" s="103"/>
      <c r="J36" s="103"/>
      <c r="K36" s="103"/>
      <c r="L36" s="103"/>
      <c r="M36" s="103"/>
    </row>
  </sheetData>
  <mergeCells count="14">
    <mergeCell ref="A1:M1"/>
    <mergeCell ref="A2:M2"/>
    <mergeCell ref="A3:M3"/>
    <mergeCell ref="A5:M5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M7:M8"/>
  </mergeCells>
  <pageMargins left="0.70866141732283472" right="0.35" top="0.39" bottom="0.45" header="0.31496062992125984" footer="0.31496062992125984"/>
  <pageSetup paperSize="9" orientation="landscape" horizontalDpi="1200" verticalDpi="1200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krebsiti</vt:lpstr>
      <vt:lpstr>#3-1</vt:lpstr>
      <vt:lpstr>#3-2</vt:lpstr>
      <vt:lpstr>#3-3</vt:lpstr>
      <vt:lpstr>#3-4</vt:lpstr>
      <vt:lpstr>'#3-1'!Print_Area</vt:lpstr>
      <vt:lpstr>'#3-2'!Print_Area</vt:lpstr>
      <vt:lpstr>'#3-3'!Print_Area</vt:lpstr>
      <vt:lpstr>'#3-4'!Print_Area</vt:lpstr>
      <vt:lpstr>krebsiti!Print_Area</vt:lpstr>
      <vt:lpstr>'#3-1'!Print_Titles</vt:lpstr>
      <vt:lpstr>'#3-2'!Print_Titles</vt:lpstr>
      <vt:lpstr>'#3-3'!Print_Titles</vt:lpstr>
      <vt:lpstr>'#3-4'!Print_Titles</vt:lpstr>
      <vt:lpstr>krebsiti!Print_Titles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2021-06-04T11:32:50Z</dcterms:modified>
</cp:coreProperties>
</file>