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20" tabRatio="709"/>
  </bookViews>
  <sheets>
    <sheet name="krebsiti" sheetId="25" r:id="rId1"/>
    <sheet name="#3-1" sheetId="22" r:id="rId2"/>
    <sheet name="#3-2" sheetId="23" r:id="rId3"/>
    <sheet name="#3-4" sheetId="26" r:id="rId4"/>
  </sheets>
  <definedNames>
    <definedName name="_xlnm.Print_Area" localSheetId="1">'#3-1'!$A$1:$M$271</definedName>
    <definedName name="_xlnm.Print_Area" localSheetId="2">'#3-2'!$A$1:$M$117</definedName>
    <definedName name="_xlnm.Print_Area" localSheetId="3">'#3-4'!$A$1:$M$33</definedName>
    <definedName name="_xlnm.Print_Area" localSheetId="0">krebsiti!$A$1:$G$28</definedName>
    <definedName name="_xlnm.Print_Titles" localSheetId="1">'#3-1'!$9:$9</definedName>
    <definedName name="_xlnm.Print_Titles" localSheetId="2">'#3-2'!$9:$9</definedName>
    <definedName name="_xlnm.Print_Titles" localSheetId="3">'#3-4'!$9:$9</definedName>
    <definedName name="_xlnm.Print_Titles" localSheetId="0">krebsiti!$7:$7</definedName>
  </definedNames>
  <calcPr calcId="162913"/>
</workbook>
</file>

<file path=xl/calcChain.xml><?xml version="1.0" encoding="utf-8"?>
<calcChain xmlns="http://schemas.openxmlformats.org/spreadsheetml/2006/main">
  <c r="F112" i="22" l="1"/>
  <c r="F90" i="22"/>
  <c r="F85" i="22"/>
  <c r="F166" i="22" l="1"/>
  <c r="F172" i="22"/>
  <c r="F173" i="22" s="1"/>
  <c r="F167" i="22"/>
  <c r="F171" i="22" s="1"/>
  <c r="F164" i="22"/>
  <c r="F155" i="22"/>
  <c r="F150" i="22"/>
  <c r="F145" i="22"/>
  <c r="F168" i="22" l="1"/>
  <c r="F170" i="22"/>
  <c r="F169" i="22"/>
  <c r="F161" i="22" l="1"/>
  <c r="F158" i="22"/>
  <c r="F156" i="22"/>
  <c r="F163" i="22"/>
  <c r="E153" i="22"/>
  <c r="F151" i="22"/>
  <c r="F147" i="22"/>
  <c r="F148" i="22" s="1"/>
  <c r="F157" i="22" l="1"/>
  <c r="F162" i="22"/>
  <c r="F160" i="22"/>
  <c r="F146" i="22"/>
  <c r="F153" i="22"/>
  <c r="F154" i="22"/>
  <c r="F159" i="22"/>
  <c r="F152" i="22"/>
  <c r="F149" i="22"/>
  <c r="F197" i="22"/>
  <c r="F221" i="22" l="1"/>
  <c r="F219" i="22"/>
  <c r="F92" i="23"/>
  <c r="F78" i="23"/>
  <c r="F47" i="23"/>
  <c r="F30" i="23"/>
  <c r="F19" i="23"/>
  <c r="F15" i="23" l="1"/>
  <c r="F186" i="22" l="1"/>
  <c r="F190" i="22" s="1"/>
  <c r="E192" i="22"/>
  <c r="E191" i="22"/>
  <c r="E189" i="22"/>
  <c r="F189" i="22" s="1"/>
  <c r="F188" i="22"/>
  <c r="E187" i="22"/>
  <c r="F187" i="22" s="1"/>
  <c r="E185" i="22"/>
  <c r="F185" i="22" s="1"/>
  <c r="E184" i="22"/>
  <c r="F184" i="22" s="1"/>
  <c r="E182" i="22"/>
  <c r="F182" i="22" s="1"/>
  <c r="F181" i="22"/>
  <c r="E180" i="22"/>
  <c r="F180" i="22" s="1"/>
  <c r="E179" i="22"/>
  <c r="F179" i="22" s="1"/>
  <c r="E177" i="22"/>
  <c r="F177" i="22" s="1"/>
  <c r="E176" i="22"/>
  <c r="F176" i="22" s="1"/>
  <c r="E175" i="22"/>
  <c r="F175" i="22" l="1"/>
  <c r="F194" i="22"/>
  <c r="F193" i="22"/>
  <c r="F192" i="22" l="1"/>
  <c r="F195" i="22"/>
  <c r="F191" i="22"/>
  <c r="F27" i="22" l="1"/>
  <c r="F246" i="22"/>
  <c r="F245" i="22"/>
  <c r="F242" i="22"/>
  <c r="F244" i="22"/>
  <c r="F231" i="22"/>
  <c r="F232" i="22"/>
  <c r="F121" i="22"/>
  <c r="F222" i="22"/>
  <c r="F223" i="22" s="1"/>
  <c r="F208" i="22"/>
  <c r="F211" i="22" s="1"/>
  <c r="F198" i="22"/>
  <c r="F200" i="22" s="1"/>
  <c r="E224" i="22"/>
  <c r="F220" i="22"/>
  <c r="F215" i="22" s="1"/>
  <c r="F203" i="22"/>
  <c r="F207" i="22" s="1"/>
  <c r="F127" i="22"/>
  <c r="F114" i="22"/>
  <c r="F119" i="22" s="1"/>
  <c r="E140" i="22"/>
  <c r="E139" i="22"/>
  <c r="D136" i="22"/>
  <c r="E108" i="22"/>
  <c r="E101" i="22"/>
  <c r="E100" i="22"/>
  <c r="E99" i="22"/>
  <c r="E97" i="22"/>
  <c r="F95" i="22"/>
  <c r="F96" i="22" s="1"/>
  <c r="F93" i="22"/>
  <c r="F86" i="22"/>
  <c r="F213" i="22" l="1"/>
  <c r="F226" i="22"/>
  <c r="F243" i="22"/>
  <c r="F233" i="22"/>
  <c r="F214" i="22"/>
  <c r="F225" i="22"/>
  <c r="F209" i="22"/>
  <c r="F199" i="22"/>
  <c r="F201" i="22"/>
  <c r="F202" i="22"/>
  <c r="F216" i="22"/>
  <c r="F217" i="22"/>
  <c r="F218" i="22"/>
  <c r="F206" i="22"/>
  <c r="F212" i="22"/>
  <c r="F224" i="22"/>
  <c r="F205" i="22"/>
  <c r="F227" i="22"/>
  <c r="F204" i="22"/>
  <c r="F210" i="22"/>
  <c r="F117" i="22"/>
  <c r="F100" i="22"/>
  <c r="F118" i="22"/>
  <c r="F116" i="22"/>
  <c r="F115" i="22"/>
  <c r="F124" i="22"/>
  <c r="F125" i="22"/>
  <c r="F126" i="22"/>
  <c r="F122" i="22"/>
  <c r="F123" i="22"/>
  <c r="F113" i="22"/>
  <c r="F133" i="22"/>
  <c r="F138" i="22" s="1"/>
  <c r="F103" i="22"/>
  <c r="F101" i="22"/>
  <c r="F97" i="22"/>
  <c r="F92" i="22"/>
  <c r="F87" i="22"/>
  <c r="F91" i="22"/>
  <c r="F98" i="22"/>
  <c r="F99" i="22"/>
  <c r="F94" i="22"/>
  <c r="F235" i="22" l="1"/>
  <c r="F236" i="22"/>
  <c r="F237" i="22" s="1"/>
  <c r="F234" i="22"/>
  <c r="F238" i="22"/>
  <c r="F110" i="22"/>
  <c r="F105" i="22"/>
  <c r="F111" i="22"/>
  <c r="F108" i="22"/>
  <c r="F107" i="22"/>
  <c r="F106" i="22"/>
  <c r="F109" i="22"/>
  <c r="F104" i="22"/>
  <c r="F137" i="22"/>
  <c r="F134" i="22"/>
  <c r="F136" i="22"/>
  <c r="F135" i="22"/>
  <c r="F130" i="22"/>
  <c r="F131" i="22"/>
  <c r="F132" i="22"/>
  <c r="F128" i="22"/>
  <c r="F129" i="22"/>
  <c r="F88" i="22"/>
  <c r="F89" i="22"/>
  <c r="F239" i="22" l="1"/>
  <c r="F240" i="22"/>
  <c r="F141" i="22"/>
  <c r="F142" i="22"/>
  <c r="F143" i="22"/>
  <c r="F140" i="22"/>
  <c r="F139" i="22"/>
  <c r="F78" i="22" l="1"/>
  <c r="F54" i="22"/>
  <c r="F61" i="22"/>
  <c r="F76" i="22"/>
  <c r="F66" i="22" l="1"/>
  <c r="F68" i="22" s="1"/>
  <c r="F83" i="22"/>
  <c r="F82" i="22"/>
  <c r="F81" i="22"/>
  <c r="F80" i="22"/>
  <c r="F79" i="22"/>
  <c r="F71" i="22"/>
  <c r="F70" i="22"/>
  <c r="E69" i="22"/>
  <c r="F69" i="22" s="1"/>
  <c r="F67" i="22"/>
  <c r="F62" i="22"/>
  <c r="F38" i="22"/>
  <c r="F40" i="22" s="1"/>
  <c r="F42" i="22" s="1"/>
  <c r="F43" i="22"/>
  <c r="F45" i="22" s="1"/>
  <c r="F48" i="22"/>
  <c r="E46" i="22"/>
  <c r="F44" i="22" l="1"/>
  <c r="F46" i="22"/>
  <c r="F47" i="22"/>
  <c r="F75" i="22"/>
  <c r="F72" i="22"/>
  <c r="F74" i="22" s="1"/>
  <c r="F49" i="22"/>
  <c r="F51" i="22" s="1"/>
  <c r="F52" i="22"/>
  <c r="F63" i="22"/>
  <c r="F39" i="22"/>
  <c r="F73" i="22" l="1"/>
  <c r="F53" i="22"/>
  <c r="F50" i="22"/>
  <c r="F77" i="22"/>
  <c r="F64" i="22"/>
  <c r="F65" i="22"/>
  <c r="F41" i="22"/>
  <c r="F57" i="22" l="1"/>
  <c r="F25" i="22"/>
  <c r="F29" i="22"/>
  <c r="F21" i="22"/>
  <c r="F22" i="22" s="1"/>
  <c r="F20" i="22"/>
  <c r="F19" i="22"/>
  <c r="F56" i="22" l="1"/>
  <c r="F55" i="22"/>
  <c r="F59" i="22"/>
  <c r="F58" i="22"/>
  <c r="F23" i="22"/>
  <c r="A1" i="26"/>
  <c r="F94" i="23"/>
  <c r="F98" i="23" s="1"/>
  <c r="F89" i="23"/>
  <c r="F93" i="23" s="1"/>
  <c r="F83" i="23"/>
  <c r="F87" i="23" s="1"/>
  <c r="F81" i="23"/>
  <c r="E79" i="23"/>
  <c r="F79" i="23" s="1"/>
  <c r="F67" i="23"/>
  <c r="F66" i="23"/>
  <c r="F64" i="23"/>
  <c r="F63" i="23"/>
  <c r="F62" i="23"/>
  <c r="F61" i="23"/>
  <c r="F60" i="23"/>
  <c r="F50" i="23"/>
  <c r="F51" i="23" s="1"/>
  <c r="F31" i="23"/>
  <c r="F29" i="23"/>
  <c r="E28" i="23"/>
  <c r="F28" i="23" s="1"/>
  <c r="F26" i="23"/>
  <c r="F25" i="23"/>
  <c r="F24" i="23"/>
  <c r="F23" i="23"/>
  <c r="F21" i="23"/>
  <c r="F20" i="23"/>
  <c r="F16" i="23"/>
  <c r="F12" i="23"/>
  <c r="A1" i="23"/>
  <c r="F251" i="22"/>
  <c r="F253" i="22" s="1"/>
  <c r="F250" i="22"/>
  <c r="F15" i="22"/>
  <c r="F31" i="22" s="1"/>
  <c r="F14" i="22"/>
  <c r="F13" i="22"/>
  <c r="A1" i="22"/>
  <c r="G16" i="25"/>
  <c r="G15" i="25"/>
  <c r="G14" i="25"/>
  <c r="G11" i="25"/>
  <c r="G10" i="25"/>
  <c r="G9" i="25"/>
  <c r="F85" i="23" l="1"/>
  <c r="F96" i="23"/>
  <c r="F84" i="23"/>
  <c r="F95" i="23"/>
  <c r="F91" i="23"/>
  <c r="F90" i="23"/>
  <c r="F57" i="23"/>
  <c r="F32" i="23"/>
  <c r="F34" i="23" s="1"/>
  <c r="F17" i="23"/>
  <c r="F18" i="23" s="1"/>
  <c r="F36" i="23"/>
  <c r="F44" i="23"/>
  <c r="F35" i="23"/>
  <c r="F33" i="23"/>
  <c r="F252" i="22"/>
  <c r="N18" i="26"/>
  <c r="F17" i="22"/>
  <c r="F32" i="22"/>
  <c r="F33" i="22"/>
  <c r="F16" i="22"/>
  <c r="F37" i="23" l="1"/>
  <c r="F46" i="23"/>
  <c r="F49" i="23"/>
  <c r="F45" i="23"/>
  <c r="F35" i="22"/>
  <c r="F34" i="22"/>
  <c r="N38" i="23" l="1"/>
  <c r="N101" i="23" l="1"/>
  <c r="D22" i="25"/>
  <c r="G22" i="25" s="1"/>
  <c r="N257" i="22" l="1"/>
  <c r="D19" i="25" l="1"/>
  <c r="G19" i="25" s="1"/>
  <c r="D20" i="25" l="1"/>
  <c r="G20" i="25" s="1"/>
  <c r="G24" i="25" s="1"/>
</calcChain>
</file>

<file path=xl/comments1.xml><?xml version="1.0" encoding="utf-8"?>
<comments xmlns="http://schemas.openxmlformats.org/spreadsheetml/2006/main">
  <authors>
    <author>Author</author>
  </authors>
  <commentList>
    <comment ref="F16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1g/m = 9,42 kg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ტიპი: კალათბურთის ფარი
,,შპს ღობე" 
 მის: წერეთლის 118
 ელ-ფოსტა: Ltdgobe@gmail.com
 web: www.Ghobe.ge
 ტელ: 568199995, 555511605.</t>
        </r>
      </text>
    </comment>
  </commentList>
</comments>
</file>

<file path=xl/sharedStrings.xml><?xml version="1.0" encoding="utf-8"?>
<sst xmlns="http://schemas.openxmlformats.org/spreadsheetml/2006/main" count="961" uniqueCount="355">
  <si>
    <t>##</t>
  </si>
  <si>
    <t>სამუშაოს დასახელება</t>
  </si>
  <si>
    <t>განზ/ ერთეული</t>
  </si>
  <si>
    <t>მოცულობა</t>
  </si>
  <si>
    <t>gauTvaliswinebeli xarjebi</t>
  </si>
  <si>
    <t>kg</t>
  </si>
  <si>
    <t>sul</t>
  </si>
  <si>
    <t>lari</t>
  </si>
  <si>
    <t>sxva manqanebi</t>
  </si>
  <si>
    <t>kac/sT</t>
  </si>
  <si>
    <t>sxva masalebi</t>
  </si>
  <si>
    <t>I</t>
  </si>
  <si>
    <t>m3</t>
  </si>
  <si>
    <t>erTeulze</t>
  </si>
  <si>
    <t>SromiTi resursebi</t>
  </si>
  <si>
    <t>k/sT</t>
  </si>
  <si>
    <t>m/sT</t>
  </si>
  <si>
    <t>sxva xarjebi</t>
  </si>
  <si>
    <t>manqanebi</t>
  </si>
  <si>
    <t>sabazro</t>
  </si>
  <si>
    <t>jami</t>
  </si>
  <si>
    <t>კ/სთ</t>
  </si>
  <si>
    <t>ლარი</t>
  </si>
  <si>
    <t>15-164-8</t>
  </si>
  <si>
    <t>saerTo samSeneblo samuSaoebi</t>
  </si>
  <si>
    <t>დასაბუთება</t>
  </si>
  <si>
    <t>normatiuli resursi</t>
  </si>
  <si>
    <t>მასალა</t>
  </si>
  <si>
    <t>ხელფასი</t>
  </si>
  <si>
    <t>manqana-meqanizmebi</t>
  </si>
  <si>
    <t>სულ დანახარჯები</t>
  </si>
  <si>
    <t>ერთეულის</t>
  </si>
  <si>
    <t>სულ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</si>
  <si>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</si>
  <si>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</si>
  <si>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t>RorRi</t>
  </si>
  <si>
    <t>1-80-7</t>
  </si>
  <si>
    <t xml:space="preserve">SromiTi resursebi                                                </t>
  </si>
  <si>
    <t xml:space="preserve">kac/sT                                                               </t>
  </si>
  <si>
    <t>11-1-6</t>
  </si>
  <si>
    <t>Sromis danaxarjebi</t>
  </si>
  <si>
    <t>kbm</t>
  </si>
  <si>
    <t>yalibis fari</t>
  </si>
  <si>
    <r>
      <t>m</t>
    </r>
    <r>
      <rPr>
        <vertAlign val="superscript"/>
        <sz val="10"/>
        <rFont val="AcadNusx"/>
      </rPr>
      <t>2</t>
    </r>
  </si>
  <si>
    <t>tn</t>
  </si>
  <si>
    <t>xis masala</t>
  </si>
  <si>
    <t>8</t>
  </si>
  <si>
    <t>g/m</t>
  </si>
  <si>
    <t>eleqtrodi</t>
  </si>
  <si>
    <t>9</t>
  </si>
  <si>
    <t>kvm</t>
  </si>
  <si>
    <t>10</t>
  </si>
  <si>
    <t>antikoroziuli saRebavi</t>
  </si>
  <si>
    <t>sxva masala</t>
  </si>
  <si>
    <t>1,1</t>
  </si>
  <si>
    <t>c</t>
  </si>
  <si>
    <t>12</t>
  </si>
  <si>
    <t xml:space="preserve">Sromis danaxarjebi </t>
  </si>
  <si>
    <t>samSeneblo nagvis datvirTva xeliT avtoTviTmclelze</t>
  </si>
  <si>
    <t xml:space="preserve">Sromis danaxarjebi  </t>
  </si>
  <si>
    <t>3%</t>
  </si>
  <si>
    <t>18%</t>
  </si>
  <si>
    <t>ნორმა განზ.ერთეულზე</t>
  </si>
  <si>
    <t>1-80-3</t>
  </si>
  <si>
    <t>23-1-1.</t>
  </si>
  <si>
    <t>22-8-2.</t>
  </si>
  <si>
    <t>grZ.m.</t>
  </si>
  <si>
    <t>1-81-3</t>
  </si>
  <si>
    <t>6-1-1.</t>
  </si>
  <si>
    <t>tona</t>
  </si>
  <si>
    <t xml:space="preserve">8-370-3     </t>
  </si>
  <si>
    <t>ც</t>
  </si>
  <si>
    <t>შრომითი რესურსები</t>
  </si>
  <si>
    <t>კაც/სთ</t>
  </si>
  <si>
    <t>კომპლ.</t>
  </si>
  <si>
    <t>1,4</t>
  </si>
  <si>
    <t>8-414-3</t>
  </si>
  <si>
    <t xml:space="preserve">damcavi yuTi </t>
  </si>
  <si>
    <t>2</t>
  </si>
  <si>
    <t>damiwebis konturis mowyoba</t>
  </si>
  <si>
    <t>СНиП
IV-6-82
8-471-1</t>
  </si>
  <si>
    <r>
      <t xml:space="preserve">დამიწების მოთუთიებული ღერო, </t>
    </r>
    <r>
      <rPr>
        <sz val="11"/>
        <rFont val="Calibri"/>
        <family val="2"/>
        <charset val="204"/>
        <scheme val="minor"/>
      </rPr>
      <t>50x50x5mm, 1500mm</t>
    </r>
  </si>
  <si>
    <t>СНиП
IV-6-82
8-472-2</t>
  </si>
  <si>
    <t>horizontaluri damiwebis konturis mowyoba</t>
  </si>
  <si>
    <r>
      <t xml:space="preserve">დამიწების მოთუთიებული სალტე </t>
    </r>
    <r>
      <rPr>
        <sz val="11"/>
        <rFont val="Calibri"/>
        <family val="2"/>
        <charset val="204"/>
        <scheme val="minor"/>
      </rPr>
      <t>40x4მმ</t>
    </r>
  </si>
  <si>
    <t>gegmiuri dagroveba</t>
  </si>
  <si>
    <t>inventaris SeZena montaJi</t>
  </si>
  <si>
    <r>
      <t xml:space="preserve">betoni </t>
    </r>
    <r>
      <rPr>
        <sz val="11"/>
        <rFont val="Arial"/>
        <family val="2"/>
        <charset val="204"/>
      </rPr>
      <t>B25</t>
    </r>
  </si>
  <si>
    <t>kg.</t>
  </si>
  <si>
    <t>7</t>
  </si>
  <si>
    <t>14</t>
  </si>
  <si>
    <t>კბმ</t>
  </si>
  <si>
    <t>11-1-11</t>
  </si>
  <si>
    <t>1,2</t>
  </si>
  <si>
    <t>4</t>
  </si>
  <si>
    <t>cementis xsnari m-200</t>
  </si>
  <si>
    <t>5</t>
  </si>
  <si>
    <t>6</t>
  </si>
  <si>
    <t>Е1-22</t>
  </si>
  <si>
    <t>II</t>
  </si>
  <si>
    <t>1</t>
  </si>
  <si>
    <t>3</t>
  </si>
  <si>
    <t>21-18-1.</t>
  </si>
  <si>
    <t>გრძ.მ.</t>
  </si>
  <si>
    <t>სხვა მასალები</t>
  </si>
  <si>
    <t>ავტომატური ამომრთველი 10ა</t>
  </si>
  <si>
    <t>Senobis Sida da gare wyalsadenisa da kanalizaciis qselis montaJi</t>
  </si>
  <si>
    <t>სხვა მასალა</t>
  </si>
  <si>
    <t>III</t>
  </si>
  <si>
    <t>s k v e r i</t>
  </si>
  <si>
    <t>27-9-7</t>
  </si>
  <si>
    <t>bordiurebis demontaJi</t>
  </si>
  <si>
    <t>46-31-2</t>
  </si>
  <si>
    <t>46-29-1</t>
  </si>
  <si>
    <t xml:space="preserve">filiT mopirketebis qveS betonis safuZvlis demontaJi </t>
  </si>
  <si>
    <t>Е20-1-255</t>
  </si>
  <si>
    <t>snf 15</t>
  </si>
  <si>
    <t>4,1</t>
  </si>
  <si>
    <t>4,2</t>
  </si>
  <si>
    <t xml:space="preserve">RorRi </t>
  </si>
  <si>
    <t>4,3</t>
  </si>
  <si>
    <t>4,4</t>
  </si>
  <si>
    <t>0470</t>
  </si>
  <si>
    <t>amwe - kranis momsaxureoba 10t</t>
  </si>
  <si>
    <t>7-22-1</t>
  </si>
  <si>
    <t>liTonis WiSkari (aqsesuarebiT)</t>
  </si>
  <si>
    <r>
      <t xml:space="preserve">betoni </t>
    </r>
    <r>
      <rPr>
        <sz val="12"/>
        <rFont val="Arial"/>
        <family val="2"/>
        <charset val="204"/>
      </rPr>
      <t>B7.5</t>
    </r>
  </si>
  <si>
    <t>samSeneblo qanCi WanWikiT</t>
  </si>
  <si>
    <t>eleqtrodi d=4mm</t>
  </si>
  <si>
    <t>7-22-8</t>
  </si>
  <si>
    <t xml:space="preserve">liTonis kutikaris damzadeba da montaJi  </t>
  </si>
  <si>
    <t>liTonis karebi (aqsesuarebiT)</t>
  </si>
  <si>
    <r>
      <t xml:space="preserve">betoni </t>
    </r>
    <r>
      <rPr>
        <sz val="10"/>
        <rFont val="Arial"/>
        <family val="2"/>
        <charset val="204"/>
      </rPr>
      <t>B7.5</t>
    </r>
  </si>
  <si>
    <t>liTonis konstruqciebis SeRebva antikoroziuli saRebaviT</t>
  </si>
  <si>
    <t>saRebavis gamxsneli</t>
  </si>
  <si>
    <t>qviSa-cementis xsnari  m.100</t>
  </si>
  <si>
    <t>III kategoriis gruntis damuSaveba qvabulisaTvis xeliT</t>
  </si>
  <si>
    <t>armatura Ф8 АIII b.150</t>
  </si>
  <si>
    <t>13</t>
  </si>
  <si>
    <t>11</t>
  </si>
  <si>
    <t>სულ პირდაპირი დანახარჯები</t>
  </si>
  <si>
    <t>samSeneblo masalis transportirebis xrjebi  (samSeneblo masalis Rirebulebidan)</t>
  </si>
  <si>
    <t>skveris teritoriis gare el montaJi</t>
  </si>
  <si>
    <t>I სამშენებლო სამუSაოები</t>
  </si>
  <si>
    <t>ქვაბულის მოწყობა სკვერის განათების ანძების ჩასაბეტონებლად (ხელით)</t>
  </si>
  <si>
    <t>ქვიშის საფარის მოწყობა მილებისთვის</t>
  </si>
  <si>
    <t>კუბ.მ</t>
  </si>
  <si>
    <t>გრძ/მ</t>
  </si>
  <si>
    <t>მანქანები</t>
  </si>
  <si>
    <t>8-281-3,</t>
  </si>
  <si>
    <t>კაბელის დაფარვა სასიგნალო ლენტით</t>
  </si>
  <si>
    <t>სასიგნალო ლენტი</t>
  </si>
  <si>
    <t>გრუნტის უკან ჩაყრა ხელით და მოსწორება</t>
  </si>
  <si>
    <t>სკვერის განათების ანძების დაბეტონება</t>
  </si>
  <si>
    <t xml:space="preserve">ბეტონი ბ.25 </t>
  </si>
  <si>
    <t>არმატურა Ф8 АIII ბ.150</t>
  </si>
  <si>
    <t>ტნ</t>
  </si>
  <si>
    <t xml:space="preserve">სხვა მასალა </t>
  </si>
  <si>
    <t>ზედნადები ხარჯები</t>
  </si>
  <si>
    <t>სულ I თავი</t>
  </si>
  <si>
    <t>II სამონტაჟო სამუშაოები</t>
  </si>
  <si>
    <t>სკვერის გარე განათების დეკორატიული ლამპიონების მონტაჟი</t>
  </si>
  <si>
    <t>სპილენძის სადენების montaJi</t>
  </si>
  <si>
    <t>8.14.56</t>
  </si>
  <si>
    <t>8.14.328</t>
  </si>
  <si>
    <t>21-27-4</t>
  </si>
  <si>
    <t>Zalovani faris montaJi</t>
  </si>
  <si>
    <t>მანქ /სთ</t>
  </si>
  <si>
    <r>
      <t>ჩამრთველი</t>
    </r>
    <r>
      <rPr>
        <sz val="10"/>
        <rFont val="Calibri"/>
        <family val="2"/>
        <charset val="204"/>
        <scheme val="minor"/>
      </rPr>
      <t xml:space="preserve"> 0‐1‐2, 1x20A</t>
    </r>
  </si>
  <si>
    <t>damiwebis Wa</t>
  </si>
  <si>
    <t>ზედნადები ხარჯები                                  (მუშა მოსამსახურეთა ძირითადი ხელფასიდან)</t>
  </si>
  <si>
    <t>სულ II თავი</t>
  </si>
  <si>
    <t>სულ  I და  II თავი</t>
  </si>
  <si>
    <t>skveris gare wyalsadenisa da kanalizaciis qselis montaJi</t>
  </si>
  <si>
    <t>kalaTburTis farebi  SeZena montaJi  (orgminiT)</t>
  </si>
  <si>
    <t>komp.</t>
  </si>
  <si>
    <t>sabaRe skamebis SeZena montaJi (eskizis mixedviT)</t>
  </si>
  <si>
    <t>urnebi SeZena montaJi</t>
  </si>
  <si>
    <t>wylis dasalevi "soko"</t>
  </si>
  <si>
    <t>krebsiTi xarjTaRicxva</t>
  </si>
  <si>
    <t>saxarjTaRricxvo gaangariSebis #</t>
  </si>
  <si>
    <t>samuSaoebisa da danaxarjebis dasaxeleba</t>
  </si>
  <si>
    <t>saxarjTaRricxvo Rirebuleba</t>
  </si>
  <si>
    <t>samSeneblo samuSaoebi</t>
  </si>
  <si>
    <t>samontaJo samuSaoebi</t>
  </si>
  <si>
    <t>mowyobiloba</t>
  </si>
  <si>
    <t>jami        lari</t>
  </si>
  <si>
    <t>sportuli moednis mowyobis samuSaoebi</t>
  </si>
  <si>
    <t>lk 1-1</t>
  </si>
  <si>
    <t>lk 1-2</t>
  </si>
  <si>
    <t xml:space="preserve"> el montaJis samuSaoebi</t>
  </si>
  <si>
    <t>lk 1-3</t>
  </si>
  <si>
    <t>sportuli moednis mimdebared sazogadoebrivi daniSnulebis reteratis mowyobis samuSaoebi</t>
  </si>
  <si>
    <t>lk 2-1</t>
  </si>
  <si>
    <t>lk 2-2</t>
  </si>
  <si>
    <t>Senobis el montaJis samuSaoebi</t>
  </si>
  <si>
    <t>lk 2-3</t>
  </si>
  <si>
    <t>skveris mowyoba</t>
  </si>
  <si>
    <t xml:space="preserve">skveris teritoriis gare el montaJi </t>
  </si>
  <si>
    <t xml:space="preserve">eleqtrodi </t>
  </si>
  <si>
    <t>nagavis datvirTva xeliT avtoTviTmclelze</t>
  </si>
  <si>
    <t>qanCi samSeneblo</t>
  </si>
  <si>
    <t>zedmeti gruntis datvirTva xeliT avtoTviTmclelze</t>
  </si>
  <si>
    <t xml:space="preserve">gatana 15 km-ze </t>
  </si>
  <si>
    <t>samSeneblo samuSaoebis damTavrebis Semdeg teritoriis dasufTaveba, samSeneblo narCenebis Segroveba, gamotana, avtoTviTmclelze dasatvirTavad</t>
  </si>
  <si>
    <t>1-80,3</t>
  </si>
  <si>
    <t>საკაბელო თხრილის მოწყობა xeliT</t>
  </si>
  <si>
    <r>
      <rPr>
        <b/>
        <sz val="11"/>
        <rFont val="Calibri"/>
        <family val="2"/>
        <charset val="204"/>
      </rPr>
      <t>PVC ორკედლიანი გოფრირებული მილის</t>
    </r>
    <r>
      <rPr>
        <b/>
        <sz val="11"/>
        <rFont val="AcadNusx"/>
      </rPr>
      <t xml:space="preserve"> </t>
    </r>
    <r>
      <rPr>
        <b/>
        <sz val="11"/>
        <rFont val="Calibri"/>
        <family val="2"/>
        <charset val="204"/>
      </rPr>
      <t xml:space="preserve">Ø63 </t>
    </r>
    <r>
      <rPr>
        <b/>
        <sz val="11"/>
        <rFont val="AcadNusx"/>
      </rPr>
      <t>მმ მოწყობა</t>
    </r>
  </si>
  <si>
    <r>
      <rPr>
        <sz val="11"/>
        <rFont val="Calibri"/>
        <family val="2"/>
        <charset val="204"/>
      </rPr>
      <t>PVCორკედლიანი გოფრირებული მილი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Ø63მმ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</si>
  <si>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YMS  </t>
    </r>
    <r>
      <rPr>
        <sz val="11"/>
        <rFont val="AcadNusx"/>
      </rPr>
      <t xml:space="preserve">3*2,5  </t>
    </r>
  </si>
  <si>
    <r>
      <t xml:space="preserve">ფოტორელე </t>
    </r>
    <r>
      <rPr>
        <sz val="10"/>
        <rFont val="Calibri"/>
        <family val="2"/>
        <charset val="204"/>
        <scheme val="minor"/>
      </rPr>
      <t>250V  5A</t>
    </r>
  </si>
  <si>
    <t>СНиП
IV-6-82
8-472-8</t>
  </si>
  <si>
    <t>horizontaluri damiwebis konturis mowyoba (mrgvali  foladiT)</t>
  </si>
  <si>
    <r>
      <t xml:space="preserve">მოთუთიებული გამტარი,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8mm</t>
    </r>
  </si>
  <si>
    <t>damiwebis vertikaluri eleqtrodebis montaJi</t>
  </si>
  <si>
    <t xml:space="preserve">cementis xsnari m-200, </t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</si>
  <si>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YMS </t>
    </r>
    <r>
      <rPr>
        <sz val="11"/>
        <rFont val="AcadNusx"/>
      </rPr>
      <t>3*4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</si>
  <si>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YMS  </t>
    </r>
    <r>
      <rPr>
        <sz val="11"/>
        <rFont val="AcadNusx"/>
      </rPr>
      <t>3*1,5</t>
    </r>
  </si>
  <si>
    <t xml:space="preserve">samSeneblo nagvis gatana 15 km-ze </t>
  </si>
  <si>
    <t>t</t>
  </si>
  <si>
    <t>snf                       15-15</t>
  </si>
  <si>
    <t>15</t>
  </si>
  <si>
    <t>17</t>
  </si>
  <si>
    <t xml:space="preserve">გარე განათების ლამპიონების მონტაჟი  </t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</si>
  <si>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YMS </t>
    </r>
    <r>
      <rPr>
        <sz val="11"/>
        <rFont val="AcadNusx"/>
      </rPr>
      <t>5*4</t>
    </r>
  </si>
  <si>
    <r>
      <t xml:space="preserve">Zalovani metalis gamanawilebeli fari </t>
    </r>
    <r>
      <rPr>
        <sz val="10"/>
        <rFont val="Calibri"/>
        <family val="2"/>
        <charset val="204"/>
        <scheme val="minor"/>
      </rPr>
      <t xml:space="preserve"> IPP 67 IK 08   400X200X100 mm</t>
    </r>
  </si>
  <si>
    <r>
      <t>რელე</t>
    </r>
    <r>
      <rPr>
        <sz val="10"/>
        <rFont val="Calibri"/>
        <family val="2"/>
        <charset val="204"/>
        <scheme val="minor"/>
      </rPr>
      <t xml:space="preserve"> 250v/5A</t>
    </r>
  </si>
  <si>
    <r>
      <t>amomrTveli avtomati ;
250v/6a ; erTpolusa                          კლასი</t>
    </r>
    <r>
      <rPr>
        <sz val="10"/>
        <rFont val="Calibri"/>
        <family val="2"/>
        <charset val="204"/>
        <scheme val="minor"/>
      </rPr>
      <t xml:space="preserve"> C, 1P, 6A, 6kA</t>
    </r>
  </si>
  <si>
    <r>
      <t>amomrTveli avtomati ;
250v/25a ; erTpolusa                              კლასი</t>
    </r>
    <r>
      <rPr>
        <sz val="10"/>
        <rFont val="Calibri"/>
        <family val="2"/>
        <charset val="204"/>
        <scheme val="minor"/>
      </rPr>
      <t xml:space="preserve"> C, 1P,25A, 6kA</t>
    </r>
  </si>
  <si>
    <r>
      <t>amomrTveli avtomati ; 
380v/50a ; erTpolusa                                კლასი</t>
    </r>
    <r>
      <rPr>
        <sz val="10"/>
        <rFont val="Calibri"/>
        <family val="2"/>
        <charset val="204"/>
        <scheme val="minor"/>
      </rPr>
      <t xml:space="preserve"> C, 3P,50A, 6kA</t>
    </r>
  </si>
  <si>
    <t>liTonis gamanawilebeli kolofi</t>
  </si>
  <si>
    <t>21-26-6 gamoy</t>
  </si>
  <si>
    <r>
      <rPr>
        <sz val="11"/>
        <color theme="1"/>
        <rFont val="AcadNusx"/>
      </rPr>
      <t>dioduri sanati (fanCaturisaTvis)</t>
    </r>
    <r>
      <rPr>
        <sz val="11"/>
        <color theme="1"/>
        <rFont val="Cambria"/>
        <family val="1"/>
        <charset val="204"/>
        <scheme val="major"/>
      </rPr>
      <t xml:space="preserve">  IP 67 250v; 50 vat</t>
    </r>
  </si>
  <si>
    <t>სანათების მონტაჟი -- dioduri sanaTi (fanCaturisaTvis)</t>
  </si>
  <si>
    <t>masalis transportirebis xarjebi</t>
  </si>
  <si>
    <t>zednadebi xarjebi</t>
  </si>
  <si>
    <t>sul xarjTaRricxva #1</t>
  </si>
  <si>
    <t>dagrovebiTi sapensio gadasaxadi (xelfasidan)</t>
  </si>
  <si>
    <t>dRg</t>
  </si>
  <si>
    <t>masalis transportirebis xarjebi (samS masalis Rirebulebidan)</t>
  </si>
  <si>
    <t>zednadebi xarjebi                 (muSa mosamsaxureTa ZiriTadi xelfasidan)</t>
  </si>
  <si>
    <t>sul xarjTaRricxva                       #2</t>
  </si>
  <si>
    <t>sul xarjTaRricxva #4</t>
  </si>
  <si>
    <t>gegmiuri dagroveba   (ZviradRirebuli masalebois gamoklebiT)</t>
  </si>
  <si>
    <t xml:space="preserve">ქვიSა </t>
  </si>
  <si>
    <t>olifa</t>
  </si>
  <si>
    <t>teritoriaze arsebuli trotuarebis dekoratiuli filiT mopirketebis demontaji</t>
  </si>
  <si>
    <t>teritoriaze arsebuli gzis (fexiT savali gza) bazaltis filis namsxvrevebiT --"bregCea" -- mopirketebis demontaJi</t>
  </si>
  <si>
    <t>arsebuli WiSkrebis demontaJi dasawyobeba</t>
  </si>
  <si>
    <t>arsebuli moajirebis demontaJi dasawyobeba</t>
  </si>
  <si>
    <t>15-5-10</t>
  </si>
  <si>
    <t>RorRis fenilis mowyoba, sisqiT 15sm</t>
  </si>
  <si>
    <t>betonis 12sm fenilis mowyoba</t>
  </si>
  <si>
    <t>zedmeti gruntis transportireba 15km manZilze da gatana</t>
  </si>
  <si>
    <t xml:space="preserve">trotuaris mopirketeba bunebrivi granitis filiT 200*100*30 </t>
  </si>
  <si>
    <t>betonis 15sm fenilis mowyoba</t>
  </si>
  <si>
    <t>armatura Ф6 АI b.450</t>
  </si>
  <si>
    <t>armatura Ф8 АIII b.150 ori bade</t>
  </si>
  <si>
    <t>25+8=33  15+15+5=35 amaRldeba 2sm-iT</t>
  </si>
  <si>
    <t>20+8=28    15+12+3=30 amaRldeba 2sm-iT</t>
  </si>
  <si>
    <t xml:space="preserve">granitis fila, bunebrivi  200*100*30  </t>
  </si>
  <si>
    <t xml:space="preserve">granitis fila, bunebrivi  100*100*50 </t>
  </si>
  <si>
    <t>xeivnis Sua, fexiT savali nawilis mopirketeba bunebrivi  granitis filiT 100*100*50</t>
  </si>
  <si>
    <t xml:space="preserve">xeivnis Sua fexiT savali nawilis mopirketeba bunebrivi granitis filiT 100*100*50 </t>
  </si>
  <si>
    <t>q.dmanisSi "Tavisuflebis xeivanis" reabilitaciis samuSaoebi</t>
  </si>
  <si>
    <r>
      <t xml:space="preserve">trotuarebis mopirkeTeba bunebrivi  granitis filiT 200*100*30 </t>
    </r>
    <r>
      <rPr>
        <sz val="11"/>
        <rFont val="AcadNusx"/>
      </rPr>
      <t>(pandusebis CaTvliT)</t>
    </r>
  </si>
  <si>
    <t>tranSeas mowyoba bordiuris montaJisaTvis</t>
  </si>
  <si>
    <t>8-3-2</t>
  </si>
  <si>
    <t>RorRis fenilis mowyoba bordiuris qveS</t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</si>
  <si>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</si>
  <si>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3</t>
    </r>
  </si>
  <si>
    <t>27-19-3</t>
  </si>
  <si>
    <t>bunebrivi bazaltis bordiurebis mowyoba 300X150</t>
  </si>
  <si>
    <t>bunebrivi bazaltis bordiurebi 300X150</t>
  </si>
  <si>
    <t xml:space="preserve">betoni b-15 </t>
  </si>
  <si>
    <t>6-15-9</t>
  </si>
  <si>
    <t>arsebuli kedlis Tavze rk.betonis sartyelis mowyoba</t>
  </si>
  <si>
    <r>
      <t>m</t>
    </r>
    <r>
      <rPr>
        <vertAlign val="superscript"/>
        <sz val="11"/>
        <rFont val="AcadNusx"/>
      </rPr>
      <t>2</t>
    </r>
  </si>
  <si>
    <r>
      <t xml:space="preserve">armatura </t>
    </r>
    <r>
      <rPr>
        <b/>
        <sz val="11"/>
        <rFont val="Arial"/>
        <family val="2"/>
        <charset val="204"/>
      </rPr>
      <t>A-III</t>
    </r>
  </si>
  <si>
    <r>
      <t xml:space="preserve">armatura </t>
    </r>
    <r>
      <rPr>
        <b/>
        <sz val="11"/>
        <rFont val="Arial"/>
        <family val="2"/>
        <charset val="204"/>
      </rPr>
      <t>A-I</t>
    </r>
  </si>
  <si>
    <t>15-5-14</t>
  </si>
  <si>
    <t>bunebrivi qva fleTili</t>
  </si>
  <si>
    <t>15-5-6</t>
  </si>
  <si>
    <t xml:space="preserve">sayrdeni kedlis Tavze bazaltis filiT qudis mowyoba  </t>
  </si>
  <si>
    <t>bazaltis fila 30mm sisqis  (sigane 500mm)</t>
  </si>
  <si>
    <t xml:space="preserve">bazaltis fila 30mm sisqis </t>
  </si>
  <si>
    <t>7-58-4</t>
  </si>
  <si>
    <r>
      <t xml:space="preserve">liTonis moajiris mowyoba - rk.betonis kedelze Caankereba  </t>
    </r>
    <r>
      <rPr>
        <sz val="11"/>
        <rFont val="AcadNusx"/>
      </rPr>
      <t>(moc eskizis mixedviT)</t>
    </r>
  </si>
  <si>
    <t xml:space="preserve">liTonis moajiri </t>
  </si>
  <si>
    <t>4,1,190</t>
  </si>
  <si>
    <t>cementi- - 400</t>
  </si>
  <si>
    <r>
      <t>m</t>
    </r>
    <r>
      <rPr>
        <b/>
        <vertAlign val="superscript"/>
        <sz val="11"/>
        <rFont val="AcadNusx"/>
      </rPr>
      <t>2</t>
    </r>
  </si>
  <si>
    <t>trotuaris gamyoli arsebuli kedlebis reabilitacia</t>
  </si>
  <si>
    <r>
      <t xml:space="preserve">arsebuli sayrdeni kedlis gare zedapirebis mopirkeTeba bunebrivi fleTili qviT </t>
    </r>
    <r>
      <rPr>
        <sz val="11"/>
        <rFont val="AcadNusx"/>
      </rPr>
      <t>(arsebuli qviT mopirketebis mimsgavsebiT)</t>
    </r>
  </si>
  <si>
    <t>ukana mxridan cokolis mopirkeTeba bazaltis filiT</t>
  </si>
  <si>
    <t xml:space="preserve">wertilovasni saZirkvlis qvabulis mowyoba </t>
  </si>
  <si>
    <t>RorRis fenilis mowyoba wert saZirkvlis qveS</t>
  </si>
  <si>
    <t>6-1-2</t>
  </si>
  <si>
    <t>betonis wertilovani saZirkvlis mowyoba boZkintebis Casaankereblad</t>
  </si>
  <si>
    <t>betoni b.25</t>
  </si>
  <si>
    <t>sayalibe fari  25mm</t>
  </si>
  <si>
    <t>5,1,1</t>
  </si>
  <si>
    <t>6-9-1</t>
  </si>
  <si>
    <r>
      <t xml:space="preserve">ankeri    </t>
    </r>
    <r>
      <rPr>
        <sz val="11"/>
        <rFont val="Calibri"/>
        <family val="2"/>
        <charset val="204"/>
        <scheme val="minor"/>
      </rPr>
      <t>d-12   L=150</t>
    </r>
  </si>
  <si>
    <r>
      <t xml:space="preserve">foladis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>=6mm</t>
    </r>
  </si>
  <si>
    <t>boZkintis SeRebva antikoroziuli zeTis saRebaviT</t>
  </si>
  <si>
    <t>4,2,42</t>
  </si>
  <si>
    <t>antikotoziuli zeTis saRebavi</t>
  </si>
  <si>
    <r>
      <rPr>
        <sz val="11"/>
        <color rgb="FFFF0000"/>
        <rFont val="AcadNusx"/>
      </rPr>
      <t>ტროტუარის ფართი + პანდუსი = 1336,8 მ2
სავალი ნაწილის ფართი = 749 მ2
ანაკრები ბორდიური = 350 გ/მ</t>
    </r>
    <r>
      <rPr>
        <sz val="11"/>
        <rFont val="AcadNusx"/>
      </rPr>
      <t xml:space="preserve">
</t>
    </r>
    <r>
      <rPr>
        <sz val="11"/>
        <color rgb="FFFF0000"/>
        <rFont val="AcadNusx"/>
      </rPr>
      <t>სკამი = 13 ც
ნაგვის ურნა  = 13ც
ბაზ.ქუდი = 323,0 გ/მ</t>
    </r>
    <r>
      <rPr>
        <sz val="11"/>
        <rFont val="AcadNusx"/>
      </rPr>
      <t xml:space="preserve">
ლამპიონი = 32 ც
</t>
    </r>
    <r>
      <rPr>
        <sz val="11"/>
        <color rgb="FFFF0000"/>
        <rFont val="AcadNusx"/>
      </rPr>
      <t>მოაჯირი - 303,0 გ/მ</t>
    </r>
    <r>
      <rPr>
        <sz val="11"/>
        <rFont val="AcadNusx"/>
      </rPr>
      <t xml:space="preserve">
</t>
    </r>
    <r>
      <rPr>
        <sz val="11"/>
        <color rgb="FFFF0000"/>
        <rFont val="AcadNusx"/>
      </rPr>
      <t>დეკორატიული ბოძკინტი = 5ც</t>
    </r>
    <r>
      <rPr>
        <sz val="11"/>
        <rFont val="AcadNusx"/>
      </rPr>
      <t xml:space="preserve">
დისტანციური მართვის ბოლარდი = 6ც
კედლის სანათი =36ც</t>
    </r>
  </si>
  <si>
    <t xml:space="preserve">liTonis dekoratiuli boZkintebis montaJi Caankereba </t>
  </si>
  <si>
    <t>dekoratiuli bozkinti (ix.eskizi)</t>
  </si>
  <si>
    <t>kolonebis tavze bazaltis qudi                                              303g/m  kedeli 20g/m kolonebi</t>
  </si>
  <si>
    <t>komisariatis mimdebare teritoriis ketilmowyoba</t>
  </si>
  <si>
    <t>teritoriis dasufTaveba,  narCenebis Segroveba, gamotana,                 avtoTviTmclelze dasatvirTavad</t>
  </si>
  <si>
    <t>15-5-9</t>
  </si>
  <si>
    <t>filis, kibeebisa da cokolis mopirketeba bunebrivi bazaltis filiT 30mm sisqis</t>
  </si>
  <si>
    <t>bunebrivi bazaltis fila,  30mm sisqis</t>
  </si>
  <si>
    <t>bunebrivi bazaltis bordiuris montaJi  150*300  (dawvenili)</t>
  </si>
  <si>
    <t>liTonis dekoratiuli WiSkrebis damzadeba da montaJi</t>
  </si>
  <si>
    <t>#1</t>
  </si>
  <si>
    <t>#2</t>
  </si>
  <si>
    <r>
      <t>კონტაქტორი</t>
    </r>
    <r>
      <rPr>
        <sz val="10"/>
        <rFont val="Calibri"/>
        <family val="2"/>
        <charset val="204"/>
        <scheme val="minor"/>
      </rPr>
      <t xml:space="preserve"> , 3P, 40 A</t>
    </r>
  </si>
  <si>
    <t>დისტანციური მართვის ბოლარდი</t>
  </si>
  <si>
    <t>3500$  montaJiT</t>
  </si>
  <si>
    <t>5+4</t>
  </si>
  <si>
    <t>liTonis dekoratiuli WiSkrebis damzadeba, montaJi</t>
  </si>
  <si>
    <t>qvabulis molwyoba liTonis dekoratiuli WiSkrebis dgarebis wertilovani saZirkvlis mosawyobad</t>
  </si>
  <si>
    <t>6-1-5</t>
  </si>
  <si>
    <t>rk.betonis wertilovani saZirkvlebis mowyoba liTonis dgarebis Casabetoneblad</t>
  </si>
  <si>
    <t>8-4-7</t>
  </si>
  <si>
    <t>rk betonis kedlis gidroizolacia</t>
  </si>
  <si>
    <t>mastika bitumis</t>
  </si>
  <si>
    <t>gruntis ukuCayra</t>
  </si>
  <si>
    <t>liT kv mili 100*100*3</t>
  </si>
  <si>
    <t>16</t>
  </si>
  <si>
    <r>
      <t xml:space="preserve">dekoratiuli lampioni, ledi sanaTiT </t>
    </r>
    <r>
      <rPr>
        <sz val="11"/>
        <rFont val="Calibri"/>
        <family val="2"/>
        <charset val="204"/>
        <scheme val="minor"/>
      </rPr>
      <t xml:space="preserve">LED 50w </t>
    </r>
    <r>
      <rPr>
        <sz val="11"/>
        <rFont val="AcadNusx"/>
      </rPr>
      <t xml:space="preserve">                </t>
    </r>
    <r>
      <rPr>
        <sz val="11"/>
        <color rgb="FFFF0000"/>
        <rFont val="AcadNusx"/>
      </rPr>
      <t xml:space="preserve">(ix. eskizi) </t>
    </r>
    <r>
      <rPr>
        <sz val="11"/>
        <rFont val="AcadNusx"/>
      </rPr>
      <t xml:space="preserve">        </t>
    </r>
  </si>
  <si>
    <t>qarTuli anbanis asoebis amoWriT</t>
  </si>
  <si>
    <t>#1 1c*1 +  #2 1c*2  + #3 1c*2 + #4 1c*3 +        #5 2c*3 + #6 2c*3 + #7 2c*3 + #8 2c*3 =32wert</t>
  </si>
  <si>
    <t>boZkintebis Caankereba betonis wertilovan saZirkvelSi (9c)</t>
  </si>
  <si>
    <t>arsebuli dazianebuli bazaltis filiT mopirkeTebis demontaji</t>
  </si>
  <si>
    <t xml:space="preserve">filiT mopirkeTebis qveS betonis safuZvlis demontaJi </t>
  </si>
  <si>
    <t xml:space="preserve">გეგმიური დაგროვება </t>
  </si>
  <si>
    <r>
      <t>amomrTveli avtomati ;
250v/16a ; erTpolusa                             კლასი</t>
    </r>
    <r>
      <rPr>
        <sz val="10"/>
        <rFont val="Calibri"/>
        <family val="2"/>
        <charset val="204"/>
        <scheme val="minor"/>
      </rPr>
      <t xml:space="preserve"> C,1P, 16A, 6kA</t>
    </r>
  </si>
  <si>
    <t>lk #1</t>
  </si>
  <si>
    <t>lk #4</t>
  </si>
  <si>
    <r>
      <t>minatebis sanaTi 250v 3,6vat modeli</t>
    </r>
    <r>
      <rPr>
        <sz val="11"/>
        <rFont val="Calibri"/>
        <family val="2"/>
        <charset val="204"/>
        <scheme val="minor"/>
      </rPr>
      <t xml:space="preserve"> H1121</t>
    </r>
    <r>
      <rPr>
        <sz val="11"/>
        <color rgb="FFFF0000"/>
        <rFont val="AcadNusx"/>
      </rPr>
      <t xml:space="preserve">A(ix. eskizi)  </t>
    </r>
  </si>
  <si>
    <t>lk #2</t>
  </si>
  <si>
    <t>lokaluri ხ ა რ ჯ თ ა ღ რ ი ც ვ ხ ვ ა #2</t>
  </si>
  <si>
    <t>lokaluri ხ ა რ ჯ თ ა ღ რ ი ც ვ ხ ვ ა #4</t>
  </si>
  <si>
    <t>lokaluri ხ ა რ ჯ თ ა ღ რ ი ც ვ ხ ვ ა #1</t>
  </si>
  <si>
    <t>lk #3</t>
  </si>
  <si>
    <t>saproeqto teritoriaze demontaJis samuSaoebi</t>
  </si>
  <si>
    <t xml:space="preserve">betoni b.25 </t>
  </si>
  <si>
    <t>სამუშაოების ღირებულება არ უნდა აღემატებოდეს 1 076 091 ლარს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</si>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</sst>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_(* #,##0.00_);_(* \(#,##0.00\);_(* &quot;-&quot;??_);_(@_)"/>
    <numFmt numFmtId="166" formatCode="_-* #,##0.00\ _L_a_r_i_-;\-* #,##0.00\ _L_a_r_i_-;_-* &quot;-&quot;??\ _L_a_r_i_-;_-@_-"/>
    <numFmt numFmtId="167" formatCode="0.0"/>
    <numFmt numFmtId="168" formatCode="0.000"/>
    <numFmt numFmtId="169" formatCode="_-* #,##0.00_р_._-;\-* #,##0.00_р_._-;_-* &quot;-&quot;??_р_._-;_-@_-"/>
    <numFmt numFmtId="170" formatCode="_-* #,##0.000_-;\-* #,##0.000_-;_-* &quot;-&quot;??_-;_-@_-"/>
    <numFmt numFmtId="171" formatCode="_-* #,##0.0000_-;\-* #,##0.0000_-;_-* &quot;-&quot;??_-;_-@_-"/>
    <numFmt numFmtId="172" formatCode="0.0000"/>
    <numFmt numFmtId="173" formatCode="_-* #,##0.000\ _₾_-;\-* #,##0.000\ _₾_-;_-* &quot;-&quot;??\ _₾_-;_-@_-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b/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AcadNusx"/>
    </font>
    <font>
      <sz val="11"/>
      <color rgb="FFFF0000"/>
      <name val="AcadNusx"/>
    </font>
    <font>
      <sz val="11"/>
      <color rgb="FF000000"/>
      <name val="AcadNusx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b/>
      <sz val="14"/>
      <color rgb="FF0000FF"/>
      <name val="AcadNusx"/>
    </font>
    <font>
      <sz val="12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0"/>
      <color rgb="FF000000"/>
      <name val="AcadNusx"/>
    </font>
    <font>
      <b/>
      <sz val="10"/>
      <color rgb="FF000000"/>
      <name val="AcadNusx"/>
    </font>
    <font>
      <b/>
      <sz val="11"/>
      <color rgb="FF000000"/>
      <name val="AcadNusx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Times New Roman"/>
      <family val="1"/>
      <charset val="204"/>
    </font>
    <font>
      <sz val="11"/>
      <name val="Calibri"/>
      <family val="2"/>
    </font>
    <font>
      <b/>
      <vertAlign val="superscript"/>
      <sz val="11"/>
      <name val="AcadNusx"/>
    </font>
    <font>
      <vertAlign val="superscript"/>
      <sz val="11"/>
      <name val="AcadNusx"/>
    </font>
    <font>
      <sz val="10"/>
      <color rgb="FFFF0000"/>
      <name val="AcadNusx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08">
    <xf numFmtId="0" fontId="0" fillId="0" borderId="0"/>
    <xf numFmtId="0" fontId="10" fillId="0" borderId="0"/>
    <xf numFmtId="0" fontId="16" fillId="0" borderId="0"/>
    <xf numFmtId="0" fontId="18" fillId="0" borderId="0"/>
    <xf numFmtId="0" fontId="20" fillId="0" borderId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4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4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44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165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57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58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5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7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8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9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51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35" fillId="0" borderId="0"/>
    <xf numFmtId="0" fontId="20" fillId="0" borderId="0"/>
    <xf numFmtId="0" fontId="59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60" fillId="0" borderId="0"/>
    <xf numFmtId="0" fontId="16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6" fillId="0" borderId="0"/>
    <xf numFmtId="0" fontId="58" fillId="0" borderId="0"/>
    <xf numFmtId="0" fontId="16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53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7" fillId="0" borderId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0" fillId="0" borderId="0"/>
    <xf numFmtId="0" fontId="20" fillId="0" borderId="0"/>
    <xf numFmtId="0" fontId="16" fillId="0" borderId="0"/>
    <xf numFmtId="0" fontId="16" fillId="0" borderId="0"/>
    <xf numFmtId="0" fontId="58" fillId="0" borderId="0"/>
    <xf numFmtId="0" fontId="2" fillId="0" borderId="0"/>
    <xf numFmtId="0" fontId="2" fillId="0" borderId="0"/>
    <xf numFmtId="0" fontId="16" fillId="0" borderId="0"/>
    <xf numFmtId="0" fontId="62" fillId="3" borderId="0" applyNumberFormat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6" fontId="9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20" fillId="0" borderId="0"/>
  </cellStyleXfs>
  <cellXfs count="489">
    <xf numFmtId="0" fontId="0" fillId="0" borderId="0" xfId="0"/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19" fillId="29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903" applyNumberFormat="1" applyFont="1" applyFill="1" applyBorder="1" applyAlignment="1">
      <alignment horizontal="center" vertical="center" wrapText="1"/>
    </xf>
    <xf numFmtId="2" fontId="11" fillId="0" borderId="1" xfId="904" applyNumberFormat="1" applyFont="1" applyFill="1" applyBorder="1" applyAlignment="1">
      <alignment horizontal="center" vertical="center" wrapText="1"/>
    </xf>
    <xf numFmtId="2" fontId="11" fillId="0" borderId="1" xfId="901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49" fontId="63" fillId="27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63" fillId="0" borderId="1" xfId="901" applyNumberFormat="1" applyFont="1" applyFill="1" applyBorder="1" applyAlignment="1">
      <alignment horizontal="center" vertical="center" wrapText="1"/>
    </xf>
    <xf numFmtId="2" fontId="11" fillId="0" borderId="1" xfId="901" applyNumberFormat="1" applyFont="1" applyFill="1" applyBorder="1" applyAlignment="1">
      <alignment horizontal="center" vertical="center" wrapText="1"/>
    </xf>
    <xf numFmtId="49" fontId="11" fillId="0" borderId="1" xfId="901" applyNumberFormat="1" applyFont="1" applyFill="1" applyBorder="1" applyAlignment="1">
      <alignment horizontal="left" vertical="center" wrapText="1"/>
    </xf>
    <xf numFmtId="0" fontId="7" fillId="0" borderId="1" xfId="901" applyNumberFormat="1" applyFont="1" applyFill="1" applyBorder="1" applyAlignment="1">
      <alignment horizontal="center" vertical="center" wrapText="1"/>
    </xf>
    <xf numFmtId="0" fontId="11" fillId="0" borderId="1" xfId="901" applyNumberFormat="1" applyFont="1" applyFill="1" applyBorder="1" applyAlignment="1">
      <alignment horizontal="center" vertical="center" wrapText="1"/>
    </xf>
    <xf numFmtId="49" fontId="19" fillId="0" borderId="1" xfId="901" applyNumberFormat="1" applyFont="1" applyFill="1" applyBorder="1" applyAlignment="1">
      <alignment horizontal="left" vertical="center" wrapText="1"/>
    </xf>
    <xf numFmtId="0" fontId="19" fillId="0" borderId="1" xfId="901" applyNumberFormat="1" applyFont="1" applyFill="1" applyBorder="1" applyAlignment="1">
      <alignment horizontal="center" vertical="center" wrapText="1"/>
    </xf>
    <xf numFmtId="49" fontId="11" fillId="0" borderId="1" xfId="901" applyNumberFormat="1" applyFont="1" applyFill="1" applyBorder="1" applyAlignment="1">
      <alignment vertical="center" wrapText="1"/>
    </xf>
    <xf numFmtId="2" fontId="11" fillId="0" borderId="16" xfId="901" applyNumberFormat="1" applyFont="1" applyFill="1" applyBorder="1" applyAlignment="1">
      <alignment horizontal="center" vertical="center" wrapText="1"/>
    </xf>
    <xf numFmtId="2" fontId="12" fillId="0" borderId="1" xfId="901" applyNumberFormat="1" applyFont="1" applyFill="1" applyBorder="1" applyAlignment="1">
      <alignment horizontal="center" vertical="center" wrapText="1"/>
    </xf>
    <xf numFmtId="0" fontId="11" fillId="0" borderId="1" xfId="68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901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1" fillId="28" borderId="1" xfId="900" applyNumberFormat="1" applyFont="1" applyFill="1" applyBorder="1" applyAlignment="1">
      <alignment horizontal="center" vertical="center" wrapText="1"/>
    </xf>
    <xf numFmtId="0" fontId="19" fillId="0" borderId="1" xfId="633" applyNumberFormat="1" applyFont="1" applyFill="1" applyBorder="1" applyAlignment="1">
      <alignment horizontal="center" vertical="center" wrapText="1"/>
    </xf>
    <xf numFmtId="0" fontId="19" fillId="2" borderId="1" xfId="646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2" fontId="19" fillId="2" borderId="1" xfId="903" applyNumberFormat="1" applyFont="1" applyFill="1" applyBorder="1" applyAlignment="1">
      <alignment horizontal="center" vertical="center" wrapText="1"/>
    </xf>
    <xf numFmtId="2" fontId="19" fillId="2" borderId="1" xfId="904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49" fontId="63" fillId="0" borderId="1" xfId="906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7" fillId="0" borderId="1" xfId="870" applyNumberFormat="1" applyFont="1" applyFill="1" applyBorder="1" applyAlignment="1">
      <alignment horizontal="center" vertical="center" wrapText="1"/>
    </xf>
    <xf numFmtId="49" fontId="11" fillId="0" borderId="1" xfId="870" applyNumberFormat="1" applyFont="1" applyFill="1" applyBorder="1" applyAlignment="1">
      <alignment horizontal="left" vertical="center" wrapText="1"/>
    </xf>
    <xf numFmtId="0" fontId="11" fillId="0" borderId="1" xfId="87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67" fillId="0" borderId="1" xfId="0" applyNumberFormat="1" applyFont="1" applyFill="1" applyBorder="1" applyAlignment="1">
      <alignment horizontal="center" vertical="center" wrapText="1"/>
    </xf>
    <xf numFmtId="2" fontId="67" fillId="0" borderId="1" xfId="0" applyNumberFormat="1" applyFont="1" applyFill="1" applyBorder="1" applyAlignment="1">
      <alignment horizontal="center" vertical="center" wrapText="1"/>
    </xf>
    <xf numFmtId="2" fontId="67" fillId="0" borderId="1" xfId="903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/>
    </xf>
    <xf numFmtId="0" fontId="11" fillId="0" borderId="1" xfId="901" applyNumberFormat="1" applyFont="1" applyFill="1" applyBorder="1" applyAlignment="1">
      <alignment horizontal="center" vertical="center"/>
    </xf>
    <xf numFmtId="49" fontId="71" fillId="0" borderId="1" xfId="901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 applyProtection="1">
      <alignment horizontal="center" vertical="center" wrapText="1"/>
    </xf>
    <xf numFmtId="0" fontId="72" fillId="0" borderId="1" xfId="901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2" fontId="13" fillId="26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63" fillId="2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2" fontId="11" fillId="0" borderId="1" xfId="899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49" fontId="76" fillId="0" borderId="0" xfId="0" applyNumberFormat="1" applyFont="1" applyFill="1" applyAlignment="1">
      <alignment horizontal="center" vertical="center"/>
    </xf>
    <xf numFmtId="0" fontId="19" fillId="0" borderId="1" xfId="901" applyNumberFormat="1" applyFont="1" applyFill="1" applyBorder="1" applyAlignment="1" applyProtection="1">
      <alignment horizontal="center" vertical="center" wrapText="1"/>
    </xf>
    <xf numFmtId="49" fontId="63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49" fontId="63" fillId="0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49" fontId="79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7" fillId="27" borderId="1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vertical="center" wrapText="1"/>
    </xf>
    <xf numFmtId="2" fontId="19" fillId="0" borderId="1" xfId="901" applyNumberFormat="1" applyFont="1" applyFill="1" applyBorder="1" applyAlignment="1">
      <alignment horizontal="center" vertical="center" wrapText="1"/>
    </xf>
    <xf numFmtId="49" fontId="19" fillId="0" borderId="1" xfId="681" applyNumberFormat="1" applyFont="1" applyFill="1" applyBorder="1" applyAlignment="1">
      <alignment horizontal="left" vertical="center" wrapText="1"/>
    </xf>
    <xf numFmtId="0" fontId="11" fillId="0" borderId="1" xfId="633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11" fillId="0" borderId="1" xfId="633" applyNumberFormat="1" applyFont="1" applyFill="1" applyBorder="1" applyAlignment="1">
      <alignment horizontal="left" vertical="center" wrapText="1"/>
    </xf>
    <xf numFmtId="49" fontId="19" fillId="0" borderId="1" xfId="633" applyNumberFormat="1" applyFont="1" applyFill="1" applyBorder="1" applyAlignment="1">
      <alignment horizontal="left" vertical="center" wrapText="1"/>
    </xf>
    <xf numFmtId="49" fontId="63" fillId="0" borderId="1" xfId="633" applyNumberFormat="1" applyFont="1" applyFill="1" applyBorder="1" applyAlignment="1">
      <alignment horizontal="center" vertical="center" wrapText="1"/>
    </xf>
    <xf numFmtId="0" fontId="11" fillId="0" borderId="16" xfId="633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7" fillId="30" borderId="1" xfId="0" applyNumberFormat="1" applyFont="1" applyFill="1" applyBorder="1" applyAlignment="1">
      <alignment horizontal="center" vertical="center" wrapText="1"/>
    </xf>
    <xf numFmtId="49" fontId="19" fillId="30" borderId="1" xfId="0" applyNumberFormat="1" applyFont="1" applyFill="1" applyBorder="1" applyAlignment="1">
      <alignment horizontal="center" vertical="center" wrapText="1"/>
    </xf>
    <xf numFmtId="49" fontId="63" fillId="30" borderId="1" xfId="0" applyNumberFormat="1" applyFont="1" applyFill="1" applyBorder="1" applyAlignment="1">
      <alignment horizontal="center" vertical="center" wrapText="1"/>
    </xf>
    <xf numFmtId="0" fontId="19" fillId="3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49" fontId="19" fillId="0" borderId="1" xfId="1" applyNumberFormat="1" applyFont="1" applyFill="1" applyBorder="1" applyAlignment="1" applyProtection="1">
      <alignment vertical="center" wrapText="1"/>
    </xf>
    <xf numFmtId="49" fontId="19" fillId="0" borderId="1" xfId="0" applyNumberFormat="1" applyFont="1" applyFill="1" applyBorder="1" applyAlignment="1" applyProtection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7" fillId="0" borderId="1" xfId="654" applyNumberFormat="1" applyFont="1" applyFill="1" applyBorder="1" applyAlignment="1">
      <alignment horizontal="center" vertical="center" wrapText="1"/>
    </xf>
    <xf numFmtId="49" fontId="63" fillId="0" borderId="1" xfId="654" applyNumberFormat="1" applyFont="1" applyFill="1" applyBorder="1" applyAlignment="1">
      <alignment horizontal="center" vertical="center" wrapText="1"/>
    </xf>
    <xf numFmtId="0" fontId="11" fillId="0" borderId="1" xfId="654" applyNumberFormat="1" applyFont="1" applyFill="1" applyBorder="1" applyAlignment="1">
      <alignment horizontal="center" vertical="center" wrapText="1"/>
    </xf>
    <xf numFmtId="49" fontId="19" fillId="0" borderId="1" xfId="902" applyNumberFormat="1" applyFont="1" applyFill="1" applyBorder="1" applyAlignment="1">
      <alignment horizontal="left" vertical="center" wrapText="1"/>
    </xf>
    <xf numFmtId="49" fontId="11" fillId="0" borderId="1" xfId="90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1" fillId="0" borderId="16" xfId="633" applyNumberFormat="1" applyFont="1" applyFill="1" applyBorder="1" applyAlignment="1">
      <alignment horizontal="left" vertical="center" wrapText="1"/>
    </xf>
    <xf numFmtId="0" fontId="63" fillId="27" borderId="1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left" vertical="center" wrapText="1"/>
    </xf>
    <xf numFmtId="0" fontId="7" fillId="27" borderId="1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left" vertical="center" wrapText="1"/>
    </xf>
    <xf numFmtId="0" fontId="7" fillId="27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1" fillId="0" borderId="1" xfId="3" applyNumberFormat="1" applyFont="1" applyFill="1" applyBorder="1" applyAlignment="1">
      <alignment vertical="top" wrapText="1"/>
    </xf>
    <xf numFmtId="49" fontId="7" fillId="0" borderId="1" xfId="901" applyNumberFormat="1" applyFont="1" applyFill="1" applyBorder="1" applyAlignment="1">
      <alignment horizontal="left" vertical="center" wrapText="1"/>
    </xf>
    <xf numFmtId="49" fontId="11" fillId="0" borderId="1" xfId="901" applyNumberFormat="1" applyFont="1" applyFill="1" applyBorder="1" applyAlignment="1">
      <alignment horizontal="left" vertical="top" wrapText="1"/>
    </xf>
    <xf numFmtId="49" fontId="11" fillId="0" borderId="1" xfId="681" applyNumberFormat="1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 wrapText="1"/>
    </xf>
    <xf numFmtId="49" fontId="75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9" fillId="26" borderId="1" xfId="0" applyNumberFormat="1" applyFont="1" applyFill="1" applyBorder="1" applyAlignment="1">
      <alignment vertical="center" wrapText="1"/>
    </xf>
    <xf numFmtId="0" fontId="19" fillId="26" borderId="1" xfId="0" applyNumberFormat="1" applyFont="1" applyFill="1" applyBorder="1" applyAlignment="1">
      <alignment horizontal="center" vertical="center" wrapText="1"/>
    </xf>
    <xf numFmtId="49" fontId="7" fillId="28" borderId="1" xfId="900" applyNumberFormat="1" applyFont="1" applyFill="1" applyBorder="1" applyAlignment="1">
      <alignment horizontal="center" vertical="center" wrapText="1"/>
    </xf>
    <xf numFmtId="49" fontId="19" fillId="28" borderId="1" xfId="900" applyNumberFormat="1" applyFont="1" applyFill="1" applyBorder="1" applyAlignment="1">
      <alignment horizontal="center" vertical="center" wrapText="1"/>
    </xf>
    <xf numFmtId="49" fontId="63" fillId="28" borderId="1" xfId="900" applyNumberFormat="1" applyFont="1" applyFill="1" applyBorder="1" applyAlignment="1">
      <alignment horizontal="center" vertical="center" wrapText="1"/>
    </xf>
    <xf numFmtId="49" fontId="63" fillId="0" borderId="1" xfId="902" applyNumberFormat="1" applyFont="1" applyFill="1" applyBorder="1" applyAlignment="1">
      <alignment horizontal="center" vertical="center" wrapText="1"/>
    </xf>
    <xf numFmtId="0" fontId="11" fillId="0" borderId="1" xfId="902" applyNumberFormat="1" applyFont="1" applyFill="1" applyBorder="1" applyAlignment="1">
      <alignment horizontal="center" vertical="center" wrapText="1"/>
    </xf>
    <xf numFmtId="49" fontId="7" fillId="0" borderId="1" xfId="902" applyNumberFormat="1" applyFont="1" applyFill="1" applyBorder="1" applyAlignment="1">
      <alignment horizontal="center" vertical="center" wrapText="1"/>
    </xf>
    <xf numFmtId="49" fontId="19" fillId="0" borderId="1" xfId="654" applyNumberFormat="1" applyFont="1" applyFill="1" applyBorder="1" applyAlignment="1">
      <alignment horizontal="left" vertical="center" wrapText="1"/>
    </xf>
    <xf numFmtId="49" fontId="63" fillId="0" borderId="1" xfId="735" applyNumberFormat="1" applyFont="1" applyFill="1" applyBorder="1" applyAlignment="1">
      <alignment horizontal="center" vertical="center" wrapText="1"/>
    </xf>
    <xf numFmtId="49" fontId="19" fillId="0" borderId="1" xfId="735" applyNumberFormat="1" applyFont="1" applyFill="1" applyBorder="1" applyAlignment="1">
      <alignment horizontal="left" vertical="center" wrapText="1"/>
    </xf>
    <xf numFmtId="0" fontId="11" fillId="0" borderId="1" xfId="735" applyNumberFormat="1" applyFont="1" applyFill="1" applyBorder="1" applyAlignment="1">
      <alignment horizontal="center" vertical="center" wrapText="1"/>
    </xf>
    <xf numFmtId="49" fontId="7" fillId="0" borderId="1" xfId="735" applyNumberFormat="1" applyFont="1" applyFill="1" applyBorder="1" applyAlignment="1">
      <alignment horizontal="center" vertical="center" wrapText="1"/>
    </xf>
    <xf numFmtId="49" fontId="11" fillId="0" borderId="1" xfId="735" applyNumberFormat="1" applyFont="1" applyFill="1" applyBorder="1" applyAlignment="1">
      <alignment horizontal="left" vertical="center" wrapText="1"/>
    </xf>
    <xf numFmtId="49" fontId="7" fillId="0" borderId="1" xfId="905" applyNumberFormat="1" applyFont="1" applyFill="1" applyBorder="1" applyAlignment="1">
      <alignment horizontal="center" vertical="center" wrapText="1"/>
    </xf>
    <xf numFmtId="49" fontId="11" fillId="0" borderId="1" xfId="905" applyNumberFormat="1" applyFont="1" applyFill="1" applyBorder="1" applyAlignment="1">
      <alignment horizontal="left" vertical="center" wrapText="1"/>
    </xf>
    <xf numFmtId="49" fontId="63" fillId="0" borderId="1" xfId="905" applyNumberFormat="1" applyFont="1" applyFill="1" applyBorder="1" applyAlignment="1">
      <alignment horizontal="center" vertical="center" wrapText="1"/>
    </xf>
    <xf numFmtId="0" fontId="11" fillId="0" borderId="1" xfId="905" applyNumberFormat="1" applyFont="1" applyFill="1" applyBorder="1" applyAlignment="1">
      <alignment horizontal="center" vertical="center" wrapText="1"/>
    </xf>
    <xf numFmtId="49" fontId="63" fillId="0" borderId="1" xfId="870" applyNumberFormat="1" applyFont="1" applyFill="1" applyBorder="1" applyAlignment="1">
      <alignment horizontal="center" vertical="center" wrapText="1"/>
    </xf>
    <xf numFmtId="49" fontId="19" fillId="0" borderId="1" xfId="870" applyNumberFormat="1" applyFont="1" applyFill="1" applyBorder="1" applyAlignment="1">
      <alignment horizontal="left" vertical="center" wrapText="1"/>
    </xf>
    <xf numFmtId="49" fontId="11" fillId="0" borderId="2" xfId="870" applyNumberFormat="1" applyFont="1" applyFill="1" applyBorder="1" applyAlignment="1">
      <alignment horizontal="left" vertical="center" wrapText="1"/>
    </xf>
    <xf numFmtId="49" fontId="7" fillId="0" borderId="2" xfId="870" applyNumberFormat="1" applyFont="1" applyFill="1" applyBorder="1" applyAlignment="1">
      <alignment horizontal="center" vertical="center" wrapText="1"/>
    </xf>
    <xf numFmtId="49" fontId="7" fillId="0" borderId="4" xfId="870" applyNumberFormat="1" applyFont="1" applyFill="1" applyBorder="1" applyAlignment="1">
      <alignment horizontal="center" vertical="center" wrapText="1"/>
    </xf>
    <xf numFmtId="49" fontId="63" fillId="2" borderId="1" xfId="646" applyNumberFormat="1" applyFont="1" applyFill="1" applyBorder="1" applyAlignment="1">
      <alignment horizontal="center" vertical="center" wrapText="1"/>
    </xf>
    <xf numFmtId="49" fontId="63" fillId="2" borderId="16" xfId="0" applyNumberFormat="1" applyFont="1" applyFill="1" applyBorder="1" applyAlignment="1">
      <alignment horizontal="center" vertical="center" wrapText="1"/>
    </xf>
    <xf numFmtId="49" fontId="63" fillId="2" borderId="14" xfId="0" applyNumberFormat="1" applyFont="1" applyFill="1" applyBorder="1" applyAlignment="1">
      <alignment horizontal="center" vertical="center" wrapText="1"/>
    </xf>
    <xf numFmtId="49" fontId="19" fillId="2" borderId="14" xfId="0" applyNumberFormat="1" applyFont="1" applyFill="1" applyBorder="1" applyAlignment="1">
      <alignment horizontal="center" vertical="center" wrapText="1"/>
    </xf>
    <xf numFmtId="0" fontId="19" fillId="2" borderId="14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center" vertical="center" wrapText="1"/>
    </xf>
    <xf numFmtId="49" fontId="7" fillId="28" borderId="2" xfId="900" applyNumberFormat="1" applyFont="1" applyFill="1" applyBorder="1" applyAlignment="1">
      <alignment horizontal="center" vertical="center" wrapText="1"/>
    </xf>
    <xf numFmtId="49" fontId="19" fillId="28" borderId="2" xfId="900" applyNumberFormat="1" applyFont="1" applyFill="1" applyBorder="1" applyAlignment="1">
      <alignment horizontal="center" vertical="center" wrapText="1"/>
    </xf>
    <xf numFmtId="49" fontId="63" fillId="28" borderId="2" xfId="900" applyNumberFormat="1" applyFont="1" applyFill="1" applyBorder="1" applyAlignment="1">
      <alignment horizontal="center" vertical="center" wrapText="1"/>
    </xf>
    <xf numFmtId="0" fontId="11" fillId="28" borderId="2" xfId="900" applyNumberFormat="1" applyFont="1" applyFill="1" applyBorder="1" applyAlignment="1">
      <alignment horizontal="center" vertical="center" wrapText="1"/>
    </xf>
    <xf numFmtId="2" fontId="11" fillId="0" borderId="2" xfId="903" applyNumberFormat="1" applyFont="1" applyFill="1" applyBorder="1" applyAlignment="1">
      <alignment horizontal="center" vertical="center" wrapText="1"/>
    </xf>
    <xf numFmtId="2" fontId="11" fillId="0" borderId="2" xfId="904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wrapText="1"/>
    </xf>
    <xf numFmtId="49" fontId="79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9" fillId="0" borderId="1" xfId="654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3" fillId="26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9" fontId="63" fillId="0" borderId="1" xfId="2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11" fillId="0" borderId="16" xfId="654" applyNumberFormat="1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9" fillId="31" borderId="1" xfId="0" applyNumberFormat="1" applyFont="1" applyFill="1" applyBorder="1" applyAlignment="1">
      <alignment horizontal="center" vertical="center" wrapText="1"/>
    </xf>
    <xf numFmtId="0" fontId="19" fillId="0" borderId="1" xfId="902" applyNumberFormat="1" applyFont="1" applyFill="1" applyBorder="1" applyAlignment="1">
      <alignment horizontal="center" vertical="center" wrapText="1"/>
    </xf>
    <xf numFmtId="0" fontId="19" fillId="0" borderId="1" xfId="735" applyNumberFormat="1" applyFont="1" applyFill="1" applyBorder="1" applyAlignment="1">
      <alignment horizontal="center" vertical="center" wrapText="1"/>
    </xf>
    <xf numFmtId="0" fontId="19" fillId="0" borderId="1" xfId="87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19" fillId="26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11" fillId="27" borderId="1" xfId="0" applyNumberFormat="1" applyFont="1" applyFill="1" applyBorder="1" applyAlignment="1">
      <alignment horizontal="center" vertical="center" wrapText="1"/>
    </xf>
    <xf numFmtId="0" fontId="11" fillId="27" borderId="16" xfId="0" applyNumberFormat="1" applyFont="1" applyFill="1" applyBorder="1" applyAlignment="1">
      <alignment horizontal="center" vertical="center" wrapText="1"/>
    </xf>
    <xf numFmtId="0" fontId="7" fillId="0" borderId="1" xfId="902" applyNumberFormat="1" applyFont="1" applyFill="1" applyBorder="1" applyAlignment="1">
      <alignment horizontal="center" vertical="center" wrapText="1"/>
    </xf>
    <xf numFmtId="49" fontId="19" fillId="0" borderId="1" xfId="646" applyNumberFormat="1" applyFont="1" applyBorder="1" applyAlignment="1">
      <alignment horizontal="center" vertical="center" wrapText="1"/>
    </xf>
    <xf numFmtId="0" fontId="7" fillId="0" borderId="1" xfId="870" applyNumberFormat="1" applyFont="1" applyFill="1" applyBorder="1" applyAlignment="1">
      <alignment horizontal="center" vertical="center" wrapText="1"/>
    </xf>
    <xf numFmtId="0" fontId="63" fillId="0" borderId="1" xfId="901" applyNumberFormat="1" applyFont="1" applyFill="1" applyBorder="1" applyAlignment="1">
      <alignment horizontal="center" vertical="center"/>
    </xf>
    <xf numFmtId="0" fontId="7" fillId="0" borderId="1" xfId="901" applyNumberFormat="1" applyFont="1" applyFill="1" applyBorder="1" applyAlignment="1">
      <alignment horizontal="center" vertical="center"/>
    </xf>
    <xf numFmtId="0" fontId="71" fillId="0" borderId="1" xfId="90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 applyProtection="1">
      <alignment horizontal="center" vertical="center" wrapText="1"/>
    </xf>
    <xf numFmtId="0" fontId="63" fillId="0" borderId="1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0" fontId="8" fillId="27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7" fillId="0" borderId="15" xfId="901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9" fillId="2" borderId="1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7" borderId="16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49" fontId="11" fillId="27" borderId="1" xfId="0" applyNumberFormat="1" applyFont="1" applyFill="1" applyBorder="1" applyAlignment="1">
      <alignment horizontal="left" vertical="center" wrapText="1"/>
    </xf>
    <xf numFmtId="49" fontId="7" fillId="27" borderId="1" xfId="0" applyNumberFormat="1" applyFont="1" applyFill="1" applyBorder="1" applyAlignment="1">
      <alignment horizontal="center" vertical="center"/>
    </xf>
    <xf numFmtId="0" fontId="7" fillId="27" borderId="16" xfId="0" applyNumberFormat="1" applyFont="1" applyFill="1" applyBorder="1" applyAlignment="1">
      <alignment horizontal="center" vertical="center"/>
    </xf>
    <xf numFmtId="49" fontId="8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2" fontId="68" fillId="0" borderId="4" xfId="0" applyNumberFormat="1" applyFont="1" applyBorder="1" applyAlignment="1">
      <alignment horizontal="center" vertical="center" wrapText="1"/>
    </xf>
    <xf numFmtId="2" fontId="68" fillId="0" borderId="14" xfId="0" applyNumberFormat="1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9" fontId="13" fillId="32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right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Border="1" applyAlignment="1">
      <alignment horizontal="center" vertical="center" wrapText="1"/>
    </xf>
    <xf numFmtId="49" fontId="84" fillId="0" borderId="4" xfId="0" applyNumberFormat="1" applyFont="1" applyBorder="1" applyAlignment="1">
      <alignment horizontal="center" vertical="center" wrapText="1"/>
    </xf>
    <xf numFmtId="49" fontId="68" fillId="0" borderId="4" xfId="0" applyNumberFormat="1" applyFont="1" applyBorder="1" applyAlignment="1">
      <alignment horizontal="center" vertical="center" wrapText="1"/>
    </xf>
    <xf numFmtId="49" fontId="83" fillId="0" borderId="4" xfId="0" applyNumberFormat="1" applyFont="1" applyBorder="1" applyAlignment="1">
      <alignment horizontal="center" vertical="center" wrapText="1"/>
    </xf>
    <xf numFmtId="0" fontId="83" fillId="0" borderId="4" xfId="0" applyNumberFormat="1" applyFont="1" applyBorder="1" applyAlignment="1">
      <alignment horizontal="center" vertical="center" wrapText="1"/>
    </xf>
    <xf numFmtId="0" fontId="85" fillId="32" borderId="4" xfId="0" applyNumberFormat="1" applyFont="1" applyFill="1" applyBorder="1" applyAlignment="1">
      <alignment horizontal="center" vertical="center" wrapText="1"/>
    </xf>
    <xf numFmtId="49" fontId="83" fillId="0" borderId="16" xfId="0" applyNumberFormat="1" applyFont="1" applyBorder="1" applyAlignment="1">
      <alignment horizontal="center" vertical="center" wrapText="1"/>
    </xf>
    <xf numFmtId="49" fontId="84" fillId="0" borderId="14" xfId="0" applyNumberFormat="1" applyFont="1" applyBorder="1" applyAlignment="1">
      <alignment horizontal="center" vertical="center" wrapText="1"/>
    </xf>
    <xf numFmtId="49" fontId="83" fillId="0" borderId="14" xfId="0" applyNumberFormat="1" applyFont="1" applyBorder="1" applyAlignment="1">
      <alignment horizontal="center" vertical="center" wrapText="1"/>
    </xf>
    <xf numFmtId="0" fontId="83" fillId="0" borderId="14" xfId="0" applyNumberFormat="1" applyFont="1" applyBorder="1" applyAlignment="1">
      <alignment horizontal="center" vertical="center" wrapText="1"/>
    </xf>
    <xf numFmtId="0" fontId="85" fillId="0" borderId="14" xfId="0" applyNumberFormat="1" applyFont="1" applyFill="1" applyBorder="1" applyAlignment="1">
      <alignment horizontal="center" vertical="center" wrapText="1"/>
    </xf>
    <xf numFmtId="49" fontId="68" fillId="0" borderId="14" xfId="0" applyNumberFormat="1" applyFont="1" applyBorder="1" applyAlignment="1">
      <alignment horizontal="center" vertical="center" wrapText="1"/>
    </xf>
    <xf numFmtId="0" fontId="85" fillId="32" borderId="14" xfId="0" applyNumberFormat="1" applyFont="1" applyFill="1" applyBorder="1" applyAlignment="1">
      <alignment horizontal="center" vertical="center" wrapText="1"/>
    </xf>
    <xf numFmtId="49" fontId="83" fillId="31" borderId="16" xfId="0" applyNumberFormat="1" applyFont="1" applyFill="1" applyBorder="1" applyAlignment="1">
      <alignment horizontal="center" vertical="center" wrapText="1"/>
    </xf>
    <xf numFmtId="49" fontId="84" fillId="31" borderId="14" xfId="0" applyNumberFormat="1" applyFont="1" applyFill="1" applyBorder="1" applyAlignment="1">
      <alignment horizontal="center" vertical="center" wrapText="1"/>
    </xf>
    <xf numFmtId="49" fontId="13" fillId="31" borderId="1" xfId="0" applyNumberFormat="1" applyFont="1" applyFill="1" applyBorder="1" applyAlignment="1">
      <alignment horizontal="center" vertical="center" wrapText="1"/>
    </xf>
    <xf numFmtId="49" fontId="83" fillId="31" borderId="14" xfId="0" applyNumberFormat="1" applyFont="1" applyFill="1" applyBorder="1" applyAlignment="1">
      <alignment horizontal="center" vertical="center" wrapText="1"/>
    </xf>
    <xf numFmtId="0" fontId="83" fillId="31" borderId="14" xfId="0" applyNumberFormat="1" applyFont="1" applyFill="1" applyBorder="1" applyAlignment="1">
      <alignment horizontal="center" vertical="center" wrapText="1"/>
    </xf>
    <xf numFmtId="0" fontId="85" fillId="31" borderId="14" xfId="0" applyNumberFormat="1" applyFont="1" applyFill="1" applyBorder="1" applyAlignment="1">
      <alignment horizontal="center" vertical="center" wrapText="1"/>
    </xf>
    <xf numFmtId="2" fontId="68" fillId="31" borderId="14" xfId="0" applyNumberFormat="1" applyFont="1" applyFill="1" applyBorder="1" applyAlignment="1">
      <alignment horizontal="center" vertical="center" wrapText="1"/>
    </xf>
    <xf numFmtId="2" fontId="85" fillId="33" borderId="14" xfId="0" applyNumberFormat="1" applyFont="1" applyFill="1" applyBorder="1" applyAlignment="1">
      <alignment horizontal="center" vertical="center" wrapText="1"/>
    </xf>
    <xf numFmtId="0" fontId="85" fillId="34" borderId="14" xfId="0" applyNumberFormat="1" applyFont="1" applyFill="1" applyBorder="1" applyAlignment="1">
      <alignment horizontal="center" vertical="center" wrapText="1"/>
    </xf>
    <xf numFmtId="0" fontId="85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9" fontId="85" fillId="34" borderId="14" xfId="0" applyNumberFormat="1" applyFont="1" applyFill="1" applyBorder="1" applyAlignment="1">
      <alignment horizontal="center" vertical="center" wrapText="1"/>
    </xf>
    <xf numFmtId="49" fontId="6" fillId="31" borderId="1" xfId="0" applyNumberFormat="1" applyFont="1" applyFill="1" applyBorder="1" applyAlignment="1">
      <alignment horizontal="center" vertical="center" wrapText="1"/>
    </xf>
    <xf numFmtId="49" fontId="15" fillId="31" borderId="1" xfId="0" applyNumberFormat="1" applyFont="1" applyFill="1" applyBorder="1" applyAlignment="1">
      <alignment horizontal="center" vertical="center" wrapText="1"/>
    </xf>
    <xf numFmtId="0" fontId="15" fillId="31" borderId="1" xfId="0" applyNumberFormat="1" applyFont="1" applyFill="1" applyBorder="1" applyAlignment="1">
      <alignment horizontal="center" vertical="center" wrapText="1"/>
    </xf>
    <xf numFmtId="0" fontId="13" fillId="31" borderId="1" xfId="0" applyNumberFormat="1" applyFont="1" applyFill="1" applyBorder="1" applyAlignment="1">
      <alignment horizontal="center" vertical="center" wrapText="1"/>
    </xf>
    <xf numFmtId="2" fontId="13" fillId="31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9" fontId="19" fillId="32" borderId="1" xfId="0" applyNumberFormat="1" applyFont="1" applyFill="1" applyBorder="1" applyAlignment="1">
      <alignment horizontal="center" vertical="center" wrapText="1"/>
    </xf>
    <xf numFmtId="2" fontId="85" fillId="0" borderId="14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Border="1" applyAlignment="1">
      <alignment horizontal="center" vertical="center" wrapText="1"/>
    </xf>
    <xf numFmtId="0" fontId="3" fillId="31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31" borderId="1" xfId="0" applyNumberFormat="1" applyFont="1" applyFill="1" applyBorder="1" applyAlignment="1">
      <alignment horizontal="center" vertical="center" wrapText="1"/>
    </xf>
    <xf numFmtId="0" fontId="6" fillId="31" borderId="1" xfId="0" applyNumberFormat="1" applyFont="1" applyFill="1" applyBorder="1" applyAlignment="1">
      <alignment horizontal="center" vertical="center" wrapText="1"/>
    </xf>
    <xf numFmtId="2" fontId="12" fillId="31" borderId="1" xfId="0" applyNumberFormat="1" applyFont="1" applyFill="1" applyBorder="1" applyAlignment="1">
      <alignment horizontal="center" vertical="center" wrapText="1"/>
    </xf>
    <xf numFmtId="0" fontId="12" fillId="26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/>
    <xf numFmtId="2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63" fillId="0" borderId="1" xfId="1" quotePrefix="1" applyNumberFormat="1" applyFont="1" applyFill="1" applyBorder="1" applyAlignment="1" applyProtection="1">
      <alignment horizontal="center" vertical="center" wrapText="1"/>
    </xf>
    <xf numFmtId="49" fontId="63" fillId="27" borderId="16" xfId="0" applyNumberFormat="1" applyFont="1" applyFill="1" applyBorder="1" applyAlignment="1">
      <alignment horizontal="center" vertical="center" wrapText="1"/>
    </xf>
    <xf numFmtId="0" fontId="8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3" fillId="0" borderId="2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3" fillId="0" borderId="2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vertical="center" wrapText="1"/>
    </xf>
    <xf numFmtId="49" fontId="19" fillId="0" borderId="16" xfId="0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6" xfId="903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3" fillId="2" borderId="1" xfId="0" applyNumberFormat="1" applyFont="1" applyFill="1" applyBorder="1" applyAlignment="1">
      <alignment horizontal="center" vertical="center" wrapText="1"/>
    </xf>
    <xf numFmtId="0" fontId="19" fillId="2" borderId="1" xfId="901" applyNumberFormat="1" applyFont="1" applyFill="1" applyBorder="1" applyAlignment="1">
      <alignment horizontal="center" vertical="center" wrapText="1"/>
    </xf>
    <xf numFmtId="0" fontId="63" fillId="0" borderId="2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172" fontId="19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89" fillId="0" borderId="1" xfId="633" applyNumberFormat="1" applyFont="1" applyFill="1" applyBorder="1" applyAlignment="1">
      <alignment horizontal="center" vertical="center" wrapText="1"/>
    </xf>
    <xf numFmtId="49" fontId="11" fillId="0" borderId="1" xfId="633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>
      <alignment horizontal="right" vertical="center" wrapText="1"/>
    </xf>
    <xf numFmtId="49" fontId="19" fillId="2" borderId="16" xfId="902" applyNumberFormat="1" applyFont="1" applyFill="1" applyBorder="1" applyAlignment="1">
      <alignment horizontal="left" vertical="center" wrapText="1"/>
    </xf>
    <xf numFmtId="49" fontId="19" fillId="2" borderId="16" xfId="654" applyNumberFormat="1" applyFont="1" applyFill="1" applyBorder="1" applyAlignment="1">
      <alignment horizontal="center" vertical="center" wrapText="1"/>
    </xf>
    <xf numFmtId="0" fontId="19" fillId="2" borderId="16" xfId="654" applyNumberFormat="1" applyFont="1" applyFill="1" applyBorder="1" applyAlignment="1">
      <alignment horizontal="center" vertical="center" wrapText="1"/>
    </xf>
    <xf numFmtId="2" fontId="11" fillId="0" borderId="16" xfId="904" applyNumberFormat="1" applyFont="1" applyFill="1" applyBorder="1" applyAlignment="1">
      <alignment horizontal="center" vertical="center" wrapText="1"/>
    </xf>
    <xf numFmtId="173" fontId="19" fillId="0" borderId="16" xfId="901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9" fillId="0" borderId="2" xfId="633" applyNumberFormat="1" applyFont="1" applyFill="1" applyBorder="1" applyAlignment="1">
      <alignment vertical="center" wrapText="1"/>
    </xf>
    <xf numFmtId="49" fontId="19" fillId="0" borderId="16" xfId="633" applyNumberFormat="1" applyFont="1" applyFill="1" applyBorder="1" applyAlignment="1">
      <alignment vertical="center" wrapText="1"/>
    </xf>
    <xf numFmtId="49" fontId="11" fillId="0" borderId="1" xfId="654" applyNumberFormat="1" applyFont="1" applyFill="1" applyBorder="1" applyAlignment="1">
      <alignment horizontal="center" vertical="center" wrapText="1"/>
    </xf>
    <xf numFmtId="49" fontId="19" fillId="0" borderId="1" xfId="654" applyNumberFormat="1" applyFont="1" applyFill="1" applyBorder="1" applyAlignment="1">
      <alignment horizontal="center" vertical="center" wrapText="1"/>
    </xf>
    <xf numFmtId="49" fontId="19" fillId="0" borderId="1" xfId="633" applyNumberFormat="1" applyFont="1" applyFill="1" applyBorder="1" applyAlignment="1">
      <alignment horizontal="center" vertical="center" wrapText="1"/>
    </xf>
    <xf numFmtId="49" fontId="11" fillId="0" borderId="16" xfId="633" applyNumberFormat="1" applyFont="1" applyFill="1" applyBorder="1" applyAlignment="1">
      <alignment horizontal="center" vertical="center" wrapText="1"/>
    </xf>
    <xf numFmtId="49" fontId="11" fillId="0" borderId="1" xfId="682" applyNumberFormat="1" applyFont="1" applyFill="1" applyBorder="1" applyAlignment="1">
      <alignment horizontal="center" vertical="center" wrapText="1"/>
    </xf>
    <xf numFmtId="49" fontId="11" fillId="0" borderId="1" xfId="90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6" xfId="902" applyNumberFormat="1" applyFont="1" applyFill="1" applyBorder="1" applyAlignment="1">
      <alignment horizontal="left" vertical="center" wrapText="1"/>
    </xf>
    <xf numFmtId="49" fontId="19" fillId="0" borderId="16" xfId="654" applyNumberFormat="1" applyFont="1" applyFill="1" applyBorder="1" applyAlignment="1">
      <alignment horizontal="center" vertical="center" wrapText="1"/>
    </xf>
    <xf numFmtId="0" fontId="19" fillId="0" borderId="16" xfId="654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49" fontId="63" fillId="26" borderId="1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49" fontId="63" fillId="26" borderId="3" xfId="0" applyNumberFormat="1" applyFont="1" applyFill="1" applyBorder="1" applyAlignment="1">
      <alignment horizontal="center" vertical="center" wrapText="1"/>
    </xf>
    <xf numFmtId="0" fontId="63" fillId="26" borderId="1" xfId="0" applyNumberFormat="1" applyFont="1" applyFill="1" applyBorder="1" applyAlignment="1">
      <alignment horizontal="center" vertical="center" wrapText="1"/>
    </xf>
    <xf numFmtId="49" fontId="19" fillId="2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94" fillId="0" borderId="18" xfId="0" applyNumberFormat="1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80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49" fontId="12" fillId="0" borderId="2" xfId="0" applyNumberFormat="1" applyFont="1" applyBorder="1" applyAlignment="1">
      <alignment horizontal="right" vertical="center" wrapText="1"/>
    </xf>
    <xf numFmtId="49" fontId="12" fillId="0" borderId="15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right" vertical="center" wrapText="1"/>
    </xf>
    <xf numFmtId="49" fontId="65" fillId="0" borderId="2" xfId="901" applyNumberFormat="1" applyFont="1" applyFill="1" applyBorder="1" applyAlignment="1">
      <alignment horizontal="right" vertical="center" wrapText="1"/>
    </xf>
    <xf numFmtId="49" fontId="65" fillId="0" borderId="16" xfId="901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49" fontId="91" fillId="0" borderId="2" xfId="0" applyNumberFormat="1" applyFont="1" applyFill="1" applyBorder="1" applyAlignment="1">
      <alignment horizontal="right" vertical="center" wrapText="1"/>
    </xf>
    <xf numFmtId="49" fontId="91" fillId="0" borderId="15" xfId="0" applyNumberFormat="1" applyFont="1" applyFill="1" applyBorder="1" applyAlignment="1">
      <alignment horizontal="right" vertical="center" wrapText="1"/>
    </xf>
    <xf numFmtId="49" fontId="91" fillId="0" borderId="16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right" vertical="top" wrapText="1"/>
    </xf>
    <xf numFmtId="49" fontId="67" fillId="0" borderId="18" xfId="0" applyNumberFormat="1" applyFont="1" applyFill="1" applyBorder="1" applyAlignment="1">
      <alignment horizontal="left" vertical="center" wrapText="1"/>
    </xf>
    <xf numFmtId="49" fontId="7" fillId="0" borderId="2" xfId="901" applyNumberFormat="1" applyFont="1" applyFill="1" applyBorder="1" applyAlignment="1">
      <alignment horizontal="center" vertical="center" wrapText="1"/>
    </xf>
    <xf numFmtId="49" fontId="7" fillId="0" borderId="15" xfId="901" applyNumberFormat="1" applyFont="1" applyFill="1" applyBorder="1" applyAlignment="1">
      <alignment horizontal="center" vertical="center" wrapText="1"/>
    </xf>
    <xf numFmtId="49" fontId="7" fillId="0" borderId="16" xfId="90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2" fontId="11" fillId="0" borderId="2" xfId="903" applyNumberFormat="1" applyFont="1" applyFill="1" applyBorder="1" applyAlignment="1">
      <alignment horizontal="center" vertical="center" wrapText="1"/>
    </xf>
    <xf numFmtId="2" fontId="11" fillId="0" borderId="15" xfId="903" applyNumberFormat="1" applyFont="1" applyFill="1" applyBorder="1" applyAlignment="1">
      <alignment horizontal="center" vertical="center" wrapText="1"/>
    </xf>
    <xf numFmtId="2" fontId="11" fillId="0" borderId="16" xfId="903" applyNumberFormat="1" applyFont="1" applyFill="1" applyBorder="1" applyAlignment="1">
      <alignment horizontal="center" vertical="center" wrapText="1"/>
    </xf>
    <xf numFmtId="49" fontId="7" fillId="0" borderId="2" xfId="902" applyNumberFormat="1" applyFont="1" applyFill="1" applyBorder="1" applyAlignment="1">
      <alignment horizontal="center" vertical="center" wrapText="1"/>
    </xf>
    <xf numFmtId="49" fontId="7" fillId="0" borderId="15" xfId="902" applyNumberFormat="1" applyFont="1" applyFill="1" applyBorder="1" applyAlignment="1">
      <alignment horizontal="center" vertical="center" wrapText="1"/>
    </xf>
    <xf numFmtId="49" fontId="7" fillId="0" borderId="2" xfId="735" applyNumberFormat="1" applyFont="1" applyFill="1" applyBorder="1" applyAlignment="1">
      <alignment horizontal="center" vertical="center" wrapText="1"/>
    </xf>
    <xf numFmtId="49" fontId="7" fillId="0" borderId="15" xfId="735" applyNumberFormat="1" applyFont="1" applyFill="1" applyBorder="1" applyAlignment="1">
      <alignment horizontal="center" vertical="center" wrapText="1"/>
    </xf>
    <xf numFmtId="49" fontId="7" fillId="0" borderId="16" xfId="735" applyNumberFormat="1" applyFont="1" applyFill="1" applyBorder="1" applyAlignment="1">
      <alignment horizontal="center" vertical="center" wrapText="1"/>
    </xf>
    <xf numFmtId="49" fontId="7" fillId="0" borderId="16" xfId="902" applyNumberFormat="1" applyFont="1" applyFill="1" applyBorder="1" applyAlignment="1">
      <alignment horizontal="center" vertical="center" wrapText="1"/>
    </xf>
    <xf numFmtId="49" fontId="7" fillId="0" borderId="2" xfId="633" applyNumberFormat="1" applyFont="1" applyFill="1" applyBorder="1" applyAlignment="1">
      <alignment horizontal="center" vertical="center" wrapText="1"/>
    </xf>
    <xf numFmtId="49" fontId="7" fillId="0" borderId="15" xfId="633" applyNumberFormat="1" applyFont="1" applyFill="1" applyBorder="1" applyAlignment="1">
      <alignment horizontal="center" vertical="center" wrapText="1"/>
    </xf>
    <xf numFmtId="49" fontId="7" fillId="0" borderId="16" xfId="633" applyNumberFormat="1" applyFont="1" applyFill="1" applyBorder="1" applyAlignment="1">
      <alignment horizontal="center" vertical="center" wrapText="1"/>
    </xf>
    <xf numFmtId="49" fontId="7" fillId="0" borderId="2" xfId="870" applyNumberFormat="1" applyFont="1" applyFill="1" applyBorder="1" applyAlignment="1">
      <alignment horizontal="center" vertical="center" wrapText="1"/>
    </xf>
    <xf numFmtId="49" fontId="7" fillId="0" borderId="16" xfId="870" applyNumberFormat="1" applyFont="1" applyFill="1" applyBorder="1" applyAlignment="1">
      <alignment horizontal="center" vertical="center" wrapText="1"/>
    </xf>
    <xf numFmtId="49" fontId="7" fillId="0" borderId="2" xfId="654" applyNumberFormat="1" applyFont="1" applyFill="1" applyBorder="1" applyAlignment="1">
      <alignment horizontal="center" vertical="center" wrapText="1"/>
    </xf>
    <xf numFmtId="49" fontId="7" fillId="0" borderId="16" xfId="654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</cellXfs>
  <cellStyles count="908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01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7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2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6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Book1_axalqalaqis skola " xfId="905"/>
    <cellStyle name="Normal_gare wyalsadfenigagarini 10" xfId="899"/>
    <cellStyle name="Normal_gare wyalsadfenigagarini 2 2" xfId="900"/>
    <cellStyle name="Normal_gare wyalsadfenigagarini_SUSTI DENEBI_axalqalaqis skola " xfId="904"/>
    <cellStyle name="Normal_SUSTI DENEBI" xfId="90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CCFF"/>
      <color rgb="FFFF99FF"/>
      <color rgb="FFCCCC00"/>
      <color rgb="FFFF66FF"/>
      <color rgb="FF00FF99"/>
      <color rgb="FF6666FF"/>
      <color rgb="FF9900FF"/>
      <color rgb="FFFED2A2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7"/>
  <sheetViews>
    <sheetView tabSelected="1" workbookViewId="0">
      <selection activeCell="G32" sqref="G32"/>
    </sheetView>
  </sheetViews>
  <sheetFormatPr defaultRowHeight="15"/>
  <cols>
    <col min="2" max="2" width="22.42578125" customWidth="1"/>
    <col min="3" max="3" width="36.5703125" customWidth="1"/>
    <col min="4" max="6" width="14" customWidth="1"/>
    <col min="7" max="7" width="14" style="320" customWidth="1"/>
    <col min="8" max="8" width="19" customWidth="1"/>
  </cols>
  <sheetData>
    <row r="1" spans="1:7" s="189" customFormat="1" ht="15.75">
      <c r="A1" s="419" t="s">
        <v>179</v>
      </c>
      <c r="B1" s="419"/>
      <c r="C1" s="419"/>
      <c r="D1" s="419"/>
      <c r="E1" s="419"/>
      <c r="F1" s="419"/>
      <c r="G1" s="419"/>
    </row>
    <row r="2" spans="1:7" s="189" customFormat="1" ht="15.75">
      <c r="A2" s="2"/>
      <c r="B2" s="2"/>
      <c r="C2" s="2"/>
      <c r="D2" s="2"/>
      <c r="E2" s="2"/>
      <c r="F2" s="2"/>
      <c r="G2" s="318"/>
    </row>
    <row r="3" spans="1:7" s="189" customFormat="1" ht="42" customHeight="1">
      <c r="A3" s="419" t="s">
        <v>264</v>
      </c>
      <c r="B3" s="419"/>
      <c r="C3" s="419"/>
      <c r="D3" s="419"/>
      <c r="E3" s="419"/>
      <c r="F3" s="419"/>
      <c r="G3" s="419"/>
    </row>
    <row r="4" spans="1:7" s="189" customFormat="1" ht="15.75">
      <c r="A4" s="421"/>
      <c r="B4" s="421"/>
      <c r="C4" s="421"/>
      <c r="D4" s="2"/>
      <c r="E4" s="2"/>
      <c r="F4" s="2"/>
      <c r="G4" s="318"/>
    </row>
    <row r="5" spans="1:7" s="189" customFormat="1" ht="23.25" customHeight="1">
      <c r="A5" s="420" t="s">
        <v>0</v>
      </c>
      <c r="B5" s="420" t="s">
        <v>180</v>
      </c>
      <c r="C5" s="420" t="s">
        <v>181</v>
      </c>
      <c r="D5" s="420" t="s">
        <v>182</v>
      </c>
      <c r="E5" s="420"/>
      <c r="F5" s="420"/>
      <c r="G5" s="420"/>
    </row>
    <row r="6" spans="1:7" s="189" customFormat="1" ht="31.5">
      <c r="A6" s="420"/>
      <c r="B6" s="420"/>
      <c r="C6" s="420"/>
      <c r="D6" s="4" t="s">
        <v>183</v>
      </c>
      <c r="E6" s="4" t="s">
        <v>184</v>
      </c>
      <c r="F6" s="4" t="s">
        <v>185</v>
      </c>
      <c r="G6" s="194" t="s">
        <v>186</v>
      </c>
    </row>
    <row r="7" spans="1:7" s="189" customFormat="1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94">
        <v>7</v>
      </c>
    </row>
    <row r="8" spans="1:7" s="189" customFormat="1" ht="31.5" hidden="1">
      <c r="A8" s="191" t="s">
        <v>11</v>
      </c>
      <c r="B8" s="191"/>
      <c r="C8" s="191" t="s">
        <v>187</v>
      </c>
      <c r="D8" s="191"/>
      <c r="E8" s="191"/>
      <c r="F8" s="191"/>
      <c r="G8" s="71"/>
    </row>
    <row r="9" spans="1:7" s="189" customFormat="1" ht="15.75" hidden="1">
      <c r="A9" s="4">
        <v>1</v>
      </c>
      <c r="B9" s="4" t="s">
        <v>188</v>
      </c>
      <c r="C9" s="70" t="s">
        <v>24</v>
      </c>
      <c r="D9" s="5"/>
      <c r="E9" s="5"/>
      <c r="F9" s="5"/>
      <c r="G9" s="194">
        <f>D9</f>
        <v>0</v>
      </c>
    </row>
    <row r="10" spans="1:7" s="189" customFormat="1" ht="15.75" hidden="1">
      <c r="A10" s="4">
        <v>2</v>
      </c>
      <c r="B10" s="4" t="s">
        <v>189</v>
      </c>
      <c r="C10" s="70" t="s">
        <v>190</v>
      </c>
      <c r="D10" s="5"/>
      <c r="E10" s="5"/>
      <c r="F10" s="5"/>
      <c r="G10" s="194">
        <f>D10</f>
        <v>0</v>
      </c>
    </row>
    <row r="11" spans="1:7" s="189" customFormat="1" ht="15.75" hidden="1">
      <c r="A11" s="4">
        <v>3</v>
      </c>
      <c r="B11" s="4" t="s">
        <v>191</v>
      </c>
      <c r="C11" s="70" t="s">
        <v>86</v>
      </c>
      <c r="D11" s="192"/>
      <c r="E11" s="5"/>
      <c r="F11" s="5"/>
      <c r="G11" s="194">
        <f>D11</f>
        <v>0</v>
      </c>
    </row>
    <row r="12" spans="1:7" s="189" customFormat="1" ht="15.75" hidden="1">
      <c r="A12" s="4"/>
      <c r="B12" s="4"/>
      <c r="C12" s="70"/>
      <c r="D12" s="48"/>
      <c r="E12" s="5"/>
      <c r="F12" s="5"/>
      <c r="G12" s="194"/>
    </row>
    <row r="13" spans="1:7" s="189" customFormat="1" ht="63" hidden="1">
      <c r="A13" s="191" t="s">
        <v>99</v>
      </c>
      <c r="B13" s="191"/>
      <c r="C13" s="191" t="s">
        <v>192</v>
      </c>
      <c r="D13" s="71"/>
      <c r="E13" s="71"/>
      <c r="F13" s="71"/>
      <c r="G13" s="71"/>
    </row>
    <row r="14" spans="1:7" s="189" customFormat="1" ht="15.75" hidden="1">
      <c r="A14" s="4">
        <v>4</v>
      </c>
      <c r="B14" s="4" t="s">
        <v>193</v>
      </c>
      <c r="C14" s="70" t="s">
        <v>24</v>
      </c>
      <c r="D14" s="5"/>
      <c r="E14" s="5"/>
      <c r="F14" s="5"/>
      <c r="G14" s="194">
        <f>D14</f>
        <v>0</v>
      </c>
    </row>
    <row r="15" spans="1:7" s="189" customFormat="1" ht="31.5" hidden="1">
      <c r="A15" s="4">
        <v>5</v>
      </c>
      <c r="B15" s="4" t="s">
        <v>194</v>
      </c>
      <c r="C15" s="70" t="s">
        <v>195</v>
      </c>
      <c r="D15" s="48"/>
      <c r="E15" s="5"/>
      <c r="F15" s="5"/>
      <c r="G15" s="194">
        <f>D15</f>
        <v>0</v>
      </c>
    </row>
    <row r="16" spans="1:7" s="189" customFormat="1" ht="47.25" hidden="1">
      <c r="A16" s="4">
        <v>6</v>
      </c>
      <c r="B16" s="4" t="s">
        <v>196</v>
      </c>
      <c r="C16" s="70" t="s">
        <v>106</v>
      </c>
      <c r="D16" s="5"/>
      <c r="E16" s="5"/>
      <c r="F16" s="5"/>
      <c r="G16" s="194">
        <f>D16</f>
        <v>0</v>
      </c>
    </row>
    <row r="17" spans="1:9" s="189" customFormat="1" ht="15.75" hidden="1">
      <c r="A17" s="4"/>
      <c r="B17" s="4"/>
      <c r="C17" s="4"/>
      <c r="D17" s="5"/>
      <c r="E17" s="5"/>
      <c r="F17" s="5"/>
      <c r="G17" s="194"/>
    </row>
    <row r="18" spans="1:9" s="189" customFormat="1" ht="15.75">
      <c r="A18" s="191" t="s">
        <v>108</v>
      </c>
      <c r="B18" s="191"/>
      <c r="C18" s="191" t="s">
        <v>197</v>
      </c>
      <c r="D18" s="71"/>
      <c r="E18" s="71"/>
      <c r="F18" s="71"/>
      <c r="G18" s="71"/>
    </row>
    <row r="19" spans="1:9" s="189" customFormat="1" ht="15.75">
      <c r="A19" s="4">
        <v>7</v>
      </c>
      <c r="B19" s="4" t="s">
        <v>343</v>
      </c>
      <c r="C19" s="70" t="s">
        <v>24</v>
      </c>
      <c r="D19" s="6">
        <f>'#3-1'!M269</f>
        <v>0</v>
      </c>
      <c r="E19" s="5"/>
      <c r="F19" s="5"/>
      <c r="G19" s="194">
        <f>D19</f>
        <v>0</v>
      </c>
      <c r="I19" s="190"/>
    </row>
    <row r="20" spans="1:9" s="189" customFormat="1" ht="31.5">
      <c r="A20" s="4">
        <v>8</v>
      </c>
      <c r="B20" s="4" t="s">
        <v>346</v>
      </c>
      <c r="C20" s="70" t="s">
        <v>198</v>
      </c>
      <c r="D20" s="6">
        <f>'#3-2'!M114</f>
        <v>0</v>
      </c>
      <c r="E20" s="5"/>
      <c r="F20" s="5"/>
      <c r="G20" s="194">
        <f>D20</f>
        <v>0</v>
      </c>
    </row>
    <row r="21" spans="1:9" s="189" customFormat="1" ht="31.5" hidden="1">
      <c r="A21" s="4">
        <v>9</v>
      </c>
      <c r="B21" s="4" t="s">
        <v>350</v>
      </c>
      <c r="C21" s="70" t="s">
        <v>173</v>
      </c>
      <c r="D21" s="6"/>
      <c r="E21" s="5"/>
      <c r="F21" s="5"/>
      <c r="G21" s="194"/>
    </row>
    <row r="22" spans="1:9" s="189" customFormat="1" ht="15.75">
      <c r="A22" s="4">
        <v>10</v>
      </c>
      <c r="B22" s="4" t="s">
        <v>344</v>
      </c>
      <c r="C22" s="70" t="s">
        <v>86</v>
      </c>
      <c r="D22" s="6">
        <f>'#3-4'!M30</f>
        <v>0</v>
      </c>
      <c r="E22" s="5"/>
      <c r="F22" s="5"/>
      <c r="G22" s="194">
        <f>D22</f>
        <v>0</v>
      </c>
    </row>
    <row r="23" spans="1:9" s="189" customFormat="1" ht="15.75">
      <c r="A23" s="4"/>
      <c r="B23" s="4"/>
      <c r="C23" s="4"/>
      <c r="D23" s="5"/>
      <c r="E23" s="5"/>
      <c r="F23" s="5"/>
      <c r="G23" s="194"/>
    </row>
    <row r="24" spans="1:9" s="189" customFormat="1" ht="15.75">
      <c r="A24" s="316"/>
      <c r="B24" s="316"/>
      <c r="C24" s="191" t="s">
        <v>20</v>
      </c>
      <c r="D24" s="71"/>
      <c r="E24" s="71"/>
      <c r="F24" s="71"/>
      <c r="G24" s="71">
        <f>SUM(G8:G23)</f>
        <v>0</v>
      </c>
    </row>
    <row r="25" spans="1:9">
      <c r="C25" s="317"/>
    </row>
    <row r="26" spans="1:9">
      <c r="C26" s="319"/>
    </row>
    <row r="27" spans="1:9" ht="15.75" customHeight="1">
      <c r="B27" s="418" t="s">
        <v>353</v>
      </c>
      <c r="C27" s="418"/>
      <c r="D27" s="418"/>
      <c r="E27" s="418"/>
      <c r="F27" s="418"/>
      <c r="G27" s="418"/>
    </row>
  </sheetData>
  <mergeCells count="8">
    <mergeCell ref="B27:G27"/>
    <mergeCell ref="A1:G1"/>
    <mergeCell ref="A3:G3"/>
    <mergeCell ref="A5:A6"/>
    <mergeCell ref="B5:B6"/>
    <mergeCell ref="C5:C6"/>
    <mergeCell ref="D5:G5"/>
    <mergeCell ref="A4:C4"/>
  </mergeCells>
  <pageMargins left="0.87" right="0.70866141732283505" top="0.9" bottom="0.69" header="0.43" footer="0.37"/>
  <pageSetup paperSize="9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271"/>
  <sheetViews>
    <sheetView zoomScale="80" zoomScaleNormal="80" workbookViewId="0">
      <selection activeCell="A6" sqref="A6:C6"/>
    </sheetView>
  </sheetViews>
  <sheetFormatPr defaultRowHeight="15"/>
  <cols>
    <col min="1" max="1" width="6.5703125" customWidth="1"/>
    <col min="2" max="2" width="8.85546875" style="326" customWidth="1"/>
    <col min="3" max="3" width="43" customWidth="1"/>
    <col min="4" max="4" width="9.28515625" customWidth="1"/>
    <col min="5" max="5" width="9.140625" style="222"/>
    <col min="6" max="6" width="12.85546875" style="222" customWidth="1"/>
    <col min="7" max="7" width="9.85546875" style="224" customWidth="1"/>
    <col min="8" max="8" width="12" style="224" customWidth="1"/>
    <col min="9" max="9" width="8.140625" style="224" customWidth="1"/>
    <col min="10" max="10" width="11.28515625" style="224" customWidth="1"/>
    <col min="11" max="11" width="6.5703125" style="224" customWidth="1"/>
    <col min="12" max="12" width="11.140625" style="224" customWidth="1"/>
    <col min="13" max="13" width="14.140625" style="224" customWidth="1"/>
    <col min="14" max="14" width="54.28515625" style="212" customWidth="1"/>
    <col min="15" max="15" width="39.5703125" customWidth="1"/>
  </cols>
  <sheetData>
    <row r="1" spans="1:14" s="77" customFormat="1" ht="39.75" customHeight="1">
      <c r="A1" s="422" t="str">
        <f>krebsiti!A3</f>
        <v>q.dmanisSi "Tavisuflebis xeivanis" reabilitaciis samuSaoebi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213"/>
    </row>
    <row r="2" spans="1:14" s="77" customFormat="1" ht="21">
      <c r="A2" s="423" t="s">
        <v>109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213"/>
    </row>
    <row r="3" spans="1:14" s="77" customFormat="1" ht="15.75">
      <c r="A3" s="422" t="s">
        <v>349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213"/>
    </row>
    <row r="4" spans="1:14" s="77" customFormat="1" ht="15.75">
      <c r="A4" s="75"/>
      <c r="B4" s="323"/>
      <c r="C4" s="75"/>
      <c r="D4" s="75"/>
      <c r="E4" s="206"/>
      <c r="F4" s="206"/>
      <c r="G4" s="76"/>
      <c r="H4" s="76"/>
      <c r="I4" s="76"/>
      <c r="J4" s="76"/>
      <c r="K4" s="76"/>
      <c r="L4" s="76"/>
      <c r="M4" s="76"/>
      <c r="N4" s="213"/>
    </row>
    <row r="5" spans="1:14" s="77" customFormat="1" ht="15.75">
      <c r="A5" s="422" t="s">
        <v>24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213"/>
    </row>
    <row r="6" spans="1:14" s="77" customFormat="1" ht="15.75">
      <c r="A6" s="459"/>
      <c r="B6" s="459"/>
      <c r="C6" s="459"/>
      <c r="D6" s="110"/>
      <c r="E6" s="206"/>
      <c r="F6" s="206"/>
      <c r="G6" s="76"/>
      <c r="H6" s="76"/>
      <c r="I6" s="76"/>
      <c r="J6" s="76"/>
      <c r="K6" s="76"/>
      <c r="L6" s="76"/>
      <c r="M6" s="76"/>
      <c r="N6" s="213"/>
    </row>
    <row r="7" spans="1:14" s="77" customFormat="1" ht="38.25" customHeight="1">
      <c r="A7" s="424" t="s">
        <v>0</v>
      </c>
      <c r="B7" s="425" t="s">
        <v>25</v>
      </c>
      <c r="C7" s="426" t="s">
        <v>1</v>
      </c>
      <c r="D7" s="425" t="s">
        <v>2</v>
      </c>
      <c r="E7" s="428" t="s">
        <v>26</v>
      </c>
      <c r="F7" s="428"/>
      <c r="G7" s="429" t="s">
        <v>27</v>
      </c>
      <c r="H7" s="429"/>
      <c r="I7" s="429" t="s">
        <v>28</v>
      </c>
      <c r="J7" s="429"/>
      <c r="K7" s="432" t="s">
        <v>29</v>
      </c>
      <c r="L7" s="433"/>
      <c r="M7" s="429" t="s">
        <v>30</v>
      </c>
      <c r="N7" s="213"/>
    </row>
    <row r="8" spans="1:14" s="77" customFormat="1" ht="47.25">
      <c r="A8" s="424"/>
      <c r="B8" s="425"/>
      <c r="C8" s="427"/>
      <c r="D8" s="425"/>
      <c r="E8" s="207" t="s">
        <v>13</v>
      </c>
      <c r="F8" s="207" t="s">
        <v>6</v>
      </c>
      <c r="G8" s="204" t="s">
        <v>31</v>
      </c>
      <c r="H8" s="204" t="s">
        <v>32</v>
      </c>
      <c r="I8" s="204" t="s">
        <v>31</v>
      </c>
      <c r="J8" s="204" t="s">
        <v>32</v>
      </c>
      <c r="K8" s="204" t="s">
        <v>31</v>
      </c>
      <c r="L8" s="204" t="s">
        <v>32</v>
      </c>
      <c r="M8" s="429"/>
      <c r="N8" s="213"/>
    </row>
    <row r="9" spans="1:14" s="73" customFormat="1" ht="16.5">
      <c r="A9" s="12">
        <v>1</v>
      </c>
      <c r="B9" s="195">
        <v>2</v>
      </c>
      <c r="C9" s="91">
        <v>3</v>
      </c>
      <c r="D9" s="7">
        <v>4</v>
      </c>
      <c r="E9" s="207">
        <v>5</v>
      </c>
      <c r="F9" s="8">
        <v>6</v>
      </c>
      <c r="G9" s="207">
        <v>7</v>
      </c>
      <c r="H9" s="8">
        <v>8</v>
      </c>
      <c r="I9" s="207">
        <v>9</v>
      </c>
      <c r="J9" s="8">
        <v>10</v>
      </c>
      <c r="K9" s="207">
        <v>11</v>
      </c>
      <c r="L9" s="8">
        <v>12</v>
      </c>
      <c r="M9" s="207">
        <v>13</v>
      </c>
      <c r="N9" s="214"/>
    </row>
    <row r="10" spans="1:14" s="73" customFormat="1" ht="27">
      <c r="A10" s="413" t="s">
        <v>343</v>
      </c>
      <c r="B10" s="413"/>
      <c r="C10" s="417" t="s">
        <v>24</v>
      </c>
      <c r="D10" s="413"/>
      <c r="E10" s="149"/>
      <c r="F10" s="416"/>
      <c r="G10" s="149"/>
      <c r="H10" s="416"/>
      <c r="I10" s="149"/>
      <c r="J10" s="416"/>
      <c r="K10" s="149"/>
      <c r="L10" s="416"/>
      <c r="M10" s="149"/>
      <c r="N10" s="214"/>
    </row>
    <row r="11" spans="1:14" s="77" customFormat="1" ht="31.5">
      <c r="A11" s="111"/>
      <c r="B11" s="113"/>
      <c r="C11" s="112" t="s">
        <v>351</v>
      </c>
      <c r="D11" s="113"/>
      <c r="E11" s="114"/>
      <c r="F11" s="114"/>
      <c r="G11" s="204"/>
      <c r="H11" s="204"/>
      <c r="I11" s="204"/>
      <c r="J11" s="204"/>
      <c r="K11" s="204"/>
      <c r="L11" s="204"/>
      <c r="M11" s="204"/>
      <c r="N11" s="213"/>
    </row>
    <row r="12" spans="1:14" s="77" customFormat="1" ht="40.5">
      <c r="A12" s="437">
        <v>1</v>
      </c>
      <c r="B12" s="195" t="s">
        <v>112</v>
      </c>
      <c r="C12" s="329" t="s">
        <v>246</v>
      </c>
      <c r="D12" s="328" t="s">
        <v>50</v>
      </c>
      <c r="E12" s="328"/>
      <c r="F12" s="8">
        <v>1337</v>
      </c>
      <c r="G12" s="332"/>
      <c r="H12" s="332"/>
      <c r="I12" s="332"/>
      <c r="J12" s="330"/>
      <c r="K12" s="332"/>
      <c r="L12" s="330"/>
      <c r="M12" s="330"/>
      <c r="N12" s="450" t="s">
        <v>308</v>
      </c>
    </row>
    <row r="13" spans="1:14" s="77" customFormat="1" ht="15.75">
      <c r="A13" s="438"/>
      <c r="B13" s="195"/>
      <c r="C13" s="115" t="s">
        <v>57</v>
      </c>
      <c r="D13" s="328" t="s">
        <v>9</v>
      </c>
      <c r="E13" s="328">
        <v>0.32300000000000001</v>
      </c>
      <c r="F13" s="346">
        <f>F12*E13</f>
        <v>431.851</v>
      </c>
      <c r="G13" s="332"/>
      <c r="H13" s="332"/>
      <c r="I13" s="332"/>
      <c r="J13" s="330"/>
      <c r="K13" s="332"/>
      <c r="L13" s="330"/>
      <c r="M13" s="330"/>
      <c r="N13" s="450"/>
    </row>
    <row r="14" spans="1:14" s="77" customFormat="1" ht="15.75">
      <c r="A14" s="439"/>
      <c r="B14" s="195"/>
      <c r="C14" s="116" t="s">
        <v>18</v>
      </c>
      <c r="D14" s="328" t="s">
        <v>7</v>
      </c>
      <c r="E14" s="328">
        <v>2.1499999999999998E-2</v>
      </c>
      <c r="F14" s="346">
        <f>F12*E14</f>
        <v>28.745499999999996</v>
      </c>
      <c r="G14" s="332"/>
      <c r="H14" s="332"/>
      <c r="I14" s="332"/>
      <c r="J14" s="330"/>
      <c r="K14" s="332"/>
      <c r="L14" s="330"/>
      <c r="M14" s="330"/>
      <c r="N14" s="450"/>
    </row>
    <row r="15" spans="1:14" s="77" customFormat="1" ht="27">
      <c r="A15" s="437">
        <v>2</v>
      </c>
      <c r="B15" s="195" t="s">
        <v>113</v>
      </c>
      <c r="C15" s="329" t="s">
        <v>114</v>
      </c>
      <c r="D15" s="328" t="s">
        <v>41</v>
      </c>
      <c r="E15" s="328"/>
      <c r="F15" s="8">
        <f>F12*0.03</f>
        <v>40.11</v>
      </c>
      <c r="G15" s="332"/>
      <c r="H15" s="332"/>
      <c r="I15" s="332"/>
      <c r="J15" s="330"/>
      <c r="K15" s="332"/>
      <c r="L15" s="330"/>
      <c r="M15" s="330"/>
      <c r="N15" s="450"/>
    </row>
    <row r="16" spans="1:14" s="77" customFormat="1" ht="15.75">
      <c r="A16" s="438"/>
      <c r="B16" s="195"/>
      <c r="C16" s="115" t="s">
        <v>57</v>
      </c>
      <c r="D16" s="328" t="s">
        <v>9</v>
      </c>
      <c r="E16" s="328">
        <v>7.3</v>
      </c>
      <c r="F16" s="346">
        <f>F15*E16</f>
        <v>292.803</v>
      </c>
      <c r="G16" s="332"/>
      <c r="H16" s="332"/>
      <c r="I16" s="332"/>
      <c r="J16" s="330"/>
      <c r="K16" s="332"/>
      <c r="L16" s="330"/>
      <c r="M16" s="330"/>
      <c r="N16" s="450"/>
    </row>
    <row r="17" spans="1:14" s="77" customFormat="1" ht="15.75">
      <c r="A17" s="439"/>
      <c r="B17" s="195"/>
      <c r="C17" s="116" t="s">
        <v>18</v>
      </c>
      <c r="D17" s="328" t="s">
        <v>7</v>
      </c>
      <c r="E17" s="328">
        <v>2.9</v>
      </c>
      <c r="F17" s="346">
        <f>F15*E17</f>
        <v>116.31899999999999</v>
      </c>
      <c r="G17" s="332"/>
      <c r="H17" s="332"/>
      <c r="I17" s="332"/>
      <c r="J17" s="330"/>
      <c r="K17" s="332"/>
      <c r="L17" s="330"/>
      <c r="M17" s="330"/>
      <c r="N17" s="450"/>
    </row>
    <row r="18" spans="1:14" s="77" customFormat="1" ht="54">
      <c r="A18" s="437">
        <v>3</v>
      </c>
      <c r="B18" s="195" t="s">
        <v>112</v>
      </c>
      <c r="C18" s="343" t="s">
        <v>247</v>
      </c>
      <c r="D18" s="346" t="s">
        <v>50</v>
      </c>
      <c r="E18" s="346"/>
      <c r="F18" s="8">
        <v>750</v>
      </c>
      <c r="G18" s="355"/>
      <c r="H18" s="355"/>
      <c r="I18" s="355"/>
      <c r="J18" s="334"/>
      <c r="K18" s="355"/>
      <c r="L18" s="334"/>
      <c r="M18" s="334"/>
      <c r="N18" s="450"/>
    </row>
    <row r="19" spans="1:14" s="77" customFormat="1" ht="15.75">
      <c r="A19" s="438"/>
      <c r="B19" s="195"/>
      <c r="C19" s="115" t="s">
        <v>57</v>
      </c>
      <c r="D19" s="346" t="s">
        <v>9</v>
      </c>
      <c r="E19" s="346">
        <v>0.32300000000000001</v>
      </c>
      <c r="F19" s="346">
        <f>F18*E19</f>
        <v>242.25</v>
      </c>
      <c r="G19" s="355"/>
      <c r="H19" s="355"/>
      <c r="I19" s="355"/>
      <c r="J19" s="334"/>
      <c r="K19" s="355"/>
      <c r="L19" s="334"/>
      <c r="M19" s="334"/>
      <c r="N19" s="450"/>
    </row>
    <row r="20" spans="1:14" s="77" customFormat="1" ht="15.75">
      <c r="A20" s="439"/>
      <c r="B20" s="195"/>
      <c r="C20" s="116" t="s">
        <v>18</v>
      </c>
      <c r="D20" s="346" t="s">
        <v>7</v>
      </c>
      <c r="E20" s="346">
        <v>2.1499999999999998E-2</v>
      </c>
      <c r="F20" s="346">
        <f>F18*E20</f>
        <v>16.125</v>
      </c>
      <c r="G20" s="355"/>
      <c r="H20" s="355"/>
      <c r="I20" s="355"/>
      <c r="J20" s="334"/>
      <c r="K20" s="355"/>
      <c r="L20" s="334"/>
      <c r="M20" s="334"/>
      <c r="N20" s="450"/>
    </row>
    <row r="21" spans="1:14" s="77" customFormat="1" ht="27">
      <c r="A21" s="437">
        <v>4</v>
      </c>
      <c r="B21" s="195" t="s">
        <v>113</v>
      </c>
      <c r="C21" s="343" t="s">
        <v>114</v>
      </c>
      <c r="D21" s="346" t="s">
        <v>41</v>
      </c>
      <c r="E21" s="346"/>
      <c r="F21" s="8">
        <f>F18*0.03</f>
        <v>22.5</v>
      </c>
      <c r="G21" s="355"/>
      <c r="H21" s="355"/>
      <c r="I21" s="355"/>
      <c r="J21" s="334"/>
      <c r="K21" s="355"/>
      <c r="L21" s="334"/>
      <c r="M21" s="334"/>
      <c r="N21" s="450"/>
    </row>
    <row r="22" spans="1:14" s="77" customFormat="1" ht="15.75">
      <c r="A22" s="438"/>
      <c r="B22" s="195"/>
      <c r="C22" s="115" t="s">
        <v>57</v>
      </c>
      <c r="D22" s="346" t="s">
        <v>9</v>
      </c>
      <c r="E22" s="346">
        <v>7.3</v>
      </c>
      <c r="F22" s="346">
        <f>F21*E22</f>
        <v>164.25</v>
      </c>
      <c r="G22" s="355"/>
      <c r="H22" s="355"/>
      <c r="I22" s="355"/>
      <c r="J22" s="334"/>
      <c r="K22" s="355"/>
      <c r="L22" s="334"/>
      <c r="M22" s="334"/>
      <c r="N22" s="450"/>
    </row>
    <row r="23" spans="1:14" s="77" customFormat="1" ht="15.75">
      <c r="A23" s="439"/>
      <c r="B23" s="195"/>
      <c r="C23" s="116" t="s">
        <v>18</v>
      </c>
      <c r="D23" s="346" t="s">
        <v>7</v>
      </c>
      <c r="E23" s="346">
        <v>2.9</v>
      </c>
      <c r="F23" s="346">
        <f>F21*E23</f>
        <v>65.25</v>
      </c>
      <c r="G23" s="355"/>
      <c r="H23" s="355"/>
      <c r="I23" s="355"/>
      <c r="J23" s="334"/>
      <c r="K23" s="355"/>
      <c r="L23" s="334"/>
      <c r="M23" s="334"/>
      <c r="N23" s="450"/>
    </row>
    <row r="24" spans="1:14" s="77" customFormat="1" ht="15.75">
      <c r="A24" s="437">
        <v>5</v>
      </c>
      <c r="B24" s="195" t="s">
        <v>110</v>
      </c>
      <c r="C24" s="343" t="s">
        <v>111</v>
      </c>
      <c r="D24" s="8" t="s">
        <v>47</v>
      </c>
      <c r="E24" s="346"/>
      <c r="F24" s="8">
        <v>350</v>
      </c>
      <c r="G24" s="355"/>
      <c r="H24" s="355"/>
      <c r="I24" s="355"/>
      <c r="J24" s="334"/>
      <c r="K24" s="355"/>
      <c r="L24" s="334"/>
      <c r="M24" s="334"/>
      <c r="N24" s="450"/>
    </row>
    <row r="25" spans="1:14" s="77" customFormat="1" ht="15.75">
      <c r="A25" s="439"/>
      <c r="B25" s="195"/>
      <c r="C25" s="115" t="s">
        <v>57</v>
      </c>
      <c r="D25" s="346" t="s">
        <v>9</v>
      </c>
      <c r="E25" s="346">
        <v>0.78500000000000003</v>
      </c>
      <c r="F25" s="346">
        <f>F24*E25</f>
        <v>274.75</v>
      </c>
      <c r="G25" s="355"/>
      <c r="H25" s="355"/>
      <c r="I25" s="355"/>
      <c r="J25" s="334"/>
      <c r="K25" s="355"/>
      <c r="L25" s="334"/>
      <c r="M25" s="334"/>
      <c r="N25" s="450"/>
    </row>
    <row r="26" spans="1:14" s="77" customFormat="1" ht="31.5">
      <c r="A26" s="440" t="s">
        <v>97</v>
      </c>
      <c r="B26" s="195"/>
      <c r="C26" s="61" t="s">
        <v>248</v>
      </c>
      <c r="D26" s="195" t="s">
        <v>50</v>
      </c>
      <c r="E26" s="23"/>
      <c r="F26" s="23">
        <v>80</v>
      </c>
      <c r="G26" s="330"/>
      <c r="H26" s="330"/>
      <c r="I26" s="330"/>
      <c r="J26" s="330"/>
      <c r="K26" s="330"/>
      <c r="L26" s="330"/>
      <c r="M26" s="330"/>
      <c r="N26" s="450"/>
    </row>
    <row r="27" spans="1:14" s="77" customFormat="1" ht="15.75">
      <c r="A27" s="441"/>
      <c r="B27" s="195"/>
      <c r="C27" s="115" t="s">
        <v>57</v>
      </c>
      <c r="D27" s="346" t="s">
        <v>9</v>
      </c>
      <c r="E27" s="346">
        <v>1</v>
      </c>
      <c r="F27" s="346">
        <f>F26*E27</f>
        <v>80</v>
      </c>
      <c r="G27" s="355"/>
      <c r="H27" s="355"/>
      <c r="I27" s="355"/>
      <c r="J27" s="334"/>
      <c r="K27" s="355"/>
      <c r="L27" s="334"/>
      <c r="M27" s="334"/>
      <c r="N27" s="450"/>
    </row>
    <row r="28" spans="1:14" s="77" customFormat="1" ht="31.5">
      <c r="A28" s="440" t="s">
        <v>89</v>
      </c>
      <c r="B28" s="195"/>
      <c r="C28" s="61" t="s">
        <v>249</v>
      </c>
      <c r="D28" s="195" t="s">
        <v>47</v>
      </c>
      <c r="E28" s="23"/>
      <c r="F28" s="23">
        <v>303</v>
      </c>
      <c r="G28" s="330"/>
      <c r="H28" s="330"/>
      <c r="I28" s="330"/>
      <c r="J28" s="330"/>
      <c r="K28" s="330"/>
      <c r="L28" s="330"/>
      <c r="M28" s="330"/>
      <c r="N28" s="213"/>
    </row>
    <row r="29" spans="1:14" s="77" customFormat="1" ht="15.75">
      <c r="A29" s="441"/>
      <c r="B29" s="195"/>
      <c r="C29" s="115" t="s">
        <v>57</v>
      </c>
      <c r="D29" s="346" t="s">
        <v>9</v>
      </c>
      <c r="E29" s="346">
        <v>1</v>
      </c>
      <c r="F29" s="346">
        <f>F28*E29</f>
        <v>303</v>
      </c>
      <c r="G29" s="355"/>
      <c r="H29" s="355"/>
      <c r="I29" s="355"/>
      <c r="J29" s="334"/>
      <c r="K29" s="355"/>
      <c r="L29" s="334"/>
      <c r="M29" s="334"/>
      <c r="N29" s="213"/>
    </row>
    <row r="30" spans="1:14" s="77" customFormat="1" ht="15.75">
      <c r="A30" s="336"/>
      <c r="B30" s="195"/>
      <c r="C30" s="338"/>
      <c r="D30" s="195"/>
      <c r="E30" s="23"/>
      <c r="F30" s="23"/>
      <c r="G30" s="334"/>
      <c r="H30" s="334"/>
      <c r="I30" s="334"/>
      <c r="J30" s="334"/>
      <c r="K30" s="334"/>
      <c r="L30" s="334"/>
      <c r="M30" s="334"/>
      <c r="N30" s="213"/>
    </row>
    <row r="31" spans="1:14" s="77" customFormat="1" ht="63">
      <c r="A31" s="431" t="s">
        <v>51</v>
      </c>
      <c r="B31" s="197" t="s">
        <v>115</v>
      </c>
      <c r="C31" s="61" t="s">
        <v>313</v>
      </c>
      <c r="D31" s="195" t="s">
        <v>12</v>
      </c>
      <c r="E31" s="341"/>
      <c r="F31" s="23">
        <f>F12*0.03+F15*0.05+F18*0.03+F21*0.05+F24*0.15*0.3</f>
        <v>81.490499999999997</v>
      </c>
      <c r="G31" s="334"/>
      <c r="H31" s="334"/>
      <c r="I31" s="334"/>
      <c r="J31" s="334"/>
      <c r="K31" s="334"/>
      <c r="L31" s="334"/>
      <c r="M31" s="334"/>
      <c r="N31" s="213"/>
    </row>
    <row r="32" spans="1:14" s="77" customFormat="1" ht="15.75">
      <c r="A32" s="431"/>
      <c r="B32" s="195"/>
      <c r="C32" s="117" t="s">
        <v>57</v>
      </c>
      <c r="D32" s="43" t="s">
        <v>9</v>
      </c>
      <c r="E32" s="82">
        <v>0.6</v>
      </c>
      <c r="F32" s="44">
        <f>F31*E32</f>
        <v>48.894299999999994</v>
      </c>
      <c r="G32" s="17"/>
      <c r="H32" s="334"/>
      <c r="I32" s="17"/>
      <c r="J32" s="334"/>
      <c r="K32" s="334"/>
      <c r="L32" s="334"/>
      <c r="M32" s="334"/>
      <c r="N32" s="213"/>
    </row>
    <row r="33" spans="1:14" s="77" customFormat="1" ht="31.5">
      <c r="A33" s="431"/>
      <c r="B33" s="197" t="s">
        <v>98</v>
      </c>
      <c r="C33" s="118" t="s">
        <v>200</v>
      </c>
      <c r="D33" s="195" t="s">
        <v>44</v>
      </c>
      <c r="E33" s="82"/>
      <c r="F33" s="84">
        <f>F12*0.03*2+F15*0.05*2.4+F18*0.03*2+F21*0.05*2.4+F24*0.15*0.3*2.1</f>
        <v>165.8082</v>
      </c>
      <c r="G33" s="17"/>
      <c r="H33" s="334"/>
      <c r="I33" s="17"/>
      <c r="J33" s="334"/>
      <c r="K33" s="17"/>
      <c r="L33" s="334"/>
      <c r="M33" s="334"/>
      <c r="N33" s="213"/>
    </row>
    <row r="34" spans="1:14" s="77" customFormat="1" ht="15.75">
      <c r="A34" s="431"/>
      <c r="B34" s="324"/>
      <c r="C34" s="42" t="s">
        <v>59</v>
      </c>
      <c r="D34" s="43" t="s">
        <v>9</v>
      </c>
      <c r="E34" s="82">
        <v>0.53</v>
      </c>
      <c r="F34" s="44">
        <f>F33*E34</f>
        <v>87.878346000000008</v>
      </c>
      <c r="G34" s="17"/>
      <c r="H34" s="334"/>
      <c r="I34" s="17"/>
      <c r="J34" s="334"/>
      <c r="K34" s="17"/>
      <c r="L34" s="334"/>
      <c r="M34" s="334"/>
      <c r="N34" s="213"/>
    </row>
    <row r="35" spans="1:14" s="77" customFormat="1" ht="24" customHeight="1">
      <c r="A35" s="431"/>
      <c r="B35" s="195" t="s">
        <v>116</v>
      </c>
      <c r="C35" s="119" t="s">
        <v>203</v>
      </c>
      <c r="D35" s="195" t="s">
        <v>44</v>
      </c>
      <c r="E35" s="82"/>
      <c r="F35" s="84">
        <f>F33</f>
        <v>165.8082</v>
      </c>
      <c r="G35" s="17"/>
      <c r="H35" s="334"/>
      <c r="I35" s="17"/>
      <c r="J35" s="334"/>
      <c r="K35" s="17"/>
      <c r="L35" s="334"/>
      <c r="M35" s="334"/>
      <c r="N35" s="213"/>
    </row>
    <row r="36" spans="1:14" s="77" customFormat="1" ht="15.75">
      <c r="A36" s="327"/>
      <c r="B36" s="195"/>
      <c r="C36" s="331"/>
      <c r="D36" s="195"/>
      <c r="E36" s="23"/>
      <c r="F36" s="23"/>
      <c r="G36" s="330"/>
      <c r="H36" s="330"/>
      <c r="I36" s="330"/>
      <c r="J36" s="330"/>
      <c r="K36" s="330"/>
      <c r="L36" s="330"/>
      <c r="M36" s="330"/>
      <c r="N36" s="213"/>
    </row>
    <row r="37" spans="1:14" s="77" customFormat="1" ht="47.25">
      <c r="A37" s="97" t="s">
        <v>139</v>
      </c>
      <c r="B37" s="97"/>
      <c r="C37" s="120" t="s">
        <v>265</v>
      </c>
      <c r="D37" s="85" t="s">
        <v>50</v>
      </c>
      <c r="E37" s="356"/>
      <c r="F37" s="357">
        <v>1340</v>
      </c>
      <c r="G37" s="334"/>
      <c r="H37" s="334"/>
      <c r="I37" s="334"/>
      <c r="J37" s="334"/>
      <c r="K37" s="334"/>
      <c r="L37" s="334"/>
      <c r="M37" s="334"/>
      <c r="N37" s="213"/>
    </row>
    <row r="38" spans="1:14" s="77" customFormat="1" ht="31.5">
      <c r="A38" s="447" t="s">
        <v>100</v>
      </c>
      <c r="B38" s="29" t="s">
        <v>36</v>
      </c>
      <c r="C38" s="34" t="s">
        <v>136</v>
      </c>
      <c r="D38" s="29" t="s">
        <v>34</v>
      </c>
      <c r="E38" s="32"/>
      <c r="F38" s="35">
        <f>F37*0.2</f>
        <v>268</v>
      </c>
      <c r="G38" s="100"/>
      <c r="H38" s="30"/>
      <c r="I38" s="100"/>
      <c r="J38" s="30"/>
      <c r="K38" s="100"/>
      <c r="L38" s="30"/>
      <c r="M38" s="30"/>
      <c r="N38" s="213" t="s">
        <v>259</v>
      </c>
    </row>
    <row r="39" spans="1:14" s="77" customFormat="1" ht="15.75">
      <c r="A39" s="448"/>
      <c r="B39" s="243"/>
      <c r="C39" s="31" t="s">
        <v>37</v>
      </c>
      <c r="D39" s="135" t="s">
        <v>9</v>
      </c>
      <c r="E39" s="32">
        <v>3.88</v>
      </c>
      <c r="F39" s="33">
        <f>F38*E39</f>
        <v>1039.8399999999999</v>
      </c>
      <c r="G39" s="30"/>
      <c r="H39" s="30"/>
      <c r="I39" s="30"/>
      <c r="J39" s="30"/>
      <c r="K39" s="30"/>
      <c r="L39" s="30"/>
      <c r="M39" s="30"/>
      <c r="N39" s="213"/>
    </row>
    <row r="40" spans="1:14" s="77" customFormat="1" ht="31.5">
      <c r="A40" s="456" t="s">
        <v>78</v>
      </c>
      <c r="B40" s="360" t="s">
        <v>98</v>
      </c>
      <c r="C40" s="239" t="s">
        <v>202</v>
      </c>
      <c r="D40" s="235" t="s">
        <v>219</v>
      </c>
      <c r="E40" s="236"/>
      <c r="F40" s="237">
        <f>F38*1.95</f>
        <v>522.6</v>
      </c>
      <c r="G40" s="334"/>
      <c r="H40" s="334"/>
      <c r="I40" s="334"/>
      <c r="J40" s="334"/>
      <c r="K40" s="334"/>
      <c r="L40" s="334"/>
      <c r="M40" s="334"/>
      <c r="N40" s="213"/>
    </row>
    <row r="41" spans="1:14" s="77" customFormat="1" ht="15.75">
      <c r="A41" s="457"/>
      <c r="B41" s="336"/>
      <c r="C41" s="240" t="s">
        <v>57</v>
      </c>
      <c r="D41" s="46" t="s">
        <v>9</v>
      </c>
      <c r="E41" s="47">
        <v>0.53</v>
      </c>
      <c r="F41" s="350">
        <f>F40*E41</f>
        <v>276.97800000000001</v>
      </c>
      <c r="G41" s="334"/>
      <c r="H41" s="334"/>
      <c r="I41" s="334"/>
      <c r="J41" s="334"/>
      <c r="K41" s="334"/>
      <c r="L41" s="334"/>
      <c r="M41" s="334"/>
      <c r="N41" s="213"/>
    </row>
    <row r="42" spans="1:14" s="77" customFormat="1" ht="47.25">
      <c r="A42" s="333" t="s">
        <v>101</v>
      </c>
      <c r="B42" s="195" t="s">
        <v>220</v>
      </c>
      <c r="C42" s="347" t="s">
        <v>253</v>
      </c>
      <c r="D42" s="195" t="s">
        <v>44</v>
      </c>
      <c r="E42" s="358"/>
      <c r="F42" s="237">
        <f>F40</f>
        <v>522.6</v>
      </c>
      <c r="G42" s="334"/>
      <c r="H42" s="334"/>
      <c r="I42" s="334"/>
      <c r="J42" s="334"/>
      <c r="K42" s="17"/>
      <c r="L42" s="334"/>
      <c r="M42" s="334"/>
      <c r="N42" s="213"/>
    </row>
    <row r="43" spans="1:14" s="77" customFormat="1" ht="31.5">
      <c r="A43" s="455" t="s">
        <v>94</v>
      </c>
      <c r="B43" s="195" t="s">
        <v>39</v>
      </c>
      <c r="C43" s="28" t="s">
        <v>251</v>
      </c>
      <c r="D43" s="195" t="s">
        <v>41</v>
      </c>
      <c r="E43" s="346"/>
      <c r="F43" s="35">
        <f>F37*0.15</f>
        <v>201</v>
      </c>
      <c r="G43" s="334"/>
      <c r="H43" s="334"/>
      <c r="I43" s="334"/>
      <c r="J43" s="334"/>
      <c r="K43" s="334"/>
      <c r="L43" s="334"/>
      <c r="M43" s="334"/>
      <c r="N43" s="213"/>
    </row>
    <row r="44" spans="1:14" s="77" customFormat="1" ht="15.75">
      <c r="A44" s="456"/>
      <c r="B44" s="336"/>
      <c r="C44" s="25" t="s">
        <v>14</v>
      </c>
      <c r="D44" s="336" t="s">
        <v>15</v>
      </c>
      <c r="E44" s="346">
        <v>3.52</v>
      </c>
      <c r="F44" s="33">
        <f>E44*F43</f>
        <v>707.52</v>
      </c>
      <c r="G44" s="334"/>
      <c r="H44" s="334"/>
      <c r="I44" s="334"/>
      <c r="J44" s="334"/>
      <c r="K44" s="334"/>
      <c r="L44" s="334"/>
      <c r="M44" s="334"/>
      <c r="N44" s="213"/>
    </row>
    <row r="45" spans="1:14" s="77" customFormat="1" ht="15.75">
      <c r="A45" s="456"/>
      <c r="B45" s="336"/>
      <c r="C45" s="25" t="s">
        <v>18</v>
      </c>
      <c r="D45" s="336" t="s">
        <v>7</v>
      </c>
      <c r="E45" s="346">
        <v>1.06</v>
      </c>
      <c r="F45" s="33">
        <f>F43*E45</f>
        <v>213.06</v>
      </c>
      <c r="G45" s="334"/>
      <c r="H45" s="334"/>
      <c r="I45" s="334"/>
      <c r="J45" s="334"/>
      <c r="K45" s="334"/>
      <c r="L45" s="334"/>
      <c r="M45" s="334"/>
      <c r="N45" s="213"/>
    </row>
    <row r="46" spans="1:14" s="77" customFormat="1" ht="15.75">
      <c r="A46" s="456"/>
      <c r="B46" s="336"/>
      <c r="C46" s="25" t="s">
        <v>35</v>
      </c>
      <c r="D46" s="336" t="s">
        <v>34</v>
      </c>
      <c r="E46" s="346">
        <f>0.18+0.09+0.97</f>
        <v>1.24</v>
      </c>
      <c r="F46" s="33">
        <f>E46*F43</f>
        <v>249.24</v>
      </c>
      <c r="G46" s="334"/>
      <c r="H46" s="334"/>
      <c r="I46" s="334"/>
      <c r="J46" s="334"/>
      <c r="K46" s="334"/>
      <c r="L46" s="334"/>
      <c r="M46" s="334"/>
      <c r="N46" s="213"/>
    </row>
    <row r="47" spans="1:14" s="77" customFormat="1" ht="15.75">
      <c r="A47" s="457"/>
      <c r="B47" s="336"/>
      <c r="C47" s="136" t="s">
        <v>53</v>
      </c>
      <c r="D47" s="243" t="s">
        <v>7</v>
      </c>
      <c r="E47" s="346">
        <v>0.02</v>
      </c>
      <c r="F47" s="33">
        <f>F43*E47</f>
        <v>4.0200000000000005</v>
      </c>
      <c r="G47" s="30"/>
      <c r="H47" s="334"/>
      <c r="I47" s="15"/>
      <c r="J47" s="334"/>
      <c r="K47" s="16"/>
      <c r="L47" s="334"/>
      <c r="M47" s="334"/>
      <c r="N47" s="213"/>
    </row>
    <row r="48" spans="1:14" s="77" customFormat="1" ht="15.75">
      <c r="A48" s="455" t="s">
        <v>96</v>
      </c>
      <c r="B48" s="195" t="s">
        <v>92</v>
      </c>
      <c r="C48" s="454" t="s">
        <v>252</v>
      </c>
      <c r="D48" s="195" t="s">
        <v>50</v>
      </c>
      <c r="E48" s="346"/>
      <c r="F48" s="35">
        <f>F37</f>
        <v>1340</v>
      </c>
      <c r="G48" s="81"/>
      <c r="H48" s="334"/>
      <c r="I48" s="334"/>
      <c r="J48" s="334"/>
      <c r="K48" s="81"/>
      <c r="L48" s="334"/>
      <c r="M48" s="334"/>
      <c r="N48" s="213"/>
    </row>
    <row r="49" spans="1:14" s="77" customFormat="1" ht="15.75">
      <c r="A49" s="456"/>
      <c r="B49" s="336"/>
      <c r="C49" s="454"/>
      <c r="D49" s="195" t="s">
        <v>41</v>
      </c>
      <c r="E49" s="346"/>
      <c r="F49" s="35">
        <f>F48*0.12</f>
        <v>160.79999999999998</v>
      </c>
      <c r="G49" s="81"/>
      <c r="H49" s="334"/>
      <c r="I49" s="334"/>
      <c r="J49" s="334"/>
      <c r="K49" s="81"/>
      <c r="L49" s="334"/>
      <c r="M49" s="334"/>
      <c r="N49" s="213"/>
    </row>
    <row r="50" spans="1:14" s="77" customFormat="1" ht="15.75">
      <c r="A50" s="456"/>
      <c r="B50" s="336"/>
      <c r="C50" s="11" t="s">
        <v>40</v>
      </c>
      <c r="D50" s="336" t="s">
        <v>9</v>
      </c>
      <c r="E50" s="346">
        <v>2.9</v>
      </c>
      <c r="F50" s="33">
        <f>F49*E50</f>
        <v>466.31999999999994</v>
      </c>
      <c r="G50" s="334"/>
      <c r="H50" s="334"/>
      <c r="I50" s="334"/>
      <c r="J50" s="334"/>
      <c r="K50" s="81"/>
      <c r="L50" s="334"/>
      <c r="M50" s="334"/>
      <c r="N50" s="213"/>
    </row>
    <row r="51" spans="1:14" s="77" customFormat="1" ht="15.75">
      <c r="A51" s="456"/>
      <c r="B51" s="336"/>
      <c r="C51" s="11" t="s">
        <v>352</v>
      </c>
      <c r="D51" s="336" t="s">
        <v>41</v>
      </c>
      <c r="E51" s="346">
        <v>1.02</v>
      </c>
      <c r="F51" s="33">
        <f>F49*E51</f>
        <v>164.01599999999999</v>
      </c>
      <c r="G51" s="81"/>
      <c r="H51" s="334"/>
      <c r="I51" s="334"/>
      <c r="J51" s="334"/>
      <c r="K51" s="81"/>
      <c r="L51" s="334"/>
      <c r="M51" s="334"/>
      <c r="N51" s="213"/>
    </row>
    <row r="52" spans="1:14" s="77" customFormat="1" ht="15.75">
      <c r="A52" s="456"/>
      <c r="B52" s="336"/>
      <c r="C52" s="28" t="s">
        <v>137</v>
      </c>
      <c r="D52" s="336" t="s">
        <v>44</v>
      </c>
      <c r="E52" s="346">
        <v>1.03</v>
      </c>
      <c r="F52" s="35">
        <f>F48*8*2*1*1*E52*0.395/1000</f>
        <v>8.7228640000000013</v>
      </c>
      <c r="G52" s="334"/>
      <c r="H52" s="334"/>
      <c r="I52" s="334"/>
      <c r="J52" s="334"/>
      <c r="K52" s="81"/>
      <c r="L52" s="334"/>
      <c r="M52" s="334"/>
      <c r="N52" s="213"/>
    </row>
    <row r="53" spans="1:14" s="77" customFormat="1" ht="15.75">
      <c r="A53" s="457"/>
      <c r="B53" s="336"/>
      <c r="C53" s="11" t="s">
        <v>17</v>
      </c>
      <c r="D53" s="336" t="s">
        <v>7</v>
      </c>
      <c r="E53" s="346">
        <v>0.88</v>
      </c>
      <c r="F53" s="33">
        <f>F49*E53</f>
        <v>141.50399999999999</v>
      </c>
      <c r="G53" s="81"/>
      <c r="H53" s="334"/>
      <c r="I53" s="334"/>
      <c r="J53" s="334"/>
      <c r="K53" s="81"/>
      <c r="L53" s="334"/>
      <c r="M53" s="334"/>
      <c r="N53" s="213"/>
    </row>
    <row r="54" spans="1:14" s="77" customFormat="1" ht="47.25">
      <c r="A54" s="455" t="s">
        <v>97</v>
      </c>
      <c r="B54" s="193" t="s">
        <v>250</v>
      </c>
      <c r="C54" s="105" t="s">
        <v>254</v>
      </c>
      <c r="D54" s="354" t="s">
        <v>50</v>
      </c>
      <c r="E54" s="107"/>
      <c r="F54" s="50">
        <f>F37</f>
        <v>1340</v>
      </c>
      <c r="G54" s="334"/>
      <c r="H54" s="334"/>
      <c r="I54" s="334"/>
      <c r="J54" s="334"/>
      <c r="K54" s="334"/>
      <c r="L54" s="334"/>
      <c r="M54" s="334"/>
      <c r="N54" s="213"/>
    </row>
    <row r="55" spans="1:14" s="77" customFormat="1" ht="15.75">
      <c r="A55" s="456"/>
      <c r="B55" s="193"/>
      <c r="C55" s="40" t="s">
        <v>40</v>
      </c>
      <c r="D55" s="349" t="s">
        <v>9</v>
      </c>
      <c r="E55" s="18">
        <v>11.8</v>
      </c>
      <c r="F55" s="19">
        <f>F54*E55</f>
        <v>15812.000000000002</v>
      </c>
      <c r="G55" s="6"/>
      <c r="H55" s="6"/>
      <c r="I55" s="6"/>
      <c r="J55" s="6"/>
      <c r="K55" s="6"/>
      <c r="L55" s="194"/>
      <c r="M55" s="194"/>
      <c r="N55" s="213"/>
    </row>
    <row r="56" spans="1:14" s="77" customFormat="1" ht="15.75">
      <c r="A56" s="456"/>
      <c r="B56" s="193"/>
      <c r="C56" s="40" t="s">
        <v>18</v>
      </c>
      <c r="D56" s="349" t="s">
        <v>7</v>
      </c>
      <c r="E56" s="18">
        <v>0.15</v>
      </c>
      <c r="F56" s="19">
        <f>F54*E56</f>
        <v>201</v>
      </c>
      <c r="G56" s="6"/>
      <c r="H56" s="6"/>
      <c r="I56" s="6"/>
      <c r="J56" s="6"/>
      <c r="K56" s="6"/>
      <c r="L56" s="194"/>
      <c r="M56" s="194"/>
      <c r="N56" s="213"/>
    </row>
    <row r="57" spans="1:14" s="77" customFormat="1" ht="15.75">
      <c r="A57" s="456"/>
      <c r="B57" s="193"/>
      <c r="C57" s="40" t="s">
        <v>260</v>
      </c>
      <c r="D57" s="349" t="s">
        <v>50</v>
      </c>
      <c r="E57" s="18">
        <v>1</v>
      </c>
      <c r="F57" s="19">
        <f>F54*E57</f>
        <v>1340</v>
      </c>
      <c r="G57" s="6"/>
      <c r="H57" s="6"/>
      <c r="I57" s="6"/>
      <c r="J57" s="6"/>
      <c r="K57" s="6"/>
      <c r="L57" s="194"/>
      <c r="M57" s="194"/>
      <c r="N57" s="213"/>
    </row>
    <row r="58" spans="1:14" s="77" customFormat="1" ht="15.75">
      <c r="A58" s="456"/>
      <c r="B58" s="193"/>
      <c r="C58" s="40" t="s">
        <v>215</v>
      </c>
      <c r="D58" s="349" t="s">
        <v>41</v>
      </c>
      <c r="E58" s="18">
        <v>3.5999999999999997E-2</v>
      </c>
      <c r="F58" s="19">
        <f>F54*E58</f>
        <v>48.239999999999995</v>
      </c>
      <c r="G58" s="6"/>
      <c r="H58" s="6"/>
      <c r="I58" s="6"/>
      <c r="J58" s="6"/>
      <c r="K58" s="6"/>
      <c r="L58" s="194"/>
      <c r="M58" s="194"/>
      <c r="N58" s="213"/>
    </row>
    <row r="59" spans="1:14" s="77" customFormat="1" ht="15.75">
      <c r="A59" s="457"/>
      <c r="B59" s="193"/>
      <c r="C59" s="40" t="s">
        <v>53</v>
      </c>
      <c r="D59" s="349" t="s">
        <v>7</v>
      </c>
      <c r="E59" s="18">
        <v>0.1</v>
      </c>
      <c r="F59" s="19">
        <f>F54*E59</f>
        <v>134</v>
      </c>
      <c r="G59" s="6"/>
      <c r="H59" s="6"/>
      <c r="I59" s="6"/>
      <c r="J59" s="6"/>
      <c r="K59" s="6"/>
      <c r="L59" s="194"/>
      <c r="M59" s="194"/>
      <c r="N59" s="213"/>
    </row>
    <row r="60" spans="1:14" s="77" customFormat="1" ht="47.25">
      <c r="A60" s="97" t="s">
        <v>56</v>
      </c>
      <c r="B60" s="97"/>
      <c r="C60" s="120" t="s">
        <v>262</v>
      </c>
      <c r="D60" s="85" t="s">
        <v>50</v>
      </c>
      <c r="E60" s="356"/>
      <c r="F60" s="357">
        <v>750</v>
      </c>
      <c r="G60" s="334"/>
      <c r="H60" s="334"/>
      <c r="I60" s="334"/>
      <c r="J60" s="334"/>
      <c r="K60" s="334"/>
      <c r="L60" s="334"/>
      <c r="M60" s="334"/>
      <c r="N60" s="213"/>
    </row>
    <row r="61" spans="1:14" s="77" customFormat="1" ht="31.5">
      <c r="A61" s="447" t="s">
        <v>100</v>
      </c>
      <c r="B61" s="29" t="s">
        <v>36</v>
      </c>
      <c r="C61" s="34" t="s">
        <v>136</v>
      </c>
      <c r="D61" s="29" t="s">
        <v>34</v>
      </c>
      <c r="E61" s="32"/>
      <c r="F61" s="35">
        <f>F60*0.25</f>
        <v>187.5</v>
      </c>
      <c r="G61" s="100"/>
      <c r="H61" s="30"/>
      <c r="I61" s="100"/>
      <c r="J61" s="30"/>
      <c r="K61" s="100"/>
      <c r="L61" s="30"/>
      <c r="M61" s="30"/>
      <c r="N61" s="213" t="s">
        <v>258</v>
      </c>
    </row>
    <row r="62" spans="1:14" s="77" customFormat="1" ht="15.75">
      <c r="A62" s="448"/>
      <c r="B62" s="243"/>
      <c r="C62" s="31" t="s">
        <v>37</v>
      </c>
      <c r="D62" s="135" t="s">
        <v>9</v>
      </c>
      <c r="E62" s="32">
        <v>3.88</v>
      </c>
      <c r="F62" s="33">
        <f>F61*E62</f>
        <v>727.5</v>
      </c>
      <c r="G62" s="30"/>
      <c r="H62" s="30"/>
      <c r="I62" s="30"/>
      <c r="J62" s="30"/>
      <c r="K62" s="30"/>
      <c r="L62" s="30"/>
      <c r="M62" s="30"/>
      <c r="N62" s="213"/>
    </row>
    <row r="63" spans="1:14" s="77" customFormat="1" ht="31.5">
      <c r="A63" s="456" t="s">
        <v>78</v>
      </c>
      <c r="B63" s="359" t="s">
        <v>98</v>
      </c>
      <c r="C63" s="239" t="s">
        <v>202</v>
      </c>
      <c r="D63" s="235" t="s">
        <v>219</v>
      </c>
      <c r="E63" s="236"/>
      <c r="F63" s="237">
        <f>F61*1.95</f>
        <v>365.625</v>
      </c>
      <c r="G63" s="334"/>
      <c r="H63" s="334"/>
      <c r="I63" s="334"/>
      <c r="J63" s="334"/>
      <c r="K63" s="334"/>
      <c r="L63" s="334"/>
      <c r="M63" s="334"/>
      <c r="N63" s="213"/>
    </row>
    <row r="64" spans="1:14" s="77" customFormat="1" ht="15.75">
      <c r="A64" s="457"/>
      <c r="B64" s="195"/>
      <c r="C64" s="240" t="s">
        <v>57</v>
      </c>
      <c r="D64" s="46" t="s">
        <v>9</v>
      </c>
      <c r="E64" s="47">
        <v>0.53</v>
      </c>
      <c r="F64" s="350">
        <f>F63*E64</f>
        <v>193.78125</v>
      </c>
      <c r="G64" s="334"/>
      <c r="H64" s="334"/>
      <c r="I64" s="334"/>
      <c r="J64" s="334"/>
      <c r="K64" s="334"/>
      <c r="L64" s="334"/>
      <c r="M64" s="334"/>
      <c r="N64" s="213"/>
    </row>
    <row r="65" spans="1:14" s="77" customFormat="1" ht="47.25">
      <c r="A65" s="333" t="s">
        <v>101</v>
      </c>
      <c r="B65" s="195" t="s">
        <v>220</v>
      </c>
      <c r="C65" s="347" t="s">
        <v>253</v>
      </c>
      <c r="D65" s="195" t="s">
        <v>44</v>
      </c>
      <c r="E65" s="358"/>
      <c r="F65" s="237">
        <f>F63</f>
        <v>365.625</v>
      </c>
      <c r="G65" s="334"/>
      <c r="H65" s="334"/>
      <c r="I65" s="334"/>
      <c r="J65" s="334"/>
      <c r="K65" s="17"/>
      <c r="L65" s="334"/>
      <c r="M65" s="334"/>
      <c r="N65" s="213"/>
    </row>
    <row r="66" spans="1:14" s="77" customFormat="1" ht="31.5">
      <c r="A66" s="455" t="s">
        <v>94</v>
      </c>
      <c r="B66" s="195" t="s">
        <v>39</v>
      </c>
      <c r="C66" s="28" t="s">
        <v>251</v>
      </c>
      <c r="D66" s="195" t="s">
        <v>41</v>
      </c>
      <c r="E66" s="346"/>
      <c r="F66" s="35">
        <f>F60*0.15</f>
        <v>112.5</v>
      </c>
      <c r="G66" s="334"/>
      <c r="H66" s="334"/>
      <c r="I66" s="334"/>
      <c r="J66" s="334"/>
      <c r="K66" s="334"/>
      <c r="L66" s="334"/>
      <c r="M66" s="334"/>
      <c r="N66" s="213"/>
    </row>
    <row r="67" spans="1:14" s="77" customFormat="1" ht="15.75">
      <c r="A67" s="456"/>
      <c r="B67" s="336"/>
      <c r="C67" s="25" t="s">
        <v>14</v>
      </c>
      <c r="D67" s="336" t="s">
        <v>15</v>
      </c>
      <c r="E67" s="346">
        <v>3.52</v>
      </c>
      <c r="F67" s="33">
        <f>E67*F66</f>
        <v>396</v>
      </c>
      <c r="G67" s="334"/>
      <c r="H67" s="334"/>
      <c r="I67" s="334"/>
      <c r="J67" s="334"/>
      <c r="K67" s="334"/>
      <c r="L67" s="334"/>
      <c r="M67" s="334"/>
      <c r="N67" s="213"/>
    </row>
    <row r="68" spans="1:14" s="77" customFormat="1" ht="15.75">
      <c r="A68" s="456"/>
      <c r="B68" s="336"/>
      <c r="C68" s="25" t="s">
        <v>18</v>
      </c>
      <c r="D68" s="336" t="s">
        <v>7</v>
      </c>
      <c r="E68" s="346">
        <v>1.06</v>
      </c>
      <c r="F68" s="33">
        <f>F66*E68</f>
        <v>119.25</v>
      </c>
      <c r="G68" s="334"/>
      <c r="H68" s="334"/>
      <c r="I68" s="334"/>
      <c r="J68" s="334"/>
      <c r="K68" s="334"/>
      <c r="L68" s="334"/>
      <c r="M68" s="334"/>
      <c r="N68" s="213"/>
    </row>
    <row r="69" spans="1:14" s="77" customFormat="1" ht="15.75">
      <c r="A69" s="456"/>
      <c r="B69" s="336"/>
      <c r="C69" s="25" t="s">
        <v>35</v>
      </c>
      <c r="D69" s="336" t="s">
        <v>34</v>
      </c>
      <c r="E69" s="346">
        <f>0.18+0.09+0.97</f>
        <v>1.24</v>
      </c>
      <c r="F69" s="33">
        <f>E69*F66</f>
        <v>139.5</v>
      </c>
      <c r="G69" s="334"/>
      <c r="H69" s="334"/>
      <c r="I69" s="334"/>
      <c r="J69" s="334"/>
      <c r="K69" s="334"/>
      <c r="L69" s="334"/>
      <c r="M69" s="334"/>
      <c r="N69" s="213"/>
    </row>
    <row r="70" spans="1:14" s="77" customFormat="1" ht="15.75">
      <c r="A70" s="457"/>
      <c r="B70" s="336"/>
      <c r="C70" s="136" t="s">
        <v>53</v>
      </c>
      <c r="D70" s="243" t="s">
        <v>7</v>
      </c>
      <c r="E70" s="346">
        <v>0.02</v>
      </c>
      <c r="F70" s="33">
        <f>F66*E70</f>
        <v>2.25</v>
      </c>
      <c r="G70" s="30"/>
      <c r="H70" s="334"/>
      <c r="I70" s="15"/>
      <c r="J70" s="334"/>
      <c r="K70" s="16"/>
      <c r="L70" s="334"/>
      <c r="M70" s="334"/>
      <c r="N70" s="213"/>
    </row>
    <row r="71" spans="1:14" s="77" customFormat="1" ht="15.75">
      <c r="A71" s="455" t="s">
        <v>96</v>
      </c>
      <c r="B71" s="195" t="s">
        <v>92</v>
      </c>
      <c r="C71" s="454" t="s">
        <v>255</v>
      </c>
      <c r="D71" s="195" t="s">
        <v>50</v>
      </c>
      <c r="E71" s="346"/>
      <c r="F71" s="35">
        <f>F60</f>
        <v>750</v>
      </c>
      <c r="G71" s="81"/>
      <c r="H71" s="334"/>
      <c r="I71" s="334"/>
      <c r="J71" s="334"/>
      <c r="K71" s="81"/>
      <c r="L71" s="334"/>
      <c r="M71" s="334"/>
      <c r="N71" s="213"/>
    </row>
    <row r="72" spans="1:14" s="77" customFormat="1" ht="15.75">
      <c r="A72" s="456"/>
      <c r="B72" s="336"/>
      <c r="C72" s="454"/>
      <c r="D72" s="195" t="s">
        <v>41</v>
      </c>
      <c r="E72" s="346"/>
      <c r="F72" s="35">
        <f>F71*0.15</f>
        <v>112.5</v>
      </c>
      <c r="G72" s="81"/>
      <c r="H72" s="334"/>
      <c r="I72" s="334"/>
      <c r="J72" s="334"/>
      <c r="K72" s="81"/>
      <c r="L72" s="334"/>
      <c r="M72" s="334"/>
      <c r="N72" s="213"/>
    </row>
    <row r="73" spans="1:14" s="77" customFormat="1" ht="15.75">
      <c r="A73" s="456"/>
      <c r="B73" s="336"/>
      <c r="C73" s="11" t="s">
        <v>40</v>
      </c>
      <c r="D73" s="336" t="s">
        <v>9</v>
      </c>
      <c r="E73" s="346">
        <v>2.9</v>
      </c>
      <c r="F73" s="33">
        <f>F72*E73</f>
        <v>326.25</v>
      </c>
      <c r="G73" s="334"/>
      <c r="H73" s="334"/>
      <c r="I73" s="334"/>
      <c r="J73" s="334"/>
      <c r="K73" s="81"/>
      <c r="L73" s="334"/>
      <c r="M73" s="334"/>
      <c r="N73" s="213"/>
    </row>
    <row r="74" spans="1:14" s="77" customFormat="1" ht="15.75">
      <c r="A74" s="456"/>
      <c r="B74" s="336"/>
      <c r="C74" s="11" t="s">
        <v>352</v>
      </c>
      <c r="D74" s="336" t="s">
        <v>41</v>
      </c>
      <c r="E74" s="346">
        <v>1.02</v>
      </c>
      <c r="F74" s="33">
        <f>F72*E74</f>
        <v>114.75</v>
      </c>
      <c r="G74" s="81"/>
      <c r="H74" s="334"/>
      <c r="I74" s="334"/>
      <c r="J74" s="334"/>
      <c r="K74" s="81"/>
      <c r="L74" s="334"/>
      <c r="M74" s="334"/>
      <c r="N74" s="213"/>
    </row>
    <row r="75" spans="1:14" s="77" customFormat="1" ht="15.75">
      <c r="A75" s="456"/>
      <c r="B75" s="336"/>
      <c r="C75" s="28" t="s">
        <v>257</v>
      </c>
      <c r="D75" s="336" t="s">
        <v>44</v>
      </c>
      <c r="E75" s="346"/>
      <c r="F75" s="35">
        <f>F71*16*2*1.03*0.395/1000</f>
        <v>9.7644000000000002</v>
      </c>
      <c r="G75" s="334"/>
      <c r="H75" s="334"/>
      <c r="I75" s="334"/>
      <c r="J75" s="334"/>
      <c r="K75" s="81"/>
      <c r="L75" s="334"/>
      <c r="M75" s="334"/>
      <c r="N75" s="213"/>
    </row>
    <row r="76" spans="1:14" s="77" customFormat="1" ht="15.75">
      <c r="A76" s="456"/>
      <c r="B76" s="336"/>
      <c r="C76" s="28" t="s">
        <v>256</v>
      </c>
      <c r="D76" s="337" t="s">
        <v>44</v>
      </c>
      <c r="E76" s="341"/>
      <c r="F76" s="361">
        <f>F60*3*3*0.2*1.03*0.395/1000</f>
        <v>0.54924750000000011</v>
      </c>
      <c r="G76" s="334"/>
      <c r="H76" s="334"/>
      <c r="I76" s="334"/>
      <c r="J76" s="334"/>
      <c r="K76" s="81"/>
      <c r="L76" s="334"/>
      <c r="M76" s="334"/>
      <c r="N76" s="213"/>
    </row>
    <row r="77" spans="1:14" s="77" customFormat="1" ht="15.75">
      <c r="A77" s="457"/>
      <c r="B77" s="336"/>
      <c r="C77" s="11" t="s">
        <v>17</v>
      </c>
      <c r="D77" s="336" t="s">
        <v>7</v>
      </c>
      <c r="E77" s="346">
        <v>0.88</v>
      </c>
      <c r="F77" s="33">
        <f>F72*E77</f>
        <v>99</v>
      </c>
      <c r="G77" s="81"/>
      <c r="H77" s="334"/>
      <c r="I77" s="334"/>
      <c r="J77" s="334"/>
      <c r="K77" s="81"/>
      <c r="L77" s="334"/>
      <c r="M77" s="334"/>
      <c r="N77" s="213"/>
    </row>
    <row r="78" spans="1:14" s="77" customFormat="1" ht="47.25">
      <c r="A78" s="455" t="s">
        <v>97</v>
      </c>
      <c r="B78" s="193" t="s">
        <v>250</v>
      </c>
      <c r="C78" s="105" t="s">
        <v>263</v>
      </c>
      <c r="D78" s="354" t="s">
        <v>50</v>
      </c>
      <c r="E78" s="107"/>
      <c r="F78" s="50">
        <f>F60</f>
        <v>750</v>
      </c>
      <c r="G78" s="334"/>
      <c r="H78" s="334"/>
      <c r="I78" s="334"/>
      <c r="J78" s="334"/>
      <c r="K78" s="334"/>
      <c r="L78" s="334"/>
      <c r="M78" s="334"/>
      <c r="N78" s="213"/>
    </row>
    <row r="79" spans="1:14" s="77" customFormat="1" ht="15.75">
      <c r="A79" s="456"/>
      <c r="B79" s="193"/>
      <c r="C79" s="40" t="s">
        <v>40</v>
      </c>
      <c r="D79" s="349" t="s">
        <v>9</v>
      </c>
      <c r="E79" s="18">
        <v>11.8</v>
      </c>
      <c r="F79" s="19">
        <f>F78*E79</f>
        <v>8850</v>
      </c>
      <c r="G79" s="6"/>
      <c r="H79" s="6"/>
      <c r="I79" s="6"/>
      <c r="J79" s="6"/>
      <c r="K79" s="6"/>
      <c r="L79" s="194"/>
      <c r="M79" s="194"/>
      <c r="N79" s="213"/>
    </row>
    <row r="80" spans="1:14" s="77" customFormat="1" ht="15.75">
      <c r="A80" s="456"/>
      <c r="B80" s="193"/>
      <c r="C80" s="40" t="s">
        <v>18</v>
      </c>
      <c r="D80" s="349" t="s">
        <v>7</v>
      </c>
      <c r="E80" s="18">
        <v>0.15</v>
      </c>
      <c r="F80" s="19">
        <f>F78*E80</f>
        <v>112.5</v>
      </c>
      <c r="G80" s="6"/>
      <c r="H80" s="6"/>
      <c r="I80" s="6"/>
      <c r="J80" s="6"/>
      <c r="K80" s="6"/>
      <c r="L80" s="194"/>
      <c r="M80" s="194"/>
      <c r="N80" s="213"/>
    </row>
    <row r="81" spans="1:14" s="77" customFormat="1" ht="15.75">
      <c r="A81" s="456"/>
      <c r="B81" s="193"/>
      <c r="C81" s="40" t="s">
        <v>261</v>
      </c>
      <c r="D81" s="349" t="s">
        <v>50</v>
      </c>
      <c r="E81" s="18">
        <v>1</v>
      </c>
      <c r="F81" s="19">
        <f>F78*E81</f>
        <v>750</v>
      </c>
      <c r="G81" s="6"/>
      <c r="H81" s="6"/>
      <c r="I81" s="6"/>
      <c r="J81" s="6"/>
      <c r="K81" s="6"/>
      <c r="L81" s="194"/>
      <c r="M81" s="194"/>
      <c r="N81" s="213"/>
    </row>
    <row r="82" spans="1:14" s="77" customFormat="1" ht="15.75">
      <c r="A82" s="456"/>
      <c r="B82" s="193"/>
      <c r="C82" s="40" t="s">
        <v>215</v>
      </c>
      <c r="D82" s="349" t="s">
        <v>41</v>
      </c>
      <c r="E82" s="18">
        <v>3.5999999999999997E-2</v>
      </c>
      <c r="F82" s="19">
        <f>F78*E82</f>
        <v>26.999999999999996</v>
      </c>
      <c r="G82" s="6"/>
      <c r="H82" s="6"/>
      <c r="I82" s="6"/>
      <c r="J82" s="6"/>
      <c r="K82" s="6"/>
      <c r="L82" s="194"/>
      <c r="M82" s="194"/>
      <c r="N82" s="213"/>
    </row>
    <row r="83" spans="1:14" s="77" customFormat="1" ht="15.75">
      <c r="A83" s="457"/>
      <c r="B83" s="193"/>
      <c r="C83" s="40" t="s">
        <v>53</v>
      </c>
      <c r="D83" s="349" t="s">
        <v>7</v>
      </c>
      <c r="E83" s="18">
        <v>0.1</v>
      </c>
      <c r="F83" s="19">
        <f>F78*E83</f>
        <v>75</v>
      </c>
      <c r="G83" s="6"/>
      <c r="H83" s="6"/>
      <c r="I83" s="6"/>
      <c r="J83" s="6"/>
      <c r="K83" s="6"/>
      <c r="L83" s="194"/>
      <c r="M83" s="194"/>
      <c r="N83" s="213"/>
    </row>
    <row r="84" spans="1:14" s="77" customFormat="1" ht="31.5">
      <c r="A84" s="362" t="s">
        <v>138</v>
      </c>
      <c r="B84" s="362"/>
      <c r="C84" s="120" t="s">
        <v>317</v>
      </c>
      <c r="D84" s="120" t="s">
        <v>47</v>
      </c>
      <c r="E84" s="52"/>
      <c r="F84" s="52">
        <v>350</v>
      </c>
      <c r="G84" s="334"/>
      <c r="H84" s="334"/>
      <c r="I84" s="334"/>
      <c r="J84" s="334"/>
      <c r="K84" s="334"/>
      <c r="L84" s="334"/>
      <c r="M84" s="334"/>
      <c r="N84" s="213"/>
    </row>
    <row r="85" spans="1:14" s="77" customFormat="1" ht="31.5">
      <c r="A85" s="434" t="s">
        <v>100</v>
      </c>
      <c r="B85" s="338" t="s">
        <v>63</v>
      </c>
      <c r="C85" s="61" t="s">
        <v>266</v>
      </c>
      <c r="D85" s="338" t="s">
        <v>41</v>
      </c>
      <c r="E85" s="341"/>
      <c r="F85" s="23">
        <f>0.3*(0.1+0.1)*F84</f>
        <v>21</v>
      </c>
      <c r="G85" s="334"/>
      <c r="H85" s="334"/>
      <c r="I85" s="334"/>
      <c r="J85" s="334"/>
      <c r="K85" s="334"/>
      <c r="L85" s="334"/>
      <c r="M85" s="334"/>
      <c r="N85" s="213"/>
    </row>
    <row r="86" spans="1:14" s="77" customFormat="1" ht="15.75">
      <c r="A86" s="436"/>
      <c r="B86" s="363"/>
      <c r="C86" s="104" t="s">
        <v>40</v>
      </c>
      <c r="D86" s="364" t="s">
        <v>9</v>
      </c>
      <c r="E86" s="107">
        <v>2.06</v>
      </c>
      <c r="F86" s="107">
        <f>E86*F85</f>
        <v>43.26</v>
      </c>
      <c r="G86" s="37"/>
      <c r="H86" s="334"/>
      <c r="I86" s="37"/>
      <c r="J86" s="334"/>
      <c r="K86" s="334"/>
      <c r="L86" s="334"/>
      <c r="M86" s="334"/>
      <c r="N86" s="213"/>
    </row>
    <row r="87" spans="1:14" s="77" customFormat="1" ht="31.5">
      <c r="A87" s="430" t="s">
        <v>78</v>
      </c>
      <c r="B87" s="365" t="s">
        <v>98</v>
      </c>
      <c r="C87" s="239" t="s">
        <v>202</v>
      </c>
      <c r="D87" s="366" t="s">
        <v>219</v>
      </c>
      <c r="E87" s="367"/>
      <c r="F87" s="237">
        <f>(F85)*1.95</f>
        <v>40.949999999999996</v>
      </c>
      <c r="G87" s="334"/>
      <c r="H87" s="6"/>
      <c r="I87" s="334"/>
      <c r="J87" s="6"/>
      <c r="K87" s="334"/>
      <c r="L87" s="6"/>
      <c r="M87" s="6"/>
      <c r="N87" s="213"/>
    </row>
    <row r="88" spans="1:14" s="77" customFormat="1" ht="15.75">
      <c r="A88" s="430"/>
      <c r="B88" s="337"/>
      <c r="C88" s="240" t="s">
        <v>57</v>
      </c>
      <c r="D88" s="368" t="s">
        <v>9</v>
      </c>
      <c r="E88" s="369">
        <v>0.53</v>
      </c>
      <c r="F88" s="350">
        <f>F87*E88</f>
        <v>21.703499999999998</v>
      </c>
      <c r="G88" s="334"/>
      <c r="H88" s="6"/>
      <c r="I88" s="334"/>
      <c r="J88" s="6"/>
      <c r="K88" s="334"/>
      <c r="L88" s="6"/>
      <c r="M88" s="6"/>
      <c r="N88" s="213"/>
    </row>
    <row r="89" spans="1:14" s="77" customFormat="1" ht="47.25">
      <c r="A89" s="370" t="s">
        <v>101</v>
      </c>
      <c r="B89" s="337" t="s">
        <v>220</v>
      </c>
      <c r="C89" s="347" t="s">
        <v>253</v>
      </c>
      <c r="D89" s="338" t="s">
        <v>44</v>
      </c>
      <c r="E89" s="23"/>
      <c r="F89" s="237">
        <f>F87</f>
        <v>40.949999999999996</v>
      </c>
      <c r="G89" s="334"/>
      <c r="H89" s="6"/>
      <c r="I89" s="334"/>
      <c r="J89" s="6"/>
      <c r="K89" s="17"/>
      <c r="L89" s="6"/>
      <c r="M89" s="6"/>
      <c r="N89" s="213"/>
    </row>
    <row r="90" spans="1:14" s="77" customFormat="1" ht="31.5">
      <c r="A90" s="451" t="s">
        <v>94</v>
      </c>
      <c r="B90" s="338" t="s">
        <v>267</v>
      </c>
      <c r="C90" s="61" t="s">
        <v>268</v>
      </c>
      <c r="D90" s="338" t="s">
        <v>269</v>
      </c>
      <c r="E90" s="341"/>
      <c r="F90" s="23">
        <f>0.1*0.3*F84</f>
        <v>10.5</v>
      </c>
      <c r="G90" s="334"/>
      <c r="H90" s="334"/>
      <c r="I90" s="334"/>
      <c r="J90" s="334"/>
      <c r="K90" s="334"/>
      <c r="L90" s="334"/>
      <c r="M90" s="334"/>
      <c r="N90" s="213"/>
    </row>
    <row r="91" spans="1:14" s="77" customFormat="1" ht="15.75">
      <c r="A91" s="452"/>
      <c r="B91" s="337"/>
      <c r="C91" s="25" t="s">
        <v>14</v>
      </c>
      <c r="D91" s="337" t="s">
        <v>15</v>
      </c>
      <c r="E91" s="341">
        <v>0.89</v>
      </c>
      <c r="F91" s="341">
        <f>E91*F90</f>
        <v>9.3450000000000006</v>
      </c>
      <c r="G91" s="334"/>
      <c r="H91" s="334"/>
      <c r="I91" s="334"/>
      <c r="J91" s="334"/>
      <c r="K91" s="334"/>
      <c r="L91" s="334"/>
      <c r="M91" s="334"/>
      <c r="N91" s="213"/>
    </row>
    <row r="92" spans="1:14" s="77" customFormat="1" ht="15.75">
      <c r="A92" s="452"/>
      <c r="B92" s="337"/>
      <c r="C92" s="25" t="s">
        <v>18</v>
      </c>
      <c r="D92" s="337" t="s">
        <v>7</v>
      </c>
      <c r="E92" s="341">
        <v>0.37</v>
      </c>
      <c r="F92" s="350">
        <f>F90*E92</f>
        <v>3.8849999999999998</v>
      </c>
      <c r="G92" s="334"/>
      <c r="H92" s="334"/>
      <c r="I92" s="334"/>
      <c r="J92" s="334"/>
      <c r="K92" s="334"/>
      <c r="L92" s="334"/>
      <c r="M92" s="334"/>
      <c r="N92" s="213"/>
    </row>
    <row r="93" spans="1:14" s="77" customFormat="1" ht="18">
      <c r="A93" s="452"/>
      <c r="B93" s="337"/>
      <c r="C93" s="25" t="s">
        <v>35</v>
      </c>
      <c r="D93" s="337" t="s">
        <v>270</v>
      </c>
      <c r="E93" s="341">
        <v>1.1499999999999999</v>
      </c>
      <c r="F93" s="341">
        <f>E93*F90</f>
        <v>12.074999999999999</v>
      </c>
      <c r="G93" s="334"/>
      <c r="H93" s="334"/>
      <c r="I93" s="334"/>
      <c r="J93" s="334"/>
      <c r="K93" s="334"/>
      <c r="L93" s="334"/>
      <c r="M93" s="334"/>
      <c r="N93" s="213"/>
    </row>
    <row r="94" spans="1:14" s="77" customFormat="1" ht="15.75">
      <c r="A94" s="453"/>
      <c r="B94" s="337"/>
      <c r="C94" s="104" t="s">
        <v>10</v>
      </c>
      <c r="D94" s="364" t="s">
        <v>7</v>
      </c>
      <c r="E94" s="107">
        <v>0.02</v>
      </c>
      <c r="F94" s="102">
        <f>F90*E94</f>
        <v>0.21</v>
      </c>
      <c r="G94" s="334"/>
      <c r="H94" s="334"/>
      <c r="I94" s="334"/>
      <c r="J94" s="334"/>
      <c r="K94" s="334"/>
      <c r="L94" s="334"/>
      <c r="M94" s="334"/>
      <c r="N94" s="213"/>
    </row>
    <row r="95" spans="1:14" s="77" customFormat="1" ht="31.5">
      <c r="A95" s="430" t="s">
        <v>96</v>
      </c>
      <c r="B95" s="338" t="s">
        <v>271</v>
      </c>
      <c r="C95" s="61" t="s">
        <v>272</v>
      </c>
      <c r="D95" s="338" t="s">
        <v>66</v>
      </c>
      <c r="E95" s="23"/>
      <c r="F95" s="23">
        <f>F84</f>
        <v>350</v>
      </c>
      <c r="G95" s="334"/>
      <c r="H95" s="334"/>
      <c r="I95" s="334"/>
      <c r="J95" s="334"/>
      <c r="K95" s="334"/>
      <c r="L95" s="334"/>
      <c r="M95" s="334"/>
      <c r="N95" s="213"/>
    </row>
    <row r="96" spans="1:14" s="77" customFormat="1" ht="15.75">
      <c r="A96" s="430"/>
      <c r="B96" s="337"/>
      <c r="C96" s="25" t="s">
        <v>14</v>
      </c>
      <c r="D96" s="337" t="s">
        <v>15</v>
      </c>
      <c r="E96" s="341">
        <v>1.1100000000000001</v>
      </c>
      <c r="F96" s="341">
        <f>E96*F95</f>
        <v>388.50000000000006</v>
      </c>
      <c r="G96" s="334"/>
      <c r="H96" s="334"/>
      <c r="I96" s="334"/>
      <c r="J96" s="334"/>
      <c r="K96" s="334"/>
      <c r="L96" s="334"/>
      <c r="M96" s="334"/>
      <c r="N96" s="213"/>
    </row>
    <row r="97" spans="1:14" s="77" customFormat="1" ht="15.75">
      <c r="A97" s="430"/>
      <c r="B97" s="337"/>
      <c r="C97" s="25" t="s">
        <v>8</v>
      </c>
      <c r="D97" s="337" t="s">
        <v>16</v>
      </c>
      <c r="E97" s="341">
        <f>0.71/100</f>
        <v>7.0999999999999995E-3</v>
      </c>
      <c r="F97" s="341">
        <f>E97*F95</f>
        <v>2.4849999999999999</v>
      </c>
      <c r="G97" s="334"/>
      <c r="H97" s="334"/>
      <c r="I97" s="334"/>
      <c r="J97" s="334"/>
      <c r="K97" s="334"/>
      <c r="L97" s="334"/>
      <c r="M97" s="334"/>
      <c r="N97" s="213"/>
    </row>
    <row r="98" spans="1:14" s="77" customFormat="1" ht="31.5">
      <c r="A98" s="430"/>
      <c r="B98" s="339"/>
      <c r="C98" s="25" t="s">
        <v>273</v>
      </c>
      <c r="D98" s="337" t="s">
        <v>66</v>
      </c>
      <c r="E98" s="254">
        <v>1</v>
      </c>
      <c r="F98" s="341">
        <f>E98*F95</f>
        <v>350</v>
      </c>
      <c r="G98" s="334"/>
      <c r="H98" s="334"/>
      <c r="I98" s="334"/>
      <c r="J98" s="334"/>
      <c r="K98" s="334"/>
      <c r="L98" s="334"/>
      <c r="M98" s="334"/>
      <c r="N98" s="213"/>
    </row>
    <row r="99" spans="1:14" s="77" customFormat="1" ht="18">
      <c r="A99" s="430"/>
      <c r="B99" s="337"/>
      <c r="C99" s="134" t="s">
        <v>274</v>
      </c>
      <c r="D99" s="337" t="s">
        <v>270</v>
      </c>
      <c r="E99" s="254">
        <f>3.9/100</f>
        <v>3.9E-2</v>
      </c>
      <c r="F99" s="341">
        <f>F95*E99</f>
        <v>13.65</v>
      </c>
      <c r="G99" s="334"/>
      <c r="H99" s="334"/>
      <c r="I99" s="334"/>
      <c r="J99" s="334"/>
      <c r="K99" s="334"/>
      <c r="L99" s="334"/>
      <c r="M99" s="334"/>
      <c r="N99" s="213"/>
    </row>
    <row r="100" spans="1:14" s="77" customFormat="1" ht="18">
      <c r="A100" s="430"/>
      <c r="B100" s="337"/>
      <c r="C100" s="25" t="s">
        <v>135</v>
      </c>
      <c r="D100" s="337" t="s">
        <v>270</v>
      </c>
      <c r="E100" s="254">
        <f>0.06/100</f>
        <v>5.9999999999999995E-4</v>
      </c>
      <c r="F100" s="341">
        <f>E100*F95</f>
        <v>0.21</v>
      </c>
      <c r="G100" s="334"/>
      <c r="H100" s="334"/>
      <c r="I100" s="334"/>
      <c r="J100" s="334"/>
      <c r="K100" s="334"/>
      <c r="L100" s="334"/>
      <c r="M100" s="334"/>
      <c r="N100" s="213"/>
    </row>
    <row r="101" spans="1:14" s="77" customFormat="1" ht="15.75">
      <c r="A101" s="430"/>
      <c r="B101" s="337"/>
      <c r="C101" s="25" t="s">
        <v>10</v>
      </c>
      <c r="D101" s="337" t="s">
        <v>7</v>
      </c>
      <c r="E101" s="254">
        <f>9.6/100</f>
        <v>9.6000000000000002E-2</v>
      </c>
      <c r="F101" s="341">
        <f>E101*F95</f>
        <v>33.6</v>
      </c>
      <c r="G101" s="334"/>
      <c r="H101" s="334"/>
      <c r="I101" s="334"/>
      <c r="J101" s="334"/>
      <c r="K101" s="334"/>
      <c r="L101" s="334"/>
      <c r="M101" s="334"/>
      <c r="N101" s="213"/>
    </row>
    <row r="102" spans="1:14" s="77" customFormat="1" ht="31.5">
      <c r="A102" s="256" t="s">
        <v>90</v>
      </c>
      <c r="B102" s="256"/>
      <c r="C102" s="371" t="s">
        <v>292</v>
      </c>
      <c r="D102" s="372" t="s">
        <v>47</v>
      </c>
      <c r="E102" s="373"/>
      <c r="F102" s="373">
        <v>303</v>
      </c>
      <c r="G102" s="353"/>
      <c r="H102" s="352"/>
      <c r="I102" s="353"/>
      <c r="J102" s="352"/>
      <c r="K102" s="374"/>
      <c r="L102" s="352"/>
      <c r="M102" s="352"/>
      <c r="N102" s="213"/>
    </row>
    <row r="103" spans="1:14" s="77" customFormat="1" ht="31.5">
      <c r="A103" s="430" t="s">
        <v>100</v>
      </c>
      <c r="B103" s="338" t="s">
        <v>275</v>
      </c>
      <c r="C103" s="105" t="s">
        <v>276</v>
      </c>
      <c r="D103" s="337" t="s">
        <v>41</v>
      </c>
      <c r="E103" s="351"/>
      <c r="F103" s="23">
        <f>0.4*0.2*F102</f>
        <v>24.240000000000006</v>
      </c>
      <c r="G103" s="334"/>
      <c r="H103" s="334"/>
      <c r="I103" s="334"/>
      <c r="J103" s="334"/>
      <c r="K103" s="334"/>
      <c r="L103" s="334"/>
      <c r="M103" s="334"/>
      <c r="N103" s="213"/>
    </row>
    <row r="104" spans="1:14" s="77" customFormat="1" ht="15.75">
      <c r="A104" s="430"/>
      <c r="B104" s="340"/>
      <c r="C104" s="26" t="s">
        <v>40</v>
      </c>
      <c r="D104" s="337" t="s">
        <v>9</v>
      </c>
      <c r="E104" s="341">
        <v>8.5399999999999991</v>
      </c>
      <c r="F104" s="341">
        <f>F103*E104</f>
        <v>207.00960000000003</v>
      </c>
      <c r="G104" s="334"/>
      <c r="H104" s="334"/>
      <c r="I104" s="334"/>
      <c r="J104" s="334"/>
      <c r="K104" s="334"/>
      <c r="L104" s="334"/>
      <c r="M104" s="334"/>
      <c r="N104" s="213"/>
    </row>
    <row r="105" spans="1:14" s="77" customFormat="1" ht="15.75">
      <c r="A105" s="430"/>
      <c r="B105" s="337"/>
      <c r="C105" s="11" t="s">
        <v>8</v>
      </c>
      <c r="D105" s="337" t="s">
        <v>7</v>
      </c>
      <c r="E105" s="351">
        <v>1.06</v>
      </c>
      <c r="F105" s="351">
        <f>F103*E105</f>
        <v>25.694400000000009</v>
      </c>
      <c r="G105" s="334"/>
      <c r="H105" s="334"/>
      <c r="I105" s="334"/>
      <c r="J105" s="334"/>
      <c r="K105" s="334"/>
      <c r="L105" s="334"/>
      <c r="M105" s="334"/>
      <c r="N105" s="213"/>
    </row>
    <row r="106" spans="1:14" s="77" customFormat="1" ht="18">
      <c r="A106" s="430"/>
      <c r="B106" s="337"/>
      <c r="C106" s="11" t="s">
        <v>87</v>
      </c>
      <c r="D106" s="337" t="s">
        <v>270</v>
      </c>
      <c r="E106" s="341">
        <v>1.0149999999999999</v>
      </c>
      <c r="F106" s="351">
        <f>F103*E106</f>
        <v>24.603600000000004</v>
      </c>
      <c r="G106" s="334"/>
      <c r="H106" s="334"/>
      <c r="I106" s="334"/>
      <c r="J106" s="334"/>
      <c r="K106" s="334"/>
      <c r="L106" s="334"/>
      <c r="M106" s="334"/>
      <c r="N106" s="213"/>
    </row>
    <row r="107" spans="1:14" s="77" customFormat="1" ht="18">
      <c r="A107" s="430"/>
      <c r="B107" s="340"/>
      <c r="C107" s="26" t="s">
        <v>42</v>
      </c>
      <c r="D107" s="337" t="s">
        <v>277</v>
      </c>
      <c r="E107" s="341">
        <v>1.4</v>
      </c>
      <c r="F107" s="341">
        <f>F103*E107</f>
        <v>33.936000000000007</v>
      </c>
      <c r="G107" s="20"/>
      <c r="H107" s="334"/>
      <c r="I107" s="334"/>
      <c r="J107" s="334"/>
      <c r="K107" s="334"/>
      <c r="L107" s="334"/>
      <c r="M107" s="334"/>
      <c r="N107" s="213"/>
    </row>
    <row r="108" spans="1:14" s="77" customFormat="1" ht="18">
      <c r="A108" s="430"/>
      <c r="B108" s="340"/>
      <c r="C108" s="26" t="s">
        <v>45</v>
      </c>
      <c r="D108" s="340" t="s">
        <v>270</v>
      </c>
      <c r="E108" s="341">
        <f>(1.45)/100</f>
        <v>1.4499999999999999E-2</v>
      </c>
      <c r="F108" s="341">
        <f>F103*E108</f>
        <v>0.35148000000000007</v>
      </c>
      <c r="G108" s="334"/>
      <c r="H108" s="334"/>
      <c r="I108" s="334"/>
      <c r="J108" s="334"/>
      <c r="K108" s="334"/>
      <c r="L108" s="334"/>
      <c r="M108" s="334"/>
      <c r="N108" s="213"/>
    </row>
    <row r="109" spans="1:14" s="77" customFormat="1" ht="15.75">
      <c r="A109" s="430"/>
      <c r="B109" s="340"/>
      <c r="C109" s="26" t="s">
        <v>201</v>
      </c>
      <c r="D109" s="340" t="s">
        <v>5</v>
      </c>
      <c r="E109" s="351">
        <v>0</v>
      </c>
      <c r="F109" s="341">
        <f>F103*E109</f>
        <v>0</v>
      </c>
      <c r="G109" s="334"/>
      <c r="H109" s="334"/>
      <c r="I109" s="334"/>
      <c r="J109" s="334"/>
      <c r="K109" s="334"/>
      <c r="L109" s="334"/>
      <c r="M109" s="334"/>
      <c r="N109" s="213"/>
    </row>
    <row r="110" spans="1:14" s="77" customFormat="1" ht="15.75">
      <c r="A110" s="430"/>
      <c r="B110" s="340"/>
      <c r="C110" s="26" t="s">
        <v>48</v>
      </c>
      <c r="D110" s="340" t="s">
        <v>88</v>
      </c>
      <c r="E110" s="351">
        <v>2.5</v>
      </c>
      <c r="F110" s="341">
        <f>F103*E110</f>
        <v>60.600000000000016</v>
      </c>
      <c r="G110" s="334"/>
      <c r="H110" s="334"/>
      <c r="I110" s="334"/>
      <c r="J110" s="334"/>
      <c r="K110" s="334"/>
      <c r="L110" s="334"/>
      <c r="M110" s="334"/>
      <c r="N110" s="213"/>
    </row>
    <row r="111" spans="1:14" s="77" customFormat="1" ht="15.75">
      <c r="A111" s="430"/>
      <c r="B111" s="337"/>
      <c r="C111" s="11" t="s">
        <v>53</v>
      </c>
      <c r="D111" s="337" t="s">
        <v>7</v>
      </c>
      <c r="E111" s="351">
        <v>0.74</v>
      </c>
      <c r="F111" s="351">
        <f>F103*E111</f>
        <v>17.937600000000003</v>
      </c>
      <c r="G111" s="334"/>
      <c r="H111" s="334"/>
      <c r="I111" s="334"/>
      <c r="J111" s="334"/>
      <c r="K111" s="334"/>
      <c r="L111" s="334"/>
      <c r="M111" s="334"/>
      <c r="N111" s="213"/>
    </row>
    <row r="112" spans="1:14" s="77" customFormat="1" ht="15.75">
      <c r="A112" s="430"/>
      <c r="B112" s="364"/>
      <c r="C112" s="348" t="s">
        <v>278</v>
      </c>
      <c r="D112" s="337" t="s">
        <v>69</v>
      </c>
      <c r="E112" s="19"/>
      <c r="F112" s="375">
        <f>4*F102*1.03*0.617/1000+((F102/0.45)+1)*2*0.3*1.03*0.888/1000</f>
        <v>1.1403014640000002</v>
      </c>
      <c r="G112" s="20"/>
      <c r="H112" s="334"/>
      <c r="I112" s="334"/>
      <c r="J112" s="334"/>
      <c r="K112" s="334"/>
      <c r="L112" s="334"/>
      <c r="M112" s="334"/>
      <c r="N112" s="213"/>
    </row>
    <row r="113" spans="1:14" s="77" customFormat="1" ht="15.75">
      <c r="A113" s="430"/>
      <c r="B113" s="364"/>
      <c r="C113" s="348" t="s">
        <v>279</v>
      </c>
      <c r="D113" s="337" t="s">
        <v>69</v>
      </c>
      <c r="E113" s="19"/>
      <c r="F113" s="375">
        <f>((F102/0.15)+1)*(0.4+0.2)*2*1.03*0.222/1000</f>
        <v>0.55454623200000008</v>
      </c>
      <c r="G113" s="334"/>
      <c r="H113" s="334"/>
      <c r="I113" s="334"/>
      <c r="J113" s="334"/>
      <c r="K113" s="334"/>
      <c r="L113" s="334"/>
      <c r="M113" s="334"/>
      <c r="N113" s="213"/>
    </row>
    <row r="114" spans="1:14" s="77" customFormat="1" ht="78.75">
      <c r="A114" s="434" t="s">
        <v>78</v>
      </c>
      <c r="B114" s="376" t="s">
        <v>280</v>
      </c>
      <c r="C114" s="105" t="s">
        <v>293</v>
      </c>
      <c r="D114" s="364" t="s">
        <v>50</v>
      </c>
      <c r="E114" s="107"/>
      <c r="F114" s="23">
        <f>F102*0.3</f>
        <v>90.899999999999991</v>
      </c>
      <c r="G114" s="334"/>
      <c r="H114" s="334"/>
      <c r="I114" s="334"/>
      <c r="J114" s="334"/>
      <c r="K114" s="334"/>
      <c r="L114" s="334"/>
      <c r="M114" s="334"/>
      <c r="N114" s="213"/>
    </row>
    <row r="115" spans="1:14" s="77" customFormat="1" ht="15.75">
      <c r="A115" s="435"/>
      <c r="B115" s="377"/>
      <c r="C115" s="40" t="s">
        <v>40</v>
      </c>
      <c r="D115" s="377" t="s">
        <v>9</v>
      </c>
      <c r="E115" s="19">
        <v>10.4</v>
      </c>
      <c r="F115" s="19">
        <f>F114*E115</f>
        <v>945.3599999999999</v>
      </c>
      <c r="G115" s="334"/>
      <c r="H115" s="334"/>
      <c r="I115" s="334"/>
      <c r="J115" s="334"/>
      <c r="K115" s="334"/>
      <c r="L115" s="334"/>
      <c r="M115" s="334"/>
      <c r="N115" s="213"/>
    </row>
    <row r="116" spans="1:14" s="77" customFormat="1" ht="15.75">
      <c r="A116" s="435"/>
      <c r="B116" s="377"/>
      <c r="C116" s="40" t="s">
        <v>18</v>
      </c>
      <c r="D116" s="377" t="s">
        <v>7</v>
      </c>
      <c r="E116" s="19">
        <v>0.23</v>
      </c>
      <c r="F116" s="19">
        <f>F114*E116</f>
        <v>20.907</v>
      </c>
      <c r="G116" s="334"/>
      <c r="H116" s="334"/>
      <c r="I116" s="334"/>
      <c r="J116" s="334"/>
      <c r="K116" s="334"/>
      <c r="L116" s="334"/>
      <c r="M116" s="334"/>
      <c r="N116" s="213"/>
    </row>
    <row r="117" spans="1:14" s="77" customFormat="1" ht="15.75">
      <c r="A117" s="435"/>
      <c r="B117" s="377"/>
      <c r="C117" s="104" t="s">
        <v>281</v>
      </c>
      <c r="D117" s="377" t="s">
        <v>50</v>
      </c>
      <c r="E117" s="19">
        <v>1</v>
      </c>
      <c r="F117" s="19">
        <f>F114*E117</f>
        <v>90.899999999999991</v>
      </c>
      <c r="G117" s="334"/>
      <c r="H117" s="334"/>
      <c r="I117" s="334"/>
      <c r="J117" s="334"/>
      <c r="K117" s="334"/>
      <c r="L117" s="334"/>
      <c r="M117" s="334"/>
      <c r="N117" s="213"/>
    </row>
    <row r="118" spans="1:14" s="77" customFormat="1" ht="15.75">
      <c r="A118" s="435"/>
      <c r="B118" s="377"/>
      <c r="C118" s="40" t="s">
        <v>95</v>
      </c>
      <c r="D118" s="377" t="s">
        <v>41</v>
      </c>
      <c r="E118" s="19">
        <v>3.6999999999999998E-2</v>
      </c>
      <c r="F118" s="19">
        <f>F114*E118</f>
        <v>3.3632999999999997</v>
      </c>
      <c r="G118" s="334"/>
      <c r="H118" s="334"/>
      <c r="I118" s="334"/>
      <c r="J118" s="334"/>
      <c r="K118" s="334"/>
      <c r="L118" s="334"/>
      <c r="M118" s="334"/>
      <c r="N118" s="213"/>
    </row>
    <row r="119" spans="1:14" s="77" customFormat="1" ht="15.75">
      <c r="A119" s="436"/>
      <c r="B119" s="377"/>
      <c r="C119" s="40" t="s">
        <v>53</v>
      </c>
      <c r="D119" s="377" t="s">
        <v>7</v>
      </c>
      <c r="E119" s="19">
        <v>0.09</v>
      </c>
      <c r="F119" s="19">
        <f>F114*E119</f>
        <v>8.1809999999999992</v>
      </c>
      <c r="G119" s="334"/>
      <c r="H119" s="334"/>
      <c r="I119" s="334"/>
      <c r="J119" s="334"/>
      <c r="K119" s="334"/>
      <c r="L119" s="334"/>
      <c r="M119" s="334"/>
      <c r="N119" s="213"/>
    </row>
    <row r="120" spans="1:14" s="77" customFormat="1" ht="31.5">
      <c r="A120" s="434" t="s">
        <v>101</v>
      </c>
      <c r="B120" s="338" t="s">
        <v>282</v>
      </c>
      <c r="C120" s="378" t="s">
        <v>283</v>
      </c>
      <c r="D120" s="364" t="s">
        <v>47</v>
      </c>
      <c r="E120" s="107"/>
      <c r="F120" s="23">
        <v>323</v>
      </c>
      <c r="G120" s="334"/>
      <c r="H120" s="334"/>
      <c r="I120" s="334"/>
      <c r="J120" s="334"/>
      <c r="K120" s="334"/>
      <c r="L120" s="334"/>
      <c r="M120" s="334"/>
      <c r="N120" s="77" t="s">
        <v>311</v>
      </c>
    </row>
    <row r="121" spans="1:14" s="77" customFormat="1" ht="15.75">
      <c r="A121" s="435"/>
      <c r="B121" s="337"/>
      <c r="C121" s="379"/>
      <c r="D121" s="337" t="s">
        <v>50</v>
      </c>
      <c r="E121" s="369"/>
      <c r="F121" s="23">
        <f>F120*0.5</f>
        <v>161.5</v>
      </c>
      <c r="G121" s="334"/>
      <c r="H121" s="334"/>
      <c r="I121" s="334"/>
      <c r="J121" s="334"/>
      <c r="K121" s="334"/>
      <c r="L121" s="334"/>
      <c r="M121" s="334"/>
      <c r="N121" s="213"/>
    </row>
    <row r="122" spans="1:14" s="77" customFormat="1" ht="15.75">
      <c r="A122" s="435"/>
      <c r="B122" s="337"/>
      <c r="C122" s="80" t="s">
        <v>40</v>
      </c>
      <c r="D122" s="377" t="s">
        <v>9</v>
      </c>
      <c r="E122" s="369">
        <v>6</v>
      </c>
      <c r="F122" s="341">
        <f>F121*E122</f>
        <v>969</v>
      </c>
      <c r="G122" s="334"/>
      <c r="H122" s="334"/>
      <c r="I122" s="334"/>
      <c r="J122" s="334"/>
      <c r="K122" s="334"/>
      <c r="L122" s="334"/>
      <c r="M122" s="334"/>
      <c r="N122" s="213"/>
    </row>
    <row r="123" spans="1:14" s="77" customFormat="1" ht="15.75">
      <c r="A123" s="435"/>
      <c r="B123" s="337"/>
      <c r="C123" s="25" t="s">
        <v>18</v>
      </c>
      <c r="D123" s="377" t="s">
        <v>7</v>
      </c>
      <c r="E123" s="341">
        <v>0.18</v>
      </c>
      <c r="F123" s="341">
        <f>F121*E123</f>
        <v>29.07</v>
      </c>
      <c r="G123" s="334"/>
      <c r="H123" s="334"/>
      <c r="I123" s="334"/>
      <c r="J123" s="334"/>
      <c r="K123" s="334"/>
      <c r="L123" s="334"/>
      <c r="M123" s="334"/>
      <c r="N123" s="213"/>
    </row>
    <row r="124" spans="1:14" s="77" customFormat="1" ht="31.5">
      <c r="A124" s="435"/>
      <c r="B124" s="337"/>
      <c r="C124" s="25" t="s">
        <v>284</v>
      </c>
      <c r="D124" s="377" t="s">
        <v>50</v>
      </c>
      <c r="E124" s="341">
        <v>1.03</v>
      </c>
      <c r="F124" s="341">
        <f>F121*E124</f>
        <v>166.345</v>
      </c>
      <c r="G124" s="334"/>
      <c r="H124" s="334"/>
      <c r="I124" s="334"/>
      <c r="J124" s="334"/>
      <c r="K124" s="334"/>
      <c r="L124" s="334"/>
      <c r="M124" s="334"/>
      <c r="N124" s="213"/>
    </row>
    <row r="125" spans="1:14" s="77" customFormat="1" ht="15.75">
      <c r="A125" s="435"/>
      <c r="B125" s="337"/>
      <c r="C125" s="25" t="s">
        <v>95</v>
      </c>
      <c r="D125" s="377" t="s">
        <v>41</v>
      </c>
      <c r="E125" s="341">
        <v>3.5999999999999997E-2</v>
      </c>
      <c r="F125" s="341">
        <f>F121*E125</f>
        <v>5.8139999999999992</v>
      </c>
      <c r="G125" s="334"/>
      <c r="H125" s="334"/>
      <c r="I125" s="334"/>
      <c r="J125" s="334"/>
      <c r="K125" s="334"/>
      <c r="L125" s="334"/>
      <c r="M125" s="334"/>
      <c r="N125" s="213"/>
    </row>
    <row r="126" spans="1:14" s="77" customFormat="1" ht="15.75">
      <c r="A126" s="436"/>
      <c r="B126" s="380"/>
      <c r="C126" s="125" t="s">
        <v>53</v>
      </c>
      <c r="D126" s="377" t="s">
        <v>7</v>
      </c>
      <c r="E126" s="123">
        <v>0.08</v>
      </c>
      <c r="F126" s="123">
        <f>F121*E126</f>
        <v>12.92</v>
      </c>
      <c r="G126" s="15"/>
      <c r="H126" s="334"/>
      <c r="I126" s="334"/>
      <c r="J126" s="334"/>
      <c r="K126" s="334"/>
      <c r="L126" s="334"/>
      <c r="M126" s="334"/>
      <c r="N126" s="213"/>
    </row>
    <row r="127" spans="1:14" s="77" customFormat="1" ht="31.5" hidden="1">
      <c r="A127" s="434" t="s">
        <v>94</v>
      </c>
      <c r="B127" s="381" t="s">
        <v>282</v>
      </c>
      <c r="C127" s="124" t="s">
        <v>294</v>
      </c>
      <c r="D127" s="377" t="s">
        <v>50</v>
      </c>
      <c r="E127" s="196"/>
      <c r="F127" s="23">
        <f>(F102)*0</f>
        <v>0</v>
      </c>
      <c r="G127" s="15"/>
      <c r="H127" s="334"/>
      <c r="I127" s="334"/>
      <c r="J127" s="334"/>
      <c r="K127" s="334"/>
      <c r="L127" s="334"/>
      <c r="M127" s="334"/>
      <c r="N127" s="213"/>
    </row>
    <row r="128" spans="1:14" s="77" customFormat="1" ht="15.75" hidden="1">
      <c r="A128" s="435"/>
      <c r="B128" s="380"/>
      <c r="C128" s="80" t="s">
        <v>40</v>
      </c>
      <c r="D128" s="377" t="s">
        <v>9</v>
      </c>
      <c r="E128" s="369">
        <v>6</v>
      </c>
      <c r="F128" s="341">
        <f>F127*E128</f>
        <v>0</v>
      </c>
      <c r="G128" s="334"/>
      <c r="H128" s="334"/>
      <c r="I128" s="334"/>
      <c r="J128" s="334"/>
      <c r="K128" s="334"/>
      <c r="L128" s="334"/>
      <c r="M128" s="334"/>
      <c r="N128" s="213"/>
    </row>
    <row r="129" spans="1:14" s="77" customFormat="1" ht="15.75" hidden="1">
      <c r="A129" s="435"/>
      <c r="B129" s="380"/>
      <c r="C129" s="25" t="s">
        <v>18</v>
      </c>
      <c r="D129" s="377" t="s">
        <v>7</v>
      </c>
      <c r="E129" s="341">
        <v>0.18</v>
      </c>
      <c r="F129" s="341">
        <f>F127*E129</f>
        <v>0</v>
      </c>
      <c r="G129" s="334"/>
      <c r="H129" s="334"/>
      <c r="I129" s="334"/>
      <c r="J129" s="334"/>
      <c r="K129" s="334"/>
      <c r="L129" s="334"/>
      <c r="M129" s="334"/>
      <c r="N129" s="213"/>
    </row>
    <row r="130" spans="1:14" s="77" customFormat="1" ht="15.75" hidden="1">
      <c r="A130" s="435"/>
      <c r="B130" s="380"/>
      <c r="C130" s="25" t="s">
        <v>285</v>
      </c>
      <c r="D130" s="377" t="s">
        <v>50</v>
      </c>
      <c r="E130" s="341">
        <v>1.03</v>
      </c>
      <c r="F130" s="341">
        <f>F127*E130</f>
        <v>0</v>
      </c>
      <c r="G130" s="334"/>
      <c r="H130" s="334"/>
      <c r="I130" s="334"/>
      <c r="J130" s="334"/>
      <c r="K130" s="334"/>
      <c r="L130" s="334"/>
      <c r="M130" s="334"/>
      <c r="N130" s="213"/>
    </row>
    <row r="131" spans="1:14" s="77" customFormat="1" ht="15.75" hidden="1">
      <c r="A131" s="435"/>
      <c r="B131" s="380"/>
      <c r="C131" s="25" t="s">
        <v>95</v>
      </c>
      <c r="D131" s="377" t="s">
        <v>41</v>
      </c>
      <c r="E131" s="341">
        <v>3.5999999999999997E-2</v>
      </c>
      <c r="F131" s="341">
        <f>F127*E131</f>
        <v>0</v>
      </c>
      <c r="G131" s="334"/>
      <c r="H131" s="334"/>
      <c r="I131" s="334"/>
      <c r="J131" s="334"/>
      <c r="K131" s="334"/>
      <c r="L131" s="334"/>
      <c r="M131" s="334"/>
      <c r="N131" s="213"/>
    </row>
    <row r="132" spans="1:14" s="77" customFormat="1" ht="15.75" hidden="1">
      <c r="A132" s="436"/>
      <c r="B132" s="380"/>
      <c r="C132" s="125" t="s">
        <v>53</v>
      </c>
      <c r="D132" s="377" t="s">
        <v>7</v>
      </c>
      <c r="E132" s="123">
        <v>0.08</v>
      </c>
      <c r="F132" s="123">
        <f>F127*E132</f>
        <v>0</v>
      </c>
      <c r="G132" s="15"/>
      <c r="H132" s="334"/>
      <c r="I132" s="334"/>
      <c r="J132" s="334"/>
      <c r="K132" s="334"/>
      <c r="L132" s="334"/>
      <c r="M132" s="334"/>
      <c r="N132" s="213"/>
    </row>
    <row r="133" spans="1:14" s="77" customFormat="1" ht="47.25">
      <c r="A133" s="434" t="s">
        <v>96</v>
      </c>
      <c r="B133" s="382" t="s">
        <v>286</v>
      </c>
      <c r="C133" s="105" t="s">
        <v>287</v>
      </c>
      <c r="D133" s="382" t="s">
        <v>66</v>
      </c>
      <c r="E133" s="102"/>
      <c r="F133" s="23">
        <f>F102</f>
        <v>303</v>
      </c>
      <c r="G133" s="334"/>
      <c r="H133" s="334"/>
      <c r="I133" s="334"/>
      <c r="J133" s="334"/>
      <c r="K133" s="334"/>
      <c r="L133" s="334"/>
      <c r="M133" s="334"/>
      <c r="N133" s="213"/>
    </row>
    <row r="134" spans="1:14" s="77" customFormat="1" ht="15.75">
      <c r="A134" s="435"/>
      <c r="B134" s="364"/>
      <c r="C134" s="104" t="s">
        <v>40</v>
      </c>
      <c r="D134" s="337" t="s">
        <v>9</v>
      </c>
      <c r="E134" s="102">
        <v>0.379</v>
      </c>
      <c r="F134" s="102">
        <f>F133*E134</f>
        <v>114.837</v>
      </c>
      <c r="G134" s="334"/>
      <c r="H134" s="334"/>
      <c r="I134" s="334"/>
      <c r="J134" s="334"/>
      <c r="K134" s="334"/>
      <c r="L134" s="334"/>
      <c r="M134" s="334"/>
      <c r="N134" s="213"/>
    </row>
    <row r="135" spans="1:14" s="77" customFormat="1" ht="15.75">
      <c r="A135" s="435"/>
      <c r="B135" s="337"/>
      <c r="C135" s="25" t="s">
        <v>8</v>
      </c>
      <c r="D135" s="337" t="s">
        <v>7</v>
      </c>
      <c r="E135" s="351">
        <v>2.8000000000000001E-2</v>
      </c>
      <c r="F135" s="351">
        <f>F133*E135</f>
        <v>8.484</v>
      </c>
      <c r="G135" s="334"/>
      <c r="H135" s="334"/>
      <c r="I135" s="334"/>
      <c r="J135" s="334"/>
      <c r="K135" s="334"/>
      <c r="L135" s="334"/>
      <c r="M135" s="334"/>
      <c r="N135" s="213"/>
    </row>
    <row r="136" spans="1:14" s="77" customFormat="1" ht="15.75">
      <c r="A136" s="435"/>
      <c r="B136" s="337"/>
      <c r="C136" s="105" t="s">
        <v>288</v>
      </c>
      <c r="D136" s="364" t="str">
        <f>D133</f>
        <v>grZ.m.</v>
      </c>
      <c r="E136" s="107">
        <v>1</v>
      </c>
      <c r="F136" s="50">
        <f>F133*E136</f>
        <v>303</v>
      </c>
      <c r="G136" s="334"/>
      <c r="H136" s="334"/>
      <c r="I136" s="334"/>
      <c r="J136" s="334"/>
      <c r="K136" s="334"/>
      <c r="L136" s="334"/>
      <c r="M136" s="334"/>
      <c r="N136" s="213"/>
    </row>
    <row r="137" spans="1:14" s="77" customFormat="1" ht="15.75">
      <c r="A137" s="435"/>
      <c r="B137" s="337" t="s">
        <v>289</v>
      </c>
      <c r="C137" s="25" t="s">
        <v>290</v>
      </c>
      <c r="D137" s="337" t="s">
        <v>219</v>
      </c>
      <c r="E137" s="351">
        <v>1.5E-3</v>
      </c>
      <c r="F137" s="351">
        <f>F133*E137</f>
        <v>0.45450000000000002</v>
      </c>
      <c r="G137" s="334"/>
      <c r="H137" s="334"/>
      <c r="I137" s="334"/>
      <c r="J137" s="334"/>
      <c r="K137" s="334"/>
      <c r="L137" s="334"/>
      <c r="M137" s="334"/>
      <c r="N137" s="213"/>
    </row>
    <row r="138" spans="1:14" s="77" customFormat="1" ht="47.25">
      <c r="A138" s="434" t="s">
        <v>97</v>
      </c>
      <c r="B138" s="382" t="s">
        <v>23</v>
      </c>
      <c r="C138" s="105" t="s">
        <v>133</v>
      </c>
      <c r="D138" s="382" t="s">
        <v>291</v>
      </c>
      <c r="E138" s="102"/>
      <c r="F138" s="50">
        <f>F133*2</f>
        <v>606</v>
      </c>
      <c r="G138" s="334"/>
      <c r="H138" s="334"/>
      <c r="I138" s="334"/>
      <c r="J138" s="334"/>
      <c r="K138" s="334"/>
      <c r="L138" s="334"/>
      <c r="M138" s="334"/>
      <c r="N138" s="213"/>
    </row>
    <row r="139" spans="1:14" s="77" customFormat="1" ht="15.75">
      <c r="A139" s="435"/>
      <c r="B139" s="383"/>
      <c r="C139" s="127" t="s">
        <v>40</v>
      </c>
      <c r="D139" s="384" t="s">
        <v>9</v>
      </c>
      <c r="E139" s="351">
        <f>68*0.01</f>
        <v>0.68</v>
      </c>
      <c r="F139" s="39">
        <f>F138*E139</f>
        <v>412.08000000000004</v>
      </c>
      <c r="G139" s="334"/>
      <c r="H139" s="334"/>
      <c r="I139" s="334"/>
      <c r="J139" s="334"/>
      <c r="K139" s="334"/>
      <c r="L139" s="334"/>
      <c r="M139" s="334"/>
      <c r="N139" s="213"/>
    </row>
    <row r="140" spans="1:14" s="77" customFormat="1" ht="15.75">
      <c r="A140" s="435"/>
      <c r="B140" s="364"/>
      <c r="C140" s="104" t="s">
        <v>8</v>
      </c>
      <c r="D140" s="364" t="s">
        <v>7</v>
      </c>
      <c r="E140" s="107">
        <f>0.03*0.01</f>
        <v>2.9999999999999997E-4</v>
      </c>
      <c r="F140" s="107">
        <f>F138*E140</f>
        <v>0.18179999999999999</v>
      </c>
      <c r="G140" s="334"/>
      <c r="H140" s="334"/>
      <c r="I140" s="334"/>
      <c r="J140" s="334"/>
      <c r="K140" s="334"/>
      <c r="L140" s="334"/>
      <c r="M140" s="334"/>
      <c r="N140" s="213"/>
    </row>
    <row r="141" spans="1:14" s="77" customFormat="1" ht="15.75">
      <c r="A141" s="435"/>
      <c r="B141" s="364"/>
      <c r="C141" s="104" t="s">
        <v>52</v>
      </c>
      <c r="D141" s="383" t="s">
        <v>88</v>
      </c>
      <c r="E141" s="102">
        <v>0.35</v>
      </c>
      <c r="F141" s="102">
        <f>E141*F138</f>
        <v>212.1</v>
      </c>
      <c r="G141" s="334"/>
      <c r="H141" s="334"/>
      <c r="I141" s="334"/>
      <c r="J141" s="334"/>
      <c r="K141" s="334"/>
      <c r="L141" s="334"/>
      <c r="M141" s="334"/>
      <c r="N141" s="213"/>
    </row>
    <row r="142" spans="1:14" s="77" customFormat="1" ht="15.75">
      <c r="A142" s="435"/>
      <c r="B142" s="364"/>
      <c r="C142" s="104" t="s">
        <v>245</v>
      </c>
      <c r="D142" s="383" t="s">
        <v>88</v>
      </c>
      <c r="E142" s="102">
        <v>2.7E-2</v>
      </c>
      <c r="F142" s="102">
        <f>E142*F138</f>
        <v>16.361999999999998</v>
      </c>
      <c r="G142" s="334"/>
      <c r="H142" s="334"/>
      <c r="I142" s="334"/>
      <c r="J142" s="334"/>
      <c r="K142" s="334"/>
      <c r="L142" s="334"/>
      <c r="M142" s="334"/>
      <c r="N142" s="213"/>
    </row>
    <row r="143" spans="1:14" s="77" customFormat="1" ht="15.75">
      <c r="A143" s="436"/>
      <c r="B143" s="364"/>
      <c r="C143" s="104" t="s">
        <v>10</v>
      </c>
      <c r="D143" s="364" t="s">
        <v>7</v>
      </c>
      <c r="E143" s="107">
        <v>1.9E-3</v>
      </c>
      <c r="F143" s="107">
        <f>F138*E143</f>
        <v>1.1514</v>
      </c>
      <c r="G143" s="334"/>
      <c r="H143" s="334"/>
      <c r="I143" s="334"/>
      <c r="J143" s="334"/>
      <c r="K143" s="334"/>
      <c r="L143" s="334"/>
      <c r="M143" s="334"/>
      <c r="N143" s="213"/>
    </row>
    <row r="144" spans="1:14" s="77" customFormat="1" ht="47.25">
      <c r="A144" s="256" t="s">
        <v>221</v>
      </c>
      <c r="B144" s="256"/>
      <c r="C144" s="371" t="s">
        <v>325</v>
      </c>
      <c r="D144" s="372"/>
      <c r="E144" s="373"/>
      <c r="F144" s="373"/>
      <c r="G144" s="393"/>
      <c r="H144" s="393"/>
      <c r="I144" s="393"/>
      <c r="J144" s="393"/>
      <c r="K144" s="393"/>
      <c r="L144" s="393"/>
      <c r="M144" s="393"/>
      <c r="N144" s="213" t="s">
        <v>337</v>
      </c>
    </row>
    <row r="145" spans="1:14" s="77" customFormat="1" ht="63">
      <c r="A145" s="430" t="s">
        <v>100</v>
      </c>
      <c r="B145" s="402" t="s">
        <v>36</v>
      </c>
      <c r="C145" s="403" t="s">
        <v>326</v>
      </c>
      <c r="D145" s="404" t="s">
        <v>41</v>
      </c>
      <c r="E145" s="405"/>
      <c r="F145" s="405">
        <f>0.7*0.7*0.9*32</f>
        <v>14.111999999999998</v>
      </c>
      <c r="G145" s="393"/>
      <c r="H145" s="393"/>
      <c r="I145" s="393"/>
      <c r="J145" s="393"/>
      <c r="K145" s="393"/>
      <c r="L145" s="393"/>
      <c r="M145" s="393"/>
      <c r="N145" s="213"/>
    </row>
    <row r="146" spans="1:14" s="77" customFormat="1" ht="15.75">
      <c r="A146" s="430"/>
      <c r="B146" s="243"/>
      <c r="C146" s="31" t="s">
        <v>37</v>
      </c>
      <c r="D146" s="135" t="s">
        <v>9</v>
      </c>
      <c r="E146" s="32">
        <v>3.88</v>
      </c>
      <c r="F146" s="33">
        <f>F145*E146</f>
        <v>54.754559999999991</v>
      </c>
      <c r="G146" s="30"/>
      <c r="H146" s="30"/>
      <c r="I146" s="30"/>
      <c r="J146" s="30"/>
      <c r="K146" s="30"/>
      <c r="L146" s="30"/>
      <c r="M146" s="30"/>
      <c r="N146" s="213"/>
    </row>
    <row r="147" spans="1:14" s="77" customFormat="1" ht="31.5">
      <c r="A147" s="430" t="s">
        <v>78</v>
      </c>
      <c r="B147" s="359" t="s">
        <v>98</v>
      </c>
      <c r="C147" s="239" t="s">
        <v>202</v>
      </c>
      <c r="D147" s="235" t="s">
        <v>219</v>
      </c>
      <c r="E147" s="236"/>
      <c r="F147" s="237">
        <f>F145*1.95</f>
        <v>27.518399999999996</v>
      </c>
      <c r="G147" s="393"/>
      <c r="H147" s="393"/>
      <c r="I147" s="393"/>
      <c r="J147" s="393"/>
      <c r="K147" s="393"/>
      <c r="L147" s="393"/>
      <c r="M147" s="393"/>
      <c r="N147" s="213"/>
    </row>
    <row r="148" spans="1:14" s="77" customFormat="1" ht="15.75">
      <c r="A148" s="430"/>
      <c r="B148" s="195"/>
      <c r="C148" s="240" t="s">
        <v>57</v>
      </c>
      <c r="D148" s="46" t="s">
        <v>9</v>
      </c>
      <c r="E148" s="47">
        <v>0.53</v>
      </c>
      <c r="F148" s="399">
        <f>F147*E148</f>
        <v>14.584751999999998</v>
      </c>
      <c r="G148" s="393"/>
      <c r="H148" s="393"/>
      <c r="I148" s="393"/>
      <c r="J148" s="393"/>
      <c r="K148" s="393"/>
      <c r="L148" s="393"/>
      <c r="M148" s="393"/>
      <c r="N148" s="213"/>
    </row>
    <row r="149" spans="1:14" s="77" customFormat="1" ht="47.25">
      <c r="A149" s="390" t="s">
        <v>101</v>
      </c>
      <c r="B149" s="195" t="s">
        <v>220</v>
      </c>
      <c r="C149" s="347" t="s">
        <v>253</v>
      </c>
      <c r="D149" s="195" t="s">
        <v>44</v>
      </c>
      <c r="E149" s="358"/>
      <c r="F149" s="237">
        <f>F147</f>
        <v>27.518399999999996</v>
      </c>
      <c r="G149" s="393"/>
      <c r="H149" s="393"/>
      <c r="I149" s="393"/>
      <c r="J149" s="393"/>
      <c r="K149" s="17"/>
      <c r="L149" s="393"/>
      <c r="M149" s="393"/>
      <c r="N149" s="213"/>
    </row>
    <row r="150" spans="1:14" s="77" customFormat="1" ht="31.5">
      <c r="A150" s="435" t="s">
        <v>94</v>
      </c>
      <c r="B150" s="195" t="s">
        <v>39</v>
      </c>
      <c r="C150" s="398" t="s">
        <v>251</v>
      </c>
      <c r="D150" s="195" t="s">
        <v>41</v>
      </c>
      <c r="E150" s="401"/>
      <c r="F150" s="35">
        <f>0.7*0.7*0.1*32</f>
        <v>1.5679999999999998</v>
      </c>
      <c r="G150" s="393"/>
      <c r="H150" s="393"/>
      <c r="I150" s="393"/>
      <c r="J150" s="393"/>
      <c r="K150" s="393"/>
      <c r="L150" s="393"/>
      <c r="M150" s="393"/>
      <c r="N150" s="213"/>
    </row>
    <row r="151" spans="1:14" s="77" customFormat="1" ht="15.75">
      <c r="A151" s="435"/>
      <c r="B151" s="389"/>
      <c r="C151" s="25" t="s">
        <v>14</v>
      </c>
      <c r="D151" s="389" t="s">
        <v>15</v>
      </c>
      <c r="E151" s="401">
        <v>3.52</v>
      </c>
      <c r="F151" s="33">
        <f>E151*F150</f>
        <v>5.5193599999999998</v>
      </c>
      <c r="G151" s="393"/>
      <c r="H151" s="393"/>
      <c r="I151" s="393"/>
      <c r="J151" s="393"/>
      <c r="K151" s="393"/>
      <c r="L151" s="393"/>
      <c r="M151" s="393"/>
      <c r="N151" s="213"/>
    </row>
    <row r="152" spans="1:14" s="77" customFormat="1" ht="15.75">
      <c r="A152" s="435"/>
      <c r="B152" s="389"/>
      <c r="C152" s="25" t="s">
        <v>18</v>
      </c>
      <c r="D152" s="389" t="s">
        <v>7</v>
      </c>
      <c r="E152" s="401">
        <v>1.06</v>
      </c>
      <c r="F152" s="33">
        <f>F150*E152</f>
        <v>1.66208</v>
      </c>
      <c r="G152" s="393"/>
      <c r="H152" s="393"/>
      <c r="I152" s="393"/>
      <c r="J152" s="393"/>
      <c r="K152" s="393"/>
      <c r="L152" s="393"/>
      <c r="M152" s="393"/>
      <c r="N152" s="213"/>
    </row>
    <row r="153" spans="1:14" s="77" customFormat="1" ht="15.75">
      <c r="A153" s="435"/>
      <c r="B153" s="389"/>
      <c r="C153" s="25" t="s">
        <v>35</v>
      </c>
      <c r="D153" s="389" t="s">
        <v>34</v>
      </c>
      <c r="E153" s="401">
        <f>0.18+0.09+0.97</f>
        <v>1.24</v>
      </c>
      <c r="F153" s="33">
        <f>E153*F150</f>
        <v>1.9443199999999998</v>
      </c>
      <c r="G153" s="393"/>
      <c r="H153" s="393"/>
      <c r="I153" s="393"/>
      <c r="J153" s="393"/>
      <c r="K153" s="393"/>
      <c r="L153" s="393"/>
      <c r="M153" s="393"/>
      <c r="N153" s="213"/>
    </row>
    <row r="154" spans="1:14" s="77" customFormat="1" ht="15.75">
      <c r="A154" s="436"/>
      <c r="B154" s="389"/>
      <c r="C154" s="136" t="s">
        <v>53</v>
      </c>
      <c r="D154" s="243" t="s">
        <v>7</v>
      </c>
      <c r="E154" s="401">
        <v>0.02</v>
      </c>
      <c r="F154" s="33">
        <f>F150*E154</f>
        <v>3.1359999999999999E-2</v>
      </c>
      <c r="G154" s="30"/>
      <c r="H154" s="393"/>
      <c r="I154" s="15"/>
      <c r="J154" s="393"/>
      <c r="K154" s="16"/>
      <c r="L154" s="393"/>
      <c r="M154" s="393"/>
      <c r="N154" s="213"/>
    </row>
    <row r="155" spans="1:14" s="77" customFormat="1" ht="67.5" customHeight="1">
      <c r="A155" s="434" t="s">
        <v>96</v>
      </c>
      <c r="B155" s="402" t="s">
        <v>327</v>
      </c>
      <c r="C155" s="403" t="s">
        <v>328</v>
      </c>
      <c r="D155" s="404" t="s">
        <v>41</v>
      </c>
      <c r="E155" s="405"/>
      <c r="F155" s="405">
        <f>(0.6*0.6*0.4+0.4*0.4*0.4)*32</f>
        <v>6.6560000000000006</v>
      </c>
      <c r="G155" s="393"/>
      <c r="H155" s="393"/>
      <c r="I155" s="393"/>
      <c r="J155" s="393"/>
      <c r="K155" s="393"/>
      <c r="L155" s="393"/>
      <c r="M155" s="393"/>
      <c r="N155" s="213"/>
    </row>
    <row r="156" spans="1:14" s="77" customFormat="1" ht="15.75">
      <c r="A156" s="435"/>
      <c r="B156" s="396"/>
      <c r="C156" s="26" t="s">
        <v>40</v>
      </c>
      <c r="D156" s="395" t="s">
        <v>9</v>
      </c>
      <c r="E156" s="397">
        <v>6.66</v>
      </c>
      <c r="F156" s="397">
        <f>F155*E156</f>
        <v>44.328960000000002</v>
      </c>
      <c r="G156" s="393"/>
      <c r="H156" s="393"/>
      <c r="I156" s="393"/>
      <c r="J156" s="393"/>
      <c r="K156" s="393"/>
      <c r="L156" s="393"/>
      <c r="M156" s="393"/>
      <c r="N156" s="213"/>
    </row>
    <row r="157" spans="1:14" s="77" customFormat="1" ht="15.75">
      <c r="A157" s="435"/>
      <c r="B157" s="395"/>
      <c r="C157" s="11" t="s">
        <v>8</v>
      </c>
      <c r="D157" s="395" t="s">
        <v>7</v>
      </c>
      <c r="E157" s="400">
        <v>0.59</v>
      </c>
      <c r="F157" s="400">
        <f>F155*E157</f>
        <v>3.9270400000000003</v>
      </c>
      <c r="G157" s="393"/>
      <c r="H157" s="393"/>
      <c r="I157" s="393"/>
      <c r="J157" s="393"/>
      <c r="K157" s="393"/>
      <c r="L157" s="393"/>
      <c r="M157" s="393"/>
      <c r="N157" s="213"/>
    </row>
    <row r="158" spans="1:14" s="77" customFormat="1" ht="18">
      <c r="A158" s="435"/>
      <c r="B158" s="395"/>
      <c r="C158" s="11" t="s">
        <v>87</v>
      </c>
      <c r="D158" s="395" t="s">
        <v>270</v>
      </c>
      <c r="E158" s="397">
        <v>1.0149999999999999</v>
      </c>
      <c r="F158" s="400">
        <f>F155*E158</f>
        <v>6.7558400000000001</v>
      </c>
      <c r="G158" s="393"/>
      <c r="H158" s="393"/>
      <c r="I158" s="393"/>
      <c r="J158" s="393"/>
      <c r="K158" s="393"/>
      <c r="L158" s="393"/>
      <c r="M158" s="393"/>
      <c r="N158" s="213"/>
    </row>
    <row r="159" spans="1:14" s="77" customFormat="1" ht="18">
      <c r="A159" s="435"/>
      <c r="B159" s="396"/>
      <c r="C159" s="26" t="s">
        <v>42</v>
      </c>
      <c r="D159" s="395" t="s">
        <v>277</v>
      </c>
      <c r="E159" s="397">
        <v>1.6</v>
      </c>
      <c r="F159" s="397">
        <f>F155*E159</f>
        <v>10.649600000000001</v>
      </c>
      <c r="G159" s="20"/>
      <c r="H159" s="393"/>
      <c r="I159" s="393"/>
      <c r="J159" s="393"/>
      <c r="K159" s="393"/>
      <c r="L159" s="393"/>
      <c r="M159" s="393"/>
      <c r="N159" s="213"/>
    </row>
    <row r="160" spans="1:14" s="77" customFormat="1" ht="18">
      <c r="A160" s="435"/>
      <c r="B160" s="396"/>
      <c r="C160" s="26" t="s">
        <v>45</v>
      </c>
      <c r="D160" s="396" t="s">
        <v>270</v>
      </c>
      <c r="E160" s="397">
        <v>1.83E-2</v>
      </c>
      <c r="F160" s="397">
        <f>F155*E160</f>
        <v>0.12180480000000002</v>
      </c>
      <c r="G160" s="393"/>
      <c r="H160" s="393"/>
      <c r="I160" s="393"/>
      <c r="J160" s="393"/>
      <c r="K160" s="393"/>
      <c r="L160" s="393"/>
      <c r="M160" s="393"/>
      <c r="N160" s="213"/>
    </row>
    <row r="161" spans="1:14" s="77" customFormat="1" ht="15.75">
      <c r="A161" s="435"/>
      <c r="B161" s="396"/>
      <c r="C161" s="26" t="s">
        <v>201</v>
      </c>
      <c r="D161" s="396" t="s">
        <v>5</v>
      </c>
      <c r="E161" s="400">
        <v>0</v>
      </c>
      <c r="F161" s="397">
        <f>F155*E161</f>
        <v>0</v>
      </c>
      <c r="G161" s="393"/>
      <c r="H161" s="393"/>
      <c r="I161" s="393"/>
      <c r="J161" s="393"/>
      <c r="K161" s="393"/>
      <c r="L161" s="393"/>
      <c r="M161" s="393"/>
      <c r="N161" s="213"/>
    </row>
    <row r="162" spans="1:14" s="77" customFormat="1" ht="15.75">
      <c r="A162" s="435"/>
      <c r="B162" s="396"/>
      <c r="C162" s="26" t="s">
        <v>48</v>
      </c>
      <c r="D162" s="396" t="s">
        <v>88</v>
      </c>
      <c r="E162" s="400">
        <v>0</v>
      </c>
      <c r="F162" s="397">
        <f>F155*E162</f>
        <v>0</v>
      </c>
      <c r="G162" s="393"/>
      <c r="H162" s="393"/>
      <c r="I162" s="393"/>
      <c r="J162" s="393"/>
      <c r="K162" s="393"/>
      <c r="L162" s="393"/>
      <c r="M162" s="393"/>
      <c r="N162" s="213"/>
    </row>
    <row r="163" spans="1:14" s="77" customFormat="1" ht="15.75">
      <c r="A163" s="435"/>
      <c r="B163" s="395"/>
      <c r="C163" s="11" t="s">
        <v>53</v>
      </c>
      <c r="D163" s="395" t="s">
        <v>7</v>
      </c>
      <c r="E163" s="400">
        <v>0.4</v>
      </c>
      <c r="F163" s="400">
        <f>F155*E163</f>
        <v>2.6624000000000003</v>
      </c>
      <c r="G163" s="393"/>
      <c r="H163" s="393"/>
      <c r="I163" s="393"/>
      <c r="J163" s="393"/>
      <c r="K163" s="393"/>
      <c r="L163" s="393"/>
      <c r="M163" s="393"/>
      <c r="N163" s="213"/>
    </row>
    <row r="164" spans="1:14" s="77" customFormat="1" ht="15.75">
      <c r="A164" s="435"/>
      <c r="B164" s="364"/>
      <c r="C164" s="348" t="s">
        <v>278</v>
      </c>
      <c r="D164" s="395" t="s">
        <v>69</v>
      </c>
      <c r="E164" s="19"/>
      <c r="F164" s="405">
        <f>5*0.6*2*32*1.03*0.395/1000</f>
        <v>7.8115199999999996E-2</v>
      </c>
      <c r="G164" s="20"/>
      <c r="H164" s="393"/>
      <c r="I164" s="393"/>
      <c r="J164" s="393"/>
      <c r="K164" s="393"/>
      <c r="L164" s="393"/>
      <c r="M164" s="393"/>
      <c r="N164" s="213"/>
    </row>
    <row r="165" spans="1:14" s="77" customFormat="1" ht="15.75">
      <c r="A165" s="435"/>
      <c r="B165" s="364"/>
      <c r="C165" s="348" t="s">
        <v>279</v>
      </c>
      <c r="D165" s="395" t="s">
        <v>69</v>
      </c>
      <c r="E165" s="19"/>
      <c r="F165" s="405">
        <v>0</v>
      </c>
      <c r="G165" s="393"/>
      <c r="H165" s="393"/>
      <c r="I165" s="393"/>
      <c r="J165" s="393"/>
      <c r="K165" s="393"/>
      <c r="L165" s="393"/>
      <c r="M165" s="393"/>
      <c r="N165" s="213"/>
    </row>
    <row r="166" spans="1:14" s="77" customFormat="1" ht="15.75">
      <c r="A166" s="391"/>
      <c r="B166" s="364"/>
      <c r="C166" s="348" t="s">
        <v>333</v>
      </c>
      <c r="D166" s="395" t="s">
        <v>47</v>
      </c>
      <c r="E166" s="19"/>
      <c r="F166" s="405">
        <f>( (1.3+0.7)*8+(2.2+0.7)*24  )*1.1</f>
        <v>94.160000000000011</v>
      </c>
      <c r="G166" s="393"/>
      <c r="H166" s="393"/>
      <c r="I166" s="393"/>
      <c r="J166" s="393"/>
      <c r="K166" s="393"/>
      <c r="L166" s="393"/>
      <c r="M166" s="393"/>
      <c r="N166" s="213"/>
    </row>
    <row r="167" spans="1:14" s="77" customFormat="1" ht="33">
      <c r="A167" s="444" t="s">
        <v>97</v>
      </c>
      <c r="B167" s="406" t="s">
        <v>329</v>
      </c>
      <c r="C167" s="407" t="s">
        <v>330</v>
      </c>
      <c r="D167" s="408" t="s">
        <v>50</v>
      </c>
      <c r="E167" s="388"/>
      <c r="F167" s="22">
        <f>((0.6+0.6)*2*0.4+(0.4+0.4)*2*0.4+(0.6*0.6-0.4*0.4) )*32</f>
        <v>57.6</v>
      </c>
      <c r="G167" s="194"/>
      <c r="H167" s="6"/>
      <c r="I167" s="194"/>
      <c r="J167" s="6"/>
      <c r="K167" s="194"/>
      <c r="L167" s="194"/>
      <c r="M167" s="194"/>
      <c r="N167" s="213"/>
    </row>
    <row r="168" spans="1:14" s="77" customFormat="1" ht="16.5">
      <c r="A168" s="445"/>
      <c r="B168" s="406"/>
      <c r="C168" s="409" t="s">
        <v>40</v>
      </c>
      <c r="D168" s="408" t="s">
        <v>9</v>
      </c>
      <c r="E168" s="388">
        <v>0.33600000000000002</v>
      </c>
      <c r="F168" s="254">
        <f>F167*E168</f>
        <v>19.3536</v>
      </c>
      <c r="G168" s="6"/>
      <c r="H168" s="6"/>
      <c r="I168" s="6"/>
      <c r="J168" s="6"/>
      <c r="K168" s="6"/>
      <c r="L168" s="6"/>
      <c r="M168" s="194"/>
      <c r="N168" s="213"/>
    </row>
    <row r="169" spans="1:14" s="77" customFormat="1" ht="16.5">
      <c r="A169" s="445"/>
      <c r="B169" s="406"/>
      <c r="C169" s="409" t="s">
        <v>18</v>
      </c>
      <c r="D169" s="408" t="s">
        <v>7</v>
      </c>
      <c r="E169" s="388">
        <v>1.4999999999999999E-2</v>
      </c>
      <c r="F169" s="254">
        <f>F167*E169</f>
        <v>0.86399999999999999</v>
      </c>
      <c r="G169" s="6"/>
      <c r="H169" s="6"/>
      <c r="I169" s="6"/>
      <c r="J169" s="6"/>
      <c r="K169" s="6"/>
      <c r="L169" s="6"/>
      <c r="M169" s="194"/>
      <c r="N169" s="213"/>
    </row>
    <row r="170" spans="1:14" s="77" customFormat="1" ht="16.5">
      <c r="A170" s="445"/>
      <c r="B170" s="406"/>
      <c r="C170" s="409" t="s">
        <v>331</v>
      </c>
      <c r="D170" s="408" t="s">
        <v>5</v>
      </c>
      <c r="E170" s="388">
        <v>2.4</v>
      </c>
      <c r="F170" s="254">
        <f>F167*E170</f>
        <v>138.24</v>
      </c>
      <c r="G170" s="6"/>
      <c r="H170" s="6"/>
      <c r="I170" s="6"/>
      <c r="J170" s="6"/>
      <c r="K170" s="6"/>
      <c r="L170" s="6"/>
      <c r="M170" s="194"/>
      <c r="N170" s="213"/>
    </row>
    <row r="171" spans="1:14" s="77" customFormat="1" ht="16.5">
      <c r="A171" s="446"/>
      <c r="B171" s="406"/>
      <c r="C171" s="409" t="s">
        <v>53</v>
      </c>
      <c r="D171" s="408" t="s">
        <v>7</v>
      </c>
      <c r="E171" s="388">
        <v>2.2800000000000001E-2</v>
      </c>
      <c r="F171" s="254">
        <f>F167*E171</f>
        <v>1.31328</v>
      </c>
      <c r="G171" s="6"/>
      <c r="H171" s="6"/>
      <c r="I171" s="6"/>
      <c r="J171" s="6"/>
      <c r="K171" s="6"/>
      <c r="L171" s="6"/>
      <c r="M171" s="194"/>
      <c r="N171" s="213"/>
    </row>
    <row r="172" spans="1:14" s="77" customFormat="1" ht="16.5">
      <c r="A172" s="444" t="s">
        <v>89</v>
      </c>
      <c r="B172" s="406" t="s">
        <v>67</v>
      </c>
      <c r="C172" s="410" t="s">
        <v>332</v>
      </c>
      <c r="D172" s="408" t="s">
        <v>41</v>
      </c>
      <c r="E172" s="411"/>
      <c r="F172" s="412">
        <f>(0.6*0.6*0.4-0.4*0.4*0.4)*32</f>
        <v>2.5599999999999992</v>
      </c>
      <c r="G172" s="6"/>
      <c r="H172" s="6"/>
      <c r="I172" s="6"/>
      <c r="J172" s="6"/>
      <c r="K172" s="6"/>
      <c r="L172" s="6"/>
      <c r="M172" s="194"/>
      <c r="N172" s="213"/>
    </row>
    <row r="173" spans="1:14" s="77" customFormat="1" ht="16.5">
      <c r="A173" s="446"/>
      <c r="B173" s="406"/>
      <c r="C173" s="409" t="s">
        <v>40</v>
      </c>
      <c r="D173" s="408" t="s">
        <v>9</v>
      </c>
      <c r="E173" s="388">
        <v>1.21</v>
      </c>
      <c r="F173" s="388">
        <f>F172*E173</f>
        <v>3.097599999999999</v>
      </c>
      <c r="G173" s="6"/>
      <c r="H173" s="6"/>
      <c r="I173" s="6"/>
      <c r="J173" s="6"/>
      <c r="K173" s="6"/>
      <c r="L173" s="6"/>
      <c r="M173" s="194"/>
      <c r="N173" s="213"/>
    </row>
    <row r="174" spans="1:14" s="77" customFormat="1" ht="52.5" customHeight="1">
      <c r="A174" s="455" t="s">
        <v>46</v>
      </c>
      <c r="B174" s="21" t="s">
        <v>124</v>
      </c>
      <c r="C174" s="241" t="s">
        <v>318</v>
      </c>
      <c r="D174" s="128" t="s">
        <v>55</v>
      </c>
      <c r="E174" s="225"/>
      <c r="F174" s="23">
        <v>32</v>
      </c>
      <c r="G174" s="194"/>
      <c r="H174" s="194"/>
      <c r="I174" s="194"/>
      <c r="J174" s="194"/>
      <c r="K174" s="194"/>
      <c r="L174" s="194"/>
      <c r="M174" s="194"/>
      <c r="N174" s="213"/>
    </row>
    <row r="175" spans="1:14" s="77" customFormat="1" ht="16.5">
      <c r="A175" s="456"/>
      <c r="B175" s="325"/>
      <c r="C175" s="129" t="s">
        <v>40</v>
      </c>
      <c r="D175" s="130" t="s">
        <v>9</v>
      </c>
      <c r="E175" s="226">
        <f>1720*0.01</f>
        <v>17.2</v>
      </c>
      <c r="F175" s="225">
        <f>F174*E175</f>
        <v>550.4</v>
      </c>
      <c r="G175" s="194"/>
      <c r="H175" s="194"/>
      <c r="I175" s="6"/>
      <c r="J175" s="194"/>
      <c r="K175" s="194"/>
      <c r="L175" s="194"/>
      <c r="M175" s="194"/>
      <c r="N175" s="213"/>
    </row>
    <row r="176" spans="1:14" s="77" customFormat="1" ht="16.5">
      <c r="A176" s="456"/>
      <c r="B176" s="21" t="s">
        <v>122</v>
      </c>
      <c r="C176" s="131" t="s">
        <v>123</v>
      </c>
      <c r="D176" s="130" t="s">
        <v>16</v>
      </c>
      <c r="E176" s="226">
        <f>91.3/100</f>
        <v>0.91299999999999992</v>
      </c>
      <c r="F176" s="226">
        <f>F174*E176</f>
        <v>29.215999999999998</v>
      </c>
      <c r="G176" s="194"/>
      <c r="H176" s="194"/>
      <c r="I176" s="194"/>
      <c r="J176" s="194"/>
      <c r="K176" s="6"/>
      <c r="L176" s="194"/>
      <c r="M176" s="194"/>
      <c r="N176" s="213"/>
    </row>
    <row r="177" spans="1:14" s="77" customFormat="1" ht="16.5">
      <c r="A177" s="456"/>
      <c r="B177" s="21"/>
      <c r="C177" s="131" t="s">
        <v>8</v>
      </c>
      <c r="D177" s="130" t="s">
        <v>7</v>
      </c>
      <c r="E177" s="226">
        <f>70*0.01</f>
        <v>0.70000000000000007</v>
      </c>
      <c r="F177" s="226">
        <f>F174*E177</f>
        <v>22.400000000000002</v>
      </c>
      <c r="G177" s="194"/>
      <c r="H177" s="194"/>
      <c r="I177" s="194"/>
      <c r="J177" s="194"/>
      <c r="K177" s="6"/>
      <c r="L177" s="194"/>
      <c r="M177" s="194"/>
      <c r="N177" s="213"/>
    </row>
    <row r="178" spans="1:14" s="77" customFormat="1" ht="16.5">
      <c r="A178" s="456"/>
      <c r="B178" s="325"/>
      <c r="C178" s="129" t="s">
        <v>125</v>
      </c>
      <c r="D178" s="132" t="s">
        <v>43</v>
      </c>
      <c r="E178" s="226"/>
      <c r="F178" s="23">
        <v>80</v>
      </c>
      <c r="G178" s="6"/>
      <c r="H178" s="194"/>
      <c r="I178" s="194"/>
      <c r="J178" s="194"/>
      <c r="K178" s="194"/>
      <c r="L178" s="194"/>
      <c r="M178" s="194"/>
      <c r="N178" s="213"/>
    </row>
    <row r="179" spans="1:14" s="77" customFormat="1" ht="16.5">
      <c r="A179" s="456"/>
      <c r="B179" s="21"/>
      <c r="C179" s="129" t="s">
        <v>126</v>
      </c>
      <c r="D179" s="132" t="s">
        <v>34</v>
      </c>
      <c r="E179" s="226">
        <f>29.7*0.01</f>
        <v>0.29699999999999999</v>
      </c>
      <c r="F179" s="226">
        <f>E179*F174</f>
        <v>9.5039999999999996</v>
      </c>
      <c r="G179" s="6"/>
      <c r="H179" s="194"/>
      <c r="I179" s="194"/>
      <c r="J179" s="194"/>
      <c r="K179" s="194"/>
      <c r="L179" s="194"/>
      <c r="M179" s="194"/>
      <c r="N179" s="213"/>
    </row>
    <row r="180" spans="1:14" s="77" customFormat="1" ht="24.75" customHeight="1">
      <c r="A180" s="456"/>
      <c r="B180" s="325"/>
      <c r="C180" s="129" t="s">
        <v>127</v>
      </c>
      <c r="D180" s="132" t="s">
        <v>69</v>
      </c>
      <c r="E180" s="226">
        <f>0.16*0.01</f>
        <v>1.6000000000000001E-3</v>
      </c>
      <c r="F180" s="225">
        <f>E180*F174</f>
        <v>5.1200000000000002E-2</v>
      </c>
      <c r="G180" s="6"/>
      <c r="H180" s="194"/>
      <c r="I180" s="194"/>
      <c r="J180" s="194"/>
      <c r="K180" s="194"/>
      <c r="L180" s="194"/>
      <c r="M180" s="194"/>
      <c r="N180" s="213"/>
    </row>
    <row r="181" spans="1:14" s="77" customFormat="1" ht="16.5">
      <c r="A181" s="456"/>
      <c r="B181" s="325"/>
      <c r="C181" s="129" t="s">
        <v>128</v>
      </c>
      <c r="D181" s="132" t="s">
        <v>88</v>
      </c>
      <c r="E181" s="226">
        <v>0.2</v>
      </c>
      <c r="F181" s="225">
        <f>F174*E181</f>
        <v>6.4</v>
      </c>
      <c r="G181" s="6"/>
      <c r="H181" s="194"/>
      <c r="I181" s="194"/>
      <c r="J181" s="194"/>
      <c r="K181" s="194"/>
      <c r="L181" s="194"/>
      <c r="M181" s="194"/>
      <c r="N181" s="213"/>
    </row>
    <row r="182" spans="1:14" s="77" customFormat="1" ht="16.5">
      <c r="A182" s="457"/>
      <c r="B182" s="21"/>
      <c r="C182" s="131" t="s">
        <v>10</v>
      </c>
      <c r="D182" s="130" t="s">
        <v>7</v>
      </c>
      <c r="E182" s="226">
        <f>20*0.01</f>
        <v>0.2</v>
      </c>
      <c r="F182" s="351">
        <f>F174*E182</f>
        <v>6.4</v>
      </c>
      <c r="G182" s="6"/>
      <c r="H182" s="194"/>
      <c r="I182" s="194"/>
      <c r="J182" s="194"/>
      <c r="K182" s="194"/>
      <c r="L182" s="194"/>
      <c r="M182" s="194"/>
      <c r="N182" s="213"/>
    </row>
    <row r="183" spans="1:14" s="77" customFormat="1" ht="27" hidden="1">
      <c r="A183" s="455" t="s">
        <v>49</v>
      </c>
      <c r="B183" s="195" t="s">
        <v>129</v>
      </c>
      <c r="C183" s="93" t="s">
        <v>130</v>
      </c>
      <c r="D183" s="195" t="s">
        <v>55</v>
      </c>
      <c r="E183" s="346"/>
      <c r="F183" s="203">
        <v>0</v>
      </c>
      <c r="G183" s="355"/>
      <c r="H183" s="355"/>
      <c r="I183" s="355"/>
      <c r="J183" s="355"/>
      <c r="K183" s="355"/>
      <c r="L183" s="355"/>
      <c r="M183" s="355"/>
      <c r="N183" s="213"/>
    </row>
    <row r="184" spans="1:14" s="77" customFormat="1" ht="15.75" hidden="1">
      <c r="A184" s="456"/>
      <c r="B184" s="345"/>
      <c r="C184" s="133" t="s">
        <v>40</v>
      </c>
      <c r="D184" s="336" t="s">
        <v>9</v>
      </c>
      <c r="E184" s="344">
        <f>733*0.01</f>
        <v>7.33</v>
      </c>
      <c r="F184" s="346">
        <f>F183*E184</f>
        <v>0</v>
      </c>
      <c r="G184" s="355"/>
      <c r="H184" s="355"/>
      <c r="I184" s="355"/>
      <c r="J184" s="355"/>
      <c r="K184" s="355"/>
      <c r="L184" s="355"/>
      <c r="M184" s="355"/>
      <c r="N184" s="213"/>
    </row>
    <row r="185" spans="1:14" s="77" customFormat="1" ht="15.75" hidden="1">
      <c r="A185" s="456"/>
      <c r="B185" s="195"/>
      <c r="C185" s="96" t="s">
        <v>8</v>
      </c>
      <c r="D185" s="336" t="s">
        <v>7</v>
      </c>
      <c r="E185" s="344">
        <f>11*0.01</f>
        <v>0.11</v>
      </c>
      <c r="F185" s="344">
        <f>F183*E185</f>
        <v>0</v>
      </c>
      <c r="G185" s="355"/>
      <c r="H185" s="355"/>
      <c r="I185" s="355"/>
      <c r="J185" s="355"/>
      <c r="K185" s="355"/>
      <c r="L185" s="355"/>
      <c r="M185" s="355"/>
      <c r="N185" s="213"/>
    </row>
    <row r="186" spans="1:14" s="77" customFormat="1" ht="15.75" hidden="1">
      <c r="A186" s="456"/>
      <c r="B186" s="345"/>
      <c r="C186" s="133" t="s">
        <v>131</v>
      </c>
      <c r="D186" s="345" t="s">
        <v>33</v>
      </c>
      <c r="E186" s="344"/>
      <c r="F186" s="253">
        <f>0*F183</f>
        <v>0</v>
      </c>
      <c r="G186" s="355"/>
      <c r="H186" s="355"/>
      <c r="I186" s="355"/>
      <c r="J186" s="355"/>
      <c r="K186" s="355"/>
      <c r="L186" s="355"/>
      <c r="M186" s="355"/>
      <c r="N186" s="213"/>
    </row>
    <row r="187" spans="1:14" s="77" customFormat="1" ht="15.75" hidden="1">
      <c r="A187" s="456"/>
      <c r="B187" s="195"/>
      <c r="C187" s="133" t="s">
        <v>132</v>
      </c>
      <c r="D187" s="342" t="s">
        <v>34</v>
      </c>
      <c r="E187" s="344">
        <f>5.1*0.01</f>
        <v>5.0999999999999997E-2</v>
      </c>
      <c r="F187" s="344">
        <f>E187*F183</f>
        <v>0</v>
      </c>
      <c r="G187" s="355"/>
      <c r="H187" s="355"/>
      <c r="I187" s="355"/>
      <c r="J187" s="355"/>
      <c r="K187" s="355"/>
      <c r="L187" s="355"/>
      <c r="M187" s="355"/>
      <c r="N187" s="213"/>
    </row>
    <row r="188" spans="1:14" s="77" customFormat="1" ht="15.75" hidden="1">
      <c r="A188" s="456"/>
      <c r="B188" s="345"/>
      <c r="C188" s="133" t="s">
        <v>199</v>
      </c>
      <c r="D188" s="342" t="s">
        <v>88</v>
      </c>
      <c r="E188" s="344">
        <v>0.2</v>
      </c>
      <c r="F188" s="346">
        <f>F183*E188</f>
        <v>0</v>
      </c>
      <c r="G188" s="355"/>
      <c r="H188" s="355"/>
      <c r="I188" s="355"/>
      <c r="J188" s="355"/>
      <c r="K188" s="355"/>
      <c r="L188" s="355"/>
      <c r="M188" s="355"/>
      <c r="N188" s="213"/>
    </row>
    <row r="189" spans="1:14" s="77" customFormat="1" ht="15.75" hidden="1">
      <c r="A189" s="457"/>
      <c r="B189" s="195"/>
      <c r="C189" s="96" t="s">
        <v>10</v>
      </c>
      <c r="D189" s="336" t="s">
        <v>7</v>
      </c>
      <c r="E189" s="344">
        <f>2*0.01</f>
        <v>0.02</v>
      </c>
      <c r="F189" s="344">
        <f>F183*E189</f>
        <v>0</v>
      </c>
      <c r="G189" s="355"/>
      <c r="H189" s="355"/>
      <c r="I189" s="355"/>
      <c r="J189" s="355"/>
      <c r="K189" s="355"/>
      <c r="L189" s="355"/>
      <c r="M189" s="355"/>
      <c r="N189" s="213"/>
    </row>
    <row r="190" spans="1:14" s="77" customFormat="1" ht="51" customHeight="1">
      <c r="A190" s="434" t="s">
        <v>51</v>
      </c>
      <c r="B190" s="382" t="s">
        <v>23</v>
      </c>
      <c r="C190" s="105" t="s">
        <v>133</v>
      </c>
      <c r="D190" s="382" t="s">
        <v>291</v>
      </c>
      <c r="E190" s="102"/>
      <c r="F190" s="50">
        <f>F178*2+F186*2+(0.1+0.1)*2*F166/1.1</f>
        <v>194.24</v>
      </c>
      <c r="G190" s="334"/>
      <c r="H190" s="334"/>
      <c r="I190" s="334"/>
      <c r="J190" s="334"/>
      <c r="K190" s="334"/>
      <c r="L190" s="334"/>
      <c r="M190" s="334"/>
      <c r="N190" s="213"/>
    </row>
    <row r="191" spans="1:14" s="77" customFormat="1" ht="15.75">
      <c r="A191" s="435"/>
      <c r="B191" s="383"/>
      <c r="C191" s="127" t="s">
        <v>40</v>
      </c>
      <c r="D191" s="384" t="s">
        <v>9</v>
      </c>
      <c r="E191" s="351">
        <f>68*0.01</f>
        <v>0.68</v>
      </c>
      <c r="F191" s="39">
        <f>F190*E191</f>
        <v>132.08320000000001</v>
      </c>
      <c r="G191" s="334"/>
      <c r="H191" s="334"/>
      <c r="I191" s="334"/>
      <c r="J191" s="334"/>
      <c r="K191" s="334"/>
      <c r="L191" s="334"/>
      <c r="M191" s="334"/>
      <c r="N191" s="213"/>
    </row>
    <row r="192" spans="1:14" s="77" customFormat="1" ht="15.75">
      <c r="A192" s="435"/>
      <c r="B192" s="364"/>
      <c r="C192" s="104" t="s">
        <v>8</v>
      </c>
      <c r="D192" s="364" t="s">
        <v>7</v>
      </c>
      <c r="E192" s="107">
        <f>0.03*0.01</f>
        <v>2.9999999999999997E-4</v>
      </c>
      <c r="F192" s="107">
        <f>F190*E192</f>
        <v>5.8271999999999997E-2</v>
      </c>
      <c r="G192" s="334"/>
      <c r="H192" s="334"/>
      <c r="I192" s="334"/>
      <c r="J192" s="334"/>
      <c r="K192" s="334"/>
      <c r="L192" s="334"/>
      <c r="M192" s="334"/>
      <c r="N192" s="213"/>
    </row>
    <row r="193" spans="1:14" s="77" customFormat="1" ht="15.75">
      <c r="A193" s="435"/>
      <c r="B193" s="364"/>
      <c r="C193" s="104" t="s">
        <v>52</v>
      </c>
      <c r="D193" s="383" t="s">
        <v>88</v>
      </c>
      <c r="E193" s="102">
        <v>0.35</v>
      </c>
      <c r="F193" s="102">
        <f>E193*F190</f>
        <v>67.983999999999995</v>
      </c>
      <c r="G193" s="334"/>
      <c r="H193" s="334"/>
      <c r="I193" s="334"/>
      <c r="J193" s="334"/>
      <c r="K193" s="334"/>
      <c r="L193" s="334"/>
      <c r="M193" s="334"/>
      <c r="N193" s="213"/>
    </row>
    <row r="194" spans="1:14" s="77" customFormat="1" ht="15.75">
      <c r="A194" s="435"/>
      <c r="B194" s="364"/>
      <c r="C194" s="104" t="s">
        <v>245</v>
      </c>
      <c r="D194" s="383" t="s">
        <v>88</v>
      </c>
      <c r="E194" s="102">
        <v>2.7E-2</v>
      </c>
      <c r="F194" s="102">
        <f>E194*F190</f>
        <v>5.2444800000000003</v>
      </c>
      <c r="G194" s="334"/>
      <c r="H194" s="334"/>
      <c r="I194" s="334"/>
      <c r="J194" s="334"/>
      <c r="K194" s="334"/>
      <c r="L194" s="334"/>
      <c r="M194" s="334"/>
      <c r="N194" s="213"/>
    </row>
    <row r="195" spans="1:14" s="77" customFormat="1" ht="18.75" customHeight="1">
      <c r="A195" s="436"/>
      <c r="B195" s="364"/>
      <c r="C195" s="104" t="s">
        <v>10</v>
      </c>
      <c r="D195" s="364" t="s">
        <v>7</v>
      </c>
      <c r="E195" s="107">
        <v>1.9E-3</v>
      </c>
      <c r="F195" s="107">
        <f>F190*E195</f>
        <v>0.369056</v>
      </c>
      <c r="G195" s="334"/>
      <c r="H195" s="334"/>
      <c r="I195" s="334"/>
      <c r="J195" s="334"/>
      <c r="K195" s="334"/>
      <c r="L195" s="334"/>
      <c r="M195" s="334"/>
      <c r="N195" s="213"/>
    </row>
    <row r="196" spans="1:14" s="77" customFormat="1" ht="15.75" hidden="1">
      <c r="A196" s="392"/>
      <c r="B196" s="364"/>
      <c r="C196" s="104"/>
      <c r="D196" s="364"/>
      <c r="E196" s="107"/>
      <c r="F196" s="107"/>
      <c r="G196" s="394"/>
      <c r="H196" s="393"/>
      <c r="I196" s="394"/>
      <c r="J196" s="393"/>
      <c r="K196" s="394"/>
      <c r="L196" s="393"/>
      <c r="M196" s="393"/>
      <c r="N196" s="213"/>
    </row>
    <row r="197" spans="1:14" s="77" customFormat="1" ht="31.5">
      <c r="A197" s="362" t="s">
        <v>334</v>
      </c>
      <c r="B197" s="362" t="s">
        <v>19</v>
      </c>
      <c r="C197" s="120" t="s">
        <v>309</v>
      </c>
      <c r="D197" s="120" t="s">
        <v>55</v>
      </c>
      <c r="E197" s="52"/>
      <c r="F197" s="52">
        <f>5+4</f>
        <v>9</v>
      </c>
      <c r="G197" s="335"/>
      <c r="H197" s="334"/>
      <c r="I197" s="335"/>
      <c r="J197" s="334"/>
      <c r="K197" s="335"/>
      <c r="L197" s="334"/>
      <c r="M197" s="334"/>
      <c r="N197" s="213" t="s">
        <v>324</v>
      </c>
    </row>
    <row r="198" spans="1:14" s="77" customFormat="1" ht="31.5">
      <c r="A198" s="442" t="s">
        <v>100</v>
      </c>
      <c r="B198" s="338" t="s">
        <v>36</v>
      </c>
      <c r="C198" s="28" t="s">
        <v>295</v>
      </c>
      <c r="D198" s="338" t="s">
        <v>41</v>
      </c>
      <c r="E198" s="341"/>
      <c r="F198" s="23">
        <f>0.3*0.3*0.6*F197</f>
        <v>0.48599999999999999</v>
      </c>
      <c r="G198" s="334"/>
      <c r="H198" s="334"/>
      <c r="I198" s="334"/>
      <c r="J198" s="334"/>
      <c r="K198" s="334"/>
      <c r="L198" s="334"/>
      <c r="M198" s="334"/>
      <c r="N198" s="213"/>
    </row>
    <row r="199" spans="1:14" s="77" customFormat="1" ht="15.75">
      <c r="A199" s="443"/>
      <c r="B199" s="385"/>
      <c r="C199" s="36" t="s">
        <v>37</v>
      </c>
      <c r="D199" s="385" t="s">
        <v>9</v>
      </c>
      <c r="E199" s="33">
        <v>3.88</v>
      </c>
      <c r="F199" s="341">
        <f>F198*E199</f>
        <v>1.8856799999999998</v>
      </c>
      <c r="G199" s="30"/>
      <c r="H199" s="30"/>
      <c r="I199" s="30"/>
      <c r="J199" s="30"/>
      <c r="K199" s="30"/>
      <c r="L199" s="30"/>
      <c r="M199" s="30"/>
      <c r="N199" s="213"/>
    </row>
    <row r="200" spans="1:14" s="77" customFormat="1" ht="31.5">
      <c r="A200" s="430" t="s">
        <v>78</v>
      </c>
      <c r="B200" s="365" t="s">
        <v>98</v>
      </c>
      <c r="C200" s="239" t="s">
        <v>202</v>
      </c>
      <c r="D200" s="366" t="s">
        <v>219</v>
      </c>
      <c r="E200" s="367"/>
      <c r="F200" s="23">
        <f>(F198)*1.95</f>
        <v>0.94769999999999999</v>
      </c>
      <c r="G200" s="334"/>
      <c r="H200" s="6"/>
      <c r="I200" s="334"/>
      <c r="J200" s="6"/>
      <c r="K200" s="334"/>
      <c r="L200" s="6"/>
      <c r="M200" s="6"/>
      <c r="N200" s="213"/>
    </row>
    <row r="201" spans="1:14" s="77" customFormat="1" ht="27" customHeight="1">
      <c r="A201" s="430"/>
      <c r="B201" s="337"/>
      <c r="C201" s="240" t="s">
        <v>57</v>
      </c>
      <c r="D201" s="368" t="s">
        <v>9</v>
      </c>
      <c r="E201" s="369">
        <v>0.53</v>
      </c>
      <c r="F201" s="350">
        <f>F200*E201</f>
        <v>0.50228099999999998</v>
      </c>
      <c r="G201" s="334"/>
      <c r="H201" s="6"/>
      <c r="I201" s="334"/>
      <c r="J201" s="6"/>
      <c r="K201" s="334"/>
      <c r="L201" s="6"/>
      <c r="M201" s="6"/>
      <c r="N201" s="213"/>
    </row>
    <row r="202" spans="1:14" s="77" customFormat="1" ht="47.25">
      <c r="A202" s="370" t="s">
        <v>101</v>
      </c>
      <c r="B202" s="337" t="s">
        <v>220</v>
      </c>
      <c r="C202" s="347" t="s">
        <v>253</v>
      </c>
      <c r="D202" s="338" t="s">
        <v>44</v>
      </c>
      <c r="E202" s="23"/>
      <c r="F202" s="237">
        <f>F200</f>
        <v>0.94769999999999999</v>
      </c>
      <c r="G202" s="334"/>
      <c r="H202" s="6"/>
      <c r="I202" s="334"/>
      <c r="J202" s="6"/>
      <c r="K202" s="17"/>
      <c r="L202" s="6"/>
      <c r="M202" s="6"/>
      <c r="N202" s="213"/>
    </row>
    <row r="203" spans="1:14" s="77" customFormat="1" ht="39.75" customHeight="1">
      <c r="A203" s="442" t="s">
        <v>94</v>
      </c>
      <c r="B203" s="338" t="s">
        <v>267</v>
      </c>
      <c r="C203" s="28" t="s">
        <v>296</v>
      </c>
      <c r="D203" s="338" t="s">
        <v>41</v>
      </c>
      <c r="E203" s="341"/>
      <c r="F203" s="23">
        <f>0.3*0.3*0.1*F197</f>
        <v>8.0999999999999989E-2</v>
      </c>
      <c r="G203" s="335"/>
      <c r="H203" s="334"/>
      <c r="I203" s="335"/>
      <c r="J203" s="334"/>
      <c r="K203" s="335"/>
      <c r="L203" s="334"/>
      <c r="M203" s="334"/>
      <c r="N203" s="213"/>
    </row>
    <row r="204" spans="1:14" s="77" customFormat="1" ht="15.75">
      <c r="A204" s="458"/>
      <c r="B204" s="121"/>
      <c r="C204" s="125" t="s">
        <v>37</v>
      </c>
      <c r="D204" s="121" t="s">
        <v>38</v>
      </c>
      <c r="E204" s="123">
        <v>0.89</v>
      </c>
      <c r="F204" s="123">
        <f>F203*E204</f>
        <v>7.2089999999999987E-2</v>
      </c>
      <c r="G204" s="15"/>
      <c r="H204" s="334"/>
      <c r="I204" s="15"/>
      <c r="J204" s="334"/>
      <c r="K204" s="16"/>
      <c r="L204" s="334"/>
      <c r="M204" s="334"/>
      <c r="N204" s="213"/>
    </row>
    <row r="205" spans="1:14" s="77" customFormat="1" ht="15.75">
      <c r="A205" s="458"/>
      <c r="B205" s="121"/>
      <c r="C205" s="125" t="s">
        <v>18</v>
      </c>
      <c r="D205" s="121" t="s">
        <v>7</v>
      </c>
      <c r="E205" s="123">
        <v>0.37</v>
      </c>
      <c r="F205" s="123">
        <f>F203*E205</f>
        <v>2.9969999999999997E-2</v>
      </c>
      <c r="G205" s="15"/>
      <c r="H205" s="334"/>
      <c r="I205" s="334"/>
      <c r="J205" s="334"/>
      <c r="K205" s="16"/>
      <c r="L205" s="334"/>
      <c r="M205" s="334"/>
      <c r="N205" s="213"/>
    </row>
    <row r="206" spans="1:14" s="77" customFormat="1" ht="15.75">
      <c r="A206" s="458"/>
      <c r="B206" s="121"/>
      <c r="C206" s="125" t="s">
        <v>119</v>
      </c>
      <c r="D206" s="121" t="s">
        <v>41</v>
      </c>
      <c r="E206" s="123">
        <v>1.1499999999999999</v>
      </c>
      <c r="F206" s="123">
        <f>F203*E206</f>
        <v>9.3149999999999983E-2</v>
      </c>
      <c r="G206" s="15"/>
      <c r="H206" s="334"/>
      <c r="I206" s="334"/>
      <c r="J206" s="334"/>
      <c r="K206" s="16"/>
      <c r="L206" s="334"/>
      <c r="M206" s="334"/>
      <c r="N206" s="213"/>
    </row>
    <row r="207" spans="1:14" s="77" customFormat="1" ht="15.75">
      <c r="A207" s="443"/>
      <c r="B207" s="121"/>
      <c r="C207" s="125" t="s">
        <v>53</v>
      </c>
      <c r="D207" s="121" t="s">
        <v>7</v>
      </c>
      <c r="E207" s="123">
        <v>0.02</v>
      </c>
      <c r="F207" s="123">
        <f>F203*E207</f>
        <v>1.6199999999999999E-3</v>
      </c>
      <c r="G207" s="15"/>
      <c r="H207" s="334"/>
      <c r="I207" s="334"/>
      <c r="J207" s="334"/>
      <c r="K207" s="16"/>
      <c r="L207" s="334"/>
      <c r="M207" s="334"/>
      <c r="N207" s="213"/>
    </row>
    <row r="208" spans="1:14" s="77" customFormat="1" ht="47.25">
      <c r="A208" s="442" t="s">
        <v>96</v>
      </c>
      <c r="B208" s="338" t="s">
        <v>297</v>
      </c>
      <c r="C208" s="28" t="s">
        <v>298</v>
      </c>
      <c r="D208" s="338" t="s">
        <v>41</v>
      </c>
      <c r="E208" s="23"/>
      <c r="F208" s="23">
        <f>0.3*0.3*0.5*F197</f>
        <v>0.40499999999999997</v>
      </c>
      <c r="G208" s="335"/>
      <c r="H208" s="334"/>
      <c r="I208" s="335"/>
      <c r="J208" s="334"/>
      <c r="K208" s="335"/>
      <c r="L208" s="334"/>
      <c r="M208" s="334"/>
      <c r="N208" s="213"/>
    </row>
    <row r="209" spans="1:14" s="77" customFormat="1" ht="15.75">
      <c r="A209" s="458"/>
      <c r="B209" s="337"/>
      <c r="C209" s="11" t="s">
        <v>40</v>
      </c>
      <c r="D209" s="337" t="s">
        <v>9</v>
      </c>
      <c r="E209" s="341">
        <v>4.5</v>
      </c>
      <c r="F209" s="341">
        <f>F208*E209</f>
        <v>1.8224999999999998</v>
      </c>
      <c r="G209" s="335"/>
      <c r="H209" s="334"/>
      <c r="I209" s="334"/>
      <c r="J209" s="334"/>
      <c r="K209" s="334"/>
      <c r="L209" s="334"/>
      <c r="M209" s="334"/>
      <c r="N209" s="213"/>
    </row>
    <row r="210" spans="1:14" s="77" customFormat="1" ht="15.75">
      <c r="A210" s="458"/>
      <c r="B210" s="337"/>
      <c r="C210" s="11" t="s">
        <v>18</v>
      </c>
      <c r="D210" s="337" t="s">
        <v>7</v>
      </c>
      <c r="E210" s="341">
        <v>0.37</v>
      </c>
      <c r="F210" s="341">
        <f>F208*E210</f>
        <v>0.14984999999999998</v>
      </c>
      <c r="G210" s="334"/>
      <c r="H210" s="334"/>
      <c r="I210" s="334"/>
      <c r="J210" s="334"/>
      <c r="K210" s="334"/>
      <c r="L210" s="334"/>
      <c r="M210" s="334"/>
      <c r="N210" s="213"/>
    </row>
    <row r="211" spans="1:14" s="77" customFormat="1" ht="15.75">
      <c r="A211" s="458"/>
      <c r="B211" s="337"/>
      <c r="C211" s="25" t="s">
        <v>299</v>
      </c>
      <c r="D211" s="337" t="s">
        <v>41</v>
      </c>
      <c r="E211" s="341">
        <v>1.02</v>
      </c>
      <c r="F211" s="341">
        <f>F208*E211</f>
        <v>0.41309999999999997</v>
      </c>
      <c r="G211" s="334"/>
      <c r="H211" s="334"/>
      <c r="I211" s="334"/>
      <c r="J211" s="334"/>
      <c r="K211" s="334"/>
      <c r="L211" s="334"/>
      <c r="M211" s="334"/>
      <c r="N211" s="213"/>
    </row>
    <row r="212" spans="1:14" s="77" customFormat="1" ht="15.75">
      <c r="A212" s="458"/>
      <c r="B212" s="337"/>
      <c r="C212" s="11" t="s">
        <v>300</v>
      </c>
      <c r="D212" s="337" t="s">
        <v>50</v>
      </c>
      <c r="E212" s="341">
        <v>1.61</v>
      </c>
      <c r="F212" s="341">
        <f>F208*E212</f>
        <v>0.65205000000000002</v>
      </c>
      <c r="G212" s="334"/>
      <c r="H212" s="334"/>
      <c r="I212" s="334"/>
      <c r="J212" s="334"/>
      <c r="K212" s="334"/>
      <c r="L212" s="334"/>
      <c r="M212" s="334"/>
      <c r="N212" s="213"/>
    </row>
    <row r="213" spans="1:14" s="77" customFormat="1" ht="15.75">
      <c r="A213" s="458"/>
      <c r="B213" s="337" t="s">
        <v>301</v>
      </c>
      <c r="C213" s="11" t="s">
        <v>45</v>
      </c>
      <c r="D213" s="386" t="s">
        <v>41</v>
      </c>
      <c r="E213" s="341">
        <v>1.72E-2</v>
      </c>
      <c r="F213" s="341">
        <f>F208*E213</f>
        <v>6.9659999999999991E-3</v>
      </c>
      <c r="G213" s="334"/>
      <c r="H213" s="334"/>
      <c r="I213" s="334"/>
      <c r="J213" s="334"/>
      <c r="K213" s="334"/>
      <c r="L213" s="334"/>
      <c r="M213" s="334"/>
      <c r="N213" s="213"/>
    </row>
    <row r="214" spans="1:14" s="77" customFormat="1" ht="15.75">
      <c r="A214" s="443"/>
      <c r="B214" s="337"/>
      <c r="C214" s="11" t="s">
        <v>53</v>
      </c>
      <c r="D214" s="337" t="s">
        <v>7</v>
      </c>
      <c r="E214" s="341">
        <v>0.28000000000000003</v>
      </c>
      <c r="F214" s="341">
        <f>F208*E214</f>
        <v>0.1134</v>
      </c>
      <c r="G214" s="334"/>
      <c r="H214" s="334"/>
      <c r="I214" s="334"/>
      <c r="J214" s="334"/>
      <c r="K214" s="334"/>
      <c r="L214" s="334"/>
      <c r="M214" s="334"/>
      <c r="N214" s="213"/>
    </row>
    <row r="215" spans="1:14" s="77" customFormat="1" ht="31.5">
      <c r="A215" s="442" t="s">
        <v>97</v>
      </c>
      <c r="B215" s="387" t="s">
        <v>302</v>
      </c>
      <c r="C215" s="347" t="s">
        <v>338</v>
      </c>
      <c r="D215" s="338" t="s">
        <v>44</v>
      </c>
      <c r="E215" s="23"/>
      <c r="F215" s="23">
        <f>70*0.1/1000+F220*47.1/1000</f>
        <v>3.6143125000000005E-2</v>
      </c>
      <c r="G215" s="334"/>
      <c r="H215" s="334"/>
      <c r="I215" s="334"/>
      <c r="J215" s="334"/>
      <c r="K215" s="334"/>
      <c r="L215" s="334"/>
      <c r="M215" s="334"/>
      <c r="N215" s="213"/>
    </row>
    <row r="216" spans="1:14" s="77" customFormat="1" ht="15.75">
      <c r="A216" s="458"/>
      <c r="B216" s="337"/>
      <c r="C216" s="11" t="s">
        <v>40</v>
      </c>
      <c r="D216" s="337" t="s">
        <v>9</v>
      </c>
      <c r="E216" s="341">
        <v>206</v>
      </c>
      <c r="F216" s="341">
        <f>F215*E216</f>
        <v>7.4454837500000011</v>
      </c>
      <c r="G216" s="335"/>
      <c r="H216" s="334"/>
      <c r="I216" s="334"/>
      <c r="J216" s="334"/>
      <c r="K216" s="334"/>
      <c r="L216" s="334"/>
      <c r="M216" s="334"/>
      <c r="N216" s="213"/>
    </row>
    <row r="217" spans="1:14" s="77" customFormat="1" ht="15.75">
      <c r="A217" s="458"/>
      <c r="B217" s="337"/>
      <c r="C217" s="11" t="s">
        <v>18</v>
      </c>
      <c r="D217" s="337" t="s">
        <v>7</v>
      </c>
      <c r="E217" s="341">
        <v>1.7</v>
      </c>
      <c r="F217" s="341">
        <f>F215*E217</f>
        <v>6.1443312500000007E-2</v>
      </c>
      <c r="G217" s="334"/>
      <c r="H217" s="334"/>
      <c r="I217" s="334"/>
      <c r="J217" s="334"/>
      <c r="K217" s="334"/>
      <c r="L217" s="334"/>
      <c r="M217" s="334"/>
      <c r="N217" s="213"/>
    </row>
    <row r="218" spans="1:14" s="77" customFormat="1" ht="15.75">
      <c r="A218" s="458"/>
      <c r="B218" s="337"/>
      <c r="C218" s="255" t="s">
        <v>303</v>
      </c>
      <c r="D218" s="337" t="s">
        <v>44</v>
      </c>
      <c r="E218" s="341">
        <v>1</v>
      </c>
      <c r="F218" s="341">
        <f>F215*E218</f>
        <v>3.6143125000000005E-2</v>
      </c>
      <c r="G218" s="334"/>
      <c r="H218" s="334"/>
      <c r="I218" s="334"/>
      <c r="J218" s="334"/>
      <c r="K218" s="334"/>
      <c r="L218" s="334"/>
      <c r="M218" s="334"/>
      <c r="N218" s="213"/>
    </row>
    <row r="219" spans="1:14" s="77" customFormat="1" ht="15.75">
      <c r="A219" s="458"/>
      <c r="B219" s="337"/>
      <c r="C219" s="26"/>
      <c r="D219" s="337" t="s">
        <v>55</v>
      </c>
      <c r="E219" s="341"/>
      <c r="F219" s="341">
        <f>F197*4</f>
        <v>36</v>
      </c>
      <c r="G219" s="334"/>
      <c r="H219" s="334"/>
      <c r="I219" s="334"/>
      <c r="J219" s="334"/>
      <c r="K219" s="334"/>
      <c r="L219" s="334"/>
      <c r="M219" s="334"/>
      <c r="N219" s="213"/>
    </row>
    <row r="220" spans="1:14" s="77" customFormat="1" ht="15.75">
      <c r="A220" s="458"/>
      <c r="B220" s="337"/>
      <c r="C220" s="11" t="s">
        <v>304</v>
      </c>
      <c r="D220" s="337" t="s">
        <v>50</v>
      </c>
      <c r="E220" s="341"/>
      <c r="F220" s="341">
        <f>0.25*0.25*F197*1.1</f>
        <v>0.61875000000000002</v>
      </c>
      <c r="G220" s="334"/>
      <c r="H220" s="334"/>
      <c r="I220" s="334"/>
      <c r="J220" s="334"/>
      <c r="K220" s="334"/>
      <c r="L220" s="334"/>
      <c r="M220" s="334"/>
      <c r="N220" s="213"/>
    </row>
    <row r="221" spans="1:14" s="77" customFormat="1" ht="15.75">
      <c r="A221" s="443"/>
      <c r="B221" s="337"/>
      <c r="C221" s="11" t="s">
        <v>310</v>
      </c>
      <c r="D221" s="337" t="s">
        <v>55</v>
      </c>
      <c r="E221" s="341">
        <v>1</v>
      </c>
      <c r="F221" s="341">
        <f>F197</f>
        <v>9</v>
      </c>
      <c r="G221" s="334"/>
      <c r="H221" s="334"/>
      <c r="I221" s="334"/>
      <c r="J221" s="334"/>
      <c r="K221" s="334"/>
      <c r="L221" s="334"/>
      <c r="M221" s="334"/>
      <c r="N221" s="213"/>
    </row>
    <row r="222" spans="1:14" s="77" customFormat="1" ht="31.5">
      <c r="A222" s="442" t="s">
        <v>89</v>
      </c>
      <c r="B222" s="382" t="s">
        <v>23</v>
      </c>
      <c r="C222" s="105" t="s">
        <v>305</v>
      </c>
      <c r="D222" s="382" t="s">
        <v>291</v>
      </c>
      <c r="E222" s="102"/>
      <c r="F222" s="50">
        <f>(0.1+0.1)*2*0.7*F197</f>
        <v>2.5199999999999996</v>
      </c>
      <c r="G222" s="334"/>
      <c r="H222" s="334"/>
      <c r="I222" s="334"/>
      <c r="J222" s="334"/>
      <c r="K222" s="334"/>
      <c r="L222" s="334"/>
      <c r="M222" s="334"/>
      <c r="N222" s="213"/>
    </row>
    <row r="223" spans="1:14" s="77" customFormat="1" ht="15.75">
      <c r="A223" s="458"/>
      <c r="B223" s="383"/>
      <c r="C223" s="127" t="s">
        <v>40</v>
      </c>
      <c r="D223" s="384" t="s">
        <v>9</v>
      </c>
      <c r="E223" s="351">
        <v>0.68</v>
      </c>
      <c r="F223" s="341">
        <f>F222*E223</f>
        <v>1.7135999999999998</v>
      </c>
      <c r="G223" s="334"/>
      <c r="H223" s="334"/>
      <c r="I223" s="334"/>
      <c r="J223" s="334"/>
      <c r="K223" s="334"/>
      <c r="L223" s="334"/>
      <c r="M223" s="334"/>
      <c r="N223" s="213"/>
    </row>
    <row r="224" spans="1:14" s="77" customFormat="1" ht="15.75">
      <c r="A224" s="458"/>
      <c r="B224" s="364"/>
      <c r="C224" s="104" t="s">
        <v>8</v>
      </c>
      <c r="D224" s="364" t="s">
        <v>7</v>
      </c>
      <c r="E224" s="107">
        <f>0.03*0.01</f>
        <v>2.9999999999999997E-4</v>
      </c>
      <c r="F224" s="341">
        <f>F222*E224</f>
        <v>7.5599999999999984E-4</v>
      </c>
      <c r="G224" s="334"/>
      <c r="H224" s="334"/>
      <c r="I224" s="334"/>
      <c r="J224" s="334"/>
      <c r="K224" s="334"/>
      <c r="L224" s="334"/>
      <c r="M224" s="334"/>
      <c r="N224" s="213"/>
    </row>
    <row r="225" spans="1:14" s="77" customFormat="1" ht="15.75">
      <c r="A225" s="458"/>
      <c r="B225" s="364" t="s">
        <v>306</v>
      </c>
      <c r="C225" s="104" t="s">
        <v>307</v>
      </c>
      <c r="D225" s="383" t="s">
        <v>88</v>
      </c>
      <c r="E225" s="102">
        <v>0.246</v>
      </c>
      <c r="F225" s="341">
        <f>E225*F222</f>
        <v>0.61991999999999992</v>
      </c>
      <c r="G225" s="334"/>
      <c r="H225" s="334"/>
      <c r="I225" s="334"/>
      <c r="J225" s="334"/>
      <c r="K225" s="334"/>
      <c r="L225" s="334"/>
      <c r="M225" s="334"/>
      <c r="N225" s="213"/>
    </row>
    <row r="226" spans="1:14" s="77" customFormat="1" ht="15.75">
      <c r="A226" s="458"/>
      <c r="B226" s="364"/>
      <c r="C226" s="104" t="s">
        <v>134</v>
      </c>
      <c r="D226" s="383" t="s">
        <v>88</v>
      </c>
      <c r="E226" s="102">
        <v>2.7E-2</v>
      </c>
      <c r="F226" s="341">
        <f>E226*F222</f>
        <v>6.8039999999999989E-2</v>
      </c>
      <c r="G226" s="334"/>
      <c r="H226" s="334"/>
      <c r="I226" s="334"/>
      <c r="J226" s="334"/>
      <c r="K226" s="334"/>
      <c r="L226" s="334"/>
      <c r="M226" s="334"/>
      <c r="N226" s="213"/>
    </row>
    <row r="227" spans="1:14" s="77" customFormat="1" ht="15.75">
      <c r="A227" s="443"/>
      <c r="B227" s="364"/>
      <c r="C227" s="104" t="s">
        <v>10</v>
      </c>
      <c r="D227" s="364" t="s">
        <v>7</v>
      </c>
      <c r="E227" s="107">
        <v>1.9E-3</v>
      </c>
      <c r="F227" s="341">
        <f>F222*E227</f>
        <v>4.7879999999999989E-3</v>
      </c>
      <c r="G227" s="334"/>
      <c r="H227" s="334"/>
      <c r="I227" s="334"/>
      <c r="J227" s="334"/>
      <c r="K227" s="334"/>
      <c r="L227" s="334"/>
      <c r="M227" s="334"/>
      <c r="N227" s="213"/>
    </row>
    <row r="228" spans="1:14" s="77" customFormat="1" ht="0.75" customHeight="1">
      <c r="A228" s="327"/>
      <c r="B228" s="195"/>
      <c r="C228" s="331"/>
      <c r="D228" s="195"/>
      <c r="E228" s="23"/>
      <c r="F228" s="23"/>
      <c r="G228" s="330"/>
      <c r="H228" s="330"/>
      <c r="I228" s="330"/>
      <c r="J228" s="330"/>
      <c r="K228" s="330"/>
      <c r="L228" s="330"/>
      <c r="M228" s="330"/>
      <c r="N228" s="213"/>
    </row>
    <row r="229" spans="1:14" s="77" customFormat="1" ht="31.5">
      <c r="A229" s="97" t="s">
        <v>222</v>
      </c>
      <c r="B229" s="85"/>
      <c r="C229" s="120" t="s">
        <v>312</v>
      </c>
      <c r="D229" s="85"/>
      <c r="E229" s="52"/>
      <c r="F229" s="52"/>
      <c r="G229" s="330"/>
      <c r="H229" s="330"/>
      <c r="I229" s="330"/>
      <c r="J229" s="330"/>
      <c r="K229" s="330"/>
      <c r="L229" s="330"/>
      <c r="M229" s="330"/>
      <c r="N229" s="213"/>
    </row>
    <row r="230" spans="1:14" s="77" customFormat="1" ht="47.25">
      <c r="A230" s="440" t="s">
        <v>100</v>
      </c>
      <c r="B230" s="195" t="s">
        <v>112</v>
      </c>
      <c r="C230" s="61" t="s">
        <v>339</v>
      </c>
      <c r="D230" s="8" t="s">
        <v>41</v>
      </c>
      <c r="E230" s="8"/>
      <c r="F230" s="8">
        <v>230</v>
      </c>
      <c r="G230" s="330"/>
      <c r="H230" s="330"/>
      <c r="I230" s="330"/>
      <c r="J230" s="330"/>
      <c r="K230" s="330"/>
      <c r="L230" s="330"/>
      <c r="M230" s="330"/>
      <c r="N230" s="213"/>
    </row>
    <row r="231" spans="1:14" s="77" customFormat="1" ht="15.75">
      <c r="A231" s="449"/>
      <c r="B231" s="195"/>
      <c r="C231" s="115" t="s">
        <v>57</v>
      </c>
      <c r="D231" s="346" t="s">
        <v>9</v>
      </c>
      <c r="E231" s="346">
        <v>0.32300000000000001</v>
      </c>
      <c r="F231" s="346">
        <f>F230*E231</f>
        <v>74.290000000000006</v>
      </c>
      <c r="G231" s="355"/>
      <c r="H231" s="355"/>
      <c r="I231" s="355"/>
      <c r="J231" s="334"/>
      <c r="K231" s="355"/>
      <c r="L231" s="334"/>
      <c r="M231" s="334"/>
      <c r="N231" s="213"/>
    </row>
    <row r="232" spans="1:14" s="77" customFormat="1" ht="15.75">
      <c r="A232" s="441"/>
      <c r="B232" s="195"/>
      <c r="C232" s="116" t="s">
        <v>18</v>
      </c>
      <c r="D232" s="346" t="s">
        <v>7</v>
      </c>
      <c r="E232" s="346">
        <v>2.1499999999999998E-2</v>
      </c>
      <c r="F232" s="346">
        <f>F230*E232</f>
        <v>4.9449999999999994</v>
      </c>
      <c r="G232" s="355"/>
      <c r="H232" s="355"/>
      <c r="I232" s="355"/>
      <c r="J232" s="334"/>
      <c r="K232" s="355"/>
      <c r="L232" s="334"/>
      <c r="M232" s="334"/>
      <c r="N232" s="213"/>
    </row>
    <row r="233" spans="1:14" s="77" customFormat="1" ht="27">
      <c r="A233" s="437">
        <v>2</v>
      </c>
      <c r="B233" s="195" t="s">
        <v>113</v>
      </c>
      <c r="C233" s="343" t="s">
        <v>340</v>
      </c>
      <c r="D233" s="8" t="s">
        <v>41</v>
      </c>
      <c r="E233" s="8"/>
      <c r="F233" s="8">
        <f>F230*0.03</f>
        <v>6.8999999999999995</v>
      </c>
      <c r="G233" s="355"/>
      <c r="H233" s="355"/>
      <c r="I233" s="355"/>
      <c r="J233" s="334"/>
      <c r="K233" s="355"/>
      <c r="L233" s="334"/>
      <c r="M233" s="334"/>
      <c r="N233" s="213"/>
    </row>
    <row r="234" spans="1:14" s="77" customFormat="1" ht="15.75">
      <c r="A234" s="438"/>
      <c r="B234" s="195"/>
      <c r="C234" s="115" t="s">
        <v>57</v>
      </c>
      <c r="D234" s="346" t="s">
        <v>9</v>
      </c>
      <c r="E234" s="346">
        <v>7.3</v>
      </c>
      <c r="F234" s="346">
        <f>F233*E234</f>
        <v>50.37</v>
      </c>
      <c r="G234" s="355"/>
      <c r="H234" s="355"/>
      <c r="I234" s="355"/>
      <c r="J234" s="334"/>
      <c r="K234" s="355"/>
      <c r="L234" s="334"/>
      <c r="M234" s="334"/>
      <c r="N234" s="213"/>
    </row>
    <row r="235" spans="1:14" s="77" customFormat="1" ht="15.75">
      <c r="A235" s="439"/>
      <c r="B235" s="195"/>
      <c r="C235" s="116" t="s">
        <v>18</v>
      </c>
      <c r="D235" s="346" t="s">
        <v>7</v>
      </c>
      <c r="E235" s="346">
        <v>2.9</v>
      </c>
      <c r="F235" s="346">
        <f>F233*E235</f>
        <v>20.009999999999998</v>
      </c>
      <c r="G235" s="355"/>
      <c r="H235" s="355"/>
      <c r="I235" s="355"/>
      <c r="J235" s="334"/>
      <c r="K235" s="355"/>
      <c r="L235" s="334"/>
      <c r="M235" s="334"/>
      <c r="N235" s="213"/>
    </row>
    <row r="236" spans="1:14" s="77" customFormat="1" ht="82.5" customHeight="1">
      <c r="A236" s="431" t="s">
        <v>101</v>
      </c>
      <c r="B236" s="197" t="s">
        <v>115</v>
      </c>
      <c r="C236" s="61" t="s">
        <v>313</v>
      </c>
      <c r="D236" s="195" t="s">
        <v>12</v>
      </c>
      <c r="E236" s="341"/>
      <c r="F236" s="23">
        <f>F230*0.03+F233*0.05</f>
        <v>7.2449999999999992</v>
      </c>
      <c r="G236" s="334"/>
      <c r="H236" s="334"/>
      <c r="I236" s="334"/>
      <c r="J236" s="334"/>
      <c r="K236" s="334"/>
      <c r="L236" s="334"/>
      <c r="M236" s="334"/>
      <c r="N236" s="213"/>
    </row>
    <row r="237" spans="1:14" s="77" customFormat="1" ht="15.75">
      <c r="A237" s="431"/>
      <c r="B237" s="195"/>
      <c r="C237" s="117" t="s">
        <v>57</v>
      </c>
      <c r="D237" s="43" t="s">
        <v>9</v>
      </c>
      <c r="E237" s="82">
        <v>0.6</v>
      </c>
      <c r="F237" s="44">
        <f>F236*E237</f>
        <v>4.3469999999999995</v>
      </c>
      <c r="G237" s="17"/>
      <c r="H237" s="334"/>
      <c r="I237" s="17"/>
      <c r="J237" s="334"/>
      <c r="K237" s="334"/>
      <c r="L237" s="334"/>
      <c r="M237" s="334"/>
      <c r="N237" s="213"/>
    </row>
    <row r="238" spans="1:14" s="77" customFormat="1" ht="31.5">
      <c r="A238" s="431"/>
      <c r="B238" s="197" t="s">
        <v>98</v>
      </c>
      <c r="C238" s="118" t="s">
        <v>200</v>
      </c>
      <c r="D238" s="195" t="s">
        <v>44</v>
      </c>
      <c r="E238" s="82"/>
      <c r="F238" s="84">
        <f>F230*0.03*2.1+F233*0.05*2.4</f>
        <v>15.318</v>
      </c>
      <c r="G238" s="17"/>
      <c r="H238" s="334"/>
      <c r="I238" s="17"/>
      <c r="J238" s="334"/>
      <c r="K238" s="17"/>
      <c r="L238" s="334"/>
      <c r="M238" s="334"/>
      <c r="N238" s="213"/>
    </row>
    <row r="239" spans="1:14" s="77" customFormat="1" ht="15.75">
      <c r="A239" s="431"/>
      <c r="B239" s="324"/>
      <c r="C239" s="42" t="s">
        <v>59</v>
      </c>
      <c r="D239" s="43" t="s">
        <v>9</v>
      </c>
      <c r="E239" s="82">
        <v>0.53</v>
      </c>
      <c r="F239" s="44">
        <f>F238*E239</f>
        <v>8.1185399999999994</v>
      </c>
      <c r="G239" s="17"/>
      <c r="H239" s="334"/>
      <c r="I239" s="17"/>
      <c r="J239" s="334"/>
      <c r="K239" s="17"/>
      <c r="L239" s="334"/>
      <c r="M239" s="334"/>
      <c r="N239" s="213"/>
    </row>
    <row r="240" spans="1:14" s="77" customFormat="1" ht="21" customHeight="1">
      <c r="A240" s="431"/>
      <c r="B240" s="195" t="s">
        <v>116</v>
      </c>
      <c r="C240" s="119" t="s">
        <v>203</v>
      </c>
      <c r="D240" s="195" t="s">
        <v>44</v>
      </c>
      <c r="E240" s="82"/>
      <c r="F240" s="84">
        <f>F238</f>
        <v>15.318</v>
      </c>
      <c r="G240" s="17"/>
      <c r="H240" s="334"/>
      <c r="I240" s="17"/>
      <c r="J240" s="334"/>
      <c r="K240" s="17"/>
      <c r="L240" s="334"/>
      <c r="M240" s="334"/>
      <c r="N240" s="213"/>
    </row>
    <row r="241" spans="1:14" s="77" customFormat="1" ht="47.25">
      <c r="A241" s="440" t="s">
        <v>94</v>
      </c>
      <c r="B241" s="193" t="s">
        <v>314</v>
      </c>
      <c r="C241" s="105" t="s">
        <v>315</v>
      </c>
      <c r="D241" s="354" t="s">
        <v>50</v>
      </c>
      <c r="E241" s="107"/>
      <c r="F241" s="50">
        <v>230</v>
      </c>
      <c r="G241" s="334"/>
      <c r="H241" s="334"/>
      <c r="I241" s="334"/>
      <c r="J241" s="334"/>
      <c r="K241" s="334"/>
      <c r="L241" s="334"/>
      <c r="M241" s="334"/>
      <c r="N241" s="213"/>
    </row>
    <row r="242" spans="1:14" s="77" customFormat="1" ht="15.75">
      <c r="A242" s="449"/>
      <c r="B242" s="193"/>
      <c r="C242" s="40" t="s">
        <v>40</v>
      </c>
      <c r="D242" s="349" t="s">
        <v>9</v>
      </c>
      <c r="E242" s="18">
        <v>10.199999999999999</v>
      </c>
      <c r="F242" s="19">
        <f>F241*E242</f>
        <v>2346</v>
      </c>
      <c r="G242" s="6"/>
      <c r="H242" s="6"/>
      <c r="I242" s="6"/>
      <c r="J242" s="6"/>
      <c r="K242" s="6"/>
      <c r="L242" s="194"/>
      <c r="M242" s="194"/>
      <c r="N242" s="213"/>
    </row>
    <row r="243" spans="1:14" s="77" customFormat="1" ht="15.75">
      <c r="A243" s="449"/>
      <c r="B243" s="193"/>
      <c r="C243" s="40" t="s">
        <v>18</v>
      </c>
      <c r="D243" s="349" t="s">
        <v>7</v>
      </c>
      <c r="E243" s="18">
        <v>0.15</v>
      </c>
      <c r="F243" s="19">
        <f>F241*E243</f>
        <v>34.5</v>
      </c>
      <c r="G243" s="6"/>
      <c r="H243" s="6"/>
      <c r="I243" s="6"/>
      <c r="J243" s="6"/>
      <c r="K243" s="6"/>
      <c r="L243" s="194"/>
      <c r="M243" s="194"/>
      <c r="N243" s="213"/>
    </row>
    <row r="244" spans="1:14" s="77" customFormat="1" ht="31.5">
      <c r="A244" s="449"/>
      <c r="B244" s="193"/>
      <c r="C244" s="40" t="s">
        <v>316</v>
      </c>
      <c r="D244" s="349" t="s">
        <v>50</v>
      </c>
      <c r="E244" s="18">
        <v>1</v>
      </c>
      <c r="F244" s="19">
        <f>F241*E244</f>
        <v>230</v>
      </c>
      <c r="G244" s="6"/>
      <c r="H244" s="6"/>
      <c r="I244" s="6"/>
      <c r="J244" s="6"/>
      <c r="K244" s="6"/>
      <c r="L244" s="194"/>
      <c r="M244" s="194"/>
      <c r="N244" s="213"/>
    </row>
    <row r="245" spans="1:14" s="77" customFormat="1" ht="15.75">
      <c r="A245" s="449"/>
      <c r="B245" s="193"/>
      <c r="C245" s="40" t="s">
        <v>215</v>
      </c>
      <c r="D245" s="349" t="s">
        <v>41</v>
      </c>
      <c r="E245" s="18">
        <v>3.5999999999999997E-2</v>
      </c>
      <c r="F245" s="19">
        <f>F241*E245</f>
        <v>8.2799999999999994</v>
      </c>
      <c r="G245" s="6"/>
      <c r="H245" s="6"/>
      <c r="I245" s="6"/>
      <c r="J245" s="6"/>
      <c r="K245" s="6"/>
      <c r="L245" s="194"/>
      <c r="M245" s="194"/>
      <c r="N245" s="213"/>
    </row>
    <row r="246" spans="1:14" s="77" customFormat="1" ht="18.75" customHeight="1">
      <c r="A246" s="441"/>
      <c r="B246" s="193"/>
      <c r="C246" s="40" t="s">
        <v>53</v>
      </c>
      <c r="D246" s="349" t="s">
        <v>7</v>
      </c>
      <c r="E246" s="18">
        <v>0.09</v>
      </c>
      <c r="F246" s="19">
        <f>F241*E246</f>
        <v>20.7</v>
      </c>
      <c r="G246" s="6"/>
      <c r="H246" s="6"/>
      <c r="I246" s="6"/>
      <c r="J246" s="6"/>
      <c r="K246" s="6"/>
      <c r="L246" s="194"/>
      <c r="M246" s="194"/>
      <c r="N246" s="213"/>
    </row>
    <row r="247" spans="1:14" s="77" customFormat="1" ht="15.75" hidden="1">
      <c r="A247" s="327"/>
      <c r="B247" s="195"/>
      <c r="C247" s="331"/>
      <c r="D247" s="195"/>
      <c r="E247" s="23"/>
      <c r="F247" s="23"/>
      <c r="G247" s="330"/>
      <c r="H247" s="330"/>
      <c r="I247" s="330"/>
      <c r="J247" s="330"/>
      <c r="K247" s="330"/>
      <c r="L247" s="330"/>
      <c r="M247" s="330"/>
      <c r="N247" s="213"/>
    </row>
    <row r="248" spans="1:14" s="73" customFormat="1" ht="3" hidden="1" customHeight="1">
      <c r="A248" s="242"/>
      <c r="B248" s="195"/>
      <c r="C248" s="138"/>
      <c r="D248" s="195"/>
      <c r="E248" s="246"/>
      <c r="F248" s="246"/>
      <c r="G248" s="245"/>
      <c r="H248" s="245"/>
      <c r="I248" s="245"/>
      <c r="J248" s="245"/>
      <c r="K248" s="245"/>
      <c r="L248" s="245"/>
      <c r="M248" s="245"/>
      <c r="N248" s="214"/>
    </row>
    <row r="249" spans="1:14" s="79" customFormat="1" ht="112.5" customHeight="1">
      <c r="A249" s="431" t="s">
        <v>222</v>
      </c>
      <c r="B249" s="197" t="s">
        <v>115</v>
      </c>
      <c r="C249" s="61" t="s">
        <v>204</v>
      </c>
      <c r="D249" s="7" t="s">
        <v>12</v>
      </c>
      <c r="E249" s="207"/>
      <c r="F249" s="23">
        <v>15</v>
      </c>
      <c r="G249" s="204"/>
      <c r="H249" s="204"/>
      <c r="I249" s="204"/>
      <c r="J249" s="204"/>
      <c r="K249" s="204"/>
      <c r="L249" s="204"/>
      <c r="M249" s="204"/>
      <c r="N249" s="215"/>
    </row>
    <row r="250" spans="1:14" s="79" customFormat="1" ht="16.5">
      <c r="A250" s="431"/>
      <c r="B250" s="195"/>
      <c r="C250" s="117" t="s">
        <v>57</v>
      </c>
      <c r="D250" s="43" t="s">
        <v>9</v>
      </c>
      <c r="E250" s="82">
        <v>0.6</v>
      </c>
      <c r="F250" s="44">
        <f>F249*E250</f>
        <v>9</v>
      </c>
      <c r="G250" s="17"/>
      <c r="H250" s="204"/>
      <c r="I250" s="17"/>
      <c r="J250" s="204"/>
      <c r="K250" s="204"/>
      <c r="L250" s="204"/>
      <c r="M250" s="204"/>
      <c r="N250" s="215"/>
    </row>
    <row r="251" spans="1:14" s="79" customFormat="1" ht="31.5">
      <c r="A251" s="431"/>
      <c r="B251" s="83" t="s">
        <v>98</v>
      </c>
      <c r="C251" s="118" t="s">
        <v>58</v>
      </c>
      <c r="D251" s="7" t="s">
        <v>44</v>
      </c>
      <c r="E251" s="82"/>
      <c r="F251" s="84">
        <f>F249*1.65</f>
        <v>24.75</v>
      </c>
      <c r="G251" s="17"/>
      <c r="H251" s="204"/>
      <c r="I251" s="17"/>
      <c r="J251" s="204"/>
      <c r="K251" s="17"/>
      <c r="L251" s="204"/>
      <c r="M251" s="204"/>
      <c r="N251" s="215"/>
    </row>
    <row r="252" spans="1:14" s="79" customFormat="1" ht="16.5">
      <c r="A252" s="431"/>
      <c r="B252" s="324"/>
      <c r="C252" s="42" t="s">
        <v>59</v>
      </c>
      <c r="D252" s="43" t="s">
        <v>9</v>
      </c>
      <c r="E252" s="82">
        <v>0.53</v>
      </c>
      <c r="F252" s="44">
        <f>F251*E252</f>
        <v>13.117500000000001</v>
      </c>
      <c r="G252" s="17"/>
      <c r="H252" s="204"/>
      <c r="I252" s="17"/>
      <c r="J252" s="204"/>
      <c r="K252" s="17"/>
      <c r="L252" s="204"/>
      <c r="M252" s="204"/>
      <c r="N252" s="215"/>
    </row>
    <row r="253" spans="1:14" s="79" customFormat="1" ht="31.5">
      <c r="A253" s="431"/>
      <c r="B253" s="195" t="s">
        <v>116</v>
      </c>
      <c r="C253" s="45" t="s">
        <v>218</v>
      </c>
      <c r="D253" s="7" t="s">
        <v>44</v>
      </c>
      <c r="E253" s="82"/>
      <c r="F253" s="84">
        <f>F251</f>
        <v>24.75</v>
      </c>
      <c r="G253" s="17"/>
      <c r="H253" s="204"/>
      <c r="I253" s="17"/>
      <c r="J253" s="204"/>
      <c r="K253" s="16"/>
      <c r="L253" s="204"/>
      <c r="M253" s="204"/>
      <c r="N253" s="215"/>
    </row>
    <row r="254" spans="1:14" s="79" customFormat="1" ht="1.5" customHeight="1">
      <c r="A254" s="12"/>
      <c r="B254" s="195"/>
      <c r="C254" s="61"/>
      <c r="D254" s="7"/>
      <c r="E254" s="207"/>
      <c r="F254" s="207"/>
      <c r="G254" s="204"/>
      <c r="H254" s="204"/>
      <c r="I254" s="204"/>
      <c r="J254" s="204"/>
      <c r="K254" s="204"/>
      <c r="L254" s="204"/>
      <c r="M254" s="204"/>
      <c r="N254" s="215"/>
    </row>
    <row r="255" spans="1:14" s="79" customFormat="1" ht="16.5" hidden="1">
      <c r="A255" s="12"/>
      <c r="B255" s="195"/>
      <c r="C255" s="61"/>
      <c r="D255" s="7"/>
      <c r="E255" s="207"/>
      <c r="F255" s="207"/>
      <c r="G255" s="204"/>
      <c r="H255" s="204"/>
      <c r="I255" s="204"/>
      <c r="J255" s="204"/>
      <c r="K255" s="204"/>
      <c r="L255" s="204"/>
      <c r="M255" s="204"/>
      <c r="N255" s="215"/>
    </row>
    <row r="256" spans="1:14" s="73" customFormat="1" ht="16.5" hidden="1">
      <c r="A256" s="12"/>
      <c r="B256" s="195"/>
      <c r="C256" s="61"/>
      <c r="D256" s="7"/>
      <c r="E256" s="207"/>
      <c r="F256" s="207"/>
      <c r="G256" s="204"/>
      <c r="H256" s="204"/>
      <c r="I256" s="204"/>
      <c r="J256" s="204"/>
      <c r="K256" s="204"/>
      <c r="L256" s="204"/>
      <c r="M256" s="204"/>
      <c r="N256" s="214"/>
    </row>
    <row r="257" spans="1:14" s="73" customFormat="1" ht="16.5">
      <c r="A257" s="300"/>
      <c r="B257" s="301"/>
      <c r="C257" s="290" t="s">
        <v>140</v>
      </c>
      <c r="D257" s="301"/>
      <c r="E257" s="302"/>
      <c r="F257" s="303"/>
      <c r="G257" s="304"/>
      <c r="H257" s="304"/>
      <c r="I257" s="304"/>
      <c r="J257" s="304"/>
      <c r="K257" s="304"/>
      <c r="L257" s="304"/>
      <c r="M257" s="304"/>
      <c r="N257" s="305">
        <f>H257+J257+L257</f>
        <v>0</v>
      </c>
    </row>
    <row r="258" spans="1:14" s="73" customFormat="1" ht="16.5">
      <c r="A258" s="257"/>
      <c r="B258" s="267"/>
      <c r="C258" s="268" t="s">
        <v>234</v>
      </c>
      <c r="D258" s="267"/>
      <c r="E258" s="269"/>
      <c r="F258" s="270" t="s">
        <v>354</v>
      </c>
      <c r="G258" s="271"/>
      <c r="H258" s="271"/>
      <c r="I258" s="271"/>
      <c r="J258" s="271"/>
      <c r="K258" s="271"/>
      <c r="L258" s="271"/>
      <c r="M258" s="272"/>
      <c r="N258" s="214"/>
    </row>
    <row r="259" spans="1:14" s="73" customFormat="1" ht="16.5">
      <c r="A259" s="257"/>
      <c r="B259" s="267"/>
      <c r="C259" s="273" t="s">
        <v>20</v>
      </c>
      <c r="D259" s="267"/>
      <c r="E259" s="269"/>
      <c r="F259" s="274"/>
      <c r="G259" s="271"/>
      <c r="H259" s="271"/>
      <c r="I259" s="271"/>
      <c r="J259" s="271"/>
      <c r="K259" s="271"/>
      <c r="L259" s="271"/>
      <c r="M259" s="272"/>
      <c r="N259" s="214"/>
    </row>
    <row r="260" spans="1:14" s="73" customFormat="1" ht="16.5">
      <c r="A260" s="275"/>
      <c r="B260" s="276"/>
      <c r="C260" s="277" t="s">
        <v>235</v>
      </c>
      <c r="D260" s="278"/>
      <c r="E260" s="279"/>
      <c r="F260" s="280" t="s">
        <v>354</v>
      </c>
      <c r="G260" s="265"/>
      <c r="H260" s="265"/>
      <c r="I260" s="265"/>
      <c r="J260" s="265"/>
      <c r="K260" s="265"/>
      <c r="L260" s="265"/>
      <c r="M260" s="265"/>
      <c r="N260" s="214"/>
    </row>
    <row r="261" spans="1:14" s="141" customFormat="1" ht="16.5">
      <c r="A261" s="281"/>
      <c r="B261" s="282"/>
      <c r="C261" s="273" t="s">
        <v>20</v>
      </c>
      <c r="D261" s="283"/>
      <c r="E261" s="284"/>
      <c r="F261" s="285"/>
      <c r="G261" s="266"/>
      <c r="H261" s="266"/>
      <c r="I261" s="266"/>
      <c r="J261" s="266"/>
      <c r="K261" s="266"/>
      <c r="L261" s="266"/>
      <c r="M261" s="266"/>
      <c r="N261" s="216"/>
    </row>
    <row r="262" spans="1:14" s="73" customFormat="1" ht="16.5">
      <c r="A262" s="281"/>
      <c r="B262" s="282"/>
      <c r="C262" s="286" t="s">
        <v>85</v>
      </c>
      <c r="D262" s="283"/>
      <c r="E262" s="284"/>
      <c r="F262" s="287" t="s">
        <v>354</v>
      </c>
      <c r="G262" s="266"/>
      <c r="H262" s="266"/>
      <c r="I262" s="266"/>
      <c r="J262" s="266"/>
      <c r="K262" s="266"/>
      <c r="L262" s="266"/>
      <c r="M262" s="266"/>
      <c r="N262" s="214"/>
    </row>
    <row r="263" spans="1:14" s="141" customFormat="1" ht="16.5">
      <c r="A263" s="288"/>
      <c r="B263" s="289"/>
      <c r="C263" s="290" t="s">
        <v>236</v>
      </c>
      <c r="D263" s="291"/>
      <c r="E263" s="292"/>
      <c r="F263" s="293"/>
      <c r="G263" s="294"/>
      <c r="H263" s="294"/>
      <c r="I263" s="294"/>
      <c r="J263" s="294"/>
      <c r="K263" s="294"/>
      <c r="L263" s="294"/>
      <c r="M263" s="295"/>
      <c r="N263" s="216"/>
    </row>
    <row r="264" spans="1:14" s="73" customFormat="1" ht="16.5">
      <c r="A264" s="281"/>
      <c r="B264" s="282"/>
      <c r="C264" s="286" t="s">
        <v>4</v>
      </c>
      <c r="D264" s="283"/>
      <c r="E264" s="284"/>
      <c r="F264" s="296" t="s">
        <v>60</v>
      </c>
      <c r="G264" s="266"/>
      <c r="H264" s="266"/>
      <c r="I264" s="266"/>
      <c r="J264" s="266"/>
      <c r="K264" s="266"/>
      <c r="L264" s="266"/>
      <c r="M264" s="266"/>
      <c r="N264" s="214"/>
    </row>
    <row r="265" spans="1:14" s="73" customFormat="1" ht="16.5">
      <c r="A265" s="281"/>
      <c r="B265" s="282"/>
      <c r="C265" s="308" t="s">
        <v>20</v>
      </c>
      <c r="D265" s="283"/>
      <c r="E265" s="284"/>
      <c r="F265" s="297"/>
      <c r="G265" s="266"/>
      <c r="H265" s="266"/>
      <c r="I265" s="266"/>
      <c r="J265" s="266"/>
      <c r="K265" s="266"/>
      <c r="L265" s="266"/>
      <c r="M265" s="266"/>
      <c r="N265" s="214"/>
    </row>
    <row r="266" spans="1:14" s="73" customFormat="1" ht="31.5">
      <c r="A266" s="281"/>
      <c r="B266" s="282"/>
      <c r="C266" s="309" t="s">
        <v>237</v>
      </c>
      <c r="D266" s="283"/>
      <c r="E266" s="284"/>
      <c r="F266" s="299">
        <v>0</v>
      </c>
      <c r="G266" s="266"/>
      <c r="H266" s="266"/>
      <c r="I266" s="266"/>
      <c r="J266" s="266"/>
      <c r="K266" s="266"/>
      <c r="L266" s="266"/>
      <c r="M266" s="266"/>
      <c r="N266" s="214"/>
    </row>
    <row r="267" spans="1:14" s="73" customFormat="1" ht="16.5">
      <c r="A267" s="281"/>
      <c r="B267" s="282"/>
      <c r="C267" s="308" t="s">
        <v>20</v>
      </c>
      <c r="D267" s="283"/>
      <c r="E267" s="284"/>
      <c r="F267" s="297"/>
      <c r="G267" s="266"/>
      <c r="H267" s="266"/>
      <c r="I267" s="266"/>
      <c r="J267" s="266"/>
      <c r="K267" s="266"/>
      <c r="L267" s="266"/>
      <c r="M267" s="266"/>
      <c r="N267" s="214"/>
    </row>
    <row r="268" spans="1:14" s="73" customFormat="1" ht="16.5">
      <c r="A268" s="281"/>
      <c r="B268" s="282"/>
      <c r="C268" s="310" t="s">
        <v>238</v>
      </c>
      <c r="D268" s="283"/>
      <c r="E268" s="284"/>
      <c r="F268" s="296" t="s">
        <v>61</v>
      </c>
      <c r="G268" s="266"/>
      <c r="H268" s="266"/>
      <c r="I268" s="266"/>
      <c r="J268" s="266"/>
      <c r="K268" s="266"/>
      <c r="L268" s="266"/>
      <c r="M268" s="266"/>
      <c r="N268" s="214"/>
    </row>
    <row r="269" spans="1:14" s="73" customFormat="1" ht="16.5">
      <c r="A269" s="300"/>
      <c r="B269" s="301"/>
      <c r="C269" s="290" t="s">
        <v>236</v>
      </c>
      <c r="D269" s="301"/>
      <c r="E269" s="302"/>
      <c r="F269" s="303"/>
      <c r="G269" s="304"/>
      <c r="H269" s="304"/>
      <c r="I269" s="304"/>
      <c r="J269" s="304"/>
      <c r="K269" s="304"/>
      <c r="L269" s="304"/>
      <c r="M269" s="71"/>
      <c r="N269" s="214"/>
    </row>
    <row r="270" spans="1:14" s="73" customFormat="1" ht="16.5">
      <c r="A270" s="98"/>
      <c r="B270" s="74"/>
      <c r="D270" s="74"/>
      <c r="E270" s="142"/>
      <c r="F270" s="142"/>
      <c r="G270" s="88"/>
      <c r="H270" s="99"/>
      <c r="I270" s="99"/>
      <c r="J270" s="88"/>
      <c r="K270" s="88"/>
      <c r="L270" s="88"/>
      <c r="M270" s="88"/>
      <c r="N270" s="214"/>
    </row>
    <row r="271" spans="1:14" s="73" customFormat="1" ht="16.5">
      <c r="A271" s="98"/>
      <c r="B271" s="74"/>
      <c r="C271" s="109"/>
      <c r="D271" s="143"/>
      <c r="E271" s="144"/>
      <c r="F271" s="142"/>
      <c r="G271" s="88"/>
      <c r="H271" s="88"/>
      <c r="I271" s="88"/>
      <c r="J271" s="88"/>
      <c r="K271" s="88"/>
      <c r="L271" s="88"/>
      <c r="M271" s="88"/>
      <c r="N271" s="214"/>
    </row>
  </sheetData>
  <mergeCells count="65">
    <mergeCell ref="A71:A77"/>
    <mergeCell ref="A78:A83"/>
    <mergeCell ref="A38:A39"/>
    <mergeCell ref="A18:A20"/>
    <mergeCell ref="A6:C6"/>
    <mergeCell ref="A63:A64"/>
    <mergeCell ref="A66:A70"/>
    <mergeCell ref="A236:A240"/>
    <mergeCell ref="A241:A246"/>
    <mergeCell ref="A174:A182"/>
    <mergeCell ref="A183:A189"/>
    <mergeCell ref="A190:A195"/>
    <mergeCell ref="A208:A214"/>
    <mergeCell ref="A222:A227"/>
    <mergeCell ref="A215:A221"/>
    <mergeCell ref="A233:A235"/>
    <mergeCell ref="A200:A201"/>
    <mergeCell ref="A203:A207"/>
    <mergeCell ref="A172:A173"/>
    <mergeCell ref="A61:A62"/>
    <mergeCell ref="A230:A232"/>
    <mergeCell ref="N12:N27"/>
    <mergeCell ref="A85:A86"/>
    <mergeCell ref="A87:A88"/>
    <mergeCell ref="A90:A94"/>
    <mergeCell ref="A12:A14"/>
    <mergeCell ref="A15:A17"/>
    <mergeCell ref="C48:C49"/>
    <mergeCell ref="C71:C72"/>
    <mergeCell ref="A31:A35"/>
    <mergeCell ref="A54:A59"/>
    <mergeCell ref="A40:A41"/>
    <mergeCell ref="A48:A53"/>
    <mergeCell ref="A43:A47"/>
    <mergeCell ref="A145:A146"/>
    <mergeCell ref="A147:A148"/>
    <mergeCell ref="A150:A154"/>
    <mergeCell ref="A155:A165"/>
    <mergeCell ref="A167:A171"/>
    <mergeCell ref="A95:A101"/>
    <mergeCell ref="A249:A253"/>
    <mergeCell ref="I7:J7"/>
    <mergeCell ref="K7:L7"/>
    <mergeCell ref="M7:M8"/>
    <mergeCell ref="A133:A137"/>
    <mergeCell ref="A138:A143"/>
    <mergeCell ref="A21:A23"/>
    <mergeCell ref="A26:A27"/>
    <mergeCell ref="A28:A29"/>
    <mergeCell ref="A24:A25"/>
    <mergeCell ref="A198:A199"/>
    <mergeCell ref="A103:A113"/>
    <mergeCell ref="A114:A119"/>
    <mergeCell ref="A120:A126"/>
    <mergeCell ref="A127:A132"/>
    <mergeCell ref="A1:M1"/>
    <mergeCell ref="A2:M2"/>
    <mergeCell ref="A3:M3"/>
    <mergeCell ref="A5:M5"/>
    <mergeCell ref="A7:A8"/>
    <mergeCell ref="B7:B8"/>
    <mergeCell ref="C7:C8"/>
    <mergeCell ref="D7:D8"/>
    <mergeCell ref="E7:F7"/>
    <mergeCell ref="G7:H7"/>
  </mergeCells>
  <conditionalFormatting sqref="C47:D47">
    <cfRule type="cellIs" dxfId="2" priority="3" stopIfTrue="1" operator="equal">
      <formula>8223.307275</formula>
    </cfRule>
  </conditionalFormatting>
  <conditionalFormatting sqref="C70:D70">
    <cfRule type="cellIs" dxfId="1" priority="2" stopIfTrue="1" operator="equal">
      <formula>8223.307275</formula>
    </cfRule>
  </conditionalFormatting>
  <conditionalFormatting sqref="C154:D154">
    <cfRule type="cellIs" dxfId="0" priority="1" stopIfTrue="1" operator="equal">
      <formula>8223.307275</formula>
    </cfRule>
  </conditionalFormatting>
  <pageMargins left="0.62" right="0.11811023622047245" top="0.5" bottom="0.53" header="0.23622047244094491" footer="0.28999999999999998"/>
  <pageSetup paperSize="9" orientation="landscape" horizontalDpi="1200" verticalDpi="1200" r:id="rId1"/>
  <headerFooter>
    <oddHeader>&amp;R&amp;P--&amp;N</oddHeader>
    <oddFooter>&amp;R&amp;P--&amp;N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7"/>
  <sheetViews>
    <sheetView zoomScale="80" zoomScaleNormal="80" workbookViewId="0">
      <selection activeCell="A6" sqref="A6:C6"/>
    </sheetView>
  </sheetViews>
  <sheetFormatPr defaultRowHeight="15"/>
  <cols>
    <col min="1" max="1" width="5.140625" customWidth="1"/>
    <col min="2" max="2" width="7.140625" customWidth="1"/>
    <col min="3" max="3" width="32.140625" customWidth="1"/>
    <col min="4" max="4" width="5.7109375" customWidth="1"/>
    <col min="5" max="5" width="9.140625" style="222"/>
    <col min="6" max="6" width="8.28515625" style="222" customWidth="1"/>
    <col min="7" max="7" width="8" style="224" customWidth="1"/>
    <col min="8" max="8" width="10.28515625" style="224" customWidth="1"/>
    <col min="9" max="9" width="6.85546875" style="224" customWidth="1"/>
    <col min="10" max="10" width="9.140625" style="224"/>
    <col min="11" max="11" width="6.85546875" style="224" customWidth="1"/>
    <col min="12" max="12" width="8" style="224" customWidth="1"/>
    <col min="13" max="13" width="11.85546875" style="224" customWidth="1"/>
    <col min="14" max="15" width="31" customWidth="1"/>
  </cols>
  <sheetData>
    <row r="1" spans="1:13" s="77" customFormat="1" ht="38.25" customHeight="1">
      <c r="A1" s="422" t="str">
        <f>krebsiti!A3</f>
        <v>q.dmanisSi "Tavisuflebis xeivanis" reabilitaciis samuSaoebi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s="77" customFormat="1" ht="21">
      <c r="A2" s="423" t="s">
        <v>109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1:13" s="77" customFormat="1" ht="15.75">
      <c r="A3" s="422" t="s">
        <v>142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s="77" customFormat="1" ht="15.75">
      <c r="A4" s="75"/>
      <c r="B4" s="75"/>
      <c r="C4" s="75"/>
      <c r="D4" s="75"/>
      <c r="E4" s="206"/>
      <c r="F4" s="206"/>
      <c r="G4" s="76"/>
      <c r="H4" s="76"/>
      <c r="I4" s="76"/>
      <c r="J4" s="76"/>
      <c r="K4" s="76"/>
      <c r="L4" s="76"/>
      <c r="M4" s="76"/>
    </row>
    <row r="5" spans="1:13" s="77" customFormat="1" ht="15.75">
      <c r="A5" s="422" t="s">
        <v>347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</row>
    <row r="6" spans="1:13" s="77" customFormat="1" ht="15.75">
      <c r="A6" s="459"/>
      <c r="B6" s="459"/>
      <c r="C6" s="459"/>
      <c r="D6" s="146"/>
      <c r="E6" s="147"/>
      <c r="F6" s="147"/>
      <c r="G6" s="90"/>
      <c r="H6" s="90"/>
      <c r="I6" s="90"/>
      <c r="J6" s="90"/>
      <c r="K6" s="90"/>
      <c r="L6" s="90"/>
      <c r="M6" s="90"/>
    </row>
    <row r="7" spans="1:13" s="77" customFormat="1" ht="31.5" customHeight="1">
      <c r="A7" s="426" t="s">
        <v>0</v>
      </c>
      <c r="B7" s="426" t="s">
        <v>25</v>
      </c>
      <c r="C7" s="426" t="s">
        <v>1</v>
      </c>
      <c r="D7" s="426" t="s">
        <v>2</v>
      </c>
      <c r="E7" s="482" t="s">
        <v>62</v>
      </c>
      <c r="F7" s="482" t="s">
        <v>3</v>
      </c>
      <c r="G7" s="432" t="s">
        <v>27</v>
      </c>
      <c r="H7" s="433"/>
      <c r="I7" s="432" t="s">
        <v>28</v>
      </c>
      <c r="J7" s="433"/>
      <c r="K7" s="432" t="s">
        <v>29</v>
      </c>
      <c r="L7" s="433"/>
      <c r="M7" s="484" t="s">
        <v>30</v>
      </c>
    </row>
    <row r="8" spans="1:13" s="77" customFormat="1" ht="31.5">
      <c r="A8" s="427"/>
      <c r="B8" s="427"/>
      <c r="C8" s="427"/>
      <c r="D8" s="427"/>
      <c r="E8" s="483"/>
      <c r="F8" s="483"/>
      <c r="G8" s="204" t="s">
        <v>31</v>
      </c>
      <c r="H8" s="204" t="s">
        <v>32</v>
      </c>
      <c r="I8" s="204" t="s">
        <v>31</v>
      </c>
      <c r="J8" s="204" t="s">
        <v>32</v>
      </c>
      <c r="K8" s="204" t="s">
        <v>31</v>
      </c>
      <c r="L8" s="204" t="s">
        <v>32</v>
      </c>
      <c r="M8" s="485"/>
    </row>
    <row r="9" spans="1:13" s="73" customFormat="1" ht="16.5">
      <c r="A9" s="12">
        <v>1</v>
      </c>
      <c r="B9" s="12">
        <v>2</v>
      </c>
      <c r="C9" s="91">
        <v>3</v>
      </c>
      <c r="D9" s="12">
        <v>4</v>
      </c>
      <c r="E9" s="207">
        <v>5</v>
      </c>
      <c r="F9" s="208">
        <v>6</v>
      </c>
      <c r="G9" s="207">
        <v>7</v>
      </c>
      <c r="H9" s="208">
        <v>8</v>
      </c>
      <c r="I9" s="207">
        <v>9</v>
      </c>
      <c r="J9" s="208">
        <v>10</v>
      </c>
      <c r="K9" s="207">
        <v>11</v>
      </c>
      <c r="L9" s="208">
        <v>12</v>
      </c>
      <c r="M9" s="207">
        <v>13</v>
      </c>
    </row>
    <row r="10" spans="1:13" s="73" customFormat="1" ht="31.5">
      <c r="A10" s="148" t="s">
        <v>346</v>
      </c>
      <c r="B10" s="148"/>
      <c r="C10" s="149" t="s">
        <v>142</v>
      </c>
      <c r="D10" s="148"/>
      <c r="E10" s="148"/>
      <c r="F10" s="148"/>
      <c r="G10" s="223"/>
      <c r="H10" s="223"/>
      <c r="I10" s="223"/>
      <c r="J10" s="223"/>
      <c r="K10" s="223"/>
      <c r="L10" s="223"/>
      <c r="M10" s="223"/>
    </row>
    <row r="11" spans="1:13" s="73" customFormat="1" ht="16.5">
      <c r="A11" s="150"/>
      <c r="B11" s="150"/>
      <c r="C11" s="151" t="s">
        <v>143</v>
      </c>
      <c r="D11" s="152"/>
      <c r="E11" s="49"/>
      <c r="F11" s="49"/>
      <c r="G11" s="15"/>
      <c r="H11" s="204"/>
      <c r="I11" s="15"/>
      <c r="J11" s="204"/>
      <c r="K11" s="16"/>
      <c r="L11" s="204"/>
      <c r="M11" s="204"/>
    </row>
    <row r="12" spans="1:13" s="73" customFormat="1" ht="31.5">
      <c r="A12" s="440"/>
      <c r="B12" s="440"/>
      <c r="C12" s="57" t="s">
        <v>223</v>
      </c>
      <c r="D12" s="7" t="s">
        <v>71</v>
      </c>
      <c r="E12" s="207"/>
      <c r="F12" s="23">
        <f>F13+F14</f>
        <v>32</v>
      </c>
      <c r="G12" s="466"/>
      <c r="H12" s="466"/>
      <c r="I12" s="466"/>
      <c r="J12" s="466"/>
      <c r="K12" s="466"/>
      <c r="L12" s="466"/>
      <c r="M12" s="466"/>
    </row>
    <row r="13" spans="1:13" s="73" customFormat="1" ht="16.5" hidden="1">
      <c r="A13" s="449"/>
      <c r="B13" s="449"/>
      <c r="C13" s="259" t="s">
        <v>319</v>
      </c>
      <c r="D13" s="195" t="s">
        <v>71</v>
      </c>
      <c r="E13" s="246"/>
      <c r="F13" s="23">
        <v>32</v>
      </c>
      <c r="G13" s="467"/>
      <c r="H13" s="467"/>
      <c r="I13" s="467"/>
      <c r="J13" s="467"/>
      <c r="K13" s="467"/>
      <c r="L13" s="467"/>
      <c r="M13" s="467"/>
    </row>
    <row r="14" spans="1:13" s="73" customFormat="1" ht="16.5" hidden="1">
      <c r="A14" s="441"/>
      <c r="B14" s="441"/>
      <c r="C14" s="259" t="s">
        <v>320</v>
      </c>
      <c r="D14" s="195" t="s">
        <v>71</v>
      </c>
      <c r="E14" s="246"/>
      <c r="F14" s="23">
        <v>0</v>
      </c>
      <c r="G14" s="468"/>
      <c r="H14" s="468"/>
      <c r="I14" s="468"/>
      <c r="J14" s="468"/>
      <c r="K14" s="468"/>
      <c r="L14" s="468"/>
      <c r="M14" s="468"/>
    </row>
    <row r="15" spans="1:13" s="73" customFormat="1" ht="31.5">
      <c r="A15" s="469">
        <v>1</v>
      </c>
      <c r="B15" s="153" t="s">
        <v>205</v>
      </c>
      <c r="C15" s="124" t="s">
        <v>206</v>
      </c>
      <c r="D15" s="153" t="s">
        <v>91</v>
      </c>
      <c r="E15" s="154"/>
      <c r="F15" s="218">
        <f>800*0.25*0.7</f>
        <v>140</v>
      </c>
      <c r="G15" s="15"/>
      <c r="H15" s="204"/>
      <c r="I15" s="15"/>
      <c r="J15" s="204"/>
      <c r="K15" s="16"/>
      <c r="L15" s="204"/>
      <c r="M15" s="204"/>
    </row>
    <row r="16" spans="1:13" s="73" customFormat="1" ht="27">
      <c r="A16" s="470"/>
      <c r="B16" s="155"/>
      <c r="C16" s="125" t="s">
        <v>72</v>
      </c>
      <c r="D16" s="155" t="s">
        <v>73</v>
      </c>
      <c r="E16" s="154">
        <v>2.06</v>
      </c>
      <c r="F16" s="154">
        <f>F15*E16</f>
        <v>288.40000000000003</v>
      </c>
      <c r="G16" s="15"/>
      <c r="H16" s="204"/>
      <c r="I16" s="15"/>
      <c r="J16" s="204"/>
      <c r="K16" s="16"/>
      <c r="L16" s="204"/>
      <c r="M16" s="204"/>
    </row>
    <row r="17" spans="1:13" s="73" customFormat="1" ht="63">
      <c r="A17" s="480">
        <v>2</v>
      </c>
      <c r="B17" s="122" t="s">
        <v>36</v>
      </c>
      <c r="C17" s="156" t="s">
        <v>144</v>
      </c>
      <c r="D17" s="153" t="s">
        <v>91</v>
      </c>
      <c r="E17" s="123"/>
      <c r="F17" s="188">
        <f>0.4*0.4*0.8*F12</f>
        <v>4.096000000000001</v>
      </c>
      <c r="G17" s="15"/>
      <c r="H17" s="204"/>
      <c r="I17" s="15"/>
      <c r="J17" s="204"/>
      <c r="K17" s="16"/>
      <c r="L17" s="204"/>
      <c r="M17" s="204"/>
    </row>
    <row r="18" spans="1:13" s="73" customFormat="1" ht="27">
      <c r="A18" s="481"/>
      <c r="B18" s="121"/>
      <c r="C18" s="125" t="s">
        <v>72</v>
      </c>
      <c r="D18" s="121" t="s">
        <v>73</v>
      </c>
      <c r="E18" s="123">
        <v>3.88</v>
      </c>
      <c r="F18" s="123">
        <f>F17*E18</f>
        <v>15.892480000000003</v>
      </c>
      <c r="G18" s="15"/>
      <c r="H18" s="204"/>
      <c r="I18" s="15"/>
      <c r="J18" s="204"/>
      <c r="K18" s="16"/>
      <c r="L18" s="204"/>
      <c r="M18" s="204"/>
    </row>
    <row r="19" spans="1:13" s="73" customFormat="1" ht="31.5">
      <c r="A19" s="471">
        <v>4</v>
      </c>
      <c r="B19" s="157" t="s">
        <v>64</v>
      </c>
      <c r="C19" s="158" t="s">
        <v>145</v>
      </c>
      <c r="D19" s="157" t="s">
        <v>146</v>
      </c>
      <c r="E19" s="159"/>
      <c r="F19" s="219">
        <f>800*0.25*0.25</f>
        <v>50</v>
      </c>
      <c r="G19" s="15"/>
      <c r="H19" s="204"/>
      <c r="I19" s="15"/>
      <c r="J19" s="204"/>
      <c r="K19" s="16"/>
      <c r="L19" s="204"/>
      <c r="M19" s="204"/>
    </row>
    <row r="20" spans="1:13" s="73" customFormat="1" ht="27">
      <c r="A20" s="472"/>
      <c r="B20" s="160"/>
      <c r="C20" s="161" t="s">
        <v>72</v>
      </c>
      <c r="D20" s="160" t="s">
        <v>73</v>
      </c>
      <c r="E20" s="159">
        <v>1.8</v>
      </c>
      <c r="F20" s="159">
        <f>F19*E20</f>
        <v>90</v>
      </c>
      <c r="G20" s="15"/>
      <c r="H20" s="204"/>
      <c r="I20" s="15"/>
      <c r="J20" s="204"/>
      <c r="K20" s="16"/>
      <c r="L20" s="204"/>
      <c r="M20" s="204"/>
    </row>
    <row r="21" spans="1:13" s="73" customFormat="1" ht="16.5">
      <c r="A21" s="473"/>
      <c r="B21" s="160"/>
      <c r="C21" s="161" t="s">
        <v>244</v>
      </c>
      <c r="D21" s="160" t="s">
        <v>146</v>
      </c>
      <c r="E21" s="159">
        <v>1.1000000000000001</v>
      </c>
      <c r="F21" s="159">
        <f>F19*E21</f>
        <v>55.000000000000007</v>
      </c>
      <c r="G21" s="15"/>
      <c r="H21" s="204"/>
      <c r="I21" s="15"/>
      <c r="J21" s="204"/>
      <c r="K21" s="16"/>
      <c r="L21" s="204"/>
      <c r="M21" s="204"/>
    </row>
    <row r="22" spans="1:13" s="73" customFormat="1" ht="46.5">
      <c r="A22" s="469">
        <v>5</v>
      </c>
      <c r="B22" s="153" t="s">
        <v>65</v>
      </c>
      <c r="C22" s="101" t="s">
        <v>207</v>
      </c>
      <c r="D22" s="153" t="s">
        <v>147</v>
      </c>
      <c r="E22" s="227"/>
      <c r="F22" s="218">
        <v>800</v>
      </c>
      <c r="G22" s="15"/>
      <c r="H22" s="204"/>
      <c r="I22" s="15"/>
      <c r="J22" s="204"/>
      <c r="K22" s="16"/>
      <c r="L22" s="204"/>
      <c r="M22" s="204"/>
    </row>
    <row r="23" spans="1:13" s="73" customFormat="1" ht="27">
      <c r="A23" s="470"/>
      <c r="B23" s="155"/>
      <c r="C23" s="125" t="s">
        <v>72</v>
      </c>
      <c r="D23" s="155" t="s">
        <v>73</v>
      </c>
      <c r="E23" s="227">
        <v>0.105</v>
      </c>
      <c r="F23" s="154">
        <f>F22*E23</f>
        <v>84</v>
      </c>
      <c r="G23" s="15"/>
      <c r="H23" s="204"/>
      <c r="I23" s="15"/>
      <c r="J23" s="204"/>
      <c r="K23" s="16"/>
      <c r="L23" s="204"/>
      <c r="M23" s="204"/>
    </row>
    <row r="24" spans="1:13" s="73" customFormat="1" ht="27">
      <c r="A24" s="470"/>
      <c r="B24" s="155"/>
      <c r="C24" s="125" t="s">
        <v>148</v>
      </c>
      <c r="D24" s="155" t="s">
        <v>22</v>
      </c>
      <c r="E24" s="227">
        <v>5.3800000000000001E-2</v>
      </c>
      <c r="F24" s="154">
        <f>F22*E24</f>
        <v>43.04</v>
      </c>
      <c r="G24" s="15"/>
      <c r="H24" s="204"/>
      <c r="I24" s="15"/>
      <c r="J24" s="204"/>
      <c r="K24" s="16"/>
      <c r="L24" s="204"/>
      <c r="M24" s="204"/>
    </row>
    <row r="25" spans="1:13" s="73" customFormat="1" ht="30.75">
      <c r="A25" s="470"/>
      <c r="B25" s="155"/>
      <c r="C25" s="137" t="s">
        <v>208</v>
      </c>
      <c r="D25" s="155" t="s">
        <v>147</v>
      </c>
      <c r="E25" s="227">
        <v>1.01</v>
      </c>
      <c r="F25" s="154">
        <f>F22*E25</f>
        <v>808</v>
      </c>
      <c r="G25" s="15"/>
      <c r="H25" s="204"/>
      <c r="I25" s="15"/>
      <c r="J25" s="204"/>
      <c r="K25" s="16"/>
      <c r="L25" s="204"/>
      <c r="M25" s="204"/>
    </row>
    <row r="26" spans="1:13" s="73" customFormat="1" ht="27">
      <c r="A26" s="474"/>
      <c r="B26" s="155"/>
      <c r="C26" s="125" t="s">
        <v>107</v>
      </c>
      <c r="D26" s="155" t="s">
        <v>22</v>
      </c>
      <c r="E26" s="227">
        <v>1.1999999999999999E-3</v>
      </c>
      <c r="F26" s="154">
        <f>F22*E26</f>
        <v>0.96</v>
      </c>
      <c r="G26" s="15"/>
      <c r="H26" s="204"/>
      <c r="I26" s="15"/>
      <c r="J26" s="204"/>
      <c r="K26" s="16"/>
      <c r="L26" s="204"/>
      <c r="M26" s="204"/>
    </row>
    <row r="27" spans="1:13" s="73" customFormat="1" ht="31.5">
      <c r="A27" s="475">
        <v>6</v>
      </c>
      <c r="B27" s="106" t="s">
        <v>149</v>
      </c>
      <c r="C27" s="105" t="s">
        <v>150</v>
      </c>
      <c r="D27" s="106" t="s">
        <v>147</v>
      </c>
      <c r="E27" s="50"/>
      <c r="F27" s="50">
        <v>800</v>
      </c>
      <c r="G27" s="15"/>
      <c r="H27" s="204"/>
      <c r="I27" s="15"/>
      <c r="J27" s="204"/>
      <c r="K27" s="16"/>
      <c r="L27" s="204"/>
      <c r="M27" s="204"/>
    </row>
    <row r="28" spans="1:13" s="73" customFormat="1" ht="27">
      <c r="A28" s="476"/>
      <c r="B28" s="103"/>
      <c r="C28" s="104" t="s">
        <v>72</v>
      </c>
      <c r="D28" s="155" t="s">
        <v>73</v>
      </c>
      <c r="E28" s="102">
        <f>11/1000</f>
        <v>1.0999999999999999E-2</v>
      </c>
      <c r="F28" s="102">
        <f>F27*E28</f>
        <v>8.7999999999999989</v>
      </c>
      <c r="G28" s="15"/>
      <c r="H28" s="204"/>
      <c r="I28" s="15"/>
      <c r="J28" s="204"/>
      <c r="K28" s="16"/>
      <c r="L28" s="204"/>
      <c r="M28" s="204"/>
    </row>
    <row r="29" spans="1:13" s="73" customFormat="1" ht="27">
      <c r="A29" s="477"/>
      <c r="B29" s="162"/>
      <c r="C29" s="163" t="s">
        <v>151</v>
      </c>
      <c r="D29" s="164" t="s">
        <v>147</v>
      </c>
      <c r="E29" s="165"/>
      <c r="F29" s="165">
        <f>F27</f>
        <v>800</v>
      </c>
      <c r="G29" s="15"/>
      <c r="H29" s="204"/>
      <c r="I29" s="15"/>
      <c r="J29" s="204"/>
      <c r="K29" s="16"/>
      <c r="L29" s="204"/>
      <c r="M29" s="204"/>
    </row>
    <row r="30" spans="1:13" s="73" customFormat="1" ht="31.5">
      <c r="A30" s="478">
        <v>7</v>
      </c>
      <c r="B30" s="166" t="s">
        <v>67</v>
      </c>
      <c r="C30" s="167" t="s">
        <v>152</v>
      </c>
      <c r="D30" s="166" t="s">
        <v>146</v>
      </c>
      <c r="E30" s="60"/>
      <c r="F30" s="220">
        <f>800*0.25*(0.7-0.25)</f>
        <v>89.999999999999986</v>
      </c>
      <c r="G30" s="15"/>
      <c r="H30" s="204"/>
      <c r="I30" s="15"/>
      <c r="J30" s="204"/>
      <c r="K30" s="16"/>
      <c r="L30" s="204"/>
      <c r="M30" s="204"/>
    </row>
    <row r="31" spans="1:13" s="73" customFormat="1" ht="27">
      <c r="A31" s="479"/>
      <c r="B31" s="58"/>
      <c r="C31" s="168" t="s">
        <v>72</v>
      </c>
      <c r="D31" s="58" t="s">
        <v>73</v>
      </c>
      <c r="E31" s="60">
        <v>1.21</v>
      </c>
      <c r="F31" s="60">
        <f>F30*E31</f>
        <v>108.89999999999998</v>
      </c>
      <c r="G31" s="15"/>
      <c r="H31" s="204"/>
      <c r="I31" s="15"/>
      <c r="J31" s="204"/>
      <c r="K31" s="16"/>
      <c r="L31" s="204"/>
      <c r="M31" s="204"/>
    </row>
    <row r="32" spans="1:13" s="73" customFormat="1" ht="31.5">
      <c r="A32" s="469">
        <v>8</v>
      </c>
      <c r="B32" s="153" t="s">
        <v>68</v>
      </c>
      <c r="C32" s="124" t="s">
        <v>153</v>
      </c>
      <c r="D32" s="153" t="s">
        <v>146</v>
      </c>
      <c r="E32" s="154"/>
      <c r="F32" s="218">
        <f>0.4*0.4*(0.8)*F12</f>
        <v>4.096000000000001</v>
      </c>
      <c r="G32" s="15"/>
      <c r="H32" s="204"/>
      <c r="I32" s="15"/>
      <c r="J32" s="204"/>
      <c r="K32" s="16"/>
      <c r="L32" s="204"/>
      <c r="M32" s="204"/>
    </row>
    <row r="33" spans="1:15" s="73" customFormat="1" ht="27">
      <c r="A33" s="470"/>
      <c r="B33" s="155"/>
      <c r="C33" s="125" t="s">
        <v>72</v>
      </c>
      <c r="D33" s="155" t="s">
        <v>73</v>
      </c>
      <c r="E33" s="154">
        <v>1.37</v>
      </c>
      <c r="F33" s="154">
        <f>F32*E33</f>
        <v>5.6115200000000014</v>
      </c>
      <c r="G33" s="15"/>
      <c r="H33" s="204"/>
      <c r="I33" s="15"/>
      <c r="J33" s="204"/>
      <c r="K33" s="16"/>
      <c r="L33" s="204"/>
      <c r="M33" s="204"/>
    </row>
    <row r="34" spans="1:15" s="73" customFormat="1" ht="27">
      <c r="A34" s="470"/>
      <c r="B34" s="155"/>
      <c r="C34" s="125" t="s">
        <v>148</v>
      </c>
      <c r="D34" s="155" t="s">
        <v>22</v>
      </c>
      <c r="E34" s="154">
        <v>0.28299999999999997</v>
      </c>
      <c r="F34" s="154">
        <f>F32*E34</f>
        <v>1.1591680000000002</v>
      </c>
      <c r="G34" s="15"/>
      <c r="H34" s="204"/>
      <c r="I34" s="15"/>
      <c r="J34" s="204"/>
      <c r="K34" s="16"/>
      <c r="L34" s="204"/>
      <c r="M34" s="204"/>
    </row>
    <row r="35" spans="1:15" s="73" customFormat="1" ht="16.5">
      <c r="A35" s="470"/>
      <c r="B35" s="155"/>
      <c r="C35" s="125" t="s">
        <v>154</v>
      </c>
      <c r="D35" s="155" t="s">
        <v>146</v>
      </c>
      <c r="E35" s="154">
        <v>1.02</v>
      </c>
      <c r="F35" s="154">
        <f>F32*E35</f>
        <v>4.1779200000000012</v>
      </c>
      <c r="G35" s="15"/>
      <c r="H35" s="204"/>
      <c r="I35" s="15"/>
      <c r="J35" s="204"/>
      <c r="K35" s="16"/>
      <c r="L35" s="204"/>
      <c r="M35" s="204"/>
    </row>
    <row r="36" spans="1:15" s="73" customFormat="1" ht="16.5">
      <c r="A36" s="470"/>
      <c r="B36" s="12"/>
      <c r="C36" s="25" t="s">
        <v>155</v>
      </c>
      <c r="D36" s="12" t="s">
        <v>156</v>
      </c>
      <c r="E36" s="154">
        <v>1.03</v>
      </c>
      <c r="F36" s="154">
        <f>0.4*4*2*1.03*0.395/1000*F12</f>
        <v>4.1661440000000008E-2</v>
      </c>
      <c r="G36" s="15"/>
      <c r="H36" s="204"/>
      <c r="I36" s="15"/>
      <c r="J36" s="204"/>
      <c r="K36" s="16"/>
      <c r="L36" s="204"/>
      <c r="M36" s="204"/>
    </row>
    <row r="37" spans="1:15" s="73" customFormat="1" ht="27">
      <c r="A37" s="470"/>
      <c r="B37" s="169"/>
      <c r="C37" s="168" t="s">
        <v>157</v>
      </c>
      <c r="D37" s="170" t="s">
        <v>22</v>
      </c>
      <c r="E37" s="60">
        <v>0.62</v>
      </c>
      <c r="F37" s="60">
        <f>F32*E37</f>
        <v>2.5395200000000004</v>
      </c>
      <c r="G37" s="15"/>
      <c r="H37" s="204"/>
      <c r="I37" s="204"/>
      <c r="J37" s="204"/>
      <c r="K37" s="16"/>
      <c r="L37" s="204"/>
      <c r="M37" s="204"/>
    </row>
    <row r="38" spans="1:15" s="73" customFormat="1" ht="31.5">
      <c r="A38" s="85"/>
      <c r="B38" s="85"/>
      <c r="C38" s="120" t="s">
        <v>140</v>
      </c>
      <c r="D38" s="171"/>
      <c r="E38" s="51"/>
      <c r="F38" s="52"/>
      <c r="G38" s="53"/>
      <c r="H38" s="86"/>
      <c r="I38" s="53"/>
      <c r="J38" s="86"/>
      <c r="K38" s="54"/>
      <c r="L38" s="86"/>
      <c r="M38" s="86"/>
      <c r="N38" s="305">
        <f>H38+J38+L38</f>
        <v>0</v>
      </c>
    </row>
    <row r="39" spans="1:15" s="73" customFormat="1" ht="63">
      <c r="A39" s="12"/>
      <c r="B39" s="27"/>
      <c r="C39" s="139" t="s">
        <v>141</v>
      </c>
      <c r="D39" s="87"/>
      <c r="E39" s="55"/>
      <c r="F39" s="270" t="s">
        <v>354</v>
      </c>
      <c r="G39" s="140"/>
      <c r="H39" s="140"/>
      <c r="I39" s="140"/>
      <c r="J39" s="140"/>
      <c r="K39" s="140"/>
      <c r="L39" s="140"/>
      <c r="M39" s="252"/>
    </row>
    <row r="40" spans="1:15" s="73" customFormat="1" ht="16.5">
      <c r="A40" s="12"/>
      <c r="B40" s="27"/>
      <c r="C40" s="273" t="s">
        <v>20</v>
      </c>
      <c r="D40" s="87"/>
      <c r="E40" s="55"/>
      <c r="F40" s="55"/>
      <c r="G40" s="140"/>
      <c r="H40" s="140"/>
      <c r="I40" s="140"/>
      <c r="J40" s="140"/>
      <c r="K40" s="140"/>
      <c r="L40" s="140"/>
      <c r="M40" s="252"/>
    </row>
    <row r="41" spans="1:15" s="73" customFormat="1" ht="16.5">
      <c r="A41" s="7"/>
      <c r="B41" s="87"/>
      <c r="C41" s="139" t="s">
        <v>158</v>
      </c>
      <c r="D41" s="87"/>
      <c r="E41" s="55"/>
      <c r="F41" s="280" t="s">
        <v>354</v>
      </c>
      <c r="G41" s="140"/>
      <c r="H41" s="140"/>
      <c r="I41" s="140"/>
      <c r="J41" s="140"/>
      <c r="K41" s="140"/>
      <c r="L41" s="140"/>
      <c r="M41" s="252"/>
    </row>
    <row r="42" spans="1:15" s="73" customFormat="1" ht="16.5">
      <c r="A42" s="172"/>
      <c r="B42" s="173"/>
      <c r="C42" s="174" t="s">
        <v>159</v>
      </c>
      <c r="D42" s="173"/>
      <c r="E42" s="175"/>
      <c r="F42" s="175"/>
      <c r="G42" s="176"/>
      <c r="H42" s="176"/>
      <c r="I42" s="176"/>
      <c r="J42" s="176"/>
      <c r="K42" s="176"/>
      <c r="L42" s="176"/>
      <c r="M42" s="176"/>
    </row>
    <row r="43" spans="1:15" s="73" customFormat="1" ht="16.5">
      <c r="A43" s="177"/>
      <c r="B43" s="177"/>
      <c r="C43" s="178" t="s">
        <v>160</v>
      </c>
      <c r="D43" s="179"/>
      <c r="E43" s="180"/>
      <c r="F43" s="180"/>
      <c r="G43" s="181"/>
      <c r="H43" s="210"/>
      <c r="I43" s="181"/>
      <c r="J43" s="210"/>
      <c r="K43" s="182"/>
      <c r="L43" s="210"/>
      <c r="M43" s="210"/>
    </row>
    <row r="44" spans="1:15" s="73" customFormat="1" ht="47.25">
      <c r="A44" s="431" t="s">
        <v>54</v>
      </c>
      <c r="B44" s="56" t="s">
        <v>70</v>
      </c>
      <c r="C44" s="57" t="s">
        <v>161</v>
      </c>
      <c r="D44" s="12" t="s">
        <v>71</v>
      </c>
      <c r="E44" s="207"/>
      <c r="F44" s="23">
        <f>F47+F48</f>
        <v>68</v>
      </c>
      <c r="G44" s="204"/>
      <c r="H44" s="204"/>
      <c r="I44" s="204"/>
      <c r="J44" s="204"/>
      <c r="K44" s="204"/>
      <c r="L44" s="204"/>
      <c r="M44" s="204"/>
    </row>
    <row r="45" spans="1:15" s="73" customFormat="1" ht="27">
      <c r="A45" s="431"/>
      <c r="B45" s="58"/>
      <c r="C45" s="59" t="s">
        <v>72</v>
      </c>
      <c r="D45" s="58" t="s">
        <v>73</v>
      </c>
      <c r="E45" s="60">
        <v>1</v>
      </c>
      <c r="F45" s="60">
        <f>F44*E45</f>
        <v>68</v>
      </c>
      <c r="G45" s="15"/>
      <c r="H45" s="204"/>
      <c r="I45" s="15"/>
      <c r="J45" s="204"/>
      <c r="K45" s="16"/>
      <c r="L45" s="204"/>
      <c r="M45" s="251"/>
    </row>
    <row r="46" spans="1:15" s="73" customFormat="1" ht="27">
      <c r="A46" s="431"/>
      <c r="B46" s="58"/>
      <c r="C46" s="59" t="s">
        <v>8</v>
      </c>
      <c r="D46" s="58" t="s">
        <v>7</v>
      </c>
      <c r="E46" s="60">
        <v>1.1599999999999999</v>
      </c>
      <c r="F46" s="60">
        <f>F44*E46</f>
        <v>78.88</v>
      </c>
      <c r="G46" s="15"/>
      <c r="H46" s="204"/>
      <c r="I46" s="15"/>
      <c r="J46" s="204"/>
      <c r="K46" s="16"/>
      <c r="L46" s="204"/>
      <c r="M46" s="251"/>
    </row>
    <row r="47" spans="1:15" s="73" customFormat="1" ht="47.25">
      <c r="A47" s="431"/>
      <c r="B47" s="12"/>
      <c r="C47" s="25" t="s">
        <v>335</v>
      </c>
      <c r="D47" s="12" t="s">
        <v>74</v>
      </c>
      <c r="E47" s="207"/>
      <c r="F47" s="207">
        <f>F13</f>
        <v>32</v>
      </c>
      <c r="G47" s="204"/>
      <c r="H47" s="204"/>
      <c r="I47" s="15"/>
      <c r="J47" s="204"/>
      <c r="K47" s="204"/>
      <c r="L47" s="204"/>
      <c r="M47" s="251"/>
      <c r="O47" s="73" t="s">
        <v>336</v>
      </c>
    </row>
    <row r="48" spans="1:15" s="73" customFormat="1" ht="31.5">
      <c r="A48" s="431"/>
      <c r="B48" s="12"/>
      <c r="C48" s="25" t="s">
        <v>345</v>
      </c>
      <c r="D48" s="12" t="s">
        <v>74</v>
      </c>
      <c r="E48" s="207"/>
      <c r="F48" s="207">
        <v>36</v>
      </c>
      <c r="G48" s="204"/>
      <c r="H48" s="204"/>
      <c r="I48" s="15"/>
      <c r="J48" s="204"/>
      <c r="K48" s="204"/>
      <c r="L48" s="204"/>
      <c r="M48" s="251"/>
    </row>
    <row r="49" spans="1:13" s="73" customFormat="1" ht="27">
      <c r="A49" s="431"/>
      <c r="B49" s="12"/>
      <c r="C49" s="25" t="s">
        <v>53</v>
      </c>
      <c r="D49" s="12" t="s">
        <v>7</v>
      </c>
      <c r="E49" s="207">
        <v>0.05</v>
      </c>
      <c r="F49" s="207">
        <f>F44*E49</f>
        <v>3.4000000000000004</v>
      </c>
      <c r="G49" s="204"/>
      <c r="H49" s="204"/>
      <c r="I49" s="15"/>
      <c r="J49" s="204"/>
      <c r="K49" s="204"/>
      <c r="L49" s="204"/>
      <c r="M49" s="251"/>
    </row>
    <row r="50" spans="1:13" s="73" customFormat="1" ht="31.5">
      <c r="A50" s="440" t="s">
        <v>93</v>
      </c>
      <c r="B50" s="195" t="s">
        <v>102</v>
      </c>
      <c r="C50" s="228" t="s">
        <v>162</v>
      </c>
      <c r="D50" s="205" t="s">
        <v>103</v>
      </c>
      <c r="E50" s="208"/>
      <c r="F50" s="23">
        <f>F52+F53+F54+F55</f>
        <v>930</v>
      </c>
      <c r="G50" s="10"/>
      <c r="H50" s="6"/>
      <c r="I50" s="10"/>
      <c r="J50" s="204"/>
      <c r="K50" s="204"/>
      <c r="L50" s="204"/>
      <c r="M50" s="204"/>
    </row>
    <row r="51" spans="1:13" s="73" customFormat="1" ht="16.5">
      <c r="A51" s="449"/>
      <c r="B51" s="205"/>
      <c r="C51" s="25" t="s">
        <v>59</v>
      </c>
      <c r="D51" s="205" t="s">
        <v>21</v>
      </c>
      <c r="E51" s="208">
        <v>0.13900000000000001</v>
      </c>
      <c r="F51" s="207">
        <f>F50*E51</f>
        <v>129.27000000000001</v>
      </c>
      <c r="G51" s="204"/>
      <c r="H51" s="6"/>
      <c r="I51" s="204"/>
      <c r="J51" s="204"/>
      <c r="K51" s="204"/>
      <c r="L51" s="204"/>
      <c r="M51" s="251"/>
    </row>
    <row r="52" spans="1:13" s="73" customFormat="1" ht="16.5">
      <c r="A52" s="449"/>
      <c r="B52" s="242"/>
      <c r="C52" s="25" t="s">
        <v>224</v>
      </c>
      <c r="D52" s="58" t="s">
        <v>47</v>
      </c>
      <c r="E52" s="244"/>
      <c r="F52" s="246">
        <v>100</v>
      </c>
      <c r="G52" s="245"/>
      <c r="H52" s="245"/>
      <c r="I52" s="245"/>
      <c r="J52" s="245"/>
      <c r="K52" s="245"/>
      <c r="L52" s="245"/>
      <c r="M52" s="251"/>
    </row>
    <row r="53" spans="1:13" s="73" customFormat="1" ht="16.5">
      <c r="A53" s="449"/>
      <c r="B53" s="205"/>
      <c r="C53" s="25" t="s">
        <v>216</v>
      </c>
      <c r="D53" s="58" t="s">
        <v>47</v>
      </c>
      <c r="E53" s="229"/>
      <c r="F53" s="60">
        <v>380</v>
      </c>
      <c r="G53" s="15"/>
      <c r="H53" s="204"/>
      <c r="I53" s="15"/>
      <c r="J53" s="204"/>
      <c r="K53" s="16"/>
      <c r="L53" s="204"/>
      <c r="M53" s="251"/>
    </row>
    <row r="54" spans="1:13" s="73" customFormat="1" ht="16.5">
      <c r="A54" s="449"/>
      <c r="B54" s="205"/>
      <c r="C54" s="25" t="s">
        <v>209</v>
      </c>
      <c r="D54" s="205" t="s">
        <v>47</v>
      </c>
      <c r="E54" s="208"/>
      <c r="F54" s="207">
        <v>450</v>
      </c>
      <c r="G54" s="204"/>
      <c r="H54" s="204"/>
      <c r="I54" s="15"/>
      <c r="J54" s="204"/>
      <c r="K54" s="204"/>
      <c r="L54" s="204"/>
      <c r="M54" s="251"/>
    </row>
    <row r="55" spans="1:13" s="73" customFormat="1" ht="16.5" hidden="1">
      <c r="A55" s="449"/>
      <c r="B55" s="205"/>
      <c r="C55" s="25" t="s">
        <v>217</v>
      </c>
      <c r="D55" s="233" t="s">
        <v>47</v>
      </c>
      <c r="E55" s="208"/>
      <c r="F55" s="207">
        <v>0</v>
      </c>
      <c r="G55" s="204"/>
      <c r="H55" s="234"/>
      <c r="I55" s="15"/>
      <c r="J55" s="204"/>
      <c r="K55" s="204"/>
      <c r="L55" s="204"/>
      <c r="M55" s="251"/>
    </row>
    <row r="56" spans="1:13" s="73" customFormat="1" ht="16.5">
      <c r="A56" s="449"/>
      <c r="B56" s="205"/>
      <c r="C56" s="25"/>
      <c r="D56" s="205"/>
      <c r="E56" s="208"/>
      <c r="F56" s="207"/>
      <c r="G56" s="204"/>
      <c r="H56" s="204"/>
      <c r="I56" s="15"/>
      <c r="J56" s="204"/>
      <c r="K56" s="204"/>
      <c r="L56" s="204"/>
      <c r="M56" s="251"/>
    </row>
    <row r="57" spans="1:13" s="73" customFormat="1" ht="27">
      <c r="A57" s="441"/>
      <c r="B57" s="205"/>
      <c r="C57" s="25" t="s">
        <v>104</v>
      </c>
      <c r="D57" s="205" t="s">
        <v>22</v>
      </c>
      <c r="E57" s="208">
        <v>9.7000000000000003E-3</v>
      </c>
      <c r="F57" s="60">
        <f>F50*E57</f>
        <v>9.0210000000000008</v>
      </c>
      <c r="G57" s="204"/>
      <c r="H57" s="6"/>
      <c r="I57" s="15"/>
      <c r="J57" s="204"/>
      <c r="K57" s="204"/>
      <c r="L57" s="204"/>
      <c r="M57" s="251"/>
    </row>
    <row r="58" spans="1:13" s="73" customFormat="1" ht="16.5">
      <c r="A58" s="12"/>
      <c r="B58" s="12"/>
      <c r="C58" s="25"/>
      <c r="D58" s="12"/>
      <c r="E58" s="207"/>
      <c r="F58" s="207"/>
      <c r="G58" s="204"/>
      <c r="H58" s="204"/>
      <c r="I58" s="15"/>
      <c r="J58" s="204"/>
      <c r="K58" s="204"/>
      <c r="L58" s="204"/>
      <c r="M58" s="251"/>
    </row>
    <row r="59" spans="1:13" s="73" customFormat="1" ht="31.5" hidden="1">
      <c r="A59" s="431" t="s">
        <v>75</v>
      </c>
      <c r="B59" s="7" t="s">
        <v>76</v>
      </c>
      <c r="C59" s="61" t="s">
        <v>105</v>
      </c>
      <c r="D59" s="12" t="s">
        <v>55</v>
      </c>
      <c r="E59" s="207"/>
      <c r="F59" s="23">
        <v>0</v>
      </c>
      <c r="G59" s="204"/>
      <c r="H59" s="204"/>
      <c r="I59" s="15"/>
      <c r="J59" s="204"/>
      <c r="K59" s="204"/>
      <c r="L59" s="204"/>
      <c r="M59" s="251"/>
    </row>
    <row r="60" spans="1:13" s="73" customFormat="1" ht="27" hidden="1">
      <c r="A60" s="431"/>
      <c r="B60" s="12"/>
      <c r="C60" s="59" t="s">
        <v>72</v>
      </c>
      <c r="D60" s="58" t="s">
        <v>73</v>
      </c>
      <c r="E60" s="60">
        <v>1.69</v>
      </c>
      <c r="F60" s="60">
        <f>F59*E60</f>
        <v>0</v>
      </c>
      <c r="G60" s="15"/>
      <c r="H60" s="204"/>
      <c r="I60" s="15"/>
      <c r="J60" s="204"/>
      <c r="K60" s="16"/>
      <c r="L60" s="204"/>
      <c r="M60" s="251"/>
    </row>
    <row r="61" spans="1:13" s="73" customFormat="1" ht="27" hidden="1">
      <c r="A61" s="431"/>
      <c r="B61" s="12"/>
      <c r="C61" s="59" t="s">
        <v>8</v>
      </c>
      <c r="D61" s="58" t="s">
        <v>7</v>
      </c>
      <c r="E61" s="60">
        <v>2.3E-2</v>
      </c>
      <c r="F61" s="60">
        <f>F59*E61</f>
        <v>0</v>
      </c>
      <c r="G61" s="15"/>
      <c r="H61" s="204"/>
      <c r="I61" s="15"/>
      <c r="J61" s="204"/>
      <c r="K61" s="16"/>
      <c r="L61" s="204"/>
      <c r="M61" s="251"/>
    </row>
    <row r="62" spans="1:13" s="73" customFormat="1" ht="31.5" hidden="1">
      <c r="A62" s="431"/>
      <c r="B62" s="12" t="s">
        <v>163</v>
      </c>
      <c r="C62" s="25" t="s">
        <v>105</v>
      </c>
      <c r="D62" s="12" t="s">
        <v>55</v>
      </c>
      <c r="E62" s="207">
        <v>1</v>
      </c>
      <c r="F62" s="207">
        <f>F59*E62</f>
        <v>0</v>
      </c>
      <c r="G62" s="204"/>
      <c r="H62" s="204"/>
      <c r="I62" s="15"/>
      <c r="J62" s="204"/>
      <c r="K62" s="204"/>
      <c r="L62" s="204"/>
      <c r="M62" s="251"/>
    </row>
    <row r="63" spans="1:13" s="73" customFormat="1" ht="16.5" hidden="1">
      <c r="A63" s="431"/>
      <c r="B63" s="12" t="s">
        <v>164</v>
      </c>
      <c r="C63" s="25" t="s">
        <v>77</v>
      </c>
      <c r="D63" s="12" t="s">
        <v>55</v>
      </c>
      <c r="E63" s="207">
        <v>1</v>
      </c>
      <c r="F63" s="207">
        <f>F59*E63</f>
        <v>0</v>
      </c>
      <c r="G63" s="204"/>
      <c r="H63" s="204"/>
      <c r="I63" s="15"/>
      <c r="J63" s="204"/>
      <c r="K63" s="204"/>
      <c r="L63" s="204"/>
      <c r="M63" s="251"/>
    </row>
    <row r="64" spans="1:13" s="73" customFormat="1" ht="27" hidden="1">
      <c r="A64" s="431"/>
      <c r="B64" s="12"/>
      <c r="C64" s="25" t="s">
        <v>53</v>
      </c>
      <c r="D64" s="12" t="s">
        <v>7</v>
      </c>
      <c r="E64" s="207">
        <v>1.01E-2</v>
      </c>
      <c r="F64" s="207">
        <f>F59*E64</f>
        <v>0</v>
      </c>
      <c r="G64" s="204"/>
      <c r="H64" s="204"/>
      <c r="I64" s="15"/>
      <c r="J64" s="204"/>
      <c r="K64" s="204"/>
      <c r="L64" s="204"/>
      <c r="M64" s="251"/>
    </row>
    <row r="65" spans="1:13" s="73" customFormat="1" ht="27">
      <c r="A65" s="463" t="s">
        <v>78</v>
      </c>
      <c r="B65" s="195" t="s">
        <v>165</v>
      </c>
      <c r="C65" s="78" t="s">
        <v>166</v>
      </c>
      <c r="D65" s="12" t="s">
        <v>55</v>
      </c>
      <c r="E65" s="208"/>
      <c r="F65" s="60" t="s">
        <v>100</v>
      </c>
      <c r="G65" s="211"/>
      <c r="H65" s="94"/>
      <c r="I65" s="15"/>
      <c r="J65" s="204"/>
      <c r="K65" s="204"/>
      <c r="L65" s="204"/>
      <c r="M65" s="251"/>
    </row>
    <row r="66" spans="1:13" s="73" customFormat="1" ht="16.5">
      <c r="A66" s="464"/>
      <c r="B66" s="12"/>
      <c r="C66" s="96" t="s">
        <v>59</v>
      </c>
      <c r="D66" s="12" t="s">
        <v>21</v>
      </c>
      <c r="E66" s="208">
        <v>7.05</v>
      </c>
      <c r="F66" s="208">
        <f>F65*E66</f>
        <v>7.05</v>
      </c>
      <c r="G66" s="211"/>
      <c r="H66" s="94"/>
      <c r="I66" s="211"/>
      <c r="J66" s="94"/>
      <c r="K66" s="211"/>
      <c r="L66" s="94"/>
      <c r="M66" s="251"/>
    </row>
    <row r="67" spans="1:13" s="73" customFormat="1" ht="27">
      <c r="A67" s="464"/>
      <c r="B67" s="12"/>
      <c r="C67" s="96" t="s">
        <v>148</v>
      </c>
      <c r="D67" s="12" t="s">
        <v>167</v>
      </c>
      <c r="E67" s="208">
        <v>0</v>
      </c>
      <c r="F67" s="208">
        <f>F65*E67</f>
        <v>0</v>
      </c>
      <c r="G67" s="211"/>
      <c r="H67" s="94"/>
      <c r="I67" s="211"/>
      <c r="J67" s="94"/>
      <c r="K67" s="211"/>
      <c r="L67" s="94"/>
      <c r="M67" s="251"/>
    </row>
    <row r="68" spans="1:13" s="73" customFormat="1" ht="39.75">
      <c r="A68" s="464"/>
      <c r="B68" s="126"/>
      <c r="C68" s="96" t="s">
        <v>225</v>
      </c>
      <c r="D68" s="12" t="s">
        <v>55</v>
      </c>
      <c r="E68" s="208"/>
      <c r="F68" s="60" t="s">
        <v>100</v>
      </c>
      <c r="G68" s="211"/>
      <c r="H68" s="204"/>
      <c r="I68" s="15"/>
      <c r="J68" s="204"/>
      <c r="K68" s="204"/>
      <c r="L68" s="204"/>
      <c r="M68" s="251"/>
    </row>
    <row r="69" spans="1:13" s="73" customFormat="1" ht="27">
      <c r="A69" s="464"/>
      <c r="B69" s="126"/>
      <c r="C69" s="96" t="s">
        <v>230</v>
      </c>
      <c r="D69" s="242" t="s">
        <v>55</v>
      </c>
      <c r="E69" s="244"/>
      <c r="F69" s="60">
        <v>32</v>
      </c>
      <c r="G69" s="249"/>
      <c r="H69" s="245"/>
      <c r="I69" s="15"/>
      <c r="J69" s="245"/>
      <c r="K69" s="245"/>
      <c r="L69" s="245"/>
      <c r="M69" s="251"/>
    </row>
    <row r="70" spans="1:13" s="73" customFormat="1" ht="40.5">
      <c r="A70" s="464"/>
      <c r="B70" s="12"/>
      <c r="C70" s="96" t="s">
        <v>228</v>
      </c>
      <c r="D70" s="12" t="s">
        <v>55</v>
      </c>
      <c r="E70" s="208"/>
      <c r="F70" s="60">
        <v>2</v>
      </c>
      <c r="G70" s="211"/>
      <c r="H70" s="204"/>
      <c r="I70" s="15"/>
      <c r="J70" s="204"/>
      <c r="K70" s="204"/>
      <c r="L70" s="204"/>
      <c r="M70" s="251"/>
    </row>
    <row r="71" spans="1:13" s="73" customFormat="1" ht="40.5">
      <c r="A71" s="464"/>
      <c r="B71" s="12"/>
      <c r="C71" s="96" t="s">
        <v>342</v>
      </c>
      <c r="D71" s="12" t="s">
        <v>55</v>
      </c>
      <c r="E71" s="208"/>
      <c r="F71" s="60">
        <v>2</v>
      </c>
      <c r="G71" s="211"/>
      <c r="H71" s="204"/>
      <c r="I71" s="15"/>
      <c r="J71" s="204"/>
      <c r="K71" s="204"/>
      <c r="L71" s="204"/>
      <c r="M71" s="251"/>
    </row>
    <row r="72" spans="1:13" s="73" customFormat="1" ht="40.5">
      <c r="A72" s="464"/>
      <c r="B72" s="12"/>
      <c r="C72" s="96" t="s">
        <v>227</v>
      </c>
      <c r="D72" s="12" t="s">
        <v>55</v>
      </c>
      <c r="E72" s="208"/>
      <c r="F72" s="60">
        <v>32</v>
      </c>
      <c r="G72" s="211"/>
      <c r="H72" s="204"/>
      <c r="I72" s="15"/>
      <c r="J72" s="204"/>
      <c r="K72" s="204"/>
      <c r="L72" s="204"/>
      <c r="M72" s="251"/>
    </row>
    <row r="73" spans="1:13" s="73" customFormat="1" ht="16.5">
      <c r="A73" s="464"/>
      <c r="B73" s="12"/>
      <c r="C73" s="96" t="s">
        <v>321</v>
      </c>
      <c r="D73" s="12" t="s">
        <v>55</v>
      </c>
      <c r="E73" s="208"/>
      <c r="F73" s="60">
        <v>1</v>
      </c>
      <c r="G73" s="211"/>
      <c r="H73" s="204"/>
      <c r="I73" s="15"/>
      <c r="J73" s="204"/>
      <c r="K73" s="204"/>
      <c r="L73" s="204"/>
      <c r="M73" s="251"/>
    </row>
    <row r="74" spans="1:13" s="73" customFormat="1" ht="16.5">
      <c r="A74" s="464"/>
      <c r="B74" s="12"/>
      <c r="C74" s="96" t="s">
        <v>226</v>
      </c>
      <c r="D74" s="12" t="s">
        <v>55</v>
      </c>
      <c r="E74" s="208"/>
      <c r="F74" s="60">
        <v>1</v>
      </c>
      <c r="G74" s="211"/>
      <c r="H74" s="204"/>
      <c r="I74" s="15"/>
      <c r="J74" s="204"/>
      <c r="K74" s="204"/>
      <c r="L74" s="204"/>
      <c r="M74" s="251"/>
    </row>
    <row r="75" spans="1:13" s="73" customFormat="1" ht="16.5">
      <c r="A75" s="464"/>
      <c r="B75" s="12"/>
      <c r="C75" s="96" t="s">
        <v>168</v>
      </c>
      <c r="D75" s="12" t="s">
        <v>55</v>
      </c>
      <c r="E75" s="208"/>
      <c r="F75" s="60">
        <v>1</v>
      </c>
      <c r="G75" s="211"/>
      <c r="H75" s="204"/>
      <c r="I75" s="15"/>
      <c r="J75" s="204"/>
      <c r="K75" s="204"/>
      <c r="L75" s="204"/>
      <c r="M75" s="251"/>
    </row>
    <row r="76" spans="1:13" s="73" customFormat="1" ht="40.5">
      <c r="A76" s="464"/>
      <c r="B76" s="12"/>
      <c r="C76" s="96" t="s">
        <v>229</v>
      </c>
      <c r="D76" s="12" t="s">
        <v>55</v>
      </c>
      <c r="E76" s="208"/>
      <c r="F76" s="60">
        <v>1</v>
      </c>
      <c r="G76" s="211"/>
      <c r="H76" s="204"/>
      <c r="I76" s="15"/>
      <c r="J76" s="204"/>
      <c r="K76" s="204"/>
      <c r="L76" s="204"/>
      <c r="M76" s="251"/>
    </row>
    <row r="77" spans="1:13" s="73" customFormat="1" ht="16.5">
      <c r="A77" s="465"/>
      <c r="B77" s="12"/>
      <c r="C77" s="96" t="s">
        <v>210</v>
      </c>
      <c r="D77" s="12" t="s">
        <v>55</v>
      </c>
      <c r="E77" s="208"/>
      <c r="F77" s="60">
        <v>1</v>
      </c>
      <c r="G77" s="211"/>
      <c r="H77" s="204"/>
      <c r="I77" s="15"/>
      <c r="J77" s="204"/>
      <c r="K77" s="204"/>
      <c r="L77" s="204"/>
      <c r="M77" s="251"/>
    </row>
    <row r="78" spans="1:13" s="73" customFormat="1" ht="47.25" hidden="1">
      <c r="A78" s="440" t="s">
        <v>101</v>
      </c>
      <c r="B78" s="238" t="s">
        <v>231</v>
      </c>
      <c r="C78" s="61" t="s">
        <v>233</v>
      </c>
      <c r="D78" s="41" t="s">
        <v>71</v>
      </c>
      <c r="E78" s="3"/>
      <c r="F78" s="23">
        <f>F80</f>
        <v>0</v>
      </c>
      <c r="G78" s="245"/>
      <c r="H78" s="6"/>
      <c r="I78" s="245"/>
      <c r="J78" s="6"/>
      <c r="K78" s="245"/>
      <c r="L78" s="6"/>
      <c r="M78" s="251"/>
    </row>
    <row r="79" spans="1:13" s="73" customFormat="1" ht="16.5" hidden="1">
      <c r="A79" s="449"/>
      <c r="B79" s="95"/>
      <c r="C79" s="260" t="s">
        <v>40</v>
      </c>
      <c r="D79" s="261" t="s">
        <v>9</v>
      </c>
      <c r="E79" s="262">
        <f>182/100</f>
        <v>1.82</v>
      </c>
      <c r="F79" s="248">
        <f>F78*E79</f>
        <v>0</v>
      </c>
      <c r="G79" s="245"/>
      <c r="H79" s="6"/>
      <c r="I79" s="245"/>
      <c r="J79" s="6"/>
      <c r="K79" s="245"/>
      <c r="L79" s="6"/>
      <c r="M79" s="251"/>
    </row>
    <row r="80" spans="1:13" s="73" customFormat="1" ht="45.75" hidden="1">
      <c r="A80" s="449"/>
      <c r="B80" s="95"/>
      <c r="C80" s="263" t="s">
        <v>232</v>
      </c>
      <c r="D80" s="261" t="s">
        <v>55</v>
      </c>
      <c r="E80" s="262"/>
      <c r="F80" s="254">
        <v>0</v>
      </c>
      <c r="G80" s="245"/>
      <c r="H80" s="6"/>
      <c r="I80" s="245"/>
      <c r="J80" s="6"/>
      <c r="K80" s="245"/>
      <c r="L80" s="6"/>
      <c r="M80" s="251"/>
    </row>
    <row r="81" spans="1:13" s="73" customFormat="1" ht="27" hidden="1">
      <c r="A81" s="441"/>
      <c r="B81" s="41"/>
      <c r="C81" s="264" t="s">
        <v>10</v>
      </c>
      <c r="D81" s="41" t="s">
        <v>7</v>
      </c>
      <c r="E81" s="258">
        <v>0.13200000000000001</v>
      </c>
      <c r="F81" s="248">
        <f>F78*E81</f>
        <v>0</v>
      </c>
      <c r="G81" s="245"/>
      <c r="H81" s="6"/>
      <c r="I81" s="245"/>
      <c r="J81" s="6"/>
      <c r="K81" s="245"/>
      <c r="L81" s="6"/>
      <c r="M81" s="251"/>
    </row>
    <row r="82" spans="1:13" s="73" customFormat="1" ht="31.5">
      <c r="A82" s="12" t="s">
        <v>94</v>
      </c>
      <c r="B82" s="12"/>
      <c r="C82" s="120" t="s">
        <v>79</v>
      </c>
      <c r="D82" s="12"/>
      <c r="E82" s="62"/>
      <c r="F82" s="62"/>
      <c r="G82" s="63"/>
      <c r="H82" s="63"/>
      <c r="I82" s="64"/>
      <c r="J82" s="63"/>
      <c r="K82" s="63"/>
      <c r="L82" s="63"/>
      <c r="M82" s="251"/>
    </row>
    <row r="83" spans="1:13" s="73" customFormat="1" ht="67.5">
      <c r="A83" s="460" t="s">
        <v>117</v>
      </c>
      <c r="B83" s="29" t="s">
        <v>82</v>
      </c>
      <c r="C83" s="34" t="s">
        <v>83</v>
      </c>
      <c r="D83" s="68" t="s">
        <v>47</v>
      </c>
      <c r="E83" s="230"/>
      <c r="F83" s="35">
        <f>F86</f>
        <v>8</v>
      </c>
      <c r="G83" s="30"/>
      <c r="H83" s="38"/>
      <c r="I83" s="38"/>
      <c r="J83" s="38"/>
      <c r="K83" s="38"/>
      <c r="L83" s="38"/>
      <c r="M83" s="251"/>
    </row>
    <row r="84" spans="1:13" s="73" customFormat="1" ht="16.5">
      <c r="A84" s="461"/>
      <c r="B84" s="209"/>
      <c r="C84" s="31" t="s">
        <v>40</v>
      </c>
      <c r="D84" s="65" t="s">
        <v>9</v>
      </c>
      <c r="E84" s="231">
        <v>0.12</v>
      </c>
      <c r="F84" s="33">
        <f>E84*F83</f>
        <v>0.96</v>
      </c>
      <c r="G84" s="30"/>
      <c r="H84" s="38"/>
      <c r="I84" s="38"/>
      <c r="J84" s="38"/>
      <c r="K84" s="38"/>
      <c r="L84" s="38"/>
      <c r="M84" s="251"/>
    </row>
    <row r="85" spans="1:13" s="73" customFormat="1" ht="16.5">
      <c r="A85" s="461"/>
      <c r="B85" s="209"/>
      <c r="C85" s="36" t="s">
        <v>8</v>
      </c>
      <c r="D85" s="65" t="s">
        <v>7</v>
      </c>
      <c r="E85" s="231">
        <v>8.9999999999999993E-3</v>
      </c>
      <c r="F85" s="66">
        <f>E85*F83</f>
        <v>7.1999999999999995E-2</v>
      </c>
      <c r="G85" s="30"/>
      <c r="H85" s="38"/>
      <c r="I85" s="38"/>
      <c r="J85" s="38"/>
      <c r="K85" s="38"/>
      <c r="L85" s="38"/>
      <c r="M85" s="251"/>
    </row>
    <row r="86" spans="1:13" s="73" customFormat="1" ht="31.5">
      <c r="A86" s="461"/>
      <c r="B86" s="67"/>
      <c r="C86" s="36" t="s">
        <v>84</v>
      </c>
      <c r="D86" s="68" t="s">
        <v>47</v>
      </c>
      <c r="E86" s="232"/>
      <c r="F86" s="33">
        <v>8</v>
      </c>
      <c r="G86" s="30"/>
      <c r="H86" s="38"/>
      <c r="I86" s="38"/>
      <c r="J86" s="38"/>
      <c r="K86" s="38"/>
      <c r="L86" s="38"/>
      <c r="M86" s="251"/>
    </row>
    <row r="87" spans="1:13" s="73" customFormat="1" ht="16.5">
      <c r="A87" s="462"/>
      <c r="B87" s="209"/>
      <c r="C87" s="31" t="s">
        <v>10</v>
      </c>
      <c r="D87" s="65" t="s">
        <v>7</v>
      </c>
      <c r="E87" s="231">
        <v>0.14000000000000001</v>
      </c>
      <c r="F87" s="33">
        <f>E87*F83</f>
        <v>1.1200000000000001</v>
      </c>
      <c r="G87" s="30"/>
      <c r="H87" s="38"/>
      <c r="I87" s="30"/>
      <c r="J87" s="38"/>
      <c r="K87" s="30"/>
      <c r="L87" s="38"/>
      <c r="M87" s="251"/>
    </row>
    <row r="88" spans="1:13" s="73" customFormat="1" ht="16.5">
      <c r="A88" s="247" t="s">
        <v>118</v>
      </c>
      <c r="B88" s="67"/>
      <c r="C88" s="36" t="s">
        <v>169</v>
      </c>
      <c r="D88" s="68" t="s">
        <v>55</v>
      </c>
      <c r="E88" s="232"/>
      <c r="F88" s="35">
        <v>1</v>
      </c>
      <c r="G88" s="30"/>
      <c r="H88" s="38"/>
      <c r="I88" s="38"/>
      <c r="J88" s="38"/>
      <c r="K88" s="38"/>
      <c r="L88" s="38"/>
      <c r="M88" s="251"/>
    </row>
    <row r="89" spans="1:13" s="73" customFormat="1" ht="54">
      <c r="A89" s="460" t="s">
        <v>120</v>
      </c>
      <c r="B89" s="29" t="s">
        <v>80</v>
      </c>
      <c r="C89" s="34" t="s">
        <v>214</v>
      </c>
      <c r="D89" s="65" t="s">
        <v>55</v>
      </c>
      <c r="E89" s="230"/>
      <c r="F89" s="35">
        <f>F92</f>
        <v>34</v>
      </c>
      <c r="G89" s="30"/>
      <c r="H89" s="38"/>
      <c r="I89" s="38"/>
      <c r="J89" s="38"/>
      <c r="K89" s="38"/>
      <c r="L89" s="38"/>
      <c r="M89" s="251"/>
    </row>
    <row r="90" spans="1:13" s="73" customFormat="1" ht="16.5">
      <c r="A90" s="461"/>
      <c r="B90" s="209"/>
      <c r="C90" s="31" t="s">
        <v>40</v>
      </c>
      <c r="D90" s="65" t="s">
        <v>9</v>
      </c>
      <c r="E90" s="231">
        <v>0.9</v>
      </c>
      <c r="F90" s="33">
        <f>E90*F89</f>
        <v>30.6</v>
      </c>
      <c r="G90" s="30"/>
      <c r="H90" s="38"/>
      <c r="I90" s="38"/>
      <c r="J90" s="38"/>
      <c r="K90" s="38"/>
      <c r="L90" s="38"/>
      <c r="M90" s="251"/>
    </row>
    <row r="91" spans="1:13" s="73" customFormat="1" ht="16.5">
      <c r="A91" s="461"/>
      <c r="B91" s="209"/>
      <c r="C91" s="36" t="s">
        <v>8</v>
      </c>
      <c r="D91" s="65" t="s">
        <v>7</v>
      </c>
      <c r="E91" s="231">
        <v>7.0000000000000007E-2</v>
      </c>
      <c r="F91" s="66">
        <f>E91*F89</f>
        <v>2.3800000000000003</v>
      </c>
      <c r="G91" s="30"/>
      <c r="H91" s="38"/>
      <c r="I91" s="38"/>
      <c r="J91" s="38"/>
      <c r="K91" s="38"/>
      <c r="L91" s="38"/>
      <c r="M91" s="251"/>
    </row>
    <row r="92" spans="1:13" s="73" customFormat="1" ht="31.5">
      <c r="A92" s="461"/>
      <c r="B92" s="67"/>
      <c r="C92" s="36" t="s">
        <v>81</v>
      </c>
      <c r="D92" s="68" t="s">
        <v>55</v>
      </c>
      <c r="E92" s="232"/>
      <c r="F92" s="33">
        <f>32+2</f>
        <v>34</v>
      </c>
      <c r="G92" s="30"/>
      <c r="H92" s="38"/>
      <c r="I92" s="38"/>
      <c r="J92" s="38"/>
      <c r="K92" s="38"/>
      <c r="L92" s="38"/>
      <c r="M92" s="251"/>
    </row>
    <row r="93" spans="1:13" s="73" customFormat="1" ht="16.5">
      <c r="A93" s="462"/>
      <c r="B93" s="209"/>
      <c r="C93" s="31" t="s">
        <v>10</v>
      </c>
      <c r="D93" s="65" t="s">
        <v>7</v>
      </c>
      <c r="E93" s="231">
        <v>0.14000000000000001</v>
      </c>
      <c r="F93" s="33">
        <f>E93*F89</f>
        <v>4.7600000000000007</v>
      </c>
      <c r="G93" s="30"/>
      <c r="H93" s="38"/>
      <c r="I93" s="30"/>
      <c r="J93" s="38"/>
      <c r="K93" s="30"/>
      <c r="L93" s="38"/>
      <c r="M93" s="251"/>
    </row>
    <row r="94" spans="1:13" s="73" customFormat="1" ht="67.5">
      <c r="A94" s="460" t="s">
        <v>121</v>
      </c>
      <c r="B94" s="29" t="s">
        <v>211</v>
      </c>
      <c r="C94" s="34" t="s">
        <v>212</v>
      </c>
      <c r="D94" s="68" t="s">
        <v>47</v>
      </c>
      <c r="E94" s="230"/>
      <c r="F94" s="35">
        <f>F97</f>
        <v>36</v>
      </c>
      <c r="G94" s="30"/>
      <c r="H94" s="38"/>
      <c r="I94" s="38"/>
      <c r="J94" s="38"/>
      <c r="K94" s="38"/>
      <c r="L94" s="38"/>
      <c r="M94" s="251"/>
    </row>
    <row r="95" spans="1:13" s="73" customFormat="1" ht="16.5">
      <c r="A95" s="461"/>
      <c r="B95" s="209"/>
      <c r="C95" s="31" t="s">
        <v>40</v>
      </c>
      <c r="D95" s="65" t="s">
        <v>9</v>
      </c>
      <c r="E95" s="231">
        <v>0.26</v>
      </c>
      <c r="F95" s="33">
        <f>E95*F94</f>
        <v>9.36</v>
      </c>
      <c r="G95" s="30"/>
      <c r="H95" s="38"/>
      <c r="I95" s="38"/>
      <c r="J95" s="38"/>
      <c r="K95" s="38"/>
      <c r="L95" s="38"/>
      <c r="M95" s="251"/>
    </row>
    <row r="96" spans="1:13" s="73" customFormat="1" ht="16.5">
      <c r="A96" s="461"/>
      <c r="B96" s="209"/>
      <c r="C96" s="36" t="s">
        <v>8</v>
      </c>
      <c r="D96" s="65" t="s">
        <v>7</v>
      </c>
      <c r="E96" s="231">
        <v>1.6E-2</v>
      </c>
      <c r="F96" s="66">
        <f>E96*F94</f>
        <v>0.57600000000000007</v>
      </c>
      <c r="G96" s="30"/>
      <c r="H96" s="38"/>
      <c r="I96" s="38"/>
      <c r="J96" s="38"/>
      <c r="K96" s="38"/>
      <c r="L96" s="38"/>
      <c r="M96" s="251"/>
    </row>
    <row r="97" spans="1:14" s="73" customFormat="1" ht="31.5">
      <c r="A97" s="461"/>
      <c r="B97" s="67"/>
      <c r="C97" s="36" t="s">
        <v>213</v>
      </c>
      <c r="D97" s="68" t="s">
        <v>47</v>
      </c>
      <c r="E97" s="232"/>
      <c r="F97" s="35">
        <v>36</v>
      </c>
      <c r="G97" s="30"/>
      <c r="H97" s="38"/>
      <c r="I97" s="38"/>
      <c r="J97" s="38"/>
      <c r="K97" s="38"/>
      <c r="L97" s="38"/>
      <c r="M97" s="251"/>
    </row>
    <row r="98" spans="1:14" s="73" customFormat="1" ht="16.5">
      <c r="A98" s="462"/>
      <c r="B98" s="209"/>
      <c r="C98" s="31" t="s">
        <v>10</v>
      </c>
      <c r="D98" s="65" t="s">
        <v>7</v>
      </c>
      <c r="E98" s="231">
        <v>0.35299999999999998</v>
      </c>
      <c r="F98" s="33">
        <f>E98*F94</f>
        <v>12.707999999999998</v>
      </c>
      <c r="G98" s="30"/>
      <c r="H98" s="38"/>
      <c r="I98" s="30"/>
      <c r="J98" s="38"/>
      <c r="K98" s="30"/>
      <c r="L98" s="38"/>
      <c r="M98" s="251"/>
    </row>
    <row r="99" spans="1:14" s="73" customFormat="1" ht="16.5">
      <c r="A99" s="209"/>
      <c r="B99" s="209"/>
      <c r="C99" s="31"/>
      <c r="D99" s="65"/>
      <c r="E99" s="66"/>
      <c r="F99" s="33"/>
      <c r="G99" s="30"/>
      <c r="H99" s="38"/>
      <c r="I99" s="30"/>
      <c r="J99" s="38"/>
      <c r="K99" s="30"/>
      <c r="L99" s="38"/>
      <c r="M99" s="38"/>
    </row>
    <row r="100" spans="1:14" s="73" customFormat="1" ht="16.5">
      <c r="A100" s="183"/>
      <c r="B100" s="67"/>
      <c r="C100" s="36"/>
      <c r="D100" s="68"/>
      <c r="E100" s="69"/>
      <c r="F100" s="33"/>
      <c r="G100" s="30"/>
      <c r="H100" s="38"/>
      <c r="I100" s="38"/>
      <c r="J100" s="38"/>
      <c r="K100" s="38"/>
      <c r="L100" s="38"/>
      <c r="M100" s="38"/>
    </row>
    <row r="101" spans="1:14" s="73" customFormat="1" ht="31.5">
      <c r="A101" s="85"/>
      <c r="B101" s="85"/>
      <c r="C101" s="120" t="s">
        <v>140</v>
      </c>
      <c r="D101" s="85"/>
      <c r="E101" s="52"/>
      <c r="F101" s="52"/>
      <c r="G101" s="86"/>
      <c r="H101" s="86"/>
      <c r="I101" s="86"/>
      <c r="J101" s="86"/>
      <c r="K101" s="86"/>
      <c r="L101" s="86"/>
      <c r="M101" s="86"/>
      <c r="N101" s="305">
        <f>H101+J101+L101</f>
        <v>0</v>
      </c>
    </row>
    <row r="102" spans="1:14" s="73" customFormat="1" ht="63">
      <c r="A102" s="12"/>
      <c r="B102" s="27"/>
      <c r="C102" s="139" t="s">
        <v>141</v>
      </c>
      <c r="D102" s="87"/>
      <c r="E102" s="55"/>
      <c r="F102" s="270" t="s">
        <v>354</v>
      </c>
      <c r="G102" s="140"/>
      <c r="H102" s="140"/>
      <c r="I102" s="140"/>
      <c r="J102" s="140"/>
      <c r="K102" s="140"/>
      <c r="L102" s="140"/>
      <c r="M102" s="252"/>
    </row>
    <row r="103" spans="1:14" s="73" customFormat="1" ht="16.5">
      <c r="A103" s="12"/>
      <c r="B103" s="27"/>
      <c r="C103" s="273" t="s">
        <v>20</v>
      </c>
      <c r="D103" s="87"/>
      <c r="E103" s="55"/>
      <c r="F103" s="55"/>
      <c r="G103" s="140"/>
      <c r="H103" s="140"/>
      <c r="I103" s="140"/>
      <c r="J103" s="140"/>
      <c r="K103" s="140"/>
      <c r="L103" s="140"/>
      <c r="M103" s="140"/>
    </row>
    <row r="104" spans="1:14" s="73" customFormat="1" ht="47.25">
      <c r="A104" s="12"/>
      <c r="B104" s="12"/>
      <c r="C104" s="91" t="s">
        <v>170</v>
      </c>
      <c r="D104" s="7"/>
      <c r="E104" s="207"/>
      <c r="F104" s="306" t="s">
        <v>354</v>
      </c>
      <c r="G104" s="204"/>
      <c r="H104" s="204"/>
      <c r="I104" s="204"/>
      <c r="J104" s="204"/>
      <c r="K104" s="204"/>
      <c r="L104" s="204"/>
      <c r="M104" s="204"/>
    </row>
    <row r="105" spans="1:14" s="73" customFormat="1" ht="16.5">
      <c r="A105" s="85"/>
      <c r="B105" s="85"/>
      <c r="C105" s="120" t="s">
        <v>171</v>
      </c>
      <c r="D105" s="85"/>
      <c r="E105" s="52"/>
      <c r="F105" s="52"/>
      <c r="G105" s="86"/>
      <c r="H105" s="86"/>
      <c r="I105" s="86"/>
      <c r="J105" s="86"/>
      <c r="K105" s="86"/>
      <c r="L105" s="86"/>
      <c r="M105" s="86"/>
    </row>
    <row r="106" spans="1:14" s="73" customFormat="1" ht="16.5">
      <c r="A106" s="300"/>
      <c r="B106" s="301"/>
      <c r="C106" s="290" t="s">
        <v>172</v>
      </c>
      <c r="D106" s="301"/>
      <c r="E106" s="302"/>
      <c r="F106" s="303"/>
      <c r="G106" s="304"/>
      <c r="H106" s="304"/>
      <c r="I106" s="304"/>
      <c r="J106" s="304"/>
      <c r="K106" s="304"/>
      <c r="L106" s="304"/>
      <c r="M106" s="304"/>
      <c r="N106" s="305"/>
    </row>
    <row r="107" spans="1:14" s="73" customFormat="1" ht="16.5">
      <c r="A107" s="12"/>
      <c r="B107" s="12"/>
      <c r="C107" s="91" t="s">
        <v>341</v>
      </c>
      <c r="D107" s="7"/>
      <c r="E107" s="207"/>
      <c r="F107" s="306" t="s">
        <v>354</v>
      </c>
      <c r="G107" s="204"/>
      <c r="H107" s="204"/>
      <c r="I107" s="204"/>
      <c r="J107" s="204"/>
      <c r="K107" s="204"/>
      <c r="L107" s="204"/>
      <c r="M107" s="204"/>
    </row>
    <row r="108" spans="1:14" s="73" customFormat="1" ht="31.5">
      <c r="A108" s="300"/>
      <c r="B108" s="301"/>
      <c r="C108" s="290" t="s">
        <v>241</v>
      </c>
      <c r="D108" s="301"/>
      <c r="E108" s="302"/>
      <c r="F108" s="303"/>
      <c r="G108" s="304"/>
      <c r="H108" s="304"/>
      <c r="I108" s="304"/>
      <c r="J108" s="304"/>
      <c r="K108" s="304"/>
      <c r="L108" s="304"/>
      <c r="M108" s="295"/>
    </row>
    <row r="109" spans="1:14" s="73" customFormat="1" ht="31.5">
      <c r="A109" s="7"/>
      <c r="B109" s="12"/>
      <c r="C109" s="11" t="s">
        <v>4</v>
      </c>
      <c r="D109" s="7"/>
      <c r="E109" s="207"/>
      <c r="F109" s="9" t="s">
        <v>60</v>
      </c>
      <c r="G109" s="204"/>
      <c r="H109" s="204"/>
      <c r="I109" s="204"/>
      <c r="J109" s="204"/>
      <c r="K109" s="204"/>
      <c r="L109" s="204"/>
      <c r="M109" s="204"/>
    </row>
    <row r="110" spans="1:14" s="73" customFormat="1" ht="16.5">
      <c r="A110" s="7"/>
      <c r="B110" s="12"/>
      <c r="C110" s="273" t="s">
        <v>20</v>
      </c>
      <c r="D110" s="7"/>
      <c r="E110" s="207"/>
      <c r="F110" s="23"/>
      <c r="G110" s="204"/>
      <c r="H110" s="204"/>
      <c r="I110" s="204"/>
      <c r="J110" s="204"/>
      <c r="K110" s="204"/>
      <c r="L110" s="204"/>
      <c r="M110" s="204"/>
    </row>
    <row r="111" spans="1:14" s="73" customFormat="1" ht="31.5">
      <c r="A111" s="281"/>
      <c r="B111" s="282"/>
      <c r="C111" s="298" t="s">
        <v>237</v>
      </c>
      <c r="D111" s="283"/>
      <c r="E111" s="284"/>
      <c r="F111" s="299">
        <v>0</v>
      </c>
      <c r="G111" s="266"/>
      <c r="H111" s="266"/>
      <c r="I111" s="266"/>
      <c r="J111" s="307"/>
      <c r="K111" s="266"/>
      <c r="L111" s="266"/>
      <c r="M111" s="266"/>
    </row>
    <row r="112" spans="1:14" s="73" customFormat="1" ht="16.5">
      <c r="A112" s="281"/>
      <c r="B112" s="282"/>
      <c r="C112" s="273" t="s">
        <v>20</v>
      </c>
      <c r="D112" s="283"/>
      <c r="E112" s="284"/>
      <c r="F112" s="297"/>
      <c r="G112" s="266"/>
      <c r="H112" s="266"/>
      <c r="I112" s="266"/>
      <c r="J112" s="273"/>
      <c r="K112" s="266"/>
      <c r="L112" s="266"/>
      <c r="M112" s="266"/>
    </row>
    <row r="113" spans="1:13" s="73" customFormat="1" ht="16.5">
      <c r="A113" s="7"/>
      <c r="B113" s="12"/>
      <c r="C113" s="11"/>
      <c r="D113" s="7"/>
      <c r="E113" s="207"/>
      <c r="F113" s="9" t="s">
        <v>61</v>
      </c>
      <c r="G113" s="204"/>
      <c r="H113" s="204"/>
      <c r="I113" s="204"/>
      <c r="J113" s="204"/>
      <c r="K113" s="204"/>
      <c r="L113" s="204"/>
      <c r="M113" s="204"/>
    </row>
    <row r="114" spans="1:13" s="73" customFormat="1" ht="31.5">
      <c r="A114" s="300"/>
      <c r="B114" s="301"/>
      <c r="C114" s="290" t="s">
        <v>241</v>
      </c>
      <c r="D114" s="301"/>
      <c r="E114" s="302"/>
      <c r="F114" s="303"/>
      <c r="G114" s="304"/>
      <c r="H114" s="304"/>
      <c r="I114" s="304"/>
      <c r="J114" s="304"/>
      <c r="K114" s="304"/>
      <c r="L114" s="304"/>
      <c r="M114" s="295"/>
    </row>
    <row r="115" spans="1:13" s="73" customFormat="1" ht="16.5">
      <c r="A115" s="198"/>
      <c r="B115" s="198"/>
      <c r="C115" s="199"/>
      <c r="D115" s="198"/>
      <c r="E115" s="200"/>
      <c r="F115" s="221"/>
      <c r="G115" s="201"/>
      <c r="H115" s="201"/>
      <c r="I115" s="201"/>
      <c r="J115" s="201"/>
      <c r="K115" s="201"/>
      <c r="L115" s="201"/>
      <c r="M115" s="202"/>
    </row>
    <row r="116" spans="1:13" s="73" customFormat="1" ht="16.5">
      <c r="A116" s="98"/>
      <c r="B116" s="98"/>
      <c r="C116" s="184"/>
      <c r="D116" s="74"/>
      <c r="E116" s="142"/>
      <c r="F116" s="142"/>
      <c r="G116" s="88"/>
      <c r="H116" s="88"/>
      <c r="I116" s="88"/>
      <c r="J116" s="88"/>
      <c r="K116" s="88"/>
      <c r="L116" s="88"/>
      <c r="M116" s="88"/>
    </row>
    <row r="117" spans="1:13" s="73" customFormat="1" ht="16.5">
      <c r="A117" s="98"/>
      <c r="B117" s="98"/>
      <c r="C117" s="108"/>
      <c r="D117" s="74"/>
      <c r="E117" s="142"/>
      <c r="F117" s="142"/>
      <c r="G117" s="88"/>
      <c r="H117" s="88"/>
      <c r="I117" s="88"/>
      <c r="J117" s="88"/>
      <c r="K117" s="88"/>
      <c r="L117" s="88"/>
      <c r="M117" s="88"/>
    </row>
  </sheetData>
  <mergeCells count="39">
    <mergeCell ref="A6:C6"/>
    <mergeCell ref="A17:A18"/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A15:A16"/>
    <mergeCell ref="A83:A87"/>
    <mergeCell ref="A19:A21"/>
    <mergeCell ref="A22:A26"/>
    <mergeCell ref="A27:A29"/>
    <mergeCell ref="A30:A31"/>
    <mergeCell ref="A32:A37"/>
    <mergeCell ref="A94:A98"/>
    <mergeCell ref="A78:A81"/>
    <mergeCell ref="A65:A77"/>
    <mergeCell ref="L12:L14"/>
    <mergeCell ref="M12:M14"/>
    <mergeCell ref="A12:A14"/>
    <mergeCell ref="B12:B14"/>
    <mergeCell ref="G12:G14"/>
    <mergeCell ref="H12:H14"/>
    <mergeCell ref="I12:I14"/>
    <mergeCell ref="J12:J14"/>
    <mergeCell ref="K12:K14"/>
    <mergeCell ref="A44:A49"/>
    <mergeCell ref="A50:A57"/>
    <mergeCell ref="A59:A64"/>
    <mergeCell ref="A89:A93"/>
  </mergeCells>
  <pageMargins left="0.70866141732283505" right="0.27" top="0.26" bottom="0.18" header="0.22" footer="0.15"/>
  <pageSetup paperSize="9" orientation="landscape" horizontalDpi="1200" verticalDpi="1200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topLeftCell="A7" zoomScale="80" zoomScaleNormal="80" workbookViewId="0">
      <selection activeCell="C37" sqref="C37"/>
    </sheetView>
  </sheetViews>
  <sheetFormatPr defaultRowHeight="15"/>
  <cols>
    <col min="1" max="1" width="5.5703125" customWidth="1"/>
    <col min="2" max="2" width="7.7109375" customWidth="1"/>
    <col min="3" max="3" width="30.7109375" customWidth="1"/>
    <col min="4" max="4" width="7.28515625" customWidth="1"/>
    <col min="5" max="6" width="7.7109375" customWidth="1"/>
    <col min="7" max="7" width="8.5703125" customWidth="1"/>
    <col min="8" max="8" width="10.5703125" customWidth="1"/>
    <col min="9" max="9" width="7.140625" customWidth="1"/>
    <col min="10" max="10" width="8" customWidth="1"/>
    <col min="11" max="11" width="7.42578125" customWidth="1"/>
    <col min="12" max="12" width="7.28515625" customWidth="1"/>
    <col min="13" max="13" width="12.85546875" customWidth="1"/>
    <col min="14" max="15" width="46.5703125" customWidth="1"/>
    <col min="16" max="17" width="23.28515625" customWidth="1"/>
  </cols>
  <sheetData>
    <row r="1" spans="1:14" s="77" customFormat="1" ht="48.75" customHeight="1">
      <c r="A1" s="422" t="str">
        <f>krebsiti!A3</f>
        <v>q.dmanisSi "Tavisuflebis xeivanis" reabilitaciis samuSaoebi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4" s="77" customFormat="1" ht="21">
      <c r="A2" s="423" t="s">
        <v>109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1:14" s="77" customFormat="1" ht="16.5">
      <c r="A3" s="486" t="s">
        <v>348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</row>
    <row r="4" spans="1:14" s="77" customFormat="1" ht="15.75">
      <c r="A4" s="74"/>
      <c r="B4" s="74"/>
      <c r="C4" s="110"/>
      <c r="D4" s="74"/>
      <c r="E4" s="75"/>
      <c r="F4" s="75"/>
      <c r="G4" s="76"/>
      <c r="H4" s="76"/>
      <c r="I4" s="76"/>
      <c r="J4" s="76"/>
      <c r="K4" s="76"/>
      <c r="L4" s="76"/>
      <c r="M4" s="76"/>
    </row>
    <row r="5" spans="1:14" s="77" customFormat="1" ht="16.5">
      <c r="A5" s="486" t="s">
        <v>86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</row>
    <row r="6" spans="1:14" s="77" customFormat="1" ht="15.75">
      <c r="A6" s="459"/>
      <c r="B6" s="459"/>
      <c r="C6" s="459"/>
      <c r="D6" s="89"/>
      <c r="E6" s="147"/>
      <c r="F6" s="147"/>
      <c r="G6" s="90"/>
      <c r="H6" s="90"/>
      <c r="I6" s="90"/>
      <c r="J6" s="90"/>
      <c r="K6" s="90"/>
      <c r="L6" s="90"/>
      <c r="M6" s="90"/>
    </row>
    <row r="7" spans="1:14" s="77" customFormat="1" ht="37.5" customHeight="1">
      <c r="A7" s="431" t="s">
        <v>0</v>
      </c>
      <c r="B7" s="431" t="s">
        <v>25</v>
      </c>
      <c r="C7" s="431" t="s">
        <v>1</v>
      </c>
      <c r="D7" s="431" t="s">
        <v>2</v>
      </c>
      <c r="E7" s="487" t="s">
        <v>62</v>
      </c>
      <c r="F7" s="487" t="s">
        <v>3</v>
      </c>
      <c r="G7" s="488" t="s">
        <v>27</v>
      </c>
      <c r="H7" s="488"/>
      <c r="I7" s="488" t="s">
        <v>28</v>
      </c>
      <c r="J7" s="488"/>
      <c r="K7" s="488" t="s">
        <v>29</v>
      </c>
      <c r="L7" s="488"/>
      <c r="M7" s="488" t="s">
        <v>30</v>
      </c>
    </row>
    <row r="8" spans="1:14" s="77" customFormat="1" ht="27">
      <c r="A8" s="431"/>
      <c r="B8" s="431"/>
      <c r="C8" s="431"/>
      <c r="D8" s="431"/>
      <c r="E8" s="487"/>
      <c r="F8" s="487"/>
      <c r="G8" s="92" t="s">
        <v>31</v>
      </c>
      <c r="H8" s="92" t="s">
        <v>32</v>
      </c>
      <c r="I8" s="92" t="s">
        <v>31</v>
      </c>
      <c r="J8" s="92" t="s">
        <v>32</v>
      </c>
      <c r="K8" s="92" t="s">
        <v>31</v>
      </c>
      <c r="L8" s="92" t="s">
        <v>32</v>
      </c>
      <c r="M8" s="488"/>
    </row>
    <row r="9" spans="1:14" s="77" customFormat="1" ht="15.75">
      <c r="A9" s="12">
        <v>1</v>
      </c>
      <c r="B9" s="12">
        <v>2</v>
      </c>
      <c r="C9" s="91">
        <v>3</v>
      </c>
      <c r="D9" s="12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</row>
    <row r="10" spans="1:14" s="77" customFormat="1" ht="33">
      <c r="A10" s="413" t="s">
        <v>344</v>
      </c>
      <c r="B10" s="413"/>
      <c r="C10" s="414" t="s">
        <v>86</v>
      </c>
      <c r="D10" s="415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4" s="77" customFormat="1" ht="47.25" hidden="1">
      <c r="A11" s="12" t="s">
        <v>100</v>
      </c>
      <c r="B11" s="12" t="s">
        <v>19</v>
      </c>
      <c r="C11" s="57" t="s">
        <v>174</v>
      </c>
      <c r="D11" s="24" t="s">
        <v>175</v>
      </c>
      <c r="E11" s="13"/>
      <c r="F11" s="13">
        <v>0</v>
      </c>
      <c r="G11" s="14"/>
      <c r="H11" s="14"/>
      <c r="I11" s="14"/>
      <c r="J11" s="14"/>
      <c r="K11" s="14"/>
      <c r="L11" s="14"/>
      <c r="M11" s="14"/>
    </row>
    <row r="12" spans="1:14" s="77" customFormat="1" ht="47.25">
      <c r="A12" s="12" t="s">
        <v>78</v>
      </c>
      <c r="B12" s="12" t="s">
        <v>19</v>
      </c>
      <c r="C12" s="57" t="s">
        <v>176</v>
      </c>
      <c r="D12" s="24" t="s">
        <v>55</v>
      </c>
      <c r="E12" s="13"/>
      <c r="F12" s="13">
        <v>13</v>
      </c>
      <c r="G12" s="14"/>
      <c r="H12" s="14"/>
      <c r="I12" s="14"/>
      <c r="J12" s="14"/>
      <c r="K12" s="14"/>
      <c r="L12" s="14"/>
      <c r="M12" s="14"/>
    </row>
    <row r="13" spans="1:14" s="77" customFormat="1" ht="27">
      <c r="A13" s="12" t="s">
        <v>101</v>
      </c>
      <c r="B13" s="12" t="s">
        <v>19</v>
      </c>
      <c r="C13" s="57" t="s">
        <v>177</v>
      </c>
      <c r="D13" s="24" t="s">
        <v>55</v>
      </c>
      <c r="E13" s="13"/>
      <c r="F13" s="13">
        <v>13</v>
      </c>
      <c r="G13" s="14"/>
      <c r="H13" s="14"/>
      <c r="I13" s="14"/>
      <c r="J13" s="14"/>
      <c r="K13" s="14"/>
      <c r="L13" s="14"/>
      <c r="M13" s="14"/>
    </row>
    <row r="14" spans="1:14" s="77" customFormat="1" ht="27" hidden="1">
      <c r="A14" s="12" t="s">
        <v>94</v>
      </c>
      <c r="B14" s="12" t="s">
        <v>19</v>
      </c>
      <c r="C14" s="57" t="s">
        <v>178</v>
      </c>
      <c r="D14" s="24" t="s">
        <v>55</v>
      </c>
      <c r="E14" s="13"/>
      <c r="F14" s="13">
        <v>0</v>
      </c>
      <c r="G14" s="14"/>
      <c r="H14" s="334"/>
      <c r="I14" s="14"/>
      <c r="J14" s="334"/>
      <c r="K14" s="334"/>
      <c r="L14" s="334"/>
      <c r="M14" s="334"/>
    </row>
    <row r="15" spans="1:14" s="77" customFormat="1" ht="31.5">
      <c r="A15" s="12" t="s">
        <v>101</v>
      </c>
      <c r="B15" s="12" t="s">
        <v>19</v>
      </c>
      <c r="C15" s="57" t="s">
        <v>322</v>
      </c>
      <c r="D15" s="24" t="s">
        <v>55</v>
      </c>
      <c r="E15" s="13"/>
      <c r="F15" s="13">
        <v>2</v>
      </c>
      <c r="G15" s="14"/>
      <c r="H15" s="334"/>
      <c r="I15" s="14"/>
      <c r="J15" s="334"/>
      <c r="K15" s="334"/>
      <c r="L15" s="334"/>
      <c r="M15" s="334"/>
      <c r="N15" s="77" t="s">
        <v>323</v>
      </c>
    </row>
    <row r="16" spans="1:14" s="77" customFormat="1" ht="15.75">
      <c r="A16" s="12"/>
      <c r="B16" s="12"/>
      <c r="C16" s="57"/>
      <c r="D16" s="24"/>
      <c r="E16" s="13"/>
      <c r="F16" s="13"/>
      <c r="G16" s="14"/>
      <c r="H16" s="14"/>
      <c r="I16" s="14"/>
      <c r="J16" s="14"/>
      <c r="K16" s="14"/>
      <c r="L16" s="14"/>
      <c r="M16" s="14"/>
    </row>
    <row r="17" spans="1:14" s="77" customFormat="1" ht="15.75">
      <c r="A17" s="12"/>
      <c r="B17" s="12"/>
      <c r="C17" s="57"/>
      <c r="D17" s="24"/>
      <c r="E17" s="13"/>
      <c r="F17" s="13"/>
      <c r="G17" s="14"/>
      <c r="H17" s="14"/>
      <c r="I17" s="14"/>
      <c r="J17" s="14"/>
      <c r="K17" s="14"/>
      <c r="L17" s="14"/>
      <c r="M17" s="14"/>
    </row>
    <row r="18" spans="1:14" s="77" customFormat="1" ht="31.5">
      <c r="A18" s="300"/>
      <c r="B18" s="301"/>
      <c r="C18" s="290" t="s">
        <v>140</v>
      </c>
      <c r="D18" s="301"/>
      <c r="E18" s="302"/>
      <c r="F18" s="303"/>
      <c r="G18" s="304"/>
      <c r="H18" s="304"/>
      <c r="I18" s="304"/>
      <c r="J18" s="304"/>
      <c r="K18" s="304"/>
      <c r="L18" s="304"/>
      <c r="M18" s="304"/>
      <c r="N18" s="88">
        <f>H18+J18+L18</f>
        <v>0</v>
      </c>
    </row>
    <row r="19" spans="1:14" s="77" customFormat="1" ht="40.5">
      <c r="A19" s="267"/>
      <c r="B19" s="267"/>
      <c r="C19" s="322" t="s">
        <v>239</v>
      </c>
      <c r="D19" s="267"/>
      <c r="E19" s="269"/>
      <c r="F19" s="270" t="s">
        <v>354</v>
      </c>
      <c r="G19" s="271"/>
      <c r="H19" s="271"/>
      <c r="I19" s="271"/>
      <c r="J19" s="271"/>
      <c r="K19" s="271"/>
      <c r="L19" s="271"/>
      <c r="M19" s="271"/>
    </row>
    <row r="20" spans="1:14" s="77" customFormat="1" ht="15.75">
      <c r="A20" s="22"/>
      <c r="B20" s="203"/>
      <c r="C20" s="273" t="s">
        <v>20</v>
      </c>
      <c r="D20" s="203"/>
      <c r="E20" s="22"/>
      <c r="F20" s="22"/>
      <c r="G20" s="22"/>
      <c r="H20" s="312"/>
      <c r="I20" s="312"/>
      <c r="J20" s="312"/>
      <c r="K20" s="312"/>
      <c r="L20" s="312"/>
      <c r="M20" s="312"/>
    </row>
    <row r="21" spans="1:14" s="77" customFormat="1" ht="49.5">
      <c r="A21" s="250"/>
      <c r="B21" s="1"/>
      <c r="C21" s="321" t="s">
        <v>240</v>
      </c>
      <c r="D21" s="1"/>
      <c r="E21" s="250"/>
      <c r="F21" s="306" t="s">
        <v>354</v>
      </c>
      <c r="G21" s="250"/>
      <c r="H21" s="250"/>
      <c r="I21" s="250"/>
      <c r="J21" s="194"/>
      <c r="K21" s="194"/>
      <c r="L21" s="194"/>
      <c r="M21" s="194"/>
    </row>
    <row r="22" spans="1:14" s="77" customFormat="1" ht="15.75">
      <c r="A22" s="250"/>
      <c r="B22" s="1"/>
      <c r="C22" s="273" t="s">
        <v>20</v>
      </c>
      <c r="D22" s="1"/>
      <c r="E22" s="250"/>
      <c r="F22" s="72"/>
      <c r="G22" s="250"/>
      <c r="H22" s="250"/>
      <c r="I22" s="250"/>
      <c r="J22" s="194"/>
      <c r="K22" s="194"/>
      <c r="L22" s="194"/>
      <c r="M22" s="194"/>
    </row>
    <row r="23" spans="1:14" s="77" customFormat="1" ht="66">
      <c r="A23" s="250"/>
      <c r="B23" s="1"/>
      <c r="C23" s="321" t="s">
        <v>243</v>
      </c>
      <c r="D23" s="1"/>
      <c r="E23" s="250"/>
      <c r="F23" s="306" t="s">
        <v>354</v>
      </c>
      <c r="G23" s="250"/>
      <c r="H23" s="250"/>
      <c r="I23" s="250"/>
      <c r="J23" s="194"/>
      <c r="K23" s="194"/>
      <c r="L23" s="194"/>
      <c r="M23" s="194"/>
    </row>
    <row r="24" spans="1:14" s="77" customFormat="1" ht="33">
      <c r="A24" s="313"/>
      <c r="B24" s="314"/>
      <c r="C24" s="311" t="s">
        <v>242</v>
      </c>
      <c r="D24" s="314"/>
      <c r="E24" s="313"/>
      <c r="F24" s="217"/>
      <c r="G24" s="313"/>
      <c r="H24" s="313"/>
      <c r="I24" s="313"/>
      <c r="J24" s="315"/>
      <c r="K24" s="315"/>
      <c r="L24" s="315"/>
      <c r="M24" s="71"/>
    </row>
    <row r="25" spans="1:14" s="77" customFormat="1" ht="31.5">
      <c r="A25" s="281"/>
      <c r="B25" s="282"/>
      <c r="C25" s="286" t="s">
        <v>4</v>
      </c>
      <c r="D25" s="283"/>
      <c r="E25" s="284"/>
      <c r="F25" s="296" t="s">
        <v>60</v>
      </c>
      <c r="G25" s="266"/>
      <c r="H25" s="266"/>
      <c r="I25" s="266"/>
      <c r="J25" s="266"/>
      <c r="K25" s="266"/>
      <c r="L25" s="266"/>
      <c r="M25" s="266"/>
    </row>
    <row r="26" spans="1:14" s="77" customFormat="1" ht="15.75">
      <c r="A26" s="281"/>
      <c r="B26" s="282"/>
      <c r="C26" s="273" t="s">
        <v>20</v>
      </c>
      <c r="D26" s="283"/>
      <c r="E26" s="284"/>
      <c r="F26" s="297"/>
      <c r="G26" s="266"/>
      <c r="H26" s="266"/>
      <c r="I26" s="266"/>
      <c r="J26" s="266"/>
      <c r="K26" s="266"/>
      <c r="L26" s="266"/>
      <c r="M26" s="266"/>
    </row>
    <row r="27" spans="1:14" s="77" customFormat="1" ht="31.5">
      <c r="A27" s="281"/>
      <c r="B27" s="282"/>
      <c r="C27" s="298" t="s">
        <v>237</v>
      </c>
      <c r="D27" s="283"/>
      <c r="E27" s="284"/>
      <c r="F27" s="299">
        <v>0</v>
      </c>
      <c r="G27" s="266"/>
      <c r="H27" s="266"/>
      <c r="I27" s="266"/>
      <c r="J27" s="266"/>
      <c r="K27" s="266"/>
      <c r="L27" s="266"/>
      <c r="M27" s="266"/>
    </row>
    <row r="28" spans="1:14" s="77" customFormat="1" ht="15.75">
      <c r="A28" s="281"/>
      <c r="B28" s="282"/>
      <c r="C28" s="273" t="s">
        <v>20</v>
      </c>
      <c r="D28" s="283"/>
      <c r="E28" s="284"/>
      <c r="F28" s="297"/>
      <c r="G28" s="266"/>
      <c r="H28" s="266"/>
      <c r="I28" s="266"/>
      <c r="J28" s="266"/>
      <c r="K28" s="266"/>
      <c r="L28" s="266"/>
      <c r="M28" s="266"/>
    </row>
    <row r="29" spans="1:14" s="77" customFormat="1" ht="15.75">
      <c r="A29" s="281"/>
      <c r="B29" s="282"/>
      <c r="C29" s="286" t="s">
        <v>238</v>
      </c>
      <c r="D29" s="283"/>
      <c r="E29" s="284"/>
      <c r="F29" s="296" t="s">
        <v>61</v>
      </c>
      <c r="G29" s="266"/>
      <c r="H29" s="266"/>
      <c r="I29" s="266"/>
      <c r="J29" s="266"/>
      <c r="K29" s="266"/>
      <c r="L29" s="266"/>
      <c r="M29" s="266"/>
    </row>
    <row r="30" spans="1:14" s="77" customFormat="1" ht="31.5">
      <c r="A30" s="300"/>
      <c r="B30" s="301"/>
      <c r="C30" s="290" t="s">
        <v>242</v>
      </c>
      <c r="D30" s="301"/>
      <c r="E30" s="302"/>
      <c r="F30" s="303"/>
      <c r="G30" s="304"/>
      <c r="H30" s="304"/>
      <c r="I30" s="304"/>
      <c r="J30" s="304"/>
      <c r="K30" s="304"/>
      <c r="L30" s="304"/>
      <c r="M30" s="71"/>
    </row>
    <row r="31" spans="1:14" s="77" customFormat="1" ht="15.75">
      <c r="A31" s="89"/>
      <c r="B31" s="89"/>
      <c r="C31" s="145"/>
      <c r="D31" s="89"/>
      <c r="E31" s="147"/>
      <c r="F31" s="147"/>
      <c r="G31" s="90"/>
      <c r="H31" s="90"/>
      <c r="I31" s="90"/>
      <c r="J31" s="90"/>
      <c r="K31" s="90"/>
      <c r="L31" s="90"/>
      <c r="M31" s="90"/>
    </row>
    <row r="32" spans="1:14" s="77" customFormat="1" ht="15.75">
      <c r="A32" s="89"/>
      <c r="B32" s="98"/>
      <c r="C32" s="184"/>
      <c r="D32" s="74"/>
      <c r="E32" s="142"/>
      <c r="F32" s="142"/>
      <c r="G32" s="88"/>
      <c r="H32" s="88"/>
      <c r="I32" s="99"/>
      <c r="J32" s="99"/>
      <c r="K32" s="99"/>
      <c r="L32" s="99"/>
      <c r="M32" s="99"/>
    </row>
    <row r="33" spans="1:13" s="77" customFormat="1" ht="15.75">
      <c r="A33" s="89"/>
      <c r="B33" s="98"/>
      <c r="C33" s="185"/>
      <c r="D33" s="186"/>
      <c r="E33" s="187"/>
      <c r="F33" s="147"/>
      <c r="G33" s="90"/>
      <c r="H33" s="90"/>
      <c r="I33" s="90"/>
      <c r="J33" s="90"/>
      <c r="K33" s="90"/>
      <c r="L33" s="90"/>
      <c r="M33" s="90"/>
    </row>
  </sheetData>
  <mergeCells count="15"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A6:C6"/>
  </mergeCells>
  <pageMargins left="0.70866141732283472" right="0.35" top="0.39" bottom="0.45" header="0.31496062992125984" footer="0.31496062992125984"/>
  <pageSetup paperSize="9" orientation="landscape" horizontalDpi="1200" verticalDpi="1200" r:id="rId1"/>
  <headerFooter>
    <oddHeader>&amp;R&amp;P--&amp;N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krebsiti</vt:lpstr>
      <vt:lpstr>#3-1</vt:lpstr>
      <vt:lpstr>#3-2</vt:lpstr>
      <vt:lpstr>#3-4</vt:lpstr>
      <vt:lpstr>'#3-1'!Print_Area</vt:lpstr>
      <vt:lpstr>'#3-2'!Print_Area</vt:lpstr>
      <vt:lpstr>'#3-4'!Print_Area</vt:lpstr>
      <vt:lpstr>krebsiti!Print_Area</vt:lpstr>
      <vt:lpstr>'#3-1'!Print_Titles</vt:lpstr>
      <vt:lpstr>'#3-2'!Print_Titles</vt:lpstr>
      <vt:lpstr>'#3-4'!Print_Titles</vt:lpstr>
      <vt:lpstr>krebsiti!Print_Titles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2021-06-04T10:50:46Z</dcterms:modified>
</cp:coreProperties>
</file>