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20" tabRatio="875"/>
  </bookViews>
  <sheets>
    <sheet name="krebsiti" sheetId="25" r:id="rId1"/>
    <sheet name="#1-1" sheetId="22" r:id="rId2"/>
    <sheet name="#1-2" sheetId="23" r:id="rId3"/>
    <sheet name="1-3" sheetId="26" r:id="rId4"/>
    <sheet name="7777" sheetId="27" r:id="rId5"/>
    <sheet name="#1-3" sheetId="24" state="hidden" r:id="rId6"/>
  </sheets>
  <definedNames>
    <definedName name="_xlnm.Print_Area" localSheetId="1">'#1-1'!$A$1:$M$767</definedName>
    <definedName name="_xlnm.Print_Area" localSheetId="2">'#1-2'!$A$1:$M$326</definedName>
    <definedName name="_xlnm.Print_Area" localSheetId="5">'#1-3'!$A$1:$M$91</definedName>
    <definedName name="_xlnm.Print_Area" localSheetId="3">'1-3'!$A$1:$M$70</definedName>
    <definedName name="_xlnm.Print_Area" localSheetId="0">krebsiti!$A$1:$D$27</definedName>
    <definedName name="_xlnm.Print_Titles" localSheetId="1">'#1-1'!$9:$9</definedName>
    <definedName name="_xlnm.Print_Titles" localSheetId="2">'#1-2'!$9:$9</definedName>
    <definedName name="_xlnm.Print_Titles" localSheetId="5">'#1-3'!$9:$9</definedName>
    <definedName name="_xlnm.Print_Titles" localSheetId="3">'1-3'!$9:$9</definedName>
    <definedName name="_xlnm.Print_Titles" localSheetId="0">krebsiti!$7:$7</definedName>
  </definedNames>
  <calcPr calcId="162913"/>
</workbook>
</file>

<file path=xl/calcChain.xml><?xml version="1.0" encoding="utf-8"?>
<calcChain xmlns="http://schemas.openxmlformats.org/spreadsheetml/2006/main">
  <c r="F719" i="22" l="1"/>
  <c r="F720" i="22" s="1"/>
  <c r="F744" i="22"/>
  <c r="F746" i="22" s="1"/>
  <c r="F743" i="22"/>
  <c r="E736" i="22"/>
  <c r="E735" i="22"/>
  <c r="E734" i="22"/>
  <c r="F740" i="22"/>
  <c r="F732" i="22"/>
  <c r="F725" i="22"/>
  <c r="F717" i="22"/>
  <c r="F718" i="22" s="1"/>
  <c r="F715" i="22"/>
  <c r="F711" i="22"/>
  <c r="F745" i="22" l="1"/>
  <c r="F735" i="22"/>
  <c r="F734" i="22"/>
  <c r="F736" i="22"/>
  <c r="F739" i="22"/>
  <c r="F737" i="22"/>
  <c r="F738" i="22"/>
  <c r="F730" i="22"/>
  <c r="F724" i="22"/>
  <c r="F723" i="22"/>
  <c r="F729" i="22"/>
  <c r="F731" i="22"/>
  <c r="F726" i="22"/>
  <c r="F728" i="22"/>
  <c r="F721" i="22"/>
  <c r="F710" i="22"/>
  <c r="F716" i="22"/>
  <c r="F709" i="22"/>
  <c r="F713" i="22"/>
  <c r="F712" i="22"/>
  <c r="F277" i="23" l="1"/>
  <c r="F201" i="23"/>
  <c r="F125" i="23"/>
  <c r="F50" i="23"/>
  <c r="F16" i="23" l="1"/>
  <c r="F258" i="23" l="1"/>
  <c r="F255" i="23"/>
  <c r="F250" i="23"/>
  <c r="F247" i="23"/>
  <c r="F242" i="23"/>
  <c r="F241" i="23" s="1"/>
  <c r="F243" i="23"/>
  <c r="F182" i="23"/>
  <c r="F179" i="23"/>
  <c r="F174" i="23"/>
  <c r="F171" i="23"/>
  <c r="F167" i="23"/>
  <c r="F166" i="23"/>
  <c r="F165" i="23" s="1"/>
  <c r="F90" i="23"/>
  <c r="F89" i="23" s="1"/>
  <c r="F21" i="27"/>
  <c r="F31" i="23" l="1"/>
  <c r="F28" i="23"/>
  <c r="F23" i="23"/>
  <c r="F20" i="23"/>
  <c r="G18" i="27"/>
  <c r="G17" i="27"/>
  <c r="G16" i="27"/>
  <c r="F15" i="23"/>
  <c r="F14" i="23" s="1"/>
  <c r="G14" i="27"/>
  <c r="G13" i="27"/>
  <c r="G12" i="27"/>
  <c r="G11" i="27"/>
  <c r="G10" i="27"/>
  <c r="G9" i="27"/>
  <c r="G8" i="27"/>
  <c r="G6" i="27"/>
  <c r="G7" i="27"/>
  <c r="O589" i="22"/>
  <c r="O442" i="22"/>
  <c r="O213" i="22"/>
  <c r="O85" i="22"/>
  <c r="E14" i="25" l="1"/>
  <c r="F234" i="22" l="1"/>
  <c r="E290" i="22"/>
  <c r="E289" i="22"/>
  <c r="E288" i="22"/>
  <c r="E286" i="22"/>
  <c r="F284" i="22"/>
  <c r="F285" i="22" s="1"/>
  <c r="F279" i="22"/>
  <c r="F274" i="22"/>
  <c r="F275" i="22" s="1"/>
  <c r="F309" i="22"/>
  <c r="F311" i="22" s="1"/>
  <c r="F303" i="22"/>
  <c r="F304" i="22" s="1"/>
  <c r="E301" i="22"/>
  <c r="F298" i="22"/>
  <c r="F300" i="22" s="1"/>
  <c r="F293" i="22"/>
  <c r="F294" i="22" s="1"/>
  <c r="F283" i="22" l="1"/>
  <c r="F281" i="22"/>
  <c r="F280" i="22"/>
  <c r="F282" i="22"/>
  <c r="F313" i="22"/>
  <c r="F312" i="22"/>
  <c r="F302" i="22"/>
  <c r="F286" i="22"/>
  <c r="F276" i="22"/>
  <c r="F287" i="22"/>
  <c r="F288" i="22"/>
  <c r="F289" i="22"/>
  <c r="F290" i="22"/>
  <c r="F299" i="22"/>
  <c r="F314" i="22"/>
  <c r="F301" i="22"/>
  <c r="F310" i="22"/>
  <c r="F308" i="22"/>
  <c r="F305" i="22"/>
  <c r="F306" i="22"/>
  <c r="F295" i="22"/>
  <c r="F307" i="22"/>
  <c r="F277" i="22" l="1"/>
  <c r="F278" i="22"/>
  <c r="F297" i="22"/>
  <c r="F296" i="22"/>
  <c r="F256" i="22" l="1"/>
  <c r="F258" i="22" s="1"/>
  <c r="F267" i="22"/>
  <c r="F272" i="22" s="1"/>
  <c r="F268" i="22" l="1"/>
  <c r="F259" i="22"/>
  <c r="F260" i="22" s="1"/>
  <c r="F271" i="22"/>
  <c r="F269" i="22"/>
  <c r="F257" i="22"/>
  <c r="F270" i="22"/>
  <c r="F264" i="22"/>
  <c r="F265" i="22" s="1"/>
  <c r="F262" i="22" l="1"/>
  <c r="F263" i="22" s="1"/>
  <c r="F261" i="22"/>
  <c r="F266" i="22"/>
  <c r="F49" i="26"/>
  <c r="F48" i="26"/>
  <c r="F25" i="26"/>
  <c r="F24" i="26"/>
  <c r="F12" i="26"/>
  <c r="F11" i="26"/>
  <c r="F106" i="23" l="1"/>
  <c r="F103" i="23"/>
  <c r="F98" i="23"/>
  <c r="F95" i="23"/>
  <c r="F91" i="23"/>
  <c r="F295" i="23"/>
  <c r="F257" i="23" l="1"/>
  <c r="F254" i="23"/>
  <c r="F249" i="23"/>
  <c r="F244" i="23"/>
  <c r="F300" i="23"/>
  <c r="F304" i="23" s="1"/>
  <c r="F299" i="23"/>
  <c r="F284" i="23"/>
  <c r="F278" i="23"/>
  <c r="F275" i="23"/>
  <c r="F259" i="23"/>
  <c r="E256" i="23"/>
  <c r="F256" i="23" s="1"/>
  <c r="F253" i="23"/>
  <c r="F252" i="23"/>
  <c r="F251" i="23"/>
  <c r="F264" i="23"/>
  <c r="F223" i="23"/>
  <c r="F227" i="23" s="1"/>
  <c r="F208" i="23"/>
  <c r="F202" i="23"/>
  <c r="F199" i="23"/>
  <c r="F183" i="23"/>
  <c r="F181" i="23"/>
  <c r="E180" i="23"/>
  <c r="F180" i="23" s="1"/>
  <c r="F178" i="23"/>
  <c r="F177" i="23"/>
  <c r="F176" i="23"/>
  <c r="F175" i="23"/>
  <c r="F173" i="23"/>
  <c r="F168" i="23"/>
  <c r="F188" i="23"/>
  <c r="F147" i="23"/>
  <c r="F151" i="23" s="1"/>
  <c r="F132" i="23"/>
  <c r="F126" i="23"/>
  <c r="F123" i="23"/>
  <c r="F107" i="23"/>
  <c r="F105" i="23"/>
  <c r="E104" i="23"/>
  <c r="F104" i="23" s="1"/>
  <c r="F102" i="23"/>
  <c r="F101" i="23"/>
  <c r="F100" i="23"/>
  <c r="F99" i="23"/>
  <c r="F97" i="23"/>
  <c r="F92" i="23"/>
  <c r="F112" i="23"/>
  <c r="F659" i="22"/>
  <c r="F648" i="22"/>
  <c r="F652" i="22" s="1"/>
  <c r="F647" i="22"/>
  <c r="F646" i="22"/>
  <c r="F639" i="22"/>
  <c r="F644" i="22" s="1"/>
  <c r="F634" i="22"/>
  <c r="F638" i="22" s="1"/>
  <c r="F629" i="22"/>
  <c r="F631" i="22" s="1"/>
  <c r="F593" i="22"/>
  <c r="E666" i="22"/>
  <c r="E665" i="22"/>
  <c r="E663" i="22"/>
  <c r="F663" i="22" s="1"/>
  <c r="F662" i="22"/>
  <c r="E661" i="22"/>
  <c r="F661" i="22" s="1"/>
  <c r="E660" i="22"/>
  <c r="F660" i="22" s="1"/>
  <c r="E658" i="22"/>
  <c r="F658" i="22" s="1"/>
  <c r="E657" i="22"/>
  <c r="F657" i="22" s="1"/>
  <c r="E656" i="22"/>
  <c r="F656" i="22" s="1"/>
  <c r="F653" i="22"/>
  <c r="F654" i="22" s="1"/>
  <c r="E637" i="22"/>
  <c r="E624" i="22"/>
  <c r="E623" i="22"/>
  <c r="D620" i="22"/>
  <c r="E599" i="22"/>
  <c r="F637" i="22" l="1"/>
  <c r="F272" i="23"/>
  <c r="F276" i="23" s="1"/>
  <c r="F196" i="23"/>
  <c r="F197" i="23" s="1"/>
  <c r="F120" i="23"/>
  <c r="F124" i="23" s="1"/>
  <c r="F664" i="22"/>
  <c r="F645" i="22"/>
  <c r="F640" i="22"/>
  <c r="F248" i="23"/>
  <c r="F245" i="23"/>
  <c r="F246" i="23" s="1"/>
  <c r="F96" i="23"/>
  <c r="F108" i="23"/>
  <c r="F110" i="23" s="1"/>
  <c r="F218" i="23"/>
  <c r="F222" i="23" s="1"/>
  <c r="F142" i="23"/>
  <c r="F146" i="23" s="1"/>
  <c r="F260" i="23"/>
  <c r="F261" i="23" s="1"/>
  <c r="F172" i="23"/>
  <c r="F184" i="23"/>
  <c r="F185" i="23" s="1"/>
  <c r="F281" i="23"/>
  <c r="F297" i="23"/>
  <c r="F296" i="23"/>
  <c r="F302" i="23"/>
  <c r="F301" i="23"/>
  <c r="F205" i="23"/>
  <c r="F225" i="23"/>
  <c r="F169" i="23"/>
  <c r="F170" i="23" s="1"/>
  <c r="F224" i="23"/>
  <c r="F129" i="23"/>
  <c r="F149" i="23"/>
  <c r="F93" i="23"/>
  <c r="F94" i="23" s="1"/>
  <c r="F148" i="23"/>
  <c r="F604" i="22"/>
  <c r="F609" i="22" s="1"/>
  <c r="F642" i="22"/>
  <c r="F635" i="22"/>
  <c r="F643" i="22"/>
  <c r="F610" i="22"/>
  <c r="F611" i="22" s="1"/>
  <c r="F613" i="22" s="1"/>
  <c r="F602" i="22"/>
  <c r="F594" i="22"/>
  <c r="F596" i="22" s="1"/>
  <c r="F617" i="22"/>
  <c r="F619" i="22" s="1"/>
  <c r="F603" i="22"/>
  <c r="F632" i="22"/>
  <c r="F633" i="22"/>
  <c r="F630" i="22"/>
  <c r="F641" i="22"/>
  <c r="F651" i="22"/>
  <c r="F650" i="22"/>
  <c r="F649" i="22"/>
  <c r="F636" i="22"/>
  <c r="F599" i="22" l="1"/>
  <c r="F616" i="22"/>
  <c r="F143" i="23"/>
  <c r="F122" i="23"/>
  <c r="F605" i="22"/>
  <c r="F606" i="22"/>
  <c r="F608" i="22"/>
  <c r="F607" i="22"/>
  <c r="F614" i="22"/>
  <c r="F618" i="22"/>
  <c r="F144" i="23"/>
  <c r="F109" i="23"/>
  <c r="F121" i="23"/>
  <c r="F111" i="23"/>
  <c r="F198" i="23"/>
  <c r="F200" i="23"/>
  <c r="F187" i="23"/>
  <c r="F186" i="23"/>
  <c r="F189" i="23"/>
  <c r="F220" i="23"/>
  <c r="F273" i="23"/>
  <c r="F274" i="23"/>
  <c r="F262" i="23"/>
  <c r="F263" i="23"/>
  <c r="F265" i="23"/>
  <c r="F113" i="23"/>
  <c r="F219" i="23"/>
  <c r="F600" i="22"/>
  <c r="F601" i="22"/>
  <c r="F598" i="22"/>
  <c r="F595" i="22"/>
  <c r="F597" i="22"/>
  <c r="F612" i="22"/>
  <c r="F615" i="22"/>
  <c r="F620" i="22"/>
  <c r="F622" i="22"/>
  <c r="F621" i="22"/>
  <c r="F667" i="22"/>
  <c r="F668" i="22"/>
  <c r="F669" i="22"/>
  <c r="F666" i="22"/>
  <c r="F665" i="22"/>
  <c r="N306" i="23" l="1"/>
  <c r="N154" i="23"/>
  <c r="F624" i="22"/>
  <c r="F625" i="22"/>
  <c r="F627" i="22"/>
  <c r="F626" i="22"/>
  <c r="F623" i="22"/>
  <c r="N114" i="23" l="1"/>
  <c r="N190" i="23"/>
  <c r="N230" i="23"/>
  <c r="N266" i="23"/>
  <c r="F530" i="22" l="1"/>
  <c r="F350" i="22"/>
  <c r="F148" i="22"/>
  <c r="F26" i="22"/>
  <c r="F677" i="22"/>
  <c r="F678" i="22"/>
  <c r="F672" i="22"/>
  <c r="F563" i="22"/>
  <c r="F545" i="22"/>
  <c r="F538" i="22"/>
  <c r="F529" i="22"/>
  <c r="F528" i="22"/>
  <c r="F527" i="22"/>
  <c r="F520" i="22"/>
  <c r="F514" i="22"/>
  <c r="F512" i="22"/>
  <c r="F679" i="22" l="1"/>
  <c r="F681" i="22" s="1"/>
  <c r="F685" i="22" l="1"/>
  <c r="F689" i="22"/>
  <c r="F688" i="22"/>
  <c r="F73" i="27"/>
  <c r="F693" i="22"/>
  <c r="F695" i="22" s="1"/>
  <c r="F692" i="22"/>
  <c r="F686" i="22"/>
  <c r="F687" i="22"/>
  <c r="E675" i="22"/>
  <c r="E674" i="22"/>
  <c r="F673" i="22"/>
  <c r="E572" i="22"/>
  <c r="F586" i="22"/>
  <c r="F587" i="22" s="1"/>
  <c r="E562" i="22"/>
  <c r="E561" i="22"/>
  <c r="E560" i="22"/>
  <c r="E558" i="22"/>
  <c r="F551" i="22"/>
  <c r="F553" i="22" s="1"/>
  <c r="F539" i="22"/>
  <c r="F522" i="22"/>
  <c r="F515" i="22"/>
  <c r="F674" i="22" l="1"/>
  <c r="F590" i="22"/>
  <c r="F555" i="22"/>
  <c r="F574" i="22"/>
  <c r="F575" i="22" s="1"/>
  <c r="F576" i="22" s="1"/>
  <c r="F517" i="22"/>
  <c r="F546" i="22"/>
  <c r="F548" i="22" s="1"/>
  <c r="F549" i="22" s="1"/>
  <c r="F680" i="22"/>
  <c r="F521" i="22"/>
  <c r="F556" i="22"/>
  <c r="F564" i="22"/>
  <c r="F578" i="22"/>
  <c r="F544" i="22"/>
  <c r="F540" i="22"/>
  <c r="F542" i="22"/>
  <c r="F543" i="22"/>
  <c r="F541" i="22"/>
  <c r="F516" i="22"/>
  <c r="F513" i="22"/>
  <c r="F523" i="22"/>
  <c r="F554" i="22"/>
  <c r="F589" i="22"/>
  <c r="F588" i="22"/>
  <c r="F591" i="22"/>
  <c r="F675" i="22"/>
  <c r="F552" i="22"/>
  <c r="F569" i="22"/>
  <c r="F580" i="22"/>
  <c r="F694" i="22"/>
  <c r="A1" i="22"/>
  <c r="E462" i="22"/>
  <c r="F476" i="22"/>
  <c r="F458" i="22"/>
  <c r="F472" i="22" s="1"/>
  <c r="F473" i="22" s="1"/>
  <c r="G62" i="27"/>
  <c r="F347" i="22" s="1"/>
  <c r="F348" i="22" s="1"/>
  <c r="G63" i="27"/>
  <c r="F459" i="22" s="1"/>
  <c r="F463" i="22" s="1"/>
  <c r="G64" i="27"/>
  <c r="F464" i="22" s="1"/>
  <c r="F468" i="22" s="1"/>
  <c r="G65" i="27"/>
  <c r="F470" i="22" s="1"/>
  <c r="F64" i="27"/>
  <c r="F63" i="27"/>
  <c r="F62" i="27"/>
  <c r="F482" i="22"/>
  <c r="F491" i="22" s="1"/>
  <c r="F481" i="22"/>
  <c r="F451" i="22"/>
  <c r="F60" i="27"/>
  <c r="F59" i="27"/>
  <c r="F445" i="22"/>
  <c r="F446" i="22" s="1"/>
  <c r="F39" i="27"/>
  <c r="F40" i="27"/>
  <c r="F416" i="22"/>
  <c r="F398" i="22"/>
  <c r="F391" i="22"/>
  <c r="F392" i="22" s="1"/>
  <c r="F394" i="22" s="1"/>
  <c r="F384" i="22"/>
  <c r="F385" i="22" s="1"/>
  <c r="F387" i="22" s="1"/>
  <c r="F378" i="22"/>
  <c r="F383" i="22" s="1"/>
  <c r="F372" i="22"/>
  <c r="F373" i="22" s="1"/>
  <c r="F366" i="22"/>
  <c r="F42" i="27"/>
  <c r="F41" i="27"/>
  <c r="F360" i="22"/>
  <c r="F45" i="27"/>
  <c r="F44" i="27"/>
  <c r="F341" i="22"/>
  <c r="F342" i="22" s="1"/>
  <c r="F335" i="22"/>
  <c r="F338" i="22" s="1"/>
  <c r="F339" i="22" s="1"/>
  <c r="F333" i="22"/>
  <c r="F43" i="27"/>
  <c r="F136" i="22"/>
  <c r="F137" i="22" s="1"/>
  <c r="F241" i="22"/>
  <c r="F251" i="22" s="1"/>
  <c r="F240" i="22"/>
  <c r="F236" i="22"/>
  <c r="F222" i="22"/>
  <c r="F223" i="22" s="1"/>
  <c r="F227" i="22" s="1"/>
  <c r="F216" i="22"/>
  <c r="F219" i="22" s="1"/>
  <c r="F187" i="22"/>
  <c r="F188" i="22" s="1"/>
  <c r="F169" i="22"/>
  <c r="F170" i="22" s="1"/>
  <c r="F171" i="22" s="1"/>
  <c r="F163" i="22"/>
  <c r="F164" i="22" s="1"/>
  <c r="F157" i="22"/>
  <c r="F158" i="22" s="1"/>
  <c r="F142" i="22"/>
  <c r="F144" i="22" s="1"/>
  <c r="F134" i="22"/>
  <c r="F135" i="22" s="1"/>
  <c r="F103" i="22"/>
  <c r="F113" i="22" s="1"/>
  <c r="F102" i="22"/>
  <c r="F112" i="22" s="1"/>
  <c r="F101" i="22"/>
  <c r="F90" i="22"/>
  <c r="F97" i="22" s="1"/>
  <c r="F59" i="22"/>
  <c r="F70" i="22" s="1"/>
  <c r="F71" i="22" s="1"/>
  <c r="F41" i="22"/>
  <c r="F47" i="22" s="1"/>
  <c r="F35" i="22"/>
  <c r="F39" i="22" s="1"/>
  <c r="F20" i="22"/>
  <c r="F21" i="22" s="1"/>
  <c r="F14" i="22"/>
  <c r="F17" i="22" s="1"/>
  <c r="F19" i="22" s="1"/>
  <c r="F12" i="22"/>
  <c r="F13" i="22" s="1"/>
  <c r="F65" i="27"/>
  <c r="F38" i="27"/>
  <c r="F36" i="27"/>
  <c r="F24" i="27"/>
  <c r="F23" i="27"/>
  <c r="F22" i="27"/>
  <c r="F95" i="22"/>
  <c r="F96" i="22" s="1"/>
  <c r="F10" i="27"/>
  <c r="F8" i="27"/>
  <c r="F7" i="27"/>
  <c r="F6" i="27"/>
  <c r="F497" i="22"/>
  <c r="F498" i="22" s="1"/>
  <c r="F496" i="22"/>
  <c r="E479" i="22"/>
  <c r="E478" i="22"/>
  <c r="E448" i="22"/>
  <c r="E447" i="22"/>
  <c r="E425" i="22"/>
  <c r="E415" i="22"/>
  <c r="E414" i="22"/>
  <c r="E413" i="22"/>
  <c r="E411" i="22"/>
  <c r="F318" i="22"/>
  <c r="F320" i="22" s="1"/>
  <c r="F317" i="22"/>
  <c r="E238" i="22"/>
  <c r="E237" i="22"/>
  <c r="E225" i="22"/>
  <c r="E224" i="22"/>
  <c r="E196" i="22"/>
  <c r="E186" i="22"/>
  <c r="E185" i="22"/>
  <c r="E184" i="22"/>
  <c r="E182" i="22"/>
  <c r="F119" i="22"/>
  <c r="F121" i="22" s="1"/>
  <c r="F118" i="22"/>
  <c r="E99" i="22"/>
  <c r="E98" i="22"/>
  <c r="E93" i="22"/>
  <c r="E68" i="22"/>
  <c r="E58" i="22"/>
  <c r="E57" i="22"/>
  <c r="E56" i="22"/>
  <c r="E54" i="22"/>
  <c r="F533" i="22" l="1"/>
  <c r="F534" i="22" s="1"/>
  <c r="F531" i="22"/>
  <c r="F532" i="22" s="1"/>
  <c r="F490" i="22"/>
  <c r="F483" i="22"/>
  <c r="F250" i="22"/>
  <c r="F243" i="22"/>
  <c r="F244" i="22" s="1"/>
  <c r="F198" i="22"/>
  <c r="F199" i="22" s="1"/>
  <c r="F201" i="22" s="1"/>
  <c r="F111" i="22"/>
  <c r="F104" i="22"/>
  <c r="F37" i="22"/>
  <c r="F577" i="22"/>
  <c r="F579" i="22"/>
  <c r="F550" i="22"/>
  <c r="F547" i="22"/>
  <c r="F518" i="22"/>
  <c r="F519" i="22"/>
  <c r="F566" i="22"/>
  <c r="F565" i="22"/>
  <c r="F561" i="22"/>
  <c r="F559" i="22"/>
  <c r="F562" i="22"/>
  <c r="F560" i="22"/>
  <c r="F557" i="22"/>
  <c r="F558" i="22"/>
  <c r="F524" i="22"/>
  <c r="F525" i="22"/>
  <c r="F583" i="22"/>
  <c r="F582" i="22"/>
  <c r="F584" i="22"/>
  <c r="F585" i="22"/>
  <c r="F581" i="22"/>
  <c r="F573" i="22"/>
  <c r="F572" i="22"/>
  <c r="F571" i="22"/>
  <c r="F570" i="22"/>
  <c r="F349" i="22"/>
  <c r="F462" i="22"/>
  <c r="F474" i="22"/>
  <c r="F377" i="22"/>
  <c r="F460" i="22"/>
  <c r="F467" i="22"/>
  <c r="F466" i="22"/>
  <c r="F471" i="22"/>
  <c r="F465" i="22"/>
  <c r="F469" i="22"/>
  <c r="F461" i="22"/>
  <c r="F220" i="22"/>
  <c r="F22" i="22"/>
  <c r="F161" i="22"/>
  <c r="F15" i="22"/>
  <c r="F16" i="22"/>
  <c r="F82" i="22"/>
  <c r="F84" i="22" s="1"/>
  <c r="F168" i="22"/>
  <c r="F120" i="22"/>
  <c r="F319" i="22"/>
  <c r="F374" i="22"/>
  <c r="F380" i="22"/>
  <c r="F237" i="22"/>
  <c r="F379" i="22"/>
  <c r="F396" i="22"/>
  <c r="F397" i="22"/>
  <c r="F393" i="22"/>
  <c r="F395" i="22"/>
  <c r="F389" i="22"/>
  <c r="F390" i="22"/>
  <c r="F386" i="22"/>
  <c r="F388" i="22"/>
  <c r="F381" i="22"/>
  <c r="F382" i="22"/>
  <c r="F193" i="22"/>
  <c r="F194" i="22" s="1"/>
  <c r="F375" i="22"/>
  <c r="F376" i="22"/>
  <c r="F23" i="22"/>
  <c r="F24" i="22" s="1"/>
  <c r="F74" i="22"/>
  <c r="F160" i="22"/>
  <c r="F165" i="22"/>
  <c r="F159" i="22"/>
  <c r="F167" i="22"/>
  <c r="F162" i="22"/>
  <c r="F180" i="22"/>
  <c r="F183" i="22" s="1"/>
  <c r="F218" i="22"/>
  <c r="F166" i="22"/>
  <c r="F224" i="22"/>
  <c r="F344" i="22"/>
  <c r="F355" i="22" s="1"/>
  <c r="F225" i="22"/>
  <c r="F226" i="22"/>
  <c r="F190" i="22"/>
  <c r="F192" i="22" s="1"/>
  <c r="F189" i="22"/>
  <c r="F72" i="22"/>
  <c r="F73" i="22"/>
  <c r="F75" i="22"/>
  <c r="F49" i="22"/>
  <c r="F50" i="22"/>
  <c r="F51" i="22"/>
  <c r="F48" i="22"/>
  <c r="F18" i="22"/>
  <c r="F36" i="22"/>
  <c r="F40" i="22"/>
  <c r="F42" i="22"/>
  <c r="F52" i="22"/>
  <c r="F60" i="22"/>
  <c r="F98" i="22"/>
  <c r="F99" i="22"/>
  <c r="F38" i="22"/>
  <c r="F92" i="22"/>
  <c r="F93" i="22" s="1"/>
  <c r="F94" i="22"/>
  <c r="F65" i="22"/>
  <c r="F76" i="22"/>
  <c r="F139" i="22"/>
  <c r="F143" i="22"/>
  <c r="F175" i="22"/>
  <c r="F204" i="22"/>
  <c r="F210" i="22"/>
  <c r="F221" i="22"/>
  <c r="F217" i="22"/>
  <c r="F228" i="22"/>
  <c r="F334" i="22"/>
  <c r="F138" i="22"/>
  <c r="F172" i="22"/>
  <c r="F238" i="22"/>
  <c r="F145" i="22"/>
  <c r="F336" i="22"/>
  <c r="F340" i="22"/>
  <c r="F364" i="22"/>
  <c r="F363" i="22"/>
  <c r="F362" i="22"/>
  <c r="F365" i="22"/>
  <c r="F370" i="22"/>
  <c r="F369" i="22"/>
  <c r="F368" i="22"/>
  <c r="F371" i="22"/>
  <c r="F404" i="22"/>
  <c r="F409" i="22"/>
  <c r="F414" i="22" s="1"/>
  <c r="F202" i="22"/>
  <c r="F337" i="22"/>
  <c r="F361" i="22"/>
  <c r="F367" i="22"/>
  <c r="F399" i="22"/>
  <c r="F431" i="22"/>
  <c r="F427" i="22"/>
  <c r="F428" i="22" s="1"/>
  <c r="F422" i="22"/>
  <c r="F433" i="22"/>
  <c r="F439" i="22"/>
  <c r="F417" i="22"/>
  <c r="F449" i="22"/>
  <c r="F450" i="22"/>
  <c r="F448" i="22"/>
  <c r="F447" i="22"/>
  <c r="F343" i="22"/>
  <c r="F499" i="22"/>
  <c r="F200" i="22" l="1"/>
  <c r="F203" i="22"/>
  <c r="F683" i="22"/>
  <c r="F682" i="22"/>
  <c r="F684" i="22"/>
  <c r="F535" i="22"/>
  <c r="F568" i="22"/>
  <c r="F567" i="22"/>
  <c r="F85" i="22"/>
  <c r="F86" i="22"/>
  <c r="F197" i="22"/>
  <c r="F353" i="22"/>
  <c r="F354" i="22" s="1"/>
  <c r="F83" i="22"/>
  <c r="F477" i="22"/>
  <c r="F415" i="22"/>
  <c r="F87" i="22"/>
  <c r="F181" i="22"/>
  <c r="F182" i="22"/>
  <c r="F411" i="22"/>
  <c r="F195" i="22"/>
  <c r="F184" i="22"/>
  <c r="F25" i="22"/>
  <c r="F346" i="22"/>
  <c r="F30" i="22"/>
  <c r="F31" i="22" s="1"/>
  <c r="F245" i="22"/>
  <c r="F247" i="22" s="1"/>
  <c r="F186" i="22"/>
  <c r="F191" i="22"/>
  <c r="F196" i="22"/>
  <c r="F185" i="22"/>
  <c r="F28" i="22"/>
  <c r="F29" i="22" s="1"/>
  <c r="F150" i="22"/>
  <c r="F151" i="22" s="1"/>
  <c r="F356" i="22"/>
  <c r="F357" i="22"/>
  <c r="F345" i="22"/>
  <c r="F152" i="22"/>
  <c r="F153" i="22" s="1"/>
  <c r="F432" i="22"/>
  <c r="F430" i="22"/>
  <c r="F429" i="22"/>
  <c r="F484" i="22"/>
  <c r="F485" i="22"/>
  <c r="F443" i="22"/>
  <c r="F444" i="22"/>
  <c r="F440" i="22"/>
  <c r="F442" i="22"/>
  <c r="F441" i="22"/>
  <c r="F146" i="22"/>
  <c r="F147" i="22"/>
  <c r="F215" i="22"/>
  <c r="F211" i="22"/>
  <c r="F214" i="22"/>
  <c r="F212" i="22"/>
  <c r="F213" i="22"/>
  <c r="F437" i="22"/>
  <c r="F438" i="22"/>
  <c r="F434" i="22"/>
  <c r="F436" i="22"/>
  <c r="F435" i="22"/>
  <c r="F229" i="22"/>
  <c r="F232" i="22"/>
  <c r="F230" i="22"/>
  <c r="F231" i="22"/>
  <c r="F209" i="22"/>
  <c r="F205" i="22"/>
  <c r="F208" i="22"/>
  <c r="F206" i="22"/>
  <c r="F207" i="22"/>
  <c r="F178" i="22"/>
  <c r="F179" i="22"/>
  <c r="F176" i="22"/>
  <c r="F177" i="22"/>
  <c r="F140" i="22"/>
  <c r="F141" i="22"/>
  <c r="F78" i="22"/>
  <c r="F81" i="22"/>
  <c r="F79" i="22"/>
  <c r="F80" i="22"/>
  <c r="F77" i="22"/>
  <c r="F105" i="22"/>
  <c r="F106" i="22"/>
  <c r="F61" i="22"/>
  <c r="F62" i="22"/>
  <c r="F423" i="22"/>
  <c r="F426" i="22"/>
  <c r="F424" i="22"/>
  <c r="F425" i="22"/>
  <c r="F400" i="22"/>
  <c r="F401" i="22"/>
  <c r="F410" i="22"/>
  <c r="F412" i="22"/>
  <c r="F413" i="22"/>
  <c r="F173" i="22"/>
  <c r="F174" i="22"/>
  <c r="F249" i="22"/>
  <c r="F68" i="22"/>
  <c r="F67" i="22"/>
  <c r="F69" i="22"/>
  <c r="F66" i="22"/>
  <c r="F54" i="22"/>
  <c r="F53" i="22"/>
  <c r="F56" i="22"/>
  <c r="F55" i="22"/>
  <c r="F58" i="22"/>
  <c r="F455" i="22"/>
  <c r="F452" i="22"/>
  <c r="F453" i="22"/>
  <c r="F454" i="22"/>
  <c r="F418" i="22"/>
  <c r="F419" i="22"/>
  <c r="F408" i="22"/>
  <c r="F407" i="22"/>
  <c r="F405" i="22"/>
  <c r="F406" i="22"/>
  <c r="F43" i="22"/>
  <c r="F44" i="22"/>
  <c r="F57" i="22"/>
  <c r="F115" i="22" l="1"/>
  <c r="F114" i="22"/>
  <c r="F252" i="22"/>
  <c r="F253" i="22"/>
  <c r="F478" i="22"/>
  <c r="F479" i="22"/>
  <c r="F248" i="22"/>
  <c r="F246" i="22"/>
  <c r="F32" i="22"/>
  <c r="F154" i="22"/>
  <c r="F45" i="22"/>
  <c r="F46" i="22"/>
  <c r="F420" i="22"/>
  <c r="F421" i="22"/>
  <c r="F63" i="22"/>
  <c r="F64" i="22"/>
  <c r="F402" i="22"/>
  <c r="F403" i="22"/>
  <c r="F110" i="22"/>
  <c r="F109" i="22"/>
  <c r="F107" i="22"/>
  <c r="F108" i="22"/>
  <c r="F493" i="22"/>
  <c r="F488" i="22"/>
  <c r="F489" i="22"/>
  <c r="F486" i="22"/>
  <c r="F492" i="22"/>
  <c r="F487" i="22"/>
  <c r="N698" i="22" l="1"/>
  <c r="N124" i="22" l="1"/>
  <c r="N502" i="22"/>
  <c r="N323" i="22"/>
  <c r="F67" i="23" l="1"/>
  <c r="F54" i="23"/>
  <c r="F48" i="23"/>
  <c r="F45" i="23" s="1"/>
  <c r="F37" i="23" l="1"/>
  <c r="F18" i="23"/>
  <c r="F33" i="23"/>
  <c r="D9" i="25" l="1"/>
  <c r="F67" i="24" l="1"/>
  <c r="H67" i="24" s="1"/>
  <c r="M67" i="24" s="1"/>
  <c r="F66" i="24"/>
  <c r="H66" i="24" s="1"/>
  <c r="M66" i="24" s="1"/>
  <c r="F65" i="24"/>
  <c r="H65" i="24" s="1"/>
  <c r="M65" i="24" s="1"/>
  <c r="F64" i="24"/>
  <c r="H64" i="24" s="1"/>
  <c r="M64" i="24" s="1"/>
  <c r="F63" i="24"/>
  <c r="E60" i="24"/>
  <c r="F59" i="24"/>
  <c r="F61" i="24" s="1"/>
  <c r="H61" i="24" s="1"/>
  <c r="M61" i="24" s="1"/>
  <c r="E58" i="24"/>
  <c r="H57" i="24"/>
  <c r="M57" i="24" s="1"/>
  <c r="E56" i="24"/>
  <c r="D56" i="24"/>
  <c r="E55" i="24"/>
  <c r="E54" i="24"/>
  <c r="F53" i="24"/>
  <c r="E51" i="24"/>
  <c r="F50" i="24"/>
  <c r="F52" i="24" s="1"/>
  <c r="H52" i="24" s="1"/>
  <c r="F45" i="24"/>
  <c r="F46" i="24" s="1"/>
  <c r="J46" i="24" s="1"/>
  <c r="M46" i="24" s="1"/>
  <c r="F72" i="23"/>
  <c r="F73" i="23" s="1"/>
  <c r="F71" i="23"/>
  <c r="F69" i="23"/>
  <c r="F68" i="23"/>
  <c r="F51" i="23"/>
  <c r="F26" i="23"/>
  <c r="F25" i="23"/>
  <c r="M52" i="24" l="1"/>
  <c r="J63" i="24"/>
  <c r="M63" i="24" s="1"/>
  <c r="F74" i="23"/>
  <c r="F47" i="24"/>
  <c r="F49" i="24" s="1"/>
  <c r="L49" i="24" s="1"/>
  <c r="M49" i="24" s="1"/>
  <c r="F51" i="24"/>
  <c r="J51" i="24" s="1"/>
  <c r="M51" i="24" s="1"/>
  <c r="F54" i="24"/>
  <c r="J54" i="24" s="1"/>
  <c r="M54" i="24" s="1"/>
  <c r="F60" i="24"/>
  <c r="J60" i="24" s="1"/>
  <c r="M60" i="24" s="1"/>
  <c r="F48" i="24"/>
  <c r="J48" i="24" s="1"/>
  <c r="M48" i="24" s="1"/>
  <c r="F55" i="24"/>
  <c r="L55" i="24" s="1"/>
  <c r="M55" i="24" s="1"/>
  <c r="F56" i="24"/>
  <c r="H56" i="24" s="1"/>
  <c r="M56" i="24" s="1"/>
  <c r="F58" i="24"/>
  <c r="H58" i="24" s="1"/>
  <c r="M58" i="24" s="1"/>
  <c r="F76" i="23"/>
  <c r="F24" i="23"/>
  <c r="F27" i="23"/>
  <c r="A1" i="26" l="1"/>
  <c r="A1" i="24"/>
  <c r="A1" i="23"/>
  <c r="F43" i="24" l="1"/>
  <c r="H43" i="24" s="1"/>
  <c r="M43" i="24" s="1"/>
  <c r="F42" i="24"/>
  <c r="H42" i="24" s="1"/>
  <c r="M42" i="24" s="1"/>
  <c r="F41" i="24"/>
  <c r="L41" i="24" s="1"/>
  <c r="M41" i="24" s="1"/>
  <c r="F40" i="24"/>
  <c r="J40" i="24" s="1"/>
  <c r="M40" i="24" s="1"/>
  <c r="F35" i="24"/>
  <c r="F37" i="24" s="1"/>
  <c r="H37" i="24" s="1"/>
  <c r="M37" i="24" s="1"/>
  <c r="H33" i="24"/>
  <c r="M33" i="24" s="1"/>
  <c r="F30" i="24"/>
  <c r="F31" i="24" s="1"/>
  <c r="J31" i="24" s="1"/>
  <c r="M31" i="24" s="1"/>
  <c r="E28" i="24"/>
  <c r="F27" i="24"/>
  <c r="F29" i="24" s="1"/>
  <c r="H29" i="24" s="1"/>
  <c r="M29" i="24" s="1"/>
  <c r="F22" i="24"/>
  <c r="F26" i="24" s="1"/>
  <c r="H26" i="24" s="1"/>
  <c r="M26" i="24" s="1"/>
  <c r="E20" i="24"/>
  <c r="F19" i="24"/>
  <c r="F21" i="24" s="1"/>
  <c r="H21" i="24" s="1"/>
  <c r="F14" i="24"/>
  <c r="F57" i="23"/>
  <c r="F46" i="23"/>
  <c r="F38" i="23"/>
  <c r="F32" i="23"/>
  <c r="F30" i="23"/>
  <c r="E29" i="23"/>
  <c r="F29" i="23" s="1"/>
  <c r="F21" i="23"/>
  <c r="F22" i="23"/>
  <c r="F19" i="23"/>
  <c r="F17" i="23"/>
  <c r="F15" i="24" l="1"/>
  <c r="J15" i="24" s="1"/>
  <c r="F16" i="24"/>
  <c r="F20" i="24"/>
  <c r="J20" i="24" s="1"/>
  <c r="M20" i="24" s="1"/>
  <c r="F38" i="24"/>
  <c r="F36" i="24"/>
  <c r="J36" i="24" s="1"/>
  <c r="M36" i="24" s="1"/>
  <c r="F23" i="24"/>
  <c r="J23" i="24" s="1"/>
  <c r="M23" i="24" s="1"/>
  <c r="F34" i="23"/>
  <c r="F36" i="23"/>
  <c r="M21" i="24"/>
  <c r="F25" i="24"/>
  <c r="H25" i="24" s="1"/>
  <c r="M25" i="24" s="1"/>
  <c r="F28" i="24"/>
  <c r="J28" i="24" s="1"/>
  <c r="M28" i="24" s="1"/>
  <c r="F34" i="24"/>
  <c r="H34" i="24" s="1"/>
  <c r="M34" i="24" s="1"/>
  <c r="F24" i="24"/>
  <c r="L24" i="24" s="1"/>
  <c r="F32" i="24"/>
  <c r="L32" i="24" s="1"/>
  <c r="M32" i="24" s="1"/>
  <c r="F49" i="23"/>
  <c r="F47" i="23"/>
  <c r="F35" i="23"/>
  <c r="H73" i="24" l="1"/>
  <c r="M74" i="24" s="1"/>
  <c r="M15" i="24"/>
  <c r="F17" i="24"/>
  <c r="J17" i="24" s="1"/>
  <c r="M17" i="24" s="1"/>
  <c r="F18" i="24"/>
  <c r="L18" i="24" s="1"/>
  <c r="M24" i="24"/>
  <c r="N39" i="23" l="1"/>
  <c r="N78" i="23"/>
  <c r="M18" i="24"/>
  <c r="M73" i="24" s="1"/>
  <c r="M75" i="24" s="1"/>
  <c r="M76" i="24" s="1"/>
  <c r="M77" i="24" s="1"/>
  <c r="L73" i="24"/>
  <c r="J73" i="24"/>
  <c r="M82" i="24" s="1"/>
  <c r="M78" i="24" l="1"/>
  <c r="M79" i="24" s="1"/>
  <c r="N73" i="24"/>
  <c r="M80" i="24" l="1"/>
  <c r="M81" i="24" s="1"/>
  <c r="M83" i="24" s="1"/>
  <c r="M84" i="24" l="1"/>
  <c r="M85" i="24" s="1"/>
  <c r="D11" i="25" s="1"/>
  <c r="D10" i="25" l="1"/>
  <c r="N15" i="26"/>
  <c r="N28" i="26" l="1"/>
  <c r="N39" i="26" l="1"/>
  <c r="N52" i="26" l="1"/>
  <c r="D12" i="25" l="1"/>
  <c r="D22" i="25" l="1"/>
  <c r="E9" i="25"/>
  <c r="E22" i="25" s="1"/>
</calcChain>
</file>

<file path=xl/comments1.xml><?xml version="1.0" encoding="utf-8"?>
<comments xmlns="http://schemas.openxmlformats.org/spreadsheetml/2006/main">
  <authors>
    <author>Author</author>
  </authors>
  <commentList>
    <comment ref="F64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1g/m = 9,42 kg</t>
        </r>
      </text>
    </comment>
  </commentList>
</comments>
</file>

<file path=xl/sharedStrings.xml><?xml version="1.0" encoding="utf-8"?>
<sst xmlns="http://schemas.openxmlformats.org/spreadsheetml/2006/main" count="2929" uniqueCount="556">
  <si>
    <t>##</t>
  </si>
  <si>
    <t>სამუშაოს დასახელება</t>
  </si>
  <si>
    <t>gauTvaliswinebeli xarjebi</t>
  </si>
  <si>
    <t>SeniSvna</t>
  </si>
  <si>
    <t>kg</t>
  </si>
  <si>
    <t>sul</t>
  </si>
  <si>
    <t>lari</t>
  </si>
  <si>
    <t>sxva manqanebi</t>
  </si>
  <si>
    <t>kac/sT</t>
  </si>
  <si>
    <t>sxva masalebi</t>
  </si>
  <si>
    <t>I</t>
  </si>
  <si>
    <t>m3</t>
  </si>
  <si>
    <t>erTeulze</t>
  </si>
  <si>
    <t>SromiTi resursebi</t>
  </si>
  <si>
    <t>k/sT</t>
  </si>
  <si>
    <t>m/sT</t>
  </si>
  <si>
    <t>sxva xarjebi</t>
  </si>
  <si>
    <t>manqanebi</t>
  </si>
  <si>
    <t>sabazro</t>
  </si>
  <si>
    <t>jami</t>
  </si>
  <si>
    <t>კ/სთ</t>
  </si>
  <si>
    <t>ლარი</t>
  </si>
  <si>
    <t>cali</t>
  </si>
  <si>
    <t>saerTo samSeneblo samuSaoebi</t>
  </si>
  <si>
    <t>normatiuli resursi</t>
  </si>
  <si>
    <t>მასალა</t>
  </si>
  <si>
    <t>ხელფასი</t>
  </si>
  <si>
    <t>manqana-meqanizmebi</t>
  </si>
  <si>
    <t>სულ დანახარჯები</t>
  </si>
  <si>
    <t>ერთეულის</t>
  </si>
  <si>
    <t>სულ</t>
  </si>
  <si>
    <r>
      <t>m</t>
    </r>
    <r>
      <rPr>
        <b/>
        <vertAlign val="superscript"/>
        <sz val="10"/>
        <rFont val="AcadNusx"/>
      </rPr>
      <t>2</t>
    </r>
  </si>
  <si>
    <t>1504</t>
  </si>
  <si>
    <t>1554</t>
  </si>
  <si>
    <r>
      <t>m</t>
    </r>
    <r>
      <rPr>
        <vertAlign val="superscript"/>
        <sz val="10"/>
        <rFont val="AcadNusx"/>
      </rPr>
      <t>3</t>
    </r>
  </si>
  <si>
    <t>RorRi</t>
  </si>
  <si>
    <t>1-80-7</t>
  </si>
  <si>
    <r>
      <t>m</t>
    </r>
    <r>
      <rPr>
        <b/>
        <vertAlign val="superscript"/>
        <sz val="10"/>
        <rFont val="AcadNusx"/>
      </rPr>
      <t>3</t>
    </r>
  </si>
  <si>
    <t xml:space="preserve">SromiTi resursebi                                                </t>
  </si>
  <si>
    <t xml:space="preserve">kac/sT                                                               </t>
  </si>
  <si>
    <t>tn.</t>
  </si>
  <si>
    <t>11-1-6</t>
  </si>
  <si>
    <t>Sromis danaxarjebi</t>
  </si>
  <si>
    <t>kbm</t>
  </si>
  <si>
    <t>Sromis danaxarji</t>
  </si>
  <si>
    <t>yalibis fari</t>
  </si>
  <si>
    <r>
      <t>m</t>
    </r>
    <r>
      <rPr>
        <vertAlign val="superscript"/>
        <sz val="10"/>
        <rFont val="AcadNusx"/>
      </rPr>
      <t>2</t>
    </r>
  </si>
  <si>
    <t>xe masala</t>
  </si>
  <si>
    <t>tn</t>
  </si>
  <si>
    <t>8</t>
  </si>
  <si>
    <t>g/m</t>
  </si>
  <si>
    <t>manq/sT</t>
  </si>
  <si>
    <t>eleqtrodi</t>
  </si>
  <si>
    <t>9</t>
  </si>
  <si>
    <t>kvm</t>
  </si>
  <si>
    <t>10</t>
  </si>
  <si>
    <t>sxva masala</t>
  </si>
  <si>
    <t>1,1</t>
  </si>
  <si>
    <t>c</t>
  </si>
  <si>
    <t>12</t>
  </si>
  <si>
    <t xml:space="preserve">Sromis danaxarjebi </t>
  </si>
  <si>
    <t>samSeneblo nagvis datvirTva xeliT avtoTviTmclelze</t>
  </si>
  <si>
    <t xml:space="preserve">Sromis danaxarjebi  </t>
  </si>
  <si>
    <t>10%</t>
  </si>
  <si>
    <t>8%</t>
  </si>
  <si>
    <t>3%</t>
  </si>
  <si>
    <t>18%</t>
  </si>
  <si>
    <t>1-80-3</t>
  </si>
  <si>
    <t>23-1-1.</t>
  </si>
  <si>
    <t>22-8-2.</t>
  </si>
  <si>
    <t>grZ.m.</t>
  </si>
  <si>
    <t>1-81-3</t>
  </si>
  <si>
    <t>6-1-1.</t>
  </si>
  <si>
    <t>tona</t>
  </si>
  <si>
    <t xml:space="preserve">8-370-3     </t>
  </si>
  <si>
    <t>ც</t>
  </si>
  <si>
    <t>შრომითი რესურსები</t>
  </si>
  <si>
    <t>კაც/სთ</t>
  </si>
  <si>
    <t>კომპლ.</t>
  </si>
  <si>
    <t>2</t>
  </si>
  <si>
    <t>damiwebis konturis mowyoba</t>
  </si>
  <si>
    <t>СНиП
IV-6-82
8-471-1</t>
  </si>
  <si>
    <t>gegmiuri dagroveba</t>
  </si>
  <si>
    <t>kompl</t>
  </si>
  <si>
    <t>6-1-22</t>
  </si>
  <si>
    <t>8-4-7</t>
  </si>
  <si>
    <t>kg.</t>
  </si>
  <si>
    <t>7</t>
  </si>
  <si>
    <t>კბმ</t>
  </si>
  <si>
    <t>sxva manqana</t>
  </si>
  <si>
    <t>11-1-11</t>
  </si>
  <si>
    <t>1,2</t>
  </si>
  <si>
    <t>0465</t>
  </si>
  <si>
    <t>4</t>
  </si>
  <si>
    <t>cementis xsnari m-200</t>
  </si>
  <si>
    <t>5</t>
  </si>
  <si>
    <t>6</t>
  </si>
  <si>
    <t>Е1-22</t>
  </si>
  <si>
    <t>1</t>
  </si>
  <si>
    <t>3</t>
  </si>
  <si>
    <t>21-18-1.</t>
  </si>
  <si>
    <t>გრძ.მ.</t>
  </si>
  <si>
    <t>სხვა მასალები</t>
  </si>
  <si>
    <t>შრომის დანახარჯი</t>
  </si>
  <si>
    <t>სხვა მანქანები</t>
  </si>
  <si>
    <t>მ</t>
  </si>
  <si>
    <t xml:space="preserve"> სხვა მანქანები</t>
  </si>
  <si>
    <t>16–12–1</t>
  </si>
  <si>
    <t>სხვა მასალა</t>
  </si>
  <si>
    <t>16-22</t>
  </si>
  <si>
    <t>milsadenis gidravlikuri gamocda</t>
  </si>
  <si>
    <t>100 g/m</t>
  </si>
  <si>
    <t>wyali</t>
  </si>
  <si>
    <t>კგ</t>
  </si>
  <si>
    <t>III kategoriis gruntis damuSaveba xeliT, milis montaJisaTvis</t>
  </si>
  <si>
    <t>23-1-1</t>
  </si>
  <si>
    <t xml:space="preserve">wyalsadenis pl milis qveS qviSis safaris mowyoba  </t>
  </si>
  <si>
    <t>qviSa Savi</t>
  </si>
  <si>
    <t>სფერული ვენტილის მონტაჟი</t>
  </si>
  <si>
    <t>23-1-2</t>
  </si>
  <si>
    <t>tranSeis Sevseba RorRiT</t>
  </si>
  <si>
    <t>gazinTuli ZenZi</t>
  </si>
  <si>
    <t>22-28-1 gam.</t>
  </si>
  <si>
    <t>fasonuri nawilebi</t>
  </si>
  <si>
    <t xml:space="preserve">tranSeas mowyoba xeliT milebis montaJisaTvis </t>
  </si>
  <si>
    <r>
      <t xml:space="preserve">qviSis safaris mowyoba milis irgvliv </t>
    </r>
    <r>
      <rPr>
        <sz val="11"/>
        <rFont val="Arial"/>
        <family val="2"/>
        <charset val="204"/>
      </rPr>
      <t>(H=30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</si>
  <si>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t>22-8-1</t>
  </si>
  <si>
    <t xml:space="preserve"> 23-1-2 </t>
  </si>
  <si>
    <t>23-22-2</t>
  </si>
  <si>
    <t>SeWra</t>
  </si>
  <si>
    <t>betoni ბ.7,5  (m-100)</t>
  </si>
  <si>
    <t>skveri #1</t>
  </si>
  <si>
    <t>27-9-7</t>
  </si>
  <si>
    <t>46-31-2</t>
  </si>
  <si>
    <t>46-29-1</t>
  </si>
  <si>
    <t xml:space="preserve">filiT mopirketebis qveS betonis safuZvlis demontaJi </t>
  </si>
  <si>
    <t>46-23-3</t>
  </si>
  <si>
    <t>Е20-1-255</t>
  </si>
  <si>
    <t>snf 15</t>
  </si>
  <si>
    <t>teritoriis keTilmowyoba</t>
  </si>
  <si>
    <t>damatebiTi noyieri gruntis Semotana skveris teritoriaze</t>
  </si>
  <si>
    <t>srf 15</t>
  </si>
  <si>
    <t>damatebiTi gruntisGgaSla skveris teritoriaze</t>
  </si>
  <si>
    <t xml:space="preserve">RorRi </t>
  </si>
  <si>
    <t>4,3</t>
  </si>
  <si>
    <t xml:space="preserve">betoni b.25 </t>
  </si>
  <si>
    <t>4,4</t>
  </si>
  <si>
    <t>27-7-2,</t>
  </si>
  <si>
    <t>avtogreideri 79 kvt</t>
  </si>
  <si>
    <t>1523</t>
  </si>
  <si>
    <t>satkepni 18 tn</t>
  </si>
  <si>
    <t>27-19-2</t>
  </si>
  <si>
    <t>qviSa-cementis xsnari  m.100</t>
  </si>
  <si>
    <t xml:space="preserve">betoni b-15  </t>
  </si>
  <si>
    <t>11-20-1</t>
  </si>
  <si>
    <t>III kategoriis gruntis damuSaveba qvabulisaTvis xeliT</t>
  </si>
  <si>
    <t>armatura Ф8 АIII b.150</t>
  </si>
  <si>
    <r>
      <t>მ</t>
    </r>
    <r>
      <rPr>
        <b/>
        <vertAlign val="superscript"/>
        <sz val="10"/>
        <rFont val="Sylfaen"/>
        <family val="1"/>
      </rPr>
      <t>2</t>
    </r>
  </si>
  <si>
    <t>11</t>
  </si>
  <si>
    <t>gamwvaneba - gazonis mowyoba</t>
  </si>
  <si>
    <t>48-18-4</t>
  </si>
  <si>
    <t>teritoriaze balaxis daTesva</t>
  </si>
  <si>
    <t>balaxis Tesli</t>
  </si>
  <si>
    <t>mravalwlovani da yvavilovani mcenareebis dargva</t>
  </si>
  <si>
    <t>fotinia kultivari burTis formis</t>
  </si>
  <si>
    <t>48-5-6</t>
  </si>
  <si>
    <t>xeebisa da buCqebis dasargavi teritoriss momzadeba xeliT</t>
  </si>
  <si>
    <t>48-7-2</t>
  </si>
  <si>
    <t>xeebisa da buCqebis dargva</t>
  </si>
  <si>
    <t>mosarwyav mosdarecxi 600 l</t>
  </si>
  <si>
    <t>amwe  saavtomobilo svlaze 5t</t>
  </si>
  <si>
    <t>xeebi da buCqebi</t>
  </si>
  <si>
    <t>სულ პირდაპირი დანახარჯები</t>
  </si>
  <si>
    <t>samSeneblo masalis transportirebis xrjebi  (samSeneblo masalis Rirebulebidan)</t>
  </si>
  <si>
    <t>შეადგინა:  d.ribakova</t>
  </si>
  <si>
    <t>I სამშენებლო სამუSაოები</t>
  </si>
  <si>
    <t>ქვაბულის მოწყობა სკვერის განათების ანძების ჩასაბეტონებლად (ხელით)</t>
  </si>
  <si>
    <t>ქვიშის საფარის მოწყობა მილებისთვის</t>
  </si>
  <si>
    <t>კუბ.მ</t>
  </si>
  <si>
    <t>გრძ/მ</t>
  </si>
  <si>
    <t>მანქანები</t>
  </si>
  <si>
    <t>8-281-3,</t>
  </si>
  <si>
    <t>კაბელის დაფარვა სასიგნალო ლენტით</t>
  </si>
  <si>
    <t>სასიგნალო ლენტი</t>
  </si>
  <si>
    <t>გრუნტის უკან ჩაყრა ხელით და მოსწორება</t>
  </si>
  <si>
    <t>სკვერის განათების ანძების დაბეტონება</t>
  </si>
  <si>
    <t xml:space="preserve">ბეტონი ბ.25 </t>
  </si>
  <si>
    <t>არმატურა Ф8 АIII ბ.150</t>
  </si>
  <si>
    <t>ტნ</t>
  </si>
  <si>
    <t xml:space="preserve">სხვა მასალა </t>
  </si>
  <si>
    <t>ზედნადები ხარჯები</t>
  </si>
  <si>
    <t>სულ I თავი</t>
  </si>
  <si>
    <t>II სამონტაჟო სამუშაოები</t>
  </si>
  <si>
    <t>სკვერის გარე განათების დეკორატიული ლამპიონების მონტაჟი</t>
  </si>
  <si>
    <t>სპილენძის სადენების montaJi</t>
  </si>
  <si>
    <t>21-27-4</t>
  </si>
  <si>
    <t>Zalovani faris montaJi</t>
  </si>
  <si>
    <r>
      <t>ჩამრთველი</t>
    </r>
    <r>
      <rPr>
        <sz val="10"/>
        <rFont val="Calibri"/>
        <family val="2"/>
        <charset val="204"/>
        <scheme val="minor"/>
      </rPr>
      <t xml:space="preserve"> 0‐1‐2, 1x20A</t>
    </r>
  </si>
  <si>
    <t>ზედნადები ხარჯები                                  (მუშა მოსამსახურეთა ძირითადი ხელფასიდან)</t>
  </si>
  <si>
    <t>სულ II თავი</t>
  </si>
  <si>
    <t>სულ  I და  II თავი</t>
  </si>
  <si>
    <t>შეადგინა: დ.რიბაკოვა</t>
  </si>
  <si>
    <t>ცივი წყლისათვის პლასტმასის მინაბოჭკოვანი მილების მოntaJi d-20</t>
  </si>
  <si>
    <r>
      <t xml:space="preserve">მილი პლ. d-20*2,9                  </t>
    </r>
    <r>
      <rPr>
        <sz val="11"/>
        <rFont val="Calibri"/>
        <family val="2"/>
        <charset val="204"/>
        <scheme val="minor"/>
      </rPr>
      <t xml:space="preserve"> DIZAIN PN20</t>
    </r>
  </si>
  <si>
    <t>სფერული ვენტილი დ= 20 მმ</t>
  </si>
  <si>
    <r>
      <t xml:space="preserve">arsebul wylis qselSi SeWra </t>
    </r>
    <r>
      <rPr>
        <sz val="11"/>
        <rFont val="AcadNusx"/>
      </rPr>
      <t>(makompleqtebeli nawilebiT)</t>
    </r>
  </si>
  <si>
    <t>sabaRe skamebis SeZena montaJi (eskizis mixedviT)</t>
  </si>
  <si>
    <t>urnebi SeZena montaJi</t>
  </si>
  <si>
    <t>krebsiTi xarjTaRicxva</t>
  </si>
  <si>
    <t>saxarjTaRricxvo gaangariSebis #</t>
  </si>
  <si>
    <t>samuSaoebisa da danaxarjebis dasaxeleba</t>
  </si>
  <si>
    <t>jami        lari</t>
  </si>
  <si>
    <t>betoni В-25  (m-350)</t>
  </si>
  <si>
    <t>bazaltis filis natexi "bregCea"</t>
  </si>
  <si>
    <t>11-11-12</t>
  </si>
  <si>
    <t>kvarcis sila</t>
  </si>
  <si>
    <t>cementi m-400</t>
  </si>
  <si>
    <t>RorRis fenilis mowyoba</t>
  </si>
  <si>
    <t>betonis fenilis mowyoba</t>
  </si>
  <si>
    <t>cementis xsnari m-200, (marmarilos namsxvrevebiani (marmarilos"kroSka") cementis xsnariT nakerebis amolesva)</t>
  </si>
  <si>
    <t>nagavis datvirTva xeliT avtoTviTmclelze</t>
  </si>
  <si>
    <t>teritoriis dasufTaveba,  narCenebis Segroveba, gamotana,                 (30m gadaadgilebiT) avtoTviTmclelze dasatvirTavad</t>
  </si>
  <si>
    <t>gruntis xeliT datvirTva avtoTviTmclelze</t>
  </si>
  <si>
    <t>zedmeti gruntis datvirTva xeliT avtoTviTmclelze</t>
  </si>
  <si>
    <t xml:space="preserve">gatana 15 km-ze </t>
  </si>
  <si>
    <t>15-5-7</t>
  </si>
  <si>
    <t>damatebiTi noyieri gruntis Semotana skveris teritoriaze 15km manZilidan</t>
  </si>
  <si>
    <t>samSeneblo samuSaoebis damTavrebis Semdeg teritoriis dasufTaveba, samSeneblo narCenebis Segroveba, gamotana, avtoTviTmclelze dasatvirTavad</t>
  </si>
  <si>
    <t>1-80,3</t>
  </si>
  <si>
    <t>საკაბელო თხრილის მოწყობა xeliT</t>
  </si>
  <si>
    <r>
      <t xml:space="preserve">ფოტორელე </t>
    </r>
    <r>
      <rPr>
        <sz val="10"/>
        <rFont val="Calibri"/>
        <family val="2"/>
        <charset val="204"/>
        <scheme val="minor"/>
      </rPr>
      <t>250V  5A</t>
    </r>
  </si>
  <si>
    <t>СНиП
IV-6-82
8-472-8</t>
  </si>
  <si>
    <t>horizontaluri damiwebis konturis mowyoba (mrgvali  foladiT)</t>
  </si>
  <si>
    <t>damiwebis vertikaluri eleqtrodebis montaJi</t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</si>
  <si>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100mm</t>
    </r>
  </si>
  <si>
    <r>
      <t xml:space="preserve">plastmasis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100*3,2mm</t>
    </r>
  </si>
  <si>
    <t>მილის gadamyvani d-100</t>
  </si>
  <si>
    <t>arsebul kanalizaciis qselSi SeWra (makompleqtebeli nawilebiT)</t>
  </si>
  <si>
    <t xml:space="preserve">wyalmomaragebis gare qseli   (d-20) </t>
  </si>
  <si>
    <t xml:space="preserve">kanalizaciis gare qseli                            (d-100 pl)                      </t>
  </si>
  <si>
    <t xml:space="preserve">cementis xsnari m-200, </t>
  </si>
  <si>
    <t>granitis fils 30mm sisqis</t>
  </si>
  <si>
    <t xml:space="preserve">samSeneblo nagvis gatana 15 km-ze </t>
  </si>
  <si>
    <t>bazaltis fila 30mm sisqis, sigane 400mm</t>
  </si>
  <si>
    <t>qvafenilis aRdgena bazaltis namsxvrevi filiT   ("bregCea")  80% fila</t>
  </si>
  <si>
    <t xml:space="preserve">bazaltis namsxvrevi filiT --  "bregCea" -- mopirketebis moxvewa </t>
  </si>
  <si>
    <t>t</t>
  </si>
  <si>
    <t>wylis dasalevi "soko" wyalsadenisa da kanalizaciis qselis montaji</t>
  </si>
  <si>
    <t>wylis dasalevi sokos milsadenis montaJi</t>
  </si>
  <si>
    <t xml:space="preserve">გარე განათების ლამპიონების მონტაჟი  </t>
  </si>
  <si>
    <r>
      <t xml:space="preserve">Zalovani metalis gamanawilebeli fari </t>
    </r>
    <r>
      <rPr>
        <sz val="10"/>
        <rFont val="Calibri"/>
        <family val="2"/>
        <charset val="204"/>
        <scheme val="minor"/>
      </rPr>
      <t xml:space="preserve"> IPP 67 IK 08   400X200X100 mm</t>
    </r>
  </si>
  <si>
    <r>
      <t>რელე</t>
    </r>
    <r>
      <rPr>
        <sz val="10"/>
        <rFont val="Calibri"/>
        <family val="2"/>
        <charset val="204"/>
        <scheme val="minor"/>
      </rPr>
      <t xml:space="preserve"> 250v/5A</t>
    </r>
  </si>
  <si>
    <t>liTonis gamanawilebeli kolofi</t>
  </si>
  <si>
    <t>masalis transportirebis xarjebi</t>
  </si>
  <si>
    <t>zednadebi xarjebi</t>
  </si>
  <si>
    <t>dagrovebiTi sapensio gadasaxadi (xelfasidan)</t>
  </si>
  <si>
    <t>dRg</t>
  </si>
  <si>
    <t>გეგმიური დაგროვება (ZviradRirebuli masalebois gamoklebiT)</t>
  </si>
  <si>
    <t>masalis transportirebis xarjebi (samS masalis Rirebulebidan)</t>
  </si>
  <si>
    <t>zednadebi xarjebi                 (muSa mosamsaxureTa ZiriTadi xelfasidan)</t>
  </si>
  <si>
    <t>gegmiuri dagroveba   (ZviradRirebuli masalebois gamoklebiT)</t>
  </si>
  <si>
    <t xml:space="preserve">ქვიSა </t>
  </si>
  <si>
    <t>skveris teritoriaze demontaJis samuSaoebi</t>
  </si>
  <si>
    <t xml:space="preserve">skveris bilikebis arsebuli bazaltis namsvrevebiT mopirkeTebis ("brgCea")  reabilitacia                            </t>
  </si>
  <si>
    <t xml:space="preserve">teritoriaze arsebuli bazaltis filis natexebis ("breqCea"-s) dazianebuli mopirketebis demontaJi </t>
  </si>
  <si>
    <t>samuSaos  dasaxeleba</t>
  </si>
  <si>
    <t>moculoba</t>
  </si>
  <si>
    <t>ganz. erT</t>
  </si>
  <si>
    <t>skverebis reabilitacia dmanisis municipalitetis meriis mimdebared</t>
  </si>
  <si>
    <t>kibe ayrilia nawilobriv,                fila axali</t>
  </si>
  <si>
    <t>axlis montaJi gatexilia</t>
  </si>
  <si>
    <t>gruntis Cayra</t>
  </si>
  <si>
    <t>2wert *6,0kbm</t>
  </si>
  <si>
    <t>grunti daweulia</t>
  </si>
  <si>
    <t>4+6</t>
  </si>
  <si>
    <t>baz bord dawvenili demontaJi axlis montaJi</t>
  </si>
  <si>
    <t>350*150 4,0g/m</t>
  </si>
  <si>
    <t xml:space="preserve">gamwvaneba </t>
  </si>
  <si>
    <t xml:space="preserve">irmis rqa </t>
  </si>
  <si>
    <t xml:space="preserve">tuia </t>
  </si>
  <si>
    <t xml:space="preserve">fotinia </t>
  </si>
  <si>
    <t>(0,3+0,15)*3,25*4+   (0,3+0,15)*12,0*4+   (0,3+0,,15)*2,7*4+   (0,3+0,15)*4,25*4</t>
  </si>
  <si>
    <t>skami</t>
  </si>
  <si>
    <t>urna</t>
  </si>
  <si>
    <t>lampioni demontaJi</t>
  </si>
  <si>
    <t>lampioni axlis montaJi</t>
  </si>
  <si>
    <t xml:space="preserve">safexurebis bazaltis filiT mopirkeTebis  demontaJi, cementis xsnaris demontaJi, axali bazaltis filiT mopirkeTeba </t>
  </si>
  <si>
    <t>bazaltis namsxvrevebiT ("bregCea") mopirkeTebis demontaJi, cementis xsnaris demontaJi, axlis mowyoba</t>
  </si>
  <si>
    <t>baz bordiuris demontaji axlis montaJi</t>
  </si>
  <si>
    <t>anbanis asoebiT</t>
  </si>
  <si>
    <t xml:space="preserve">bazaltis filis mopirketebis demontaJi, cementis xsnaris demontaJi, axali bazaltis filiT mopirkeTeba </t>
  </si>
  <si>
    <t>4wert*2,0</t>
  </si>
  <si>
    <t>0,4*(0,3+0,15) +0,3*1,0 +(1,75+1,25)*0,35 +1,2*0,4*2+3,35*0,4 +1,0*0,6*1 +0,4*0,4*1</t>
  </si>
  <si>
    <t>axlis montaJi gatexilia m.S.arsebuli 1*0,6+0,4*0,4</t>
  </si>
  <si>
    <t>saniaRvre arxis gidroizolacia</t>
  </si>
  <si>
    <t>(10,0+20,0+10,0)* (0,4+0,6+0,4)</t>
  </si>
  <si>
    <t>kalmatroni penetroni aqva saRebavi</t>
  </si>
  <si>
    <t>saaTi quCis dekoratiuli</t>
  </si>
  <si>
    <t>lampionebis qveS</t>
  </si>
  <si>
    <t>2*</t>
  </si>
  <si>
    <t xml:space="preserve">((1,6+1,4)/2)*20,8+   3,14*3,4*0,6*3+   15,0*((0,4+0,1)/2)*2+  3,14*(7,4-0,7-0,7-0,55)* (0,55+1,05)+    (0,55+0,4*6+0,55)*7,5 + (3,14*3,5-0,5)*(0,4+0,4)*3     </t>
  </si>
  <si>
    <t xml:space="preserve">20,8*0,4+       3,14*3,4*0,4*3+    15,0*0,4+             3,14*(7,4-0,7-0,7-0,55)*0,5+ (0,5+1+1+0,5)*7,5 +   (3,14*3,5-0,5)*3*0,5   </t>
  </si>
  <si>
    <t>(0,3+0,15)*5,2*4+   (0,3+0,15)*2,2*3</t>
  </si>
  <si>
    <t xml:space="preserve">saniaRvre arxis mowyoba </t>
  </si>
  <si>
    <t xml:space="preserve">demontaJi  </t>
  </si>
  <si>
    <t>0,6*0,1*30,0</t>
  </si>
  <si>
    <t>0,15*(0,4+0,6+0,4)*30,0</t>
  </si>
  <si>
    <t>b.25</t>
  </si>
  <si>
    <t>armatura</t>
  </si>
  <si>
    <t>( (4+3+3)*30+    ((30/0,15)+1)* (0,6+0,55+0,55)  )* 1,03*0,395/1000</t>
  </si>
  <si>
    <t>#1</t>
  </si>
  <si>
    <t>q.dmanisSi wminda ninos da nana dedoflis quCebis gadakvetaze
skveris reabilitacia            s/k: 82.01.42.076</t>
  </si>
  <si>
    <t>skveris teritoriaze arsebuli dazianebuli bordiurebis demontaJi</t>
  </si>
  <si>
    <t>teritoriaze arsebuli kibeebis bazaltis dazianebuli mopirkeTebis demontaJi</t>
  </si>
  <si>
    <t>15-12-1</t>
  </si>
  <si>
    <t>skveris teritoriaze arsevuli kibeebis mopirketeba bazaltis filiT</t>
  </si>
  <si>
    <t>bazaltis fils 30mm sisqis</t>
  </si>
  <si>
    <t>bunebrivi bazaltis bordiuris montaJi  300*150</t>
  </si>
  <si>
    <t>tranSeas mowyoba bordiuris mosawyobad xeliT</t>
  </si>
  <si>
    <t>RorRis fenilis mowyoba bordiuris qveS</t>
  </si>
  <si>
    <t>bunebrivi bazaltis bordiurebis mowyoba 300X150</t>
  </si>
  <si>
    <t>bunebrivi bazaltis bordiurebi 300X150</t>
  </si>
  <si>
    <t>sul pirdapiri danaxarjebi   #1</t>
  </si>
  <si>
    <t>#2</t>
  </si>
  <si>
    <t>q.dmanisSi wminda ninos  quCaze municipalitetis meriis Senobis win
skveris reabilitacia            s/k: 82.01.42.077</t>
  </si>
  <si>
    <t>teritoriaze arsebuli kedlisa da kibeebis  zedapirebis bazaltis dazianebuli mopirkeTebis demontaJi</t>
  </si>
  <si>
    <t>skveris teritoriaze arsebuli kedlebis mopirketeba bazaltis filiT</t>
  </si>
  <si>
    <t>skveris teritoriaze, axlad damontajebuli lampionebis qveS, granitis mopirketebis mowyoba</t>
  </si>
  <si>
    <t xml:space="preserve">skveris teritoriaze arsebuli dekoratiuli arxis fskeris gidroizolaciis mowyoba </t>
  </si>
  <si>
    <t>11-3-5</t>
  </si>
  <si>
    <t>arxis fskerisa da kedlebis gidroizolacia kalmatronis xsnariT</t>
  </si>
  <si>
    <t>saitidan</t>
  </si>
  <si>
    <t>15-168-7 gamoy</t>
  </si>
  <si>
    <t>arxis fskerisa da kedlebis SeRebva spec saRebaviT -- auzebisaTvis</t>
  </si>
  <si>
    <t>4,2,63</t>
  </si>
  <si>
    <t>spec saRebavi auzebisaTvis</t>
  </si>
  <si>
    <t>sul pirdapiri danaxarjebi  #2</t>
  </si>
  <si>
    <t>#3</t>
  </si>
  <si>
    <t>q.dmanisSi wminda ninos  quCaze "Tavisuflebis xeivanis" mimdebared
skveris reabilitacia            s/k: 82.01.46.673</t>
  </si>
  <si>
    <t xml:space="preserve">4wert *2,0 </t>
  </si>
  <si>
    <t>1,0*0,5*2*3</t>
  </si>
  <si>
    <r>
      <t xml:space="preserve">bazaltis namsxvrevebiT ("bregCea") mopirkeTebis demontaJi, cementis xsnaris demontaJi, axali </t>
    </r>
    <r>
      <rPr>
        <sz val="11"/>
        <color rgb="FFFF0000"/>
        <rFont val="AcadNusx"/>
      </rPr>
      <t>granitis</t>
    </r>
    <r>
      <rPr>
        <sz val="11"/>
        <color theme="1"/>
        <rFont val="AcadNusx"/>
      </rPr>
      <t xml:space="preserve"> mopirketebis mowyoba </t>
    </r>
    <r>
      <rPr>
        <sz val="11"/>
        <color rgb="FFFF0000"/>
        <rFont val="AcadNusx"/>
      </rPr>
      <t>(lampionebis qveS)</t>
    </r>
  </si>
  <si>
    <t>25,0*0,5*2</t>
  </si>
  <si>
    <t>100% axali</t>
  </si>
  <si>
    <r>
      <t xml:space="preserve">bazaltis filis mopirketebis demontaJi, cementis xsnaris demontaJi, axali </t>
    </r>
    <r>
      <rPr>
        <sz val="11"/>
        <color theme="1"/>
        <rFont val="AcadNusx"/>
      </rPr>
      <t xml:space="preserve">filiT mopirkeTeba </t>
    </r>
  </si>
  <si>
    <r>
      <t xml:space="preserve">bazaltis filiT mowyobili qudis demontaJi, axali </t>
    </r>
    <r>
      <rPr>
        <sz val="11"/>
        <color theme="1"/>
        <rFont val="AcadNusx"/>
      </rPr>
      <t>filiT mopirketeba</t>
    </r>
  </si>
  <si>
    <t>m.S. graniti</t>
  </si>
  <si>
    <t>bazalti</t>
  </si>
  <si>
    <t>bazaltis fila fleTili</t>
  </si>
  <si>
    <t>skveris teritoriaze arsebuli kedlis mopirketeba bazaltis fleTili filiT</t>
  </si>
  <si>
    <t>15-5-12</t>
  </si>
  <si>
    <t>skveris teritoriaze arsebuli cokolis kedlebis mopirketeba bazaltis filiT</t>
  </si>
  <si>
    <t>skveris teritoriaze arsebuli cokolis "qudis" mopirketeba bazaltis filiT</t>
  </si>
  <si>
    <t>skveris teritoriaze arsebuli Sadrevnisa da dekoratiuli klumbebis kedlebis mopirketeba granitis filiT</t>
  </si>
  <si>
    <t>skveris teritoriaze arsebuli Sadrevnisa da dekoratiuli klumbebis "qudis" mopirketeba granitis filiT</t>
  </si>
  <si>
    <t xml:space="preserve">skveris teritoriaze arsebuli dekoratiuli Sadrevnis fskeris gidroizolaciis mowyoba </t>
  </si>
  <si>
    <t>Sadrevnis fskerisa da kedlebis gidroizolacia kalmatronis xsnariT</t>
  </si>
  <si>
    <t>Sadrevnis fskerisa da kedlebis SeRebva spec saRebaviT -- auzebisaTvis</t>
  </si>
  <si>
    <t>Sadrevnis gidroizolacia</t>
  </si>
  <si>
    <r>
      <t xml:space="preserve">3,14*3,1*3,1+                 (3,14*6,2-0,7*2-0,5)*1,05  + (0,55+0,4*6+0,55)*7,5  + </t>
    </r>
    <r>
      <rPr>
        <sz val="11"/>
        <color rgb="FFFF0000"/>
        <rFont val="AcadNusx"/>
      </rPr>
      <t>(</t>
    </r>
    <r>
      <rPr>
        <sz val="11"/>
        <color theme="1"/>
        <rFont val="AcadNusx"/>
      </rPr>
      <t>3,14*1,35*1,35 +             (3,14*2,7-0,5)*0,4</t>
    </r>
    <r>
      <rPr>
        <sz val="11"/>
        <color rgb="FFFF0000"/>
        <rFont val="AcadNusx"/>
      </rPr>
      <t>)</t>
    </r>
    <r>
      <rPr>
        <sz val="11"/>
        <color theme="1"/>
        <rFont val="AcadNusx"/>
      </rPr>
      <t>*3</t>
    </r>
  </si>
  <si>
    <t>seRebva aqva sarebaviT</t>
  </si>
  <si>
    <t xml:space="preserve">saniaRvre arxis reabilitacia </t>
  </si>
  <si>
    <t>saniaRvre arxis dazianebuli betonis kedlebis demontaJi</t>
  </si>
  <si>
    <t>sanaRvre arxis rk.betonis kedlebisa da fskeris mowuoba</t>
  </si>
  <si>
    <t>RorRis safuZvlis mowyoba saniaRvre arxis rk.betonis  fskeris qveS</t>
  </si>
  <si>
    <t>saniaRvre arxis gadaxurvis mowyoba bazaltis filebiT zomiT 60X30X10(sm)</t>
  </si>
  <si>
    <t xml:space="preserve">sabazro </t>
  </si>
  <si>
    <t>Sromis danaxarJebi</t>
  </si>
  <si>
    <t>bazaltis fila 60X30X10</t>
  </si>
  <si>
    <t>fantanis wyalmomaragebis sistemis (liTonis) demontaJi</t>
  </si>
  <si>
    <t>Sadrevani</t>
  </si>
  <si>
    <t>q.dmanisSi wm.ninos quCaze municipalitetis meriis mimdebare teritoriaze skverebis  reabilitaciis samuSaoebi</t>
  </si>
  <si>
    <t>lk #1-1</t>
  </si>
  <si>
    <t>lk #1-2</t>
  </si>
  <si>
    <t>lk #1-3</t>
  </si>
  <si>
    <t>lk #1-4</t>
  </si>
  <si>
    <t>ganz.erT</t>
  </si>
  <si>
    <t>dasabuTeba</t>
  </si>
  <si>
    <t>sul  #1</t>
  </si>
  <si>
    <t>sul  #2</t>
  </si>
  <si>
    <t>sul  #3</t>
  </si>
  <si>
    <t>sul pirdapiri danaxarjebi  #3</t>
  </si>
  <si>
    <t>lokaluri ხ ა რ ჯ თ ა ღ რ ი ც ვ ხ ვ ა #1-2</t>
  </si>
  <si>
    <t>lokaluri ხ ა რ ჯ თ ა ღ რ ი ც ვ ხ ვ ა #1-3</t>
  </si>
  <si>
    <t>lokaluri ხ ა რ ჯ თ ა ღ რ ი ც ვ ხ ვ ა #1-4</t>
  </si>
  <si>
    <t>sul xarjTaRricxva  #1-4</t>
  </si>
  <si>
    <t>sul xarjTaRricxva #1-3</t>
  </si>
  <si>
    <t>sul xarjTaRricxva                       #1-2</t>
  </si>
  <si>
    <t>skverebis teritoriis el montaJi</t>
  </si>
  <si>
    <t xml:space="preserve"> wyalsadenisa da kanalizaciis qselis montaJi</t>
  </si>
  <si>
    <t>eleqtro montaJis samuSaoebi</t>
  </si>
  <si>
    <t>lokaluri ხ ა რ ჯ თ ა ღ რ ი ც ვ ხ ვ ა #1-1</t>
  </si>
  <si>
    <t>skverebis reabilitacia</t>
  </si>
  <si>
    <t>lk #2-1</t>
  </si>
  <si>
    <t>lk #2-2</t>
  </si>
  <si>
    <t>lk #2-3</t>
  </si>
  <si>
    <t>lk #2-4</t>
  </si>
  <si>
    <t>lk #2-5</t>
  </si>
  <si>
    <t>lk #2-6</t>
  </si>
  <si>
    <t>inventari</t>
  </si>
  <si>
    <t>wyalsadenisa da kanalizaciis qselis montaJi</t>
  </si>
  <si>
    <r>
      <rPr>
        <b/>
        <sz val="11"/>
        <color theme="1"/>
        <rFont val="AcadNusx"/>
      </rPr>
      <t>satumbo-</t>
    </r>
    <r>
      <rPr>
        <sz val="11"/>
        <color theme="1"/>
        <rFont val="AcadNusx"/>
      </rPr>
      <t xml:space="preserve">  saerTo samSeneblo samuSaoebi</t>
    </r>
  </si>
  <si>
    <r>
      <rPr>
        <b/>
        <sz val="11"/>
        <color theme="1"/>
        <rFont val="AcadNusx"/>
      </rPr>
      <t>satumbo-</t>
    </r>
    <r>
      <rPr>
        <sz val="11"/>
        <color theme="1"/>
        <rFont val="AcadNusx"/>
      </rPr>
      <t xml:space="preserve">  santeqnikuri  samuSaoebi</t>
    </r>
  </si>
  <si>
    <r>
      <rPr>
        <b/>
        <sz val="11"/>
        <color theme="1"/>
        <rFont val="AcadNusx"/>
      </rPr>
      <t>satumbo-</t>
    </r>
    <r>
      <rPr>
        <sz val="11"/>
        <color theme="1"/>
        <rFont val="AcadNusx"/>
      </rPr>
      <t xml:space="preserve">  gare wyalmomarageba-kanalizaciisis qseli</t>
    </r>
  </si>
  <si>
    <r>
      <rPr>
        <b/>
        <sz val="11"/>
        <color theme="1"/>
        <rFont val="AcadNusx"/>
      </rPr>
      <t xml:space="preserve">Sadrevani- </t>
    </r>
    <r>
      <rPr>
        <sz val="11"/>
        <color theme="1"/>
        <rFont val="AcadNusx"/>
      </rPr>
      <t xml:space="preserve"> saerTo samSeneblo samuSaoebi</t>
    </r>
  </si>
  <si>
    <r>
      <rPr>
        <b/>
        <sz val="11"/>
        <color theme="1"/>
        <rFont val="AcadNusx"/>
      </rPr>
      <t xml:space="preserve">Sadrevani- </t>
    </r>
    <r>
      <rPr>
        <sz val="11"/>
        <color theme="1"/>
        <rFont val="AcadNusx"/>
      </rPr>
      <t xml:space="preserve"> eleqtro montaJis samuSaoebi</t>
    </r>
  </si>
  <si>
    <r>
      <rPr>
        <b/>
        <sz val="11"/>
        <color theme="1"/>
        <rFont val="AcadNusx"/>
      </rPr>
      <t>Sadrevani-</t>
    </r>
    <r>
      <rPr>
        <sz val="11"/>
        <color theme="1"/>
        <rFont val="AcadNusx"/>
      </rPr>
      <t xml:space="preserve">  mowyobilobebi da danadgarebi </t>
    </r>
  </si>
  <si>
    <t>teritoriaze arsebuli kibeebis Sadrevnisa da dekoratiuli klumbebis kedlis zedapirebis bazaltis dazianebuli mopirkeTebis demontaJi</t>
  </si>
  <si>
    <t>Sadrevnis mowyobilobis montaJi</t>
  </si>
  <si>
    <t>#4</t>
  </si>
  <si>
    <t>sul pirdapiri danaxarjebi  #4</t>
  </si>
  <si>
    <t>sul  #4</t>
  </si>
  <si>
    <t>q.dmanisSi wminda ninos  quCaze kulturis saxlis  mimdebared
skveris reabilitacia            s/k: 82.01.46.640</t>
  </si>
  <si>
    <t>18,0*0,4  +32,1*0,4   +2,0*0,5</t>
  </si>
  <si>
    <t>5kbm</t>
  </si>
  <si>
    <t>rk.betonis sartyelis mowyoba</t>
  </si>
  <si>
    <t>liTonis maojiris mowyoba</t>
  </si>
  <si>
    <t>liTonis dekoratiuli WiSkebis montaJi</t>
  </si>
  <si>
    <t xml:space="preserve">SeRebva      </t>
  </si>
  <si>
    <t>Cabetoneba dgarebis</t>
  </si>
  <si>
    <t>teritoriaze arsebuli kedlebis dazianebuli bazaltis filiT mowyobili "qudis" demontaJi</t>
  </si>
  <si>
    <t xml:space="preserve">liTonis moajiris demontaJi dasawyobeba damkveTis miTiTebul adgilze </t>
  </si>
  <si>
    <t>arsebuli Sadrevnis qvis wyobis demontaJi</t>
  </si>
  <si>
    <t>46-24-4</t>
  </si>
  <si>
    <t>skveris teritoriis arsebuli liTonis SemoRobvis demontaJi dasawyobeba (damkveTis mier miTiTebul adgilze)</t>
  </si>
  <si>
    <t>arsebuli lampionebis demontaJi dasawyobeba (damkveTis mier miTiTebul adgilze)</t>
  </si>
  <si>
    <t>arsebuli Sadrevnis demontaJi gatana</t>
  </si>
  <si>
    <t>6-15-9</t>
  </si>
  <si>
    <t>arsebuli kedlis Tavze rk.betonis sartyelis mowyoba</t>
  </si>
  <si>
    <t>xis masala</t>
  </si>
  <si>
    <t>15-5-14</t>
  </si>
  <si>
    <t>bunebrivi qva fleTili</t>
  </si>
  <si>
    <t>15-5-6</t>
  </si>
  <si>
    <t xml:space="preserve">sayrdeni kedlis Tavze bazaltis filiT qudis mowyoba  </t>
  </si>
  <si>
    <t>bazaltis fila 30mm sisqis  (sigane 500mm)</t>
  </si>
  <si>
    <t>7-58-4</t>
  </si>
  <si>
    <t xml:space="preserve">liTonis moajiri </t>
  </si>
  <si>
    <t>4,1,190</t>
  </si>
  <si>
    <t>cementi- - 400</t>
  </si>
  <si>
    <t>15-164-8</t>
  </si>
  <si>
    <t>liTonis konstruqciebis SeRebva antikoroziuli saRebaviT</t>
  </si>
  <si>
    <t>antikoroziuli saRebavi</t>
  </si>
  <si>
    <t>olifa</t>
  </si>
  <si>
    <t>liTonis dekoratiuli WiSkrebis damzadeba, montaJi</t>
  </si>
  <si>
    <t>qvabulis molwyoba liTonis dekoratiuli WiSkrebis dgarebis wertilovani saZirkvlis mosawyobad</t>
  </si>
  <si>
    <t>snf                       15-15</t>
  </si>
  <si>
    <t>zedmeti gruntis transportireba 15km manZilze da gatana</t>
  </si>
  <si>
    <t>RorRis fenilis mowyoba, sisqiT 15sm</t>
  </si>
  <si>
    <t>6-1-5</t>
  </si>
  <si>
    <t>rk.betonis wertilovani saZirkvlebis mowyoba liTonis dgarebis Casabetoneblad</t>
  </si>
  <si>
    <t>liT kv mili 100*100*3</t>
  </si>
  <si>
    <t>rk betonis kedlis gidroizolacia</t>
  </si>
  <si>
    <t>mastika bitumis</t>
  </si>
  <si>
    <t>gruntis ukuCayra</t>
  </si>
  <si>
    <t>7-22-1</t>
  </si>
  <si>
    <t>liTonis dekoratiuli WiSkrebis damzadeba da montaJi</t>
  </si>
  <si>
    <t>0470</t>
  </si>
  <si>
    <t>amwe - kranis momsaxureoba 10t</t>
  </si>
  <si>
    <t>liTonis WiSkari (aqsesuarebiT)</t>
  </si>
  <si>
    <t>samSeneblo qanCi WanWikiT</t>
  </si>
  <si>
    <t>eleqtrodi d=4mm</t>
  </si>
  <si>
    <r>
      <t xml:space="preserve">betoni </t>
    </r>
    <r>
      <rPr>
        <sz val="10"/>
        <rFont val="Arial"/>
        <family val="2"/>
        <charset val="204"/>
      </rPr>
      <t>B7.5</t>
    </r>
  </si>
  <si>
    <t>teritoriis SemomsazRvreli -- gamyoli -- arsebuli kedlebis reabilitacia</t>
  </si>
  <si>
    <t>s u l #1 #2 #3 #4</t>
  </si>
  <si>
    <t>sul xarjTaRricxva      #1-1</t>
  </si>
  <si>
    <t>#   1-2</t>
  </si>
  <si>
    <t>sul #2</t>
  </si>
  <si>
    <t xml:space="preserve">სულ პირდაპირი დანახარჯები </t>
  </si>
  <si>
    <t>sul #1</t>
  </si>
  <si>
    <t>qarTuli anbanis asoebis amoWriT</t>
  </si>
  <si>
    <r>
      <t xml:space="preserve">Zalovani metalis gamanawilebeli fari </t>
    </r>
    <r>
      <rPr>
        <sz val="10"/>
        <rFont val="Calibri"/>
        <family val="2"/>
        <charset val="204"/>
        <scheme val="minor"/>
      </rPr>
      <t xml:space="preserve"> IPP 67 IK 08   100X100X100 mm</t>
    </r>
  </si>
  <si>
    <t>sul #3</t>
  </si>
  <si>
    <t>sul #4</t>
  </si>
  <si>
    <t>q.dmanisSi wminda ninos  quCaze kulturis saxlis mimdebared
skveris reabilitacia            s/k: 82.01.46.640</t>
  </si>
  <si>
    <t>arsebuli dazianebuli bazaltis filiT mopirkeTebis demontaji</t>
  </si>
  <si>
    <t xml:space="preserve">filiT mopirkeTebis qveS betonis safuZvlis demontaJi </t>
  </si>
  <si>
    <t>teritoriis dasufTaveba,  narCenebis Segroveba, gamotana,                 avtoTviTmclelze dasatvirTavad</t>
  </si>
  <si>
    <t>15-5-9</t>
  </si>
  <si>
    <t>kibeebisa da cokolis mopirketeba bunebrivi granitis filiT 30mm sisqis</t>
  </si>
  <si>
    <t>bunebrivi granitis fila,  30mm sisqis</t>
  </si>
  <si>
    <t>betonis 12sm fenilis mowyoba</t>
  </si>
  <si>
    <t>betoni b.25  (m-350)</t>
  </si>
  <si>
    <t>15-5-10</t>
  </si>
  <si>
    <t xml:space="preserve">trotuaris mopirketeba bunebrivi granitis filiT 200*100*30 </t>
  </si>
  <si>
    <t xml:space="preserve">granitis fila, bunebrivi  200*100*30  </t>
  </si>
  <si>
    <t>tranSeas mowyoba bordiuris montaJisaTvis</t>
  </si>
  <si>
    <t>27-19-3</t>
  </si>
  <si>
    <t xml:space="preserve">betoni b-15 </t>
  </si>
  <si>
    <t>municipalitetis meriis Senobis mimdebared kibeebis reabilitacia (csk-s Senobis gverdiT)</t>
  </si>
  <si>
    <t xml:space="preserve">csk-s Senobis garSemo bilikebis mopirkeTeba bunebrivi  granitis filiT 200*100*30 </t>
  </si>
  <si>
    <t xml:space="preserve">bunebrivi bazaltis bordiuris montaJi  150*300 </t>
  </si>
  <si>
    <r>
      <t xml:space="preserve">irmis rqa, </t>
    </r>
    <r>
      <rPr>
        <sz val="10"/>
        <rFont val="Calibri"/>
        <family val="2"/>
        <charset val="204"/>
        <scheme val="minor"/>
      </rPr>
      <t>H</t>
    </r>
    <r>
      <rPr>
        <sz val="10"/>
        <rFont val="AcadNusx"/>
      </rPr>
      <t>=2,00m</t>
    </r>
  </si>
  <si>
    <r>
      <t xml:space="preserve">tuia, </t>
    </r>
    <r>
      <rPr>
        <sz val="10"/>
        <rFont val="AcadNusx"/>
      </rPr>
      <t xml:space="preserve">burTisebri oqrosferi </t>
    </r>
    <r>
      <rPr>
        <sz val="10"/>
        <rFont val="Calibri"/>
        <family val="2"/>
        <charset val="204"/>
        <scheme val="minor"/>
      </rPr>
      <t>H</t>
    </r>
    <r>
      <rPr>
        <sz val="10"/>
        <rFont val="AcadNusx"/>
      </rPr>
      <t>=0,5-1,0m</t>
    </r>
  </si>
  <si>
    <r>
      <t>kalmatroni</t>
    </r>
    <r>
      <rPr>
        <sz val="10"/>
        <rFont val="Calibri"/>
        <family val="2"/>
        <charset val="204"/>
        <scheme val="minor"/>
      </rPr>
      <t xml:space="preserve">                      KALMATRON-ELASTIC</t>
    </r>
  </si>
  <si>
    <r>
      <t>armatura</t>
    </r>
    <r>
      <rPr>
        <sz val="10"/>
        <rFont val="Arial"/>
        <family val="2"/>
        <charset val="204"/>
      </rPr>
      <t xml:space="preserve"> A</t>
    </r>
    <r>
      <rPr>
        <sz val="10"/>
        <rFont val="AcadNusx"/>
      </rPr>
      <t>-III Ф8</t>
    </r>
  </si>
  <si>
    <r>
      <t xml:space="preserve">betoni </t>
    </r>
    <r>
      <rPr>
        <sz val="10"/>
        <rFont val="Arial"/>
        <family val="2"/>
        <charset val="204"/>
      </rPr>
      <t>B25</t>
    </r>
  </si>
  <si>
    <r>
      <t xml:space="preserve">armatura </t>
    </r>
    <r>
      <rPr>
        <b/>
        <sz val="10"/>
        <rFont val="Arial"/>
        <family val="2"/>
        <charset val="204"/>
      </rPr>
      <t>A-III</t>
    </r>
  </si>
  <si>
    <r>
      <t xml:space="preserve">armatura </t>
    </r>
    <r>
      <rPr>
        <b/>
        <sz val="10"/>
        <rFont val="Arial"/>
        <family val="2"/>
        <charset val="204"/>
      </rPr>
      <t>A-I</t>
    </r>
  </si>
  <si>
    <r>
      <t xml:space="preserve">arsebuli sayrdeni kedlis gare zedapirebis mopirkeTeba bunebrivi fleTili qviT (skveris SigniTa mxridan da gare trotuaris mxridan) </t>
    </r>
    <r>
      <rPr>
        <sz val="10"/>
        <rFont val="AcadNusx"/>
      </rPr>
      <t>(arsebuli qviT mopirketebis mimsgavsebiT)</t>
    </r>
  </si>
  <si>
    <r>
      <t xml:space="preserve">liTonis moajiris mowyoba - rk.betonis kedelze Caankereba  </t>
    </r>
    <r>
      <rPr>
        <sz val="10"/>
        <rFont val="AcadNusx"/>
      </rPr>
      <t>(moc eskizis mixedviT)</t>
    </r>
  </si>
  <si>
    <r>
      <t xml:space="preserve">dekoratiuli lampioni, ledi sanaTiT </t>
    </r>
    <r>
      <rPr>
        <sz val="10"/>
        <rFont val="Calibri"/>
        <family val="2"/>
        <charset val="204"/>
        <scheme val="minor"/>
      </rPr>
      <t xml:space="preserve">LED 50w </t>
    </r>
    <r>
      <rPr>
        <sz val="10"/>
        <rFont val="AcadNusx"/>
      </rPr>
      <t xml:space="preserve">                (ix. eskizi) </t>
    </r>
    <r>
      <rPr>
        <sz val="10"/>
        <rFont val="Calibri"/>
        <family val="2"/>
        <charset val="204"/>
        <scheme val="minor"/>
      </rPr>
      <t>h</t>
    </r>
    <r>
      <rPr>
        <sz val="10"/>
        <rFont val="AcadNusx"/>
      </rPr>
      <t xml:space="preserve">=2,5-3,3         </t>
    </r>
  </si>
  <si>
    <r>
      <t xml:space="preserve">სადენი </t>
    </r>
    <r>
      <rPr>
        <sz val="10"/>
        <rFont val="Calibri"/>
        <family val="2"/>
        <charset val="204"/>
        <scheme val="minor"/>
      </rPr>
      <t xml:space="preserve">YMS  </t>
    </r>
    <r>
      <rPr>
        <sz val="10"/>
        <rFont val="AcadNusx"/>
      </rPr>
      <t xml:space="preserve">3*2,5  </t>
    </r>
  </si>
  <si>
    <r>
      <t xml:space="preserve">სადენი </t>
    </r>
    <r>
      <rPr>
        <sz val="10"/>
        <rFont val="Calibri"/>
        <family val="2"/>
        <charset val="204"/>
        <scheme val="minor"/>
      </rPr>
      <t xml:space="preserve">YMS  </t>
    </r>
    <r>
      <rPr>
        <sz val="10"/>
        <rFont val="AcadNusx"/>
      </rPr>
      <t>3*1,5</t>
    </r>
  </si>
  <si>
    <r>
      <t xml:space="preserve">დამიწების მოთუთიებული ღერო, </t>
    </r>
    <r>
      <rPr>
        <sz val="10"/>
        <rFont val="Calibri"/>
        <family val="2"/>
        <charset val="204"/>
        <scheme val="minor"/>
      </rPr>
      <t>50x50x5mm, 1500mm</t>
    </r>
  </si>
  <si>
    <r>
      <t xml:space="preserve">მოთუთიებული გამტარი, </t>
    </r>
    <r>
      <rPr>
        <sz val="10"/>
        <rFont val="Calibri"/>
        <family val="2"/>
        <charset val="204"/>
        <scheme val="minor"/>
      </rPr>
      <t>Ø</t>
    </r>
    <r>
      <rPr>
        <sz val="10"/>
        <rFont val="AcadNusx"/>
      </rPr>
      <t>8mm</t>
    </r>
  </si>
  <si>
    <t>q.dmanisSi wminda ninos  quCaze municipalitetis meriis Senobis win
skveris reabilitacia s/k: 82.01.42.077</t>
  </si>
  <si>
    <t>27-7-2</t>
  </si>
  <si>
    <t>q.dmanisSi wminda ninos da nana dedoflis quCebis gadakvetaze
skveris reabilitacia                                                  s/k: 82.01.42.076</t>
  </si>
  <si>
    <r>
      <rPr>
        <sz val="10"/>
        <rFont val="Calibri"/>
        <family val="2"/>
        <charset val="204"/>
      </rPr>
      <t>PVCორკედლიანი გოფრირებული მილი</t>
    </r>
    <r>
      <rPr>
        <sz val="10"/>
        <rFont val="AcadNusx"/>
      </rPr>
      <t xml:space="preserve"> </t>
    </r>
    <r>
      <rPr>
        <sz val="10"/>
        <rFont val="Calibri"/>
        <family val="2"/>
        <charset val="204"/>
      </rPr>
      <t>Ø32მმ</t>
    </r>
  </si>
  <si>
    <t>200+350 csk-s SenobasTan</t>
  </si>
  <si>
    <r>
      <rPr>
        <b/>
        <sz val="10"/>
        <rFont val="Calibri"/>
        <family val="2"/>
        <charset val="204"/>
      </rPr>
      <t>PVC ორკედლიანი გოფრირებული მილის</t>
    </r>
    <r>
      <rPr>
        <b/>
        <sz val="10"/>
        <rFont val="AcadNusx"/>
      </rPr>
      <t xml:space="preserve"> </t>
    </r>
    <r>
      <rPr>
        <b/>
        <sz val="10"/>
        <rFont val="Calibri"/>
        <family val="2"/>
        <charset val="204"/>
      </rPr>
      <t>Ø32</t>
    </r>
  </si>
  <si>
    <r>
      <rPr>
        <b/>
        <sz val="10"/>
        <rFont val="Calibri"/>
        <family val="2"/>
        <charset val="204"/>
      </rPr>
      <t>PVC ორკედლიანი გოფრირებული მილის</t>
    </r>
    <r>
      <rPr>
        <b/>
        <sz val="10"/>
        <rFont val="AcadNusx"/>
      </rPr>
      <t xml:space="preserve"> </t>
    </r>
    <r>
      <rPr>
        <b/>
        <sz val="10"/>
        <rFont val="Calibri"/>
        <family val="2"/>
        <charset val="204"/>
      </rPr>
      <t xml:space="preserve">Ø32 </t>
    </r>
    <r>
      <rPr>
        <b/>
        <sz val="10"/>
        <rFont val="AcadNusx"/>
      </rPr>
      <t>მმ მოწყობა</t>
    </r>
  </si>
  <si>
    <r>
      <t>კონტაქტორი</t>
    </r>
    <r>
      <rPr>
        <sz val="10"/>
        <rFont val="Calibri"/>
        <family val="2"/>
        <charset val="204"/>
        <scheme val="minor"/>
      </rPr>
      <t xml:space="preserve"> , 3P, 50 A</t>
    </r>
  </si>
  <si>
    <r>
      <t xml:space="preserve">amomrTveli avtomati ; 
380v/50a  </t>
    </r>
    <r>
      <rPr>
        <sz val="10"/>
        <rFont val="Calibri"/>
        <family val="2"/>
        <charset val="204"/>
        <scheme val="minor"/>
      </rPr>
      <t xml:space="preserve"> 3P,50A, 6kA</t>
    </r>
  </si>
  <si>
    <r>
      <t xml:space="preserve">amomrTveli avtomati ;
250v/16a  </t>
    </r>
    <r>
      <rPr>
        <sz val="10"/>
        <rFont val="Calibri"/>
        <family val="2"/>
        <charset val="204"/>
        <scheme val="minor"/>
      </rPr>
      <t>2P, 16A, 6kA</t>
    </r>
  </si>
  <si>
    <r>
      <t xml:space="preserve">amomrTveli avtomati ;
250v/6a  </t>
    </r>
    <r>
      <rPr>
        <sz val="10"/>
        <rFont val="Calibri"/>
        <family val="2"/>
        <charset val="204"/>
        <scheme val="minor"/>
      </rPr>
      <t xml:space="preserve"> 1P, 6A, 6kA</t>
    </r>
  </si>
  <si>
    <r>
      <t xml:space="preserve">amomrTveli avtomati ;
250v/16a ; </t>
    </r>
    <r>
      <rPr>
        <sz val="10"/>
        <rFont val="Calibri"/>
        <family val="2"/>
        <charset val="204"/>
        <scheme val="minor"/>
      </rPr>
      <t>2P, 16A, 6kA</t>
    </r>
  </si>
  <si>
    <r>
      <t xml:space="preserve">amomrTveli avtomati ;
250v/6a ; </t>
    </r>
    <r>
      <rPr>
        <sz val="10"/>
        <rFont val="Calibri"/>
        <family val="2"/>
        <charset val="204"/>
        <scheme val="minor"/>
      </rPr>
      <t>1P, 6A, 6kA</t>
    </r>
  </si>
  <si>
    <r>
      <t>კონტაქტორი</t>
    </r>
    <r>
      <rPr>
        <sz val="10"/>
        <rFont val="Calibri"/>
        <family val="2"/>
        <charset val="204"/>
        <scheme val="minor"/>
      </rPr>
      <t xml:space="preserve"> , 3P, 40 A</t>
    </r>
  </si>
  <si>
    <r>
      <t xml:space="preserve">amomrTveli avtomati ;
250v/6a ;  </t>
    </r>
    <r>
      <rPr>
        <sz val="10"/>
        <rFont val="Calibri"/>
        <family val="2"/>
        <charset val="204"/>
        <scheme val="minor"/>
      </rPr>
      <t>1P, 6A, 6kA</t>
    </r>
  </si>
  <si>
    <r>
      <t xml:space="preserve">amomrTveli avtomati ;
250v/16a ;  </t>
    </r>
    <r>
      <rPr>
        <sz val="10"/>
        <rFont val="Calibri"/>
        <family val="2"/>
        <charset val="204"/>
        <scheme val="minor"/>
      </rPr>
      <t>2P, 16A, 6kA</t>
    </r>
  </si>
  <si>
    <r>
      <t xml:space="preserve">amomrTveli avtomati ;
250v/6a ; </t>
    </r>
    <r>
      <rPr>
        <sz val="10"/>
        <rFont val="Calibri"/>
        <family val="2"/>
        <charset val="204"/>
        <scheme val="minor"/>
      </rPr>
      <t xml:space="preserve"> 1P, 6A, 6kA</t>
    </r>
  </si>
  <si>
    <r>
      <t xml:space="preserve">amomrTveli avtomati ;
250v/16a ; </t>
    </r>
    <r>
      <rPr>
        <sz val="10"/>
        <rFont val="Calibri"/>
        <family val="2"/>
        <charset val="204"/>
        <scheme val="minor"/>
      </rPr>
      <t>2P, 25A, 6kA</t>
    </r>
  </si>
  <si>
    <t>#5</t>
  </si>
  <si>
    <t xml:space="preserve">8-22-2                      </t>
  </si>
  <si>
    <t>fasadze inventaruli xaraCois mowyoba, daSla, gadaadgileba</t>
  </si>
  <si>
    <t xml:space="preserve">sxva manqanebi </t>
  </si>
  <si>
    <t>liTonis elementebi</t>
  </si>
  <si>
    <t>xe-masala</t>
  </si>
  <si>
    <t>fenilis farebi</t>
  </si>
  <si>
    <t>46-15-2</t>
  </si>
  <si>
    <t>fasadis kedlebidan nalesis Camoyra</t>
  </si>
  <si>
    <t>snf 15,15</t>
  </si>
  <si>
    <t>demontaJis samuSaoebis damTavrebis Semdeg samSeneblo narCenebis Segroveba, gamotana, avtoTviTmclelze        dasatvirTavad</t>
  </si>
  <si>
    <t>15_52_5</t>
  </si>
  <si>
    <t xml:space="preserve">fasadze gare kar fanjrebisa da karebis ferdoebis Selesva qviSa-cementis xsnariT </t>
  </si>
  <si>
    <t>1430</t>
  </si>
  <si>
    <t>xsnaris tumbo  1kbm/sT</t>
  </si>
  <si>
    <t>qviSa-cementis xsnari       m-100</t>
  </si>
  <si>
    <t>15_52_2</t>
  </si>
  <si>
    <t>fasadis kedlebis Selesva SebaTqaSeba qviSa-cementis xsnariT, armirebul badeze</t>
  </si>
  <si>
    <t>1431</t>
  </si>
  <si>
    <t>xsnaris tumbo  3,0kbm/sT</t>
  </si>
  <si>
    <t>armaturis bade Ф6 АIII b.150</t>
  </si>
  <si>
    <t>qviSa-cementis xsnari  m-100</t>
  </si>
  <si>
    <t>damt.3
34-67-3
gamoy.</t>
  </si>
  <si>
    <r>
      <t xml:space="preserve">fasadis mopirkeTeba </t>
    </r>
    <r>
      <rPr>
        <b/>
        <sz val="11"/>
        <rFont val="Calibri"/>
        <family val="2"/>
        <charset val="204"/>
        <scheme val="minor"/>
      </rPr>
      <t>XPS</t>
    </r>
    <r>
      <rPr>
        <b/>
        <sz val="11"/>
        <rFont val="AcadNusx"/>
      </rPr>
      <t xml:space="preserve">-is safasade kompozituri paneliT </t>
    </r>
    <r>
      <rPr>
        <sz val="12"/>
        <rFont val="Calibri"/>
        <family val="2"/>
        <charset val="204"/>
        <scheme val="minor"/>
      </rPr>
      <t/>
    </r>
  </si>
  <si>
    <t>kac.sT.</t>
  </si>
  <si>
    <r>
      <rPr>
        <sz val="11"/>
        <rFont val="Calibri"/>
        <family val="2"/>
        <charset val="204"/>
        <scheme val="minor"/>
      </rPr>
      <t>XPS</t>
    </r>
    <r>
      <rPr>
        <sz val="11"/>
        <rFont val="AcadNusx"/>
      </rPr>
      <t>-is safasade kompozituri paneli  30mm sisqis</t>
    </r>
  </si>
  <si>
    <t>bade samRebro</t>
  </si>
  <si>
    <t>webocementi yinvagamZle</t>
  </si>
  <si>
    <t>15_168-7</t>
  </si>
  <si>
    <r>
      <t>fasadis kedlebis</t>
    </r>
    <r>
      <rPr>
        <b/>
        <sz val="11"/>
        <rFont val="Calibri"/>
        <family val="2"/>
        <charset val="204"/>
        <scheme val="minor"/>
      </rPr>
      <t xml:space="preserve"> XPS</t>
    </r>
    <r>
      <rPr>
        <b/>
        <sz val="11"/>
        <rFont val="AcadNusx"/>
      </rPr>
      <t>-is zedapirebis mopirkeTeba dekoratiuli lesviT ("miunxenis lesva")</t>
    </r>
  </si>
  <si>
    <t>q.dmanisSi wminda ninos  quCaze kulturis saxlis fasadis reabilitacia s/k: 82.01.46.081</t>
  </si>
  <si>
    <t>%</t>
  </si>
  <si>
    <t>სამუშაოების ღირებულება არ უნდა აღემატებოდეს 493934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</si>
</sst>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\ _L_a_r_i_-;\-* #,##0.00\ _L_a_r_i_-;_-* &quot;-&quot;??\ _L_a_r_i_-;_-@_-"/>
    <numFmt numFmtId="166" formatCode="_(* #,##0.00_);_(* \(#,##0.00\);_(* &quot;-&quot;??_);_(@_)"/>
    <numFmt numFmtId="167" formatCode="0.0"/>
    <numFmt numFmtId="168" formatCode="0.000"/>
    <numFmt numFmtId="169" formatCode="_-* #,##0.00_р_._-;\-* #,##0.00_р_._-;_-* &quot;-&quot;??_р_._-;_-@_-"/>
    <numFmt numFmtId="170" formatCode="_-* #,##0.000_-;\-* #,##0.000_-;_-* &quot;-&quot;??_-;_-@_-"/>
    <numFmt numFmtId="171" formatCode="_-* #,##0.0000_-;\-* #,##0.0000_-;_-* &quot;-&quot;??_-;_-@_-"/>
    <numFmt numFmtId="172" formatCode="_-* #,##0.000\ _₾_-;\-* #,##0.000\ _₾_-;_-* &quot;-&quot;??\ _₾_-;_-@_-"/>
  </numFmts>
  <fonts count="10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name val="Calibri"/>
      <family val="2"/>
    </font>
    <font>
      <b/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AcadNusx"/>
    </font>
    <font>
      <sz val="11"/>
      <color rgb="FFFF0000"/>
      <name val="AcadNusx"/>
    </font>
    <font>
      <sz val="11"/>
      <color rgb="FF000000"/>
      <name val="AcadNusx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Sylfae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b/>
      <sz val="10"/>
      <name val="Arial"/>
      <family val="2"/>
    </font>
    <font>
      <b/>
      <sz val="14"/>
      <color rgb="FF0000FF"/>
      <name val="AcadNusx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b/>
      <sz val="10"/>
      <name val="Sylfaen"/>
      <family val="1"/>
      <charset val="204"/>
    </font>
    <font>
      <sz val="10"/>
      <color rgb="FF000000"/>
      <name val="AcadNusx"/>
    </font>
    <font>
      <b/>
      <sz val="10"/>
      <color rgb="FF000000"/>
      <name val="AcadNusx"/>
    </font>
    <font>
      <b/>
      <sz val="11"/>
      <color rgb="FF000000"/>
      <name val="AcadNusx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</font>
    <font>
      <b/>
      <sz val="10"/>
      <name val="Calibri"/>
      <family val="2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FF"/>
      <name val="AcadNusx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AcadNusx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cadNusx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9">
    <xf numFmtId="0" fontId="0" fillId="0" borderId="0"/>
    <xf numFmtId="0" fontId="10" fillId="0" borderId="0"/>
    <xf numFmtId="0" fontId="16" fillId="0" borderId="0"/>
    <xf numFmtId="0" fontId="18" fillId="0" borderId="0"/>
    <xf numFmtId="0" fontId="20" fillId="0" borderId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4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4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1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25" fillId="22" borderId="5" applyNumberFormat="0" applyAlignment="0" applyProtection="0"/>
    <xf numFmtId="0" fontId="44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0" fontId="26" fillId="23" borderId="6" applyNumberFormat="0" applyAlignment="0" applyProtection="0"/>
    <xf numFmtId="166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57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58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5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7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8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9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32" fillId="9" borderId="5" applyNumberFormat="0" applyAlignment="0" applyProtection="0"/>
    <xf numFmtId="0" fontId="51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35" fillId="0" borderId="0"/>
    <xf numFmtId="0" fontId="20" fillId="0" borderId="0"/>
    <xf numFmtId="0" fontId="59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60" fillId="0" borderId="0"/>
    <xf numFmtId="0" fontId="16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6" fillId="0" borderId="0"/>
    <xf numFmtId="0" fontId="58" fillId="0" borderId="0"/>
    <xf numFmtId="0" fontId="16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16" fillId="25" borderId="11" applyNumberFormat="0" applyFont="0" applyAlignment="0" applyProtection="0"/>
    <xf numFmtId="0" fontId="53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0" fontId="36" fillId="22" borderId="12" applyNumberFormat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7" fillId="0" borderId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9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0" fillId="0" borderId="0"/>
    <xf numFmtId="0" fontId="20" fillId="0" borderId="0"/>
    <xf numFmtId="0" fontId="16" fillId="0" borderId="0"/>
    <xf numFmtId="0" fontId="16" fillId="0" borderId="0"/>
    <xf numFmtId="0" fontId="58" fillId="0" borderId="0"/>
    <xf numFmtId="0" fontId="2" fillId="0" borderId="0"/>
    <xf numFmtId="0" fontId="2" fillId="0" borderId="0"/>
    <xf numFmtId="0" fontId="16" fillId="0" borderId="0"/>
    <xf numFmtId="0" fontId="62" fillId="3" borderId="0" applyNumberFormat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5" fontId="9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20" fillId="0" borderId="0"/>
    <xf numFmtId="0" fontId="16" fillId="0" borderId="0"/>
  </cellStyleXfs>
  <cellXfs count="712">
    <xf numFmtId="0" fontId="0" fillId="0" borderId="0" xfId="0"/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901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3" fillId="0" borderId="1" xfId="901" applyNumberFormat="1" applyFont="1" applyFill="1" applyBorder="1" applyAlignment="1">
      <alignment horizontal="center" vertical="center" wrapText="1"/>
    </xf>
    <xf numFmtId="2" fontId="11" fillId="0" borderId="1" xfId="901" applyNumberFormat="1" applyFont="1" applyFill="1" applyBorder="1" applyAlignment="1">
      <alignment horizontal="center" vertical="center" wrapText="1"/>
    </xf>
    <xf numFmtId="0" fontId="7" fillId="0" borderId="1" xfId="901" applyNumberFormat="1" applyFont="1" applyFill="1" applyBorder="1" applyAlignment="1">
      <alignment horizontal="center" vertical="center" wrapText="1"/>
    </xf>
    <xf numFmtId="2" fontId="11" fillId="0" borderId="16" xfId="90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 applyProtection="1">
      <alignment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901" applyNumberFormat="1" applyFont="1" applyFill="1" applyBorder="1" applyAlignment="1" applyProtection="1">
      <alignment horizontal="center" vertical="center" wrapText="1"/>
    </xf>
    <xf numFmtId="49" fontId="7" fillId="0" borderId="1" xfId="1" quotePrefix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633" applyNumberFormat="1" applyFont="1" applyFill="1" applyBorder="1" applyAlignment="1">
      <alignment horizontal="center" vertical="center" wrapText="1"/>
    </xf>
    <xf numFmtId="49" fontId="63" fillId="0" borderId="1" xfId="906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7" fillId="0" borderId="1" xfId="87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7" fillId="0" borderId="1" xfId="901" applyNumberFormat="1" applyFont="1" applyFill="1" applyBorder="1" applyAlignment="1">
      <alignment horizontal="center" vertical="center"/>
    </xf>
    <xf numFmtId="49" fontId="72" fillId="0" borderId="1" xfId="901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2" fontId="13" fillId="26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63" fillId="2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49" fontId="76" fillId="0" borderId="0" xfId="0" applyNumberFormat="1" applyFont="1" applyFill="1" applyAlignment="1">
      <alignment horizontal="center" vertical="center"/>
    </xf>
    <xf numFmtId="0" fontId="19" fillId="0" borderId="1" xfId="901" applyNumberFormat="1" applyFont="1" applyFill="1" applyBorder="1" applyAlignment="1" applyProtection="1">
      <alignment horizontal="center" vertical="center" wrapText="1"/>
    </xf>
    <xf numFmtId="49" fontId="63" fillId="2" borderId="1" xfId="0" applyNumberFormat="1" applyFont="1" applyFill="1" applyBorder="1" applyAlignment="1">
      <alignment horizontal="center" vertical="center" wrapText="1"/>
    </xf>
    <xf numFmtId="49" fontId="63" fillId="0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49" fontId="79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903" applyNumberFormat="1" applyFont="1" applyFill="1" applyBorder="1" applyAlignment="1">
      <alignment horizontal="center" vertical="center" wrapText="1"/>
    </xf>
    <xf numFmtId="2" fontId="7" fillId="0" borderId="1" xfId="90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9" fillId="0" borderId="1" xfId="908" applyNumberFormat="1" applyFont="1" applyFill="1" applyBorder="1" applyAlignment="1">
      <alignment horizontal="left" vertical="center" wrapText="1"/>
    </xf>
    <xf numFmtId="2" fontId="19" fillId="0" borderId="1" xfId="901" applyNumberFormat="1" applyFont="1" applyFill="1" applyBorder="1" applyAlignment="1">
      <alignment horizontal="center" vertical="center" wrapText="1"/>
    </xf>
    <xf numFmtId="49" fontId="19" fillId="0" borderId="1" xfId="681" applyNumberFormat="1" applyFont="1" applyFill="1" applyBorder="1" applyAlignment="1">
      <alignment horizontal="left" vertical="center" wrapText="1"/>
    </xf>
    <xf numFmtId="0" fontId="19" fillId="0" borderId="1" xfId="681" applyNumberFormat="1" applyFont="1" applyFill="1" applyBorder="1" applyAlignment="1">
      <alignment horizontal="center" vertical="center" wrapText="1"/>
    </xf>
    <xf numFmtId="0" fontId="11" fillId="0" borderId="1" xfId="633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11" fillId="0" borderId="1" xfId="633" applyNumberFormat="1" applyFont="1" applyFill="1" applyBorder="1" applyAlignment="1">
      <alignment horizontal="left" vertical="center" wrapText="1"/>
    </xf>
    <xf numFmtId="168" fontId="11" fillId="0" borderId="1" xfId="633" applyNumberFormat="1" applyFont="1" applyFill="1" applyBorder="1" applyAlignment="1">
      <alignment horizontal="center" vertical="center" wrapText="1"/>
    </xf>
    <xf numFmtId="168" fontId="11" fillId="0" borderId="16" xfId="633" applyNumberFormat="1" applyFont="1" applyFill="1" applyBorder="1" applyAlignment="1">
      <alignment horizontal="center" vertical="center" wrapText="1"/>
    </xf>
    <xf numFmtId="2" fontId="19" fillId="0" borderId="16" xfId="901" applyNumberFormat="1" applyFont="1" applyFill="1" applyBorder="1" applyAlignment="1">
      <alignment horizontal="center" vertical="center" wrapText="1"/>
    </xf>
    <xf numFmtId="49" fontId="19" fillId="0" borderId="1" xfId="633" applyNumberFormat="1" applyFont="1" applyFill="1" applyBorder="1" applyAlignment="1">
      <alignment horizontal="left" vertical="center" wrapText="1"/>
    </xf>
    <xf numFmtId="49" fontId="63" fillId="0" borderId="1" xfId="633" applyNumberFormat="1" applyFont="1" applyFill="1" applyBorder="1" applyAlignment="1">
      <alignment horizontal="center" vertical="center" wrapText="1"/>
    </xf>
    <xf numFmtId="0" fontId="11" fillId="0" borderId="16" xfId="633" applyNumberFormat="1" applyFont="1" applyFill="1" applyBorder="1" applyAlignment="1">
      <alignment horizontal="center" vertical="center" wrapText="1"/>
    </xf>
    <xf numFmtId="49" fontId="10" fillId="0" borderId="1" xfId="633" applyNumberFormat="1" applyFont="1" applyFill="1" applyBorder="1" applyAlignment="1">
      <alignment horizontal="center" vertical="center" wrapText="1"/>
    </xf>
    <xf numFmtId="2" fontId="11" fillId="0" borderId="1" xfId="504" applyNumberFormat="1" applyFont="1" applyFill="1" applyBorder="1" applyAlignment="1">
      <alignment horizontal="center" vertical="center" wrapText="1"/>
    </xf>
    <xf numFmtId="49" fontId="63" fillId="0" borderId="1" xfId="681" applyNumberFormat="1" applyFont="1" applyFill="1" applyBorder="1" applyAlignment="1">
      <alignment horizontal="center" vertical="center" wrapText="1"/>
    </xf>
    <xf numFmtId="2" fontId="19" fillId="0" borderId="1" xfId="681" applyNumberFormat="1" applyFont="1" applyFill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49" fontId="7" fillId="29" borderId="1" xfId="0" applyNumberFormat="1" applyFont="1" applyFill="1" applyBorder="1" applyAlignment="1">
      <alignment horizontal="center" vertical="center" wrapText="1"/>
    </xf>
    <xf numFmtId="49" fontId="19" fillId="29" borderId="1" xfId="0" applyNumberFormat="1" applyFont="1" applyFill="1" applyBorder="1" applyAlignment="1">
      <alignment horizontal="center" vertical="center" wrapText="1"/>
    </xf>
    <xf numFmtId="49" fontId="63" fillId="29" borderId="1" xfId="0" applyNumberFormat="1" applyFont="1" applyFill="1" applyBorder="1" applyAlignment="1">
      <alignment horizontal="center" vertical="center" wrapText="1"/>
    </xf>
    <xf numFmtId="49" fontId="7" fillId="31" borderId="1" xfId="0" applyNumberFormat="1" applyFont="1" applyFill="1" applyBorder="1" applyAlignment="1">
      <alignment horizontal="center" vertical="center" wrapText="1"/>
    </xf>
    <xf numFmtId="49" fontId="19" fillId="31" borderId="1" xfId="0" applyNumberFormat="1" applyFont="1" applyFill="1" applyBorder="1" applyAlignment="1">
      <alignment horizontal="center" vertical="center" wrapText="1"/>
    </xf>
    <xf numFmtId="49" fontId="63" fillId="31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 applyProtection="1">
      <alignment vertical="center" wrapText="1"/>
    </xf>
    <xf numFmtId="49" fontId="19" fillId="0" borderId="1" xfId="0" applyNumberFormat="1" applyFont="1" applyFill="1" applyBorder="1" applyAlignment="1" applyProtection="1">
      <alignment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654" applyNumberFormat="1" applyFont="1" applyFill="1" applyBorder="1" applyAlignment="1">
      <alignment horizontal="center" vertical="center" wrapText="1"/>
    </xf>
    <xf numFmtId="0" fontId="7" fillId="0" borderId="1" xfId="65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654" applyNumberFormat="1" applyFont="1" applyFill="1" applyBorder="1" applyAlignment="1">
      <alignment horizontal="center" vertical="center" wrapText="1"/>
    </xf>
    <xf numFmtId="49" fontId="63" fillId="0" borderId="1" xfId="654" applyNumberFormat="1" applyFont="1" applyFill="1" applyBorder="1" applyAlignment="1">
      <alignment horizontal="center" vertical="center" wrapText="1"/>
    </xf>
    <xf numFmtId="49" fontId="63" fillId="2" borderId="1" xfId="901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left" vertical="center" wrapText="1"/>
    </xf>
    <xf numFmtId="49" fontId="84" fillId="2" borderId="1" xfId="901" applyNumberFormat="1" applyFont="1" applyFill="1" applyBorder="1" applyAlignment="1">
      <alignment horizontal="center" vertical="center" wrapText="1"/>
    </xf>
    <xf numFmtId="0" fontId="63" fillId="2" borderId="3" xfId="0" applyNumberFormat="1" applyFont="1" applyFill="1" applyBorder="1" applyAlignment="1">
      <alignment horizontal="center" vertical="center" wrapText="1"/>
    </xf>
    <xf numFmtId="49" fontId="19" fillId="31" borderId="16" xfId="0" applyNumberFormat="1" applyFont="1" applyFill="1" applyBorder="1" applyAlignment="1">
      <alignment horizontal="center" vertical="center" wrapText="1"/>
    </xf>
    <xf numFmtId="0" fontId="11" fillId="31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8" fontId="14" fillId="0" borderId="0" xfId="0" applyNumberFormat="1" applyFont="1" applyFill="1" applyAlignment="1">
      <alignment horizontal="center" vertical="center" wrapText="1"/>
    </xf>
    <xf numFmtId="0" fontId="11" fillId="29" borderId="1" xfId="0" applyNumberFormat="1" applyFont="1" applyFill="1" applyBorder="1" applyAlignment="1">
      <alignment horizontal="center" vertical="center" wrapText="1"/>
    </xf>
    <xf numFmtId="0" fontId="19" fillId="26" borderId="1" xfId="0" applyNumberFormat="1" applyFont="1" applyFill="1" applyBorder="1" applyAlignment="1">
      <alignment horizontal="center" vertical="center" wrapText="1"/>
    </xf>
    <xf numFmtId="49" fontId="7" fillId="28" borderId="1" xfId="900" applyNumberFormat="1" applyFont="1" applyFill="1" applyBorder="1" applyAlignment="1">
      <alignment horizontal="center" vertical="center" wrapText="1"/>
    </xf>
    <xf numFmtId="49" fontId="63" fillId="28" borderId="1" xfId="90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49" fontId="63" fillId="0" borderId="1" xfId="902" applyNumberFormat="1" applyFont="1" applyFill="1" applyBorder="1" applyAlignment="1">
      <alignment horizontal="center" vertical="center" wrapText="1"/>
    </xf>
    <xf numFmtId="49" fontId="7" fillId="0" borderId="1" xfId="902" applyNumberFormat="1" applyFont="1" applyFill="1" applyBorder="1" applyAlignment="1">
      <alignment horizontal="center" vertical="center" wrapText="1"/>
    </xf>
    <xf numFmtId="49" fontId="63" fillId="0" borderId="1" xfId="735" applyNumberFormat="1" applyFont="1" applyFill="1" applyBorder="1" applyAlignment="1">
      <alignment horizontal="center" vertical="center" wrapText="1"/>
    </xf>
    <xf numFmtId="49" fontId="7" fillId="0" borderId="1" xfId="735" applyNumberFormat="1" applyFont="1" applyFill="1" applyBorder="1" applyAlignment="1">
      <alignment horizontal="center" vertical="center" wrapText="1"/>
    </xf>
    <xf numFmtId="49" fontId="7" fillId="0" borderId="1" xfId="905" applyNumberFormat="1" applyFont="1" applyFill="1" applyBorder="1" applyAlignment="1">
      <alignment horizontal="center" vertical="center" wrapText="1"/>
    </xf>
    <xf numFmtId="49" fontId="63" fillId="0" borderId="1" xfId="905" applyNumberFormat="1" applyFont="1" applyFill="1" applyBorder="1" applyAlignment="1">
      <alignment horizontal="center" vertical="center" wrapText="1"/>
    </xf>
    <xf numFmtId="49" fontId="63" fillId="0" borderId="1" xfId="870" applyNumberFormat="1" applyFont="1" applyFill="1" applyBorder="1" applyAlignment="1">
      <alignment horizontal="center" vertical="center" wrapText="1"/>
    </xf>
    <xf numFmtId="49" fontId="7" fillId="0" borderId="4" xfId="870" applyNumberFormat="1" applyFont="1" applyFill="1" applyBorder="1" applyAlignment="1">
      <alignment horizontal="center" vertical="center" wrapText="1"/>
    </xf>
    <xf numFmtId="49" fontId="63" fillId="2" borderId="1" xfId="646" applyNumberFormat="1" applyFont="1" applyFill="1" applyBorder="1" applyAlignment="1">
      <alignment horizontal="center" vertical="center" wrapText="1"/>
    </xf>
    <xf numFmtId="49" fontId="63" fillId="2" borderId="16" xfId="0" applyNumberFormat="1" applyFont="1" applyFill="1" applyBorder="1" applyAlignment="1">
      <alignment horizontal="center" vertical="center" wrapText="1"/>
    </xf>
    <xf numFmtId="49" fontId="63" fillId="2" borderId="14" xfId="0" applyNumberFormat="1" applyFont="1" applyFill="1" applyBorder="1" applyAlignment="1">
      <alignment horizontal="center" vertical="center" wrapText="1"/>
    </xf>
    <xf numFmtId="49" fontId="7" fillId="28" borderId="2" xfId="900" applyNumberFormat="1" applyFont="1" applyFill="1" applyBorder="1" applyAlignment="1">
      <alignment horizontal="center" vertical="center" wrapText="1"/>
    </xf>
    <xf numFmtId="49" fontId="63" fillId="28" borderId="2" xfId="90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168" fontId="19" fillId="0" borderId="0" xfId="0" applyNumberFormat="1" applyFont="1" applyFill="1" applyAlignment="1">
      <alignment horizontal="center" vertical="center" wrapText="1"/>
    </xf>
    <xf numFmtId="168" fontId="19" fillId="29" borderId="1" xfId="0" applyNumberFormat="1" applyFont="1" applyFill="1" applyBorder="1" applyAlignment="1">
      <alignment horizontal="center" vertical="center" wrapText="1"/>
    </xf>
    <xf numFmtId="168" fontId="19" fillId="31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wrapText="1"/>
    </xf>
    <xf numFmtId="49" fontId="79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3" fillId="26" borderId="1" xfId="0" applyNumberFormat="1" applyFont="1" applyFill="1" applyBorder="1" applyAlignment="1">
      <alignment horizontal="center" vertical="center" wrapText="1"/>
    </xf>
    <xf numFmtId="49" fontId="63" fillId="0" borderId="1" xfId="2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32" borderId="1" xfId="0" applyNumberFormat="1" applyFont="1" applyFill="1" applyBorder="1" applyAlignment="1">
      <alignment horizontal="center" vertical="center" wrapText="1"/>
    </xf>
    <xf numFmtId="0" fontId="7" fillId="0" borderId="16" xfId="633" applyNumberFormat="1" applyFont="1" applyFill="1" applyBorder="1" applyAlignment="1">
      <alignment horizontal="center" vertical="center" wrapText="1"/>
    </xf>
    <xf numFmtId="0" fontId="7" fillId="29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19" fillId="26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7" fillId="0" borderId="1" xfId="902" applyNumberFormat="1" applyFont="1" applyFill="1" applyBorder="1" applyAlignment="1">
      <alignment horizontal="center" vertical="center" wrapText="1"/>
    </xf>
    <xf numFmtId="0" fontId="7" fillId="0" borderId="1" xfId="870" applyNumberFormat="1" applyFont="1" applyFill="1" applyBorder="1" applyAlignment="1">
      <alignment horizontal="center" vertical="center" wrapText="1"/>
    </xf>
    <xf numFmtId="0" fontId="63" fillId="0" borderId="1" xfId="901" applyNumberFormat="1" applyFont="1" applyFill="1" applyBorder="1" applyAlignment="1">
      <alignment horizontal="center" vertical="center"/>
    </xf>
    <xf numFmtId="0" fontId="7" fillId="0" borderId="1" xfId="901" applyNumberFormat="1" applyFont="1" applyFill="1" applyBorder="1" applyAlignment="1">
      <alignment horizontal="center" vertical="center"/>
    </xf>
    <xf numFmtId="0" fontId="72" fillId="0" borderId="1" xfId="901" applyNumberFormat="1" applyFont="1" applyFill="1" applyBorder="1" applyAlignment="1" applyProtection="1">
      <alignment horizontal="center" vertical="center" wrapText="1"/>
    </xf>
    <xf numFmtId="0" fontId="63" fillId="0" borderId="1" xfId="633" applyNumberFormat="1" applyFont="1" applyFill="1" applyBorder="1" applyAlignment="1">
      <alignment horizontal="center" vertical="center" wrapText="1"/>
    </xf>
    <xf numFmtId="0" fontId="7" fillId="0" borderId="1" xfId="633" applyNumberFormat="1" applyFont="1" applyFill="1" applyBorder="1" applyAlignment="1">
      <alignment horizontal="center" vertical="center" wrapText="1"/>
    </xf>
    <xf numFmtId="0" fontId="63" fillId="0" borderId="1" xfId="681" applyNumberFormat="1" applyFont="1" applyFill="1" applyBorder="1" applyAlignment="1">
      <alignment horizontal="center" vertical="center" wrapText="1"/>
    </xf>
    <xf numFmtId="49" fontId="63" fillId="33" borderId="1" xfId="0" applyNumberFormat="1" applyFont="1" applyFill="1" applyBorder="1" applyAlignment="1">
      <alignment horizontal="center" vertical="center" wrapText="1"/>
    </xf>
    <xf numFmtId="49" fontId="7" fillId="33" borderId="1" xfId="0" applyNumberFormat="1" applyFont="1" applyFill="1" applyBorder="1" applyAlignment="1">
      <alignment horizontal="center" vertical="center" wrapText="1"/>
    </xf>
    <xf numFmtId="49" fontId="19" fillId="33" borderId="1" xfId="0" applyNumberFormat="1" applyFont="1" applyFill="1" applyBorder="1" applyAlignment="1">
      <alignment horizontal="center" vertical="center" wrapText="1"/>
    </xf>
    <xf numFmtId="0" fontId="7" fillId="33" borderId="1" xfId="0" applyNumberFormat="1" applyFont="1" applyFill="1" applyBorder="1" applyAlignment="1">
      <alignment horizontal="center" vertical="center" wrapText="1"/>
    </xf>
    <xf numFmtId="0" fontId="19" fillId="33" borderId="1" xfId="0" applyNumberFormat="1" applyFont="1" applyFill="1" applyBorder="1" applyAlignment="1">
      <alignment horizontal="center" vertical="center" wrapText="1"/>
    </xf>
    <xf numFmtId="49" fontId="19" fillId="31" borderId="2" xfId="0" applyNumberFormat="1" applyFont="1" applyFill="1" applyBorder="1" applyAlignment="1">
      <alignment horizontal="center" vertical="center" wrapText="1"/>
    </xf>
    <xf numFmtId="0" fontId="19" fillId="31" borderId="2" xfId="0" applyNumberFormat="1" applyFont="1" applyFill="1" applyBorder="1" applyAlignment="1">
      <alignment horizontal="center" vertical="center" wrapText="1"/>
    </xf>
    <xf numFmtId="0" fontId="19" fillId="31" borderId="16" xfId="0" applyNumberFormat="1" applyFont="1" applyFill="1" applyBorder="1" applyAlignment="1">
      <alignment horizontal="center" vertical="center" wrapText="1"/>
    </xf>
    <xf numFmtId="49" fontId="84" fillId="0" borderId="1" xfId="90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90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7" fillId="0" borderId="16" xfId="68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7" fillId="2" borderId="1" xfId="63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2" fontId="69" fillId="0" borderId="4" xfId="0" applyNumberFormat="1" applyFont="1" applyBorder="1" applyAlignment="1">
      <alignment horizontal="center" vertical="center" wrapText="1"/>
    </xf>
    <xf numFmtId="2" fontId="69" fillId="0" borderId="14" xfId="0" applyNumberFormat="1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9" fontId="13" fillId="34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right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49" fontId="85" fillId="0" borderId="1" xfId="0" applyNumberFormat="1" applyFont="1" applyBorder="1" applyAlignment="1">
      <alignment horizontal="center" vertical="center" wrapText="1"/>
    </xf>
    <xf numFmtId="49" fontId="86" fillId="0" borderId="4" xfId="0" applyNumberFormat="1" applyFont="1" applyBorder="1" applyAlignment="1">
      <alignment horizontal="center" vertical="center" wrapText="1"/>
    </xf>
    <xf numFmtId="49" fontId="69" fillId="0" borderId="4" xfId="0" applyNumberFormat="1" applyFont="1" applyBorder="1" applyAlignment="1">
      <alignment horizontal="center" vertical="center" wrapText="1"/>
    </xf>
    <xf numFmtId="49" fontId="85" fillId="0" borderId="4" xfId="0" applyNumberFormat="1" applyFont="1" applyBorder="1" applyAlignment="1">
      <alignment horizontal="center" vertical="center" wrapText="1"/>
    </xf>
    <xf numFmtId="0" fontId="85" fillId="0" borderId="4" xfId="0" applyNumberFormat="1" applyFont="1" applyBorder="1" applyAlignment="1">
      <alignment horizontal="center" vertical="center" wrapText="1"/>
    </xf>
    <xf numFmtId="0" fontId="87" fillId="34" borderId="4" xfId="0" applyNumberFormat="1" applyFont="1" applyFill="1" applyBorder="1" applyAlignment="1">
      <alignment horizontal="center"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49" fontId="86" fillId="0" borderId="14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0" fontId="85" fillId="0" borderId="14" xfId="0" applyNumberFormat="1" applyFont="1" applyBorder="1" applyAlignment="1">
      <alignment horizontal="center" vertical="center" wrapText="1"/>
    </xf>
    <xf numFmtId="0" fontId="87" fillId="0" borderId="14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0" fontId="87" fillId="34" borderId="14" xfId="0" applyNumberFormat="1" applyFont="1" applyFill="1" applyBorder="1" applyAlignment="1">
      <alignment horizontal="center" vertical="center" wrapText="1"/>
    </xf>
    <xf numFmtId="49" fontId="85" fillId="32" borderId="16" xfId="0" applyNumberFormat="1" applyFont="1" applyFill="1" applyBorder="1" applyAlignment="1">
      <alignment horizontal="center" vertical="center" wrapText="1"/>
    </xf>
    <xf numFmtId="49" fontId="86" fillId="32" borderId="14" xfId="0" applyNumberFormat="1" applyFont="1" applyFill="1" applyBorder="1" applyAlignment="1">
      <alignment horizontal="center" vertical="center" wrapText="1"/>
    </xf>
    <xf numFmtId="49" fontId="13" fillId="32" borderId="1" xfId="0" applyNumberFormat="1" applyFont="1" applyFill="1" applyBorder="1" applyAlignment="1">
      <alignment horizontal="center" vertical="center" wrapText="1"/>
    </xf>
    <xf numFmtId="49" fontId="85" fillId="32" borderId="14" xfId="0" applyNumberFormat="1" applyFont="1" applyFill="1" applyBorder="1" applyAlignment="1">
      <alignment horizontal="center" vertical="center" wrapText="1"/>
    </xf>
    <xf numFmtId="0" fontId="85" fillId="32" borderId="14" xfId="0" applyNumberFormat="1" applyFont="1" applyFill="1" applyBorder="1" applyAlignment="1">
      <alignment horizontal="center" vertical="center" wrapText="1"/>
    </xf>
    <xf numFmtId="0" fontId="87" fillId="32" borderId="14" xfId="0" applyNumberFormat="1" applyFont="1" applyFill="1" applyBorder="1" applyAlignment="1">
      <alignment horizontal="center" vertical="center" wrapText="1"/>
    </xf>
    <xf numFmtId="2" fontId="69" fillId="32" borderId="14" xfId="0" applyNumberFormat="1" applyFont="1" applyFill="1" applyBorder="1" applyAlignment="1">
      <alignment horizontal="center" vertical="center" wrapText="1"/>
    </xf>
    <xf numFmtId="2" fontId="87" fillId="35" borderId="14" xfId="0" applyNumberFormat="1" applyFont="1" applyFill="1" applyBorder="1" applyAlignment="1">
      <alignment horizontal="center" vertical="center" wrapText="1"/>
    </xf>
    <xf numFmtId="0" fontId="87" fillId="36" borderId="14" xfId="0" applyNumberFormat="1" applyFont="1" applyFill="1" applyBorder="1" applyAlignment="1">
      <alignment horizontal="center" vertical="center" wrapText="1"/>
    </xf>
    <xf numFmtId="0" fontId="87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9" fontId="87" fillId="36" borderId="14" xfId="0" applyNumberFormat="1" applyFont="1" applyFill="1" applyBorder="1" applyAlignment="1">
      <alignment horizontal="center" vertical="center" wrapText="1"/>
    </xf>
    <xf numFmtId="49" fontId="6" fillId="32" borderId="1" xfId="0" applyNumberFormat="1" applyFont="1" applyFill="1" applyBorder="1" applyAlignment="1">
      <alignment horizontal="center" vertical="center" wrapText="1"/>
    </xf>
    <xf numFmtId="49" fontId="15" fillId="32" borderId="1" xfId="0" applyNumberFormat="1" applyFont="1" applyFill="1" applyBorder="1" applyAlignment="1">
      <alignment horizontal="center" vertical="center" wrapText="1"/>
    </xf>
    <xf numFmtId="0" fontId="15" fillId="32" borderId="1" xfId="0" applyNumberFormat="1" applyFont="1" applyFill="1" applyBorder="1" applyAlignment="1">
      <alignment horizontal="center" vertical="center" wrapText="1"/>
    </xf>
    <xf numFmtId="0" fontId="13" fillId="32" borderId="1" xfId="0" applyNumberFormat="1" applyFont="1" applyFill="1" applyBorder="1" applyAlignment="1">
      <alignment horizontal="center" vertical="center" wrapText="1"/>
    </xf>
    <xf numFmtId="2" fontId="13" fillId="32" borderId="1" xfId="0" applyNumberFormat="1" applyFont="1" applyFill="1" applyBorder="1" applyAlignment="1">
      <alignment horizontal="center" vertical="center" wrapText="1"/>
    </xf>
    <xf numFmtId="9" fontId="19" fillId="34" borderId="1" xfId="0" applyNumberFormat="1" applyFont="1" applyFill="1" applyBorder="1" applyAlignment="1">
      <alignment horizontal="center" vertical="center" wrapText="1"/>
    </xf>
    <xf numFmtId="0" fontId="3" fillId="3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32" borderId="1" xfId="0" applyNumberFormat="1" applyFont="1" applyFill="1" applyBorder="1" applyAlignment="1">
      <alignment horizontal="center" vertical="center" wrapText="1"/>
    </xf>
    <xf numFmtId="0" fontId="6" fillId="32" borderId="1" xfId="0" applyNumberFormat="1" applyFont="1" applyFill="1" applyBorder="1" applyAlignment="1">
      <alignment horizontal="center" vertical="center" wrapText="1"/>
    </xf>
    <xf numFmtId="2" fontId="12" fillId="32" borderId="1" xfId="0" applyNumberFormat="1" applyFont="1" applyFill="1" applyBorder="1" applyAlignment="1">
      <alignment horizontal="center" vertical="center" wrapText="1"/>
    </xf>
    <xf numFmtId="0" fontId="12" fillId="26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/>
    <xf numFmtId="2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3" fillId="0" borderId="1" xfId="1" quotePrefix="1" applyNumberFormat="1" applyFont="1" applyFill="1" applyBorder="1" applyAlignment="1" applyProtection="1">
      <alignment horizontal="center" vertical="center" wrapText="1"/>
    </xf>
    <xf numFmtId="49" fontId="80" fillId="0" borderId="1" xfId="633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88" fillId="0" borderId="0" xfId="0" applyFont="1"/>
    <xf numFmtId="49" fontId="6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12" fillId="26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63" fillId="0" borderId="2" xfId="0" applyNumberFormat="1" applyFont="1" applyFill="1" applyBorder="1" applyAlignment="1">
      <alignment horizontal="left" vertical="center" wrapText="1"/>
    </xf>
    <xf numFmtId="0" fontId="63" fillId="0" borderId="16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63" fillId="26" borderId="1" xfId="0" applyNumberFormat="1" applyFont="1" applyFill="1" applyBorder="1" applyAlignment="1">
      <alignment horizontal="center" vertical="center" wrapText="1"/>
    </xf>
    <xf numFmtId="49" fontId="19" fillId="26" borderId="1" xfId="0" applyNumberFormat="1" applyFont="1" applyFill="1" applyBorder="1" applyAlignment="1">
      <alignment horizontal="center" vertical="center" wrapText="1"/>
    </xf>
    <xf numFmtId="0" fontId="11" fillId="26" borderId="1" xfId="0" applyNumberFormat="1" applyFont="1" applyFill="1" applyBorder="1" applyAlignment="1">
      <alignment horizontal="center" vertical="center" wrapText="1"/>
    </xf>
    <xf numFmtId="0" fontId="63" fillId="26" borderId="1" xfId="0" applyNumberFormat="1" applyFont="1" applyFill="1" applyBorder="1" applyAlignment="1">
      <alignment horizontal="center" vertical="center" wrapText="1"/>
    </xf>
    <xf numFmtId="49" fontId="63" fillId="29" borderId="1" xfId="0" applyNumberFormat="1" applyFont="1" applyFill="1" applyBorder="1" applyAlignment="1">
      <alignment horizontal="center" vertical="top" wrapText="1"/>
    </xf>
    <xf numFmtId="0" fontId="63" fillId="0" borderId="1" xfId="0" applyNumberFormat="1" applyFont="1" applyFill="1" applyBorder="1" applyAlignment="1">
      <alignment horizontal="center" vertical="top" wrapText="1"/>
    </xf>
    <xf numFmtId="49" fontId="89" fillId="0" borderId="15" xfId="0" applyNumberFormat="1" applyFont="1" applyFill="1" applyBorder="1" applyAlignment="1">
      <alignment horizontal="center" vertical="top" wrapText="1"/>
    </xf>
    <xf numFmtId="49" fontId="82" fillId="2" borderId="1" xfId="90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5" fillId="32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86" fillId="0" borderId="1" xfId="0" applyNumberFormat="1" applyFont="1" applyBorder="1" applyAlignment="1">
      <alignment horizontal="center" vertical="top" wrapText="1"/>
    </xf>
    <xf numFmtId="49" fontId="86" fillId="0" borderId="16" xfId="0" applyNumberFormat="1" applyFont="1" applyBorder="1" applyAlignment="1">
      <alignment horizontal="center" vertical="top" wrapText="1"/>
    </xf>
    <xf numFmtId="49" fontId="86" fillId="32" borderId="16" xfId="0" applyNumberFormat="1" applyFont="1" applyFill="1" applyBorder="1" applyAlignment="1">
      <alignment horizontal="center" vertical="top" wrapText="1"/>
    </xf>
    <xf numFmtId="49" fontId="86" fillId="0" borderId="16" xfId="0" applyNumberFormat="1" applyFont="1" applyFill="1" applyBorder="1" applyAlignment="1">
      <alignment horizontal="center" vertical="top" wrapText="1"/>
    </xf>
    <xf numFmtId="49" fontId="86" fillId="0" borderId="14" xfId="0" applyNumberFormat="1" applyFont="1" applyFill="1" applyBorder="1" applyAlignment="1">
      <alignment horizontal="center" vertical="center" wrapText="1"/>
    </xf>
    <xf numFmtId="49" fontId="85" fillId="0" borderId="14" xfId="0" applyNumberFormat="1" applyFont="1" applyFill="1" applyBorder="1" applyAlignment="1">
      <alignment horizontal="center" vertical="center" wrapText="1"/>
    </xf>
    <xf numFmtId="0" fontId="85" fillId="0" borderId="14" xfId="0" applyNumberFormat="1" applyFont="1" applyFill="1" applyBorder="1" applyAlignment="1">
      <alignment horizontal="center" vertical="center" wrapText="1"/>
    </xf>
    <xf numFmtId="49" fontId="63" fillId="2" borderId="16" xfId="901" applyNumberFormat="1" applyFont="1" applyFill="1" applyBorder="1" applyAlignment="1">
      <alignment horizontal="center" vertical="top" wrapText="1"/>
    </xf>
    <xf numFmtId="0" fontId="63" fillId="0" borderId="3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9" fontId="63" fillId="0" borderId="1" xfId="901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7" fillId="2" borderId="16" xfId="63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91" fillId="0" borderId="1" xfId="0" applyNumberFormat="1" applyFont="1" applyFill="1" applyBorder="1" applyAlignment="1">
      <alignment horizontal="center" vertical="center"/>
    </xf>
    <xf numFmtId="49" fontId="63" fillId="0" borderId="1" xfId="0" applyNumberFormat="1" applyFont="1" applyFill="1" applyBorder="1" applyAlignment="1" applyProtection="1">
      <alignment horizontal="center" vertical="center" wrapText="1"/>
    </xf>
    <xf numFmtId="0" fontId="63" fillId="0" borderId="1" xfId="0" applyNumberFormat="1" applyFont="1" applyFill="1" applyBorder="1" applyAlignment="1" applyProtection="1">
      <alignment horizontal="center" vertical="center" wrapText="1"/>
    </xf>
    <xf numFmtId="0" fontId="63" fillId="0" borderId="2" xfId="0" applyNumberFormat="1" applyFont="1" applyFill="1" applyBorder="1" applyAlignment="1">
      <alignment horizontal="center" vertical="center" wrapText="1"/>
    </xf>
    <xf numFmtId="49" fontId="63" fillId="27" borderId="1" xfId="0" applyNumberFormat="1" applyFont="1" applyFill="1" applyBorder="1" applyAlignment="1">
      <alignment horizontal="center" vertical="center" wrapText="1"/>
    </xf>
    <xf numFmtId="0" fontId="63" fillId="27" borderId="1" xfId="0" applyFont="1" applyFill="1" applyBorder="1" applyAlignment="1">
      <alignment horizontal="center" vertical="center" wrapText="1"/>
    </xf>
    <xf numFmtId="49" fontId="63" fillId="27" borderId="16" xfId="0" applyNumberFormat="1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49" fontId="63" fillId="26" borderId="1" xfId="0" applyNumberFormat="1" applyFont="1" applyFill="1" applyBorder="1" applyAlignment="1">
      <alignment horizontal="center" vertical="top" wrapText="1"/>
    </xf>
    <xf numFmtId="0" fontId="8" fillId="26" borderId="1" xfId="0" applyFont="1" applyFill="1" applyBorder="1" applyAlignment="1">
      <alignment horizontal="center" vertical="center" wrapText="1"/>
    </xf>
    <xf numFmtId="2" fontId="19" fillId="26" borderId="1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3" fillId="2" borderId="1" xfId="0" applyNumberFormat="1" applyFont="1" applyFill="1" applyBorder="1" applyAlignment="1">
      <alignment horizontal="center" vertical="center" wrapText="1"/>
    </xf>
    <xf numFmtId="49" fontId="92" fillId="0" borderId="1" xfId="0" applyNumberFormat="1" applyFont="1" applyFill="1" applyBorder="1" applyAlignment="1">
      <alignment horizontal="center" vertical="center"/>
    </xf>
    <xf numFmtId="49" fontId="63" fillId="28" borderId="1" xfId="0" applyNumberFormat="1" applyFont="1" applyFill="1" applyBorder="1" applyAlignment="1">
      <alignment horizontal="center" vertical="center" wrapText="1"/>
    </xf>
    <xf numFmtId="49" fontId="63" fillId="0" borderId="2" xfId="0" applyNumberFormat="1" applyFont="1" applyFill="1" applyBorder="1" applyAlignment="1">
      <alignment horizontal="right" vertical="top" wrapText="1"/>
    </xf>
    <xf numFmtId="49" fontId="63" fillId="0" borderId="16" xfId="0" applyNumberFormat="1" applyFont="1" applyFill="1" applyBorder="1" applyAlignment="1">
      <alignment horizontal="right" vertical="top" wrapText="1"/>
    </xf>
    <xf numFmtId="49" fontId="63" fillId="0" borderId="1" xfId="0" applyNumberFormat="1" applyFont="1" applyFill="1" applyBorder="1" applyAlignment="1">
      <alignment horizontal="center" vertical="top" wrapText="1"/>
    </xf>
    <xf numFmtId="49" fontId="89" fillId="0" borderId="2" xfId="0" applyNumberFormat="1" applyFont="1" applyFill="1" applyBorder="1" applyAlignment="1">
      <alignment horizontal="center" vertical="top" wrapText="1"/>
    </xf>
    <xf numFmtId="49" fontId="89" fillId="0" borderId="2" xfId="0" applyNumberFormat="1" applyFont="1" applyFill="1" applyBorder="1" applyAlignment="1">
      <alignment horizontal="right" vertical="top" wrapText="1"/>
    </xf>
    <xf numFmtId="49" fontId="89" fillId="0" borderId="16" xfId="0" applyNumberFormat="1" applyFont="1" applyFill="1" applyBorder="1" applyAlignment="1">
      <alignment horizontal="right" vertical="top" wrapText="1"/>
    </xf>
    <xf numFmtId="49" fontId="63" fillId="0" borderId="15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63" fillId="0" borderId="1" xfId="901" applyNumberFormat="1" applyFont="1" applyFill="1" applyBorder="1" applyAlignment="1">
      <alignment horizontal="center" vertical="top" wrapText="1"/>
    </xf>
    <xf numFmtId="49" fontId="63" fillId="0" borderId="16" xfId="901" applyNumberFormat="1" applyFont="1" applyFill="1" applyBorder="1" applyAlignment="1">
      <alignment horizontal="center" vertical="top" wrapText="1"/>
    </xf>
    <xf numFmtId="0" fontId="63" fillId="0" borderId="16" xfId="0" applyNumberFormat="1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6" xfId="633" applyNumberFormat="1" applyFont="1" applyFill="1" applyBorder="1" applyAlignment="1">
      <alignment horizontal="center" vertical="center" wrapText="1"/>
    </xf>
    <xf numFmtId="49" fontId="7" fillId="0" borderId="2" xfId="87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top" wrapText="1"/>
    </xf>
    <xf numFmtId="0" fontId="63" fillId="0" borderId="0" xfId="0" applyNumberFormat="1" applyFont="1" applyFill="1" applyAlignment="1">
      <alignment horizontal="center" vertical="center" wrapText="1"/>
    </xf>
    <xf numFmtId="2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vertical="center" wrapText="1"/>
    </xf>
    <xf numFmtId="0" fontId="7" fillId="26" borderId="1" xfId="0" applyNumberFormat="1" applyFont="1" applyFill="1" applyBorder="1" applyAlignment="1">
      <alignment horizontal="center" vertical="center" wrapText="1"/>
    </xf>
    <xf numFmtId="0" fontId="63" fillId="29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901" applyNumberFormat="1" applyFont="1" applyFill="1" applyBorder="1" applyAlignment="1" applyProtection="1">
      <alignment horizontal="center" vertical="center" wrapText="1"/>
    </xf>
    <xf numFmtId="2" fontId="7" fillId="0" borderId="1" xfId="901" applyNumberFormat="1" applyFont="1" applyFill="1" applyBorder="1" applyAlignment="1" applyProtection="1">
      <alignment horizontal="center" vertical="center" wrapText="1"/>
    </xf>
    <xf numFmtId="49" fontId="63" fillId="0" borderId="1" xfId="1" applyNumberFormat="1" applyFont="1" applyFill="1" applyBorder="1" applyAlignment="1" applyProtection="1">
      <alignment vertical="center" wrapText="1"/>
    </xf>
    <xf numFmtId="0" fontId="63" fillId="0" borderId="1" xfId="90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vertical="center" wrapText="1"/>
    </xf>
    <xf numFmtId="49" fontId="63" fillId="0" borderId="1" xfId="0" applyNumberFormat="1" applyFont="1" applyFill="1" applyBorder="1" applyAlignment="1" applyProtection="1">
      <alignment vertical="center" wrapText="1"/>
    </xf>
    <xf numFmtId="49" fontId="7" fillId="0" borderId="1" xfId="902" applyNumberFormat="1" applyFont="1" applyFill="1" applyBorder="1" applyAlignment="1">
      <alignment horizontal="left" vertical="center" wrapText="1"/>
    </xf>
    <xf numFmtId="0" fontId="7" fillId="0" borderId="16" xfId="654" applyNumberFormat="1" applyFont="1" applyFill="1" applyBorder="1" applyAlignment="1">
      <alignment horizontal="center" vertical="center" wrapText="1"/>
    </xf>
    <xf numFmtId="49" fontId="63" fillId="2" borderId="1" xfId="901" applyNumberFormat="1" applyFont="1" applyFill="1" applyBorder="1" applyAlignment="1">
      <alignment horizontal="left" vertical="center" wrapText="1"/>
    </xf>
    <xf numFmtId="0" fontId="63" fillId="2" borderId="1" xfId="901" applyNumberFormat="1" applyFont="1" applyFill="1" applyBorder="1" applyAlignment="1">
      <alignment horizontal="center" vertical="center" wrapText="1"/>
    </xf>
    <xf numFmtId="2" fontId="72" fillId="0" borderId="1" xfId="901" applyNumberFormat="1" applyFont="1" applyFill="1" applyBorder="1" applyAlignment="1">
      <alignment horizontal="center" vertical="center"/>
    </xf>
    <xf numFmtId="2" fontId="7" fillId="0" borderId="1" xfId="901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9" fontId="7" fillId="0" borderId="1" xfId="633" applyNumberFormat="1" applyFont="1" applyFill="1" applyBorder="1" applyAlignment="1">
      <alignment horizontal="left" vertical="center" wrapText="1"/>
    </xf>
    <xf numFmtId="2" fontId="7" fillId="0" borderId="16" xfId="901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vertical="top" wrapText="1"/>
    </xf>
    <xf numFmtId="49" fontId="63" fillId="0" borderId="1" xfId="901" applyNumberFormat="1" applyFont="1" applyFill="1" applyBorder="1" applyAlignment="1">
      <alignment vertical="center" wrapText="1"/>
    </xf>
    <xf numFmtId="0" fontId="63" fillId="0" borderId="1" xfId="901" applyNumberFormat="1" applyFont="1" applyFill="1" applyBorder="1" applyAlignment="1">
      <alignment horizontal="center" vertical="center" wrapText="1"/>
    </xf>
    <xf numFmtId="2" fontId="63" fillId="0" borderId="1" xfId="901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vertical="center" wrapText="1"/>
    </xf>
    <xf numFmtId="49" fontId="7" fillId="0" borderId="1" xfId="901" applyNumberFormat="1" applyFont="1" applyFill="1" applyBorder="1" applyAlignment="1">
      <alignment horizontal="left" vertical="top" wrapText="1"/>
    </xf>
    <xf numFmtId="2" fontId="7" fillId="0" borderId="3" xfId="901" applyNumberFormat="1" applyFont="1" applyFill="1" applyBorder="1" applyAlignment="1">
      <alignment horizontal="center" vertical="center"/>
    </xf>
    <xf numFmtId="2" fontId="7" fillId="0" borderId="1" xfId="89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2" fillId="0" borderId="3" xfId="901" applyNumberFormat="1" applyFont="1" applyFill="1" applyBorder="1" applyAlignment="1">
      <alignment horizontal="center" vertical="center"/>
    </xf>
    <xf numFmtId="49" fontId="63" fillId="2" borderId="1" xfId="0" applyNumberFormat="1" applyFont="1" applyFill="1" applyBorder="1" applyAlignment="1">
      <alignment horizontal="left" vertical="center" wrapText="1"/>
    </xf>
    <xf numFmtId="49" fontId="63" fillId="0" borderId="2" xfId="902" applyNumberFormat="1" applyFont="1" applyFill="1" applyBorder="1" applyAlignment="1">
      <alignment vertical="center" wrapText="1"/>
    </xf>
    <xf numFmtId="49" fontId="63" fillId="0" borderId="1" xfId="902" applyNumberFormat="1" applyFont="1" applyFill="1" applyBorder="1" applyAlignment="1">
      <alignment horizontal="left" vertical="center" wrapText="1"/>
    </xf>
    <xf numFmtId="49" fontId="63" fillId="0" borderId="1" xfId="633" applyNumberFormat="1" applyFont="1" applyFill="1" applyBorder="1" applyAlignment="1">
      <alignment horizontal="left" vertical="center" wrapText="1"/>
    </xf>
    <xf numFmtId="49" fontId="63" fillId="0" borderId="16" xfId="0" applyNumberFormat="1" applyFont="1" applyFill="1" applyBorder="1" applyAlignment="1">
      <alignment horizontal="left" vertical="center" wrapText="1"/>
    </xf>
    <xf numFmtId="2" fontId="15" fillId="32" borderId="1" xfId="0" applyNumberFormat="1" applyFont="1" applyFill="1" applyBorder="1" applyAlignment="1">
      <alignment horizontal="center" vertical="center" wrapText="1"/>
    </xf>
    <xf numFmtId="9" fontId="15" fillId="34" borderId="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right" vertical="center" wrapText="1"/>
    </xf>
    <xf numFmtId="0" fontId="86" fillId="34" borderId="4" xfId="0" applyNumberFormat="1" applyFont="1" applyFill="1" applyBorder="1" applyAlignment="1">
      <alignment horizontal="center" vertical="center" wrapText="1"/>
    </xf>
    <xf numFmtId="2" fontId="85" fillId="0" borderId="4" xfId="0" applyNumberFormat="1" applyFont="1" applyBorder="1" applyAlignment="1">
      <alignment horizontal="center" vertical="center" wrapText="1"/>
    </xf>
    <xf numFmtId="0" fontId="86" fillId="0" borderId="14" xfId="0" applyNumberFormat="1" applyFont="1" applyFill="1" applyBorder="1" applyAlignment="1">
      <alignment horizontal="center" vertical="center" wrapText="1"/>
    </xf>
    <xf numFmtId="2" fontId="85" fillId="0" borderId="14" xfId="0" applyNumberFormat="1" applyFont="1" applyBorder="1" applyAlignment="1">
      <alignment horizontal="center" vertical="center" wrapText="1"/>
    </xf>
    <xf numFmtId="0" fontId="86" fillId="34" borderId="14" xfId="0" applyNumberFormat="1" applyFont="1" applyFill="1" applyBorder="1" applyAlignment="1">
      <alignment horizontal="center" vertical="center" wrapText="1"/>
    </xf>
    <xf numFmtId="0" fontId="86" fillId="32" borderId="14" xfId="0" applyNumberFormat="1" applyFont="1" applyFill="1" applyBorder="1" applyAlignment="1">
      <alignment horizontal="center" vertical="center" wrapText="1"/>
    </xf>
    <xf numFmtId="2" fontId="85" fillId="32" borderId="14" xfId="0" applyNumberFormat="1" applyFont="1" applyFill="1" applyBorder="1" applyAlignment="1">
      <alignment horizontal="center" vertical="center" wrapText="1"/>
    </xf>
    <xf numFmtId="2" fontId="86" fillId="35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2" fontId="85" fillId="0" borderId="14" xfId="0" applyNumberFormat="1" applyFont="1" applyFill="1" applyBorder="1" applyAlignment="1">
      <alignment horizontal="center" vertical="center" wrapText="1"/>
    </xf>
    <xf numFmtId="2" fontId="86" fillId="0" borderId="14" xfId="0" applyNumberFormat="1" applyFont="1" applyFill="1" applyBorder="1" applyAlignment="1">
      <alignment horizontal="center" vertical="center" wrapText="1"/>
    </xf>
    <xf numFmtId="49" fontId="63" fillId="2" borderId="1" xfId="901" applyNumberFormat="1" applyFont="1" applyFill="1" applyBorder="1" applyAlignment="1">
      <alignment horizontal="left" vertical="top" wrapText="1"/>
    </xf>
    <xf numFmtId="2" fontId="7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3" fillId="28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/>
    </xf>
    <xf numFmtId="49" fontId="63" fillId="0" borderId="2" xfId="0" applyNumberFormat="1" applyFont="1" applyFill="1" applyBorder="1" applyAlignment="1" applyProtection="1">
      <alignment vertical="center" wrapText="1"/>
    </xf>
    <xf numFmtId="49" fontId="63" fillId="0" borderId="2" xfId="0" applyNumberFormat="1" applyFont="1" applyFill="1" applyBorder="1" applyAlignment="1">
      <alignment vertical="center" wrapText="1"/>
    </xf>
    <xf numFmtId="49" fontId="63" fillId="0" borderId="1" xfId="901" applyNumberFormat="1" applyFont="1" applyFill="1" applyBorder="1" applyAlignment="1">
      <alignment horizontal="left" vertical="center" wrapText="1"/>
    </xf>
    <xf numFmtId="49" fontId="63" fillId="2" borderId="2" xfId="633" applyNumberFormat="1" applyFont="1" applyFill="1" applyBorder="1" applyAlignment="1">
      <alignment vertical="center" wrapText="1"/>
    </xf>
    <xf numFmtId="0" fontId="63" fillId="2" borderId="1" xfId="633" applyNumberFormat="1" applyFont="1" applyFill="1" applyBorder="1" applyAlignment="1">
      <alignment horizontal="center" vertical="center" wrapText="1"/>
    </xf>
    <xf numFmtId="49" fontId="63" fillId="2" borderId="16" xfId="633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6" fillId="0" borderId="1" xfId="0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49" fontId="63" fillId="2" borderId="16" xfId="902" applyNumberFormat="1" applyFont="1" applyFill="1" applyBorder="1" applyAlignment="1">
      <alignment horizontal="left" vertical="center" wrapText="1"/>
    </xf>
    <xf numFmtId="49" fontId="63" fillId="2" borderId="16" xfId="654" applyNumberFormat="1" applyFont="1" applyFill="1" applyBorder="1" applyAlignment="1">
      <alignment horizontal="center" vertical="center" wrapText="1"/>
    </xf>
    <xf numFmtId="0" fontId="63" fillId="2" borderId="16" xfId="654" applyNumberFormat="1" applyFont="1" applyFill="1" applyBorder="1" applyAlignment="1">
      <alignment horizontal="center" vertical="center" wrapText="1"/>
    </xf>
    <xf numFmtId="2" fontId="7" fillId="0" borderId="16" xfId="903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6" xfId="904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63" fillId="0" borderId="16" xfId="0" applyNumberFormat="1" applyFont="1" applyFill="1" applyBorder="1" applyAlignment="1">
      <alignment vertical="center" wrapText="1"/>
    </xf>
    <xf numFmtId="172" fontId="63" fillId="0" borderId="16" xfId="901" applyNumberFormat="1" applyFont="1" applyFill="1" applyBorder="1" applyAlignment="1">
      <alignment horizontal="center" vertical="center" wrapText="1"/>
    </xf>
    <xf numFmtId="49" fontId="63" fillId="0" borderId="2" xfId="633" applyNumberFormat="1" applyFont="1" applyFill="1" applyBorder="1" applyAlignment="1">
      <alignment vertical="center" wrapText="1"/>
    </xf>
    <xf numFmtId="49" fontId="63" fillId="0" borderId="16" xfId="63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6" xfId="633" applyNumberFormat="1" applyFont="1" applyFill="1" applyBorder="1" applyAlignment="1">
      <alignment horizontal="left" vertical="center" wrapText="1"/>
    </xf>
    <xf numFmtId="49" fontId="7" fillId="0" borderId="1" xfId="682" applyNumberFormat="1" applyFont="1" applyFill="1" applyBorder="1" applyAlignment="1">
      <alignment horizontal="center" vertical="center" wrapText="1"/>
    </xf>
    <xf numFmtId="0" fontId="7" fillId="0" borderId="1" xfId="682" applyNumberFormat="1" applyFont="1" applyFill="1" applyBorder="1" applyAlignment="1">
      <alignment horizontal="center" vertical="center" wrapText="1"/>
    </xf>
    <xf numFmtId="49" fontId="63" fillId="0" borderId="16" xfId="902" applyNumberFormat="1" applyFont="1" applyFill="1" applyBorder="1" applyAlignment="1">
      <alignment horizontal="left" vertical="center" wrapText="1"/>
    </xf>
    <xf numFmtId="49" fontId="63" fillId="0" borderId="16" xfId="654" applyNumberFormat="1" applyFont="1" applyFill="1" applyBorder="1" applyAlignment="1">
      <alignment horizontal="center" vertical="center" wrapText="1"/>
    </xf>
    <xf numFmtId="0" fontId="63" fillId="0" borderId="16" xfId="654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63" fillId="27" borderId="1" xfId="0" applyFont="1" applyFill="1" applyBorder="1" applyAlignment="1">
      <alignment horizontal="left" vertical="center" wrapText="1"/>
    </xf>
    <xf numFmtId="0" fontId="7" fillId="27" borderId="1" xfId="0" applyNumberFormat="1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left" vertical="center" wrapText="1"/>
    </xf>
    <xf numFmtId="0" fontId="7" fillId="27" borderId="16" xfId="0" applyNumberFormat="1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vertical="center" wrapText="1"/>
    </xf>
    <xf numFmtId="0" fontId="63" fillId="26" borderId="1" xfId="0" applyFont="1" applyFill="1" applyBorder="1" applyAlignment="1">
      <alignment horizontal="center" vertical="center" wrapText="1"/>
    </xf>
    <xf numFmtId="2" fontId="63" fillId="26" borderId="1" xfId="0" applyNumberFormat="1" applyFont="1" applyFill="1" applyBorder="1" applyAlignment="1">
      <alignment horizontal="center" vertical="center" wrapText="1"/>
    </xf>
    <xf numFmtId="2" fontId="63" fillId="26" borderId="1" xfId="0" applyNumberFormat="1" applyFont="1" applyFill="1" applyBorder="1" applyAlignment="1">
      <alignment vertical="center" wrapText="1"/>
    </xf>
    <xf numFmtId="0" fontId="86" fillId="36" borderId="14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0" fontId="86" fillId="0" borderId="14" xfId="0" applyNumberFormat="1" applyFont="1" applyBorder="1" applyAlignment="1">
      <alignment horizontal="center" vertical="center" wrapText="1"/>
    </xf>
    <xf numFmtId="9" fontId="86" fillId="36" borderId="14" xfId="0" applyNumberFormat="1" applyFont="1" applyFill="1" applyBorder="1" applyAlignment="1">
      <alignment horizontal="center" vertical="center" wrapText="1"/>
    </xf>
    <xf numFmtId="2" fontId="15" fillId="26" borderId="1" xfId="0" applyNumberFormat="1" applyFont="1" applyFill="1" applyBorder="1" applyAlignment="1">
      <alignment horizontal="center" vertical="center" wrapText="1"/>
    </xf>
    <xf numFmtId="49" fontId="96" fillId="0" borderId="0" xfId="0" applyNumberFormat="1" applyFont="1" applyFill="1" applyAlignment="1">
      <alignment horizontal="center" vertical="center" wrapText="1"/>
    </xf>
    <xf numFmtId="0" fontId="79" fillId="0" borderId="0" xfId="0" applyNumberFormat="1" applyFont="1" applyFill="1" applyAlignment="1">
      <alignment horizontal="center" vertical="center" wrapText="1"/>
    </xf>
    <xf numFmtId="2" fontId="79" fillId="0" borderId="0" xfId="0" applyNumberFormat="1" applyFont="1" applyFill="1" applyAlignment="1">
      <alignment horizontal="center" vertical="center" wrapText="1"/>
    </xf>
    <xf numFmtId="2" fontId="7" fillId="29" borderId="1" xfId="0" applyNumberFormat="1" applyFont="1" applyFill="1" applyBorder="1" applyAlignment="1">
      <alignment horizontal="center" vertical="center" wrapText="1"/>
    </xf>
    <xf numFmtId="0" fontId="63" fillId="34" borderId="1" xfId="0" applyNumberFormat="1" applyFont="1" applyFill="1" applyBorder="1" applyAlignment="1">
      <alignment horizontal="center" vertical="center" wrapText="1"/>
    </xf>
    <xf numFmtId="0" fontId="63" fillId="34" borderId="1" xfId="0" applyNumberFormat="1" applyFont="1" applyFill="1" applyBorder="1" applyAlignment="1">
      <alignment vertical="center" wrapText="1"/>
    </xf>
    <xf numFmtId="2" fontId="63" fillId="34" borderId="1" xfId="0" applyNumberFormat="1" applyFont="1" applyFill="1" applyBorder="1" applyAlignment="1">
      <alignment vertical="center" wrapText="1"/>
    </xf>
    <xf numFmtId="0" fontId="7" fillId="28" borderId="1" xfId="900" applyNumberFormat="1" applyFont="1" applyFill="1" applyBorder="1" applyAlignment="1">
      <alignment horizontal="center" vertical="center" wrapText="1"/>
    </xf>
    <xf numFmtId="49" fontId="96" fillId="0" borderId="1" xfId="0" applyNumberFormat="1" applyFont="1" applyFill="1" applyBorder="1" applyAlignment="1">
      <alignment horizontal="center" vertical="center" wrapText="1"/>
    </xf>
    <xf numFmtId="0" fontId="63" fillId="0" borderId="1" xfId="902" applyNumberFormat="1" applyFont="1" applyFill="1" applyBorder="1" applyAlignment="1">
      <alignment horizontal="center" vertical="center" wrapText="1"/>
    </xf>
    <xf numFmtId="49" fontId="63" fillId="0" borderId="1" xfId="654" applyNumberFormat="1" applyFont="1" applyFill="1" applyBorder="1" applyAlignment="1">
      <alignment horizontal="left" vertical="center" wrapText="1"/>
    </xf>
    <xf numFmtId="49" fontId="63" fillId="0" borderId="1" xfId="735" applyNumberFormat="1" applyFont="1" applyFill="1" applyBorder="1" applyAlignment="1">
      <alignment horizontal="left" vertical="center" wrapText="1"/>
    </xf>
    <xf numFmtId="0" fontId="7" fillId="0" borderId="1" xfId="735" applyNumberFormat="1" applyFont="1" applyFill="1" applyBorder="1" applyAlignment="1">
      <alignment horizontal="center" vertical="center" wrapText="1"/>
    </xf>
    <xf numFmtId="0" fontId="63" fillId="0" borderId="1" xfId="735" applyNumberFormat="1" applyFont="1" applyFill="1" applyBorder="1" applyAlignment="1">
      <alignment horizontal="center" vertical="center" wrapText="1"/>
    </xf>
    <xf numFmtId="49" fontId="7" fillId="0" borderId="1" xfId="735" applyNumberFormat="1" applyFont="1" applyFill="1" applyBorder="1" applyAlignment="1">
      <alignment horizontal="left" vertical="center" wrapText="1"/>
    </xf>
    <xf numFmtId="49" fontId="63" fillId="0" borderId="1" xfId="681" applyNumberFormat="1" applyFont="1" applyFill="1" applyBorder="1" applyAlignment="1">
      <alignment horizontal="left" vertical="center" wrapText="1"/>
    </xf>
    <xf numFmtId="49" fontId="7" fillId="0" borderId="1" xfId="681" applyNumberFormat="1" applyFont="1" applyFill="1" applyBorder="1" applyAlignment="1">
      <alignment horizontal="left" vertical="center" wrapText="1"/>
    </xf>
    <xf numFmtId="49" fontId="7" fillId="0" borderId="1" xfId="905" applyNumberFormat="1" applyFont="1" applyFill="1" applyBorder="1" applyAlignment="1">
      <alignment horizontal="left" vertical="center" wrapText="1"/>
    </xf>
    <xf numFmtId="0" fontId="7" fillId="0" borderId="1" xfId="905" applyNumberFormat="1" applyFont="1" applyFill="1" applyBorder="1" applyAlignment="1">
      <alignment horizontal="center" vertical="center" wrapText="1"/>
    </xf>
    <xf numFmtId="49" fontId="63" fillId="0" borderId="1" xfId="870" applyNumberFormat="1" applyFont="1" applyFill="1" applyBorder="1" applyAlignment="1">
      <alignment horizontal="left" vertical="center" wrapText="1"/>
    </xf>
    <xf numFmtId="0" fontId="63" fillId="0" borderId="1" xfId="870" applyNumberFormat="1" applyFont="1" applyFill="1" applyBorder="1" applyAlignment="1">
      <alignment horizontal="center" vertical="center" wrapText="1"/>
    </xf>
    <xf numFmtId="49" fontId="7" fillId="0" borderId="2" xfId="870" applyNumberFormat="1" applyFont="1" applyFill="1" applyBorder="1" applyAlignment="1">
      <alignment horizontal="left" vertical="center" wrapText="1"/>
    </xf>
    <xf numFmtId="0" fontId="63" fillId="2" borderId="1" xfId="646" applyNumberFormat="1" applyFont="1" applyFill="1" applyBorder="1" applyAlignment="1">
      <alignment horizontal="center" vertical="center" wrapText="1"/>
    </xf>
    <xf numFmtId="2" fontId="63" fillId="2" borderId="1" xfId="903" applyNumberFormat="1" applyFont="1" applyFill="1" applyBorder="1" applyAlignment="1">
      <alignment horizontal="center" vertical="center" wrapText="1"/>
    </xf>
    <xf numFmtId="2" fontId="63" fillId="2" borderId="1" xfId="0" applyNumberFormat="1" applyFont="1" applyFill="1" applyBorder="1" applyAlignment="1">
      <alignment horizontal="center" vertical="center" wrapText="1"/>
    </xf>
    <xf numFmtId="2" fontId="63" fillId="2" borderId="1" xfId="904" applyNumberFormat="1" applyFont="1" applyFill="1" applyBorder="1" applyAlignment="1">
      <alignment horizontal="center" vertical="center" wrapText="1"/>
    </xf>
    <xf numFmtId="0" fontId="63" fillId="0" borderId="4" xfId="0" applyNumberFormat="1" applyFont="1" applyFill="1" applyBorder="1" applyAlignment="1">
      <alignment horizontal="center" vertical="center" wrapText="1"/>
    </xf>
    <xf numFmtId="2" fontId="63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63" fillId="2" borderId="14" xfId="0" applyNumberFormat="1" applyFont="1" applyFill="1" applyBorder="1" applyAlignment="1">
      <alignment horizontal="center" vertical="center" wrapText="1"/>
    </xf>
    <xf numFmtId="2" fontId="63" fillId="2" borderId="14" xfId="0" applyNumberFormat="1" applyFont="1" applyFill="1" applyBorder="1" applyAlignment="1">
      <alignment horizontal="center" vertical="center" wrapText="1"/>
    </xf>
    <xf numFmtId="0" fontId="7" fillId="28" borderId="2" xfId="900" applyNumberFormat="1" applyFont="1" applyFill="1" applyBorder="1" applyAlignment="1">
      <alignment horizontal="center" vertical="center" wrapText="1"/>
    </xf>
    <xf numFmtId="2" fontId="7" fillId="0" borderId="2" xfId="903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904" applyNumberFormat="1" applyFont="1" applyFill="1" applyBorder="1" applyAlignment="1">
      <alignment horizontal="center" vertical="center" wrapText="1"/>
    </xf>
    <xf numFmtId="49" fontId="7" fillId="0" borderId="1" xfId="870" applyNumberFormat="1" applyFont="1" applyFill="1" applyBorder="1" applyAlignment="1">
      <alignment horizontal="left" vertical="center" wrapText="1"/>
    </xf>
    <xf numFmtId="49" fontId="63" fillId="0" borderId="1" xfId="646" applyNumberFormat="1" applyFont="1" applyBorder="1" applyAlignment="1">
      <alignment horizontal="center" vertical="center" wrapText="1"/>
    </xf>
    <xf numFmtId="2" fontId="63" fillId="0" borderId="1" xfId="0" applyNumberFormat="1" applyFont="1" applyFill="1" applyBorder="1" applyAlignment="1">
      <alignment horizontal="center" vertical="center" wrapText="1"/>
    </xf>
    <xf numFmtId="0" fontId="97" fillId="0" borderId="1" xfId="0" applyNumberFormat="1" applyFont="1" applyFill="1" applyBorder="1" applyAlignment="1">
      <alignment horizontal="center" vertical="center" wrapText="1"/>
    </xf>
    <xf numFmtId="2" fontId="97" fillId="0" borderId="1" xfId="0" applyNumberFormat="1" applyFont="1" applyFill="1" applyBorder="1" applyAlignment="1">
      <alignment horizontal="center" vertical="center" wrapText="1"/>
    </xf>
    <xf numFmtId="2" fontId="97" fillId="0" borderId="1" xfId="903" applyNumberFormat="1" applyFont="1" applyFill="1" applyBorder="1" applyAlignment="1">
      <alignment horizontal="center" vertical="center" wrapText="1"/>
    </xf>
    <xf numFmtId="2" fontId="6" fillId="0" borderId="1" xfId="901" applyNumberFormat="1" applyFont="1" applyFill="1" applyBorder="1" applyAlignment="1">
      <alignment horizontal="center" vertical="center" wrapText="1"/>
    </xf>
    <xf numFmtId="9" fontId="63" fillId="34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63" fillId="30" borderId="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86" fillId="0" borderId="14" xfId="0" applyNumberFormat="1" applyFont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98" fillId="0" borderId="0" xfId="0" applyNumberFormat="1" applyFont="1" applyAlignment="1">
      <alignment vertical="center"/>
    </xf>
    <xf numFmtId="0" fontId="97" fillId="0" borderId="0" xfId="0" applyFont="1" applyFill="1" applyAlignment="1">
      <alignment horizontal="center" vertical="center" wrapText="1"/>
    </xf>
    <xf numFmtId="0" fontId="70" fillId="0" borderId="0" xfId="0" applyFont="1"/>
    <xf numFmtId="2" fontId="68" fillId="0" borderId="0" xfId="0" applyNumberFormat="1" applyFont="1" applyFill="1" applyAlignment="1">
      <alignment horizontal="right" vertical="center" wrapText="1"/>
    </xf>
    <xf numFmtId="49" fontId="63" fillId="0" borderId="1" xfId="0" applyNumberFormat="1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49" fontId="63" fillId="37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1" fillId="37" borderId="1" xfId="0" applyNumberFormat="1" applyFont="1" applyFill="1" applyBorder="1" applyAlignment="1">
      <alignment horizontal="left" vertical="center" wrapText="1"/>
    </xf>
    <xf numFmtId="49" fontId="7" fillId="37" borderId="4" xfId="0" applyNumberFormat="1" applyFont="1" applyFill="1" applyBorder="1" applyAlignment="1">
      <alignment horizontal="center" vertical="center" wrapText="1"/>
    </xf>
    <xf numFmtId="49" fontId="92" fillId="0" borderId="1" xfId="0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</xf>
    <xf numFmtId="49" fontId="92" fillId="0" borderId="0" xfId="0" applyNumberFormat="1" applyFont="1" applyFill="1" applyAlignment="1">
      <alignment horizontal="center" vertical="center" wrapText="1"/>
    </xf>
    <xf numFmtId="49" fontId="19" fillId="0" borderId="1" xfId="1" applyNumberFormat="1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left" vertical="center" wrapText="1"/>
    </xf>
    <xf numFmtId="0" fontId="99" fillId="0" borderId="1" xfId="0" applyNumberFormat="1" applyFont="1" applyFill="1" applyBorder="1" applyAlignment="1">
      <alignment horizontal="center" vertical="center" wrapText="1"/>
    </xf>
    <xf numFmtId="49" fontId="19" fillId="27" borderId="1" xfId="0" applyNumberFormat="1" applyFont="1" applyFill="1" applyBorder="1" applyAlignment="1">
      <alignment vertical="center" wrapText="1"/>
    </xf>
    <xf numFmtId="0" fontId="11" fillId="27" borderId="16" xfId="0" applyNumberFormat="1" applyFont="1" applyFill="1" applyBorder="1" applyAlignment="1">
      <alignment horizontal="center" vertical="center" wrapText="1"/>
    </xf>
    <xf numFmtId="49" fontId="7" fillId="27" borderId="16" xfId="682" applyNumberFormat="1" applyFont="1" applyFill="1" applyBorder="1" applyAlignment="1">
      <alignment horizontal="center" vertical="center" wrapText="1"/>
    </xf>
    <xf numFmtId="49" fontId="11" fillId="27" borderId="1" xfId="682" applyNumberFormat="1" applyFont="1" applyFill="1" applyBorder="1" applyAlignment="1">
      <alignment vertical="center" wrapText="1"/>
    </xf>
    <xf numFmtId="0" fontId="11" fillId="27" borderId="1" xfId="682" applyNumberFormat="1" applyFont="1" applyFill="1" applyBorder="1" applyAlignment="1">
      <alignment horizontal="center" vertical="center" wrapText="1"/>
    </xf>
    <xf numFmtId="0" fontId="11" fillId="0" borderId="16" xfId="682" applyNumberFormat="1" applyFont="1" applyFill="1" applyBorder="1" applyAlignment="1">
      <alignment horizontal="center" vertical="center" wrapText="1"/>
    </xf>
    <xf numFmtId="49" fontId="7" fillId="27" borderId="16" xfId="0" applyNumberFormat="1" applyFont="1" applyFill="1" applyBorder="1" applyAlignment="1">
      <alignment horizontal="center" vertical="center" wrapText="1"/>
    </xf>
    <xf numFmtId="49" fontId="11" fillId="27" borderId="16" xfId="0" applyNumberFormat="1" applyFont="1" applyFill="1" applyBorder="1" applyAlignment="1">
      <alignment vertical="center" wrapText="1"/>
    </xf>
    <xf numFmtId="49" fontId="7" fillId="27" borderId="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" xfId="682" applyNumberFormat="1" applyFont="1" applyFill="1" applyBorder="1" applyAlignment="1">
      <alignment horizontal="center" vertical="center" wrapText="1"/>
    </xf>
    <xf numFmtId="49" fontId="11" fillId="0" borderId="16" xfId="682" applyNumberFormat="1" applyFont="1" applyBorder="1" applyAlignment="1">
      <alignment horizontal="left" vertical="center" wrapText="1"/>
    </xf>
    <xf numFmtId="49" fontId="7" fillId="0" borderId="16" xfId="682" applyNumberFormat="1" applyFont="1" applyBorder="1" applyAlignment="1">
      <alignment horizontal="center" vertical="center" wrapText="1"/>
    </xf>
    <xf numFmtId="0" fontId="7" fillId="0" borderId="16" xfId="682" applyFont="1" applyBorder="1" applyAlignment="1">
      <alignment horizontal="center" vertical="center" wrapText="1"/>
    </xf>
    <xf numFmtId="0" fontId="11" fillId="0" borderId="1" xfId="682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top" wrapText="1"/>
    </xf>
    <xf numFmtId="0" fontId="19" fillId="0" borderId="1" xfId="2" applyNumberFormat="1" applyFont="1" applyFill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3" fillId="0" borderId="1" xfId="0" applyNumberFormat="1" applyFont="1" applyFill="1" applyBorder="1" applyAlignment="1">
      <alignment horizontal="center" vertical="top" wrapText="1"/>
    </xf>
    <xf numFmtId="49" fontId="63" fillId="0" borderId="2" xfId="0" applyNumberFormat="1" applyFont="1" applyFill="1" applyBorder="1" applyAlignment="1">
      <alignment horizontal="right" vertical="top" wrapText="1"/>
    </xf>
    <xf numFmtId="49" fontId="63" fillId="0" borderId="16" xfId="0" applyNumberFormat="1" applyFont="1" applyFill="1" applyBorder="1" applyAlignment="1">
      <alignment horizontal="right" vertical="top" wrapText="1"/>
    </xf>
    <xf numFmtId="49" fontId="63" fillId="0" borderId="2" xfId="633" applyNumberFormat="1" applyFont="1" applyFill="1" applyBorder="1" applyAlignment="1">
      <alignment horizontal="right" vertical="top" wrapText="1"/>
    </xf>
    <xf numFmtId="49" fontId="63" fillId="0" borderId="15" xfId="633" applyNumberFormat="1" applyFont="1" applyFill="1" applyBorder="1" applyAlignment="1">
      <alignment horizontal="right" vertical="top" wrapText="1"/>
    </xf>
    <xf numFmtId="49" fontId="63" fillId="0" borderId="16" xfId="633" applyNumberFormat="1" applyFont="1" applyFill="1" applyBorder="1" applyAlignment="1">
      <alignment horizontal="right" vertical="top" wrapText="1"/>
    </xf>
    <xf numFmtId="49" fontId="63" fillId="0" borderId="1" xfId="0" applyNumberFormat="1" applyFont="1" applyFill="1" applyBorder="1" applyAlignment="1">
      <alignment horizontal="right" vertical="top" wrapText="1"/>
    </xf>
    <xf numFmtId="49" fontId="90" fillId="0" borderId="2" xfId="901" applyNumberFormat="1" applyFont="1" applyFill="1" applyBorder="1" applyAlignment="1">
      <alignment horizontal="right" vertical="top" wrapText="1"/>
    </xf>
    <xf numFmtId="49" fontId="90" fillId="0" borderId="15" xfId="901" applyNumberFormat="1" applyFont="1" applyFill="1" applyBorder="1" applyAlignment="1">
      <alignment horizontal="right" vertical="top" wrapText="1"/>
    </xf>
    <xf numFmtId="49" fontId="89" fillId="0" borderId="2" xfId="0" applyNumberFormat="1" applyFont="1" applyFill="1" applyBorder="1" applyAlignment="1">
      <alignment horizontal="right" vertical="top" wrapText="1"/>
    </xf>
    <xf numFmtId="49" fontId="89" fillId="0" borderId="15" xfId="0" applyNumberFormat="1" applyFont="1" applyFill="1" applyBorder="1" applyAlignment="1">
      <alignment horizontal="right" vertical="top" wrapText="1"/>
    </xf>
    <xf numFmtId="49" fontId="89" fillId="0" borderId="16" xfId="0" applyNumberFormat="1" applyFont="1" applyFill="1" applyBorder="1" applyAlignment="1">
      <alignment horizontal="right" vertical="top" wrapText="1"/>
    </xf>
    <xf numFmtId="49" fontId="63" fillId="0" borderId="15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0" fontId="63" fillId="0" borderId="2" xfId="0" applyNumberFormat="1" applyFont="1" applyFill="1" applyBorder="1" applyAlignment="1">
      <alignment horizontal="center" vertical="top" wrapText="1"/>
    </xf>
    <xf numFmtId="0" fontId="63" fillId="0" borderId="15" xfId="0" applyNumberFormat="1" applyFont="1" applyFill="1" applyBorder="1" applyAlignment="1">
      <alignment horizontal="center" vertical="top" wrapText="1"/>
    </xf>
    <xf numFmtId="0" fontId="63" fillId="0" borderId="16" xfId="0" applyNumberFormat="1" applyFont="1" applyFill="1" applyBorder="1" applyAlignment="1">
      <alignment horizontal="center" vertical="top" wrapText="1"/>
    </xf>
    <xf numFmtId="49" fontId="63" fillId="0" borderId="2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3" fillId="0" borderId="2" xfId="0" applyNumberFormat="1" applyFont="1" applyFill="1" applyBorder="1" applyAlignment="1">
      <alignment vertical="center" wrapText="1"/>
    </xf>
    <xf numFmtId="49" fontId="63" fillId="0" borderId="16" xfId="0" applyNumberFormat="1" applyFont="1" applyFill="1" applyBorder="1" applyAlignment="1">
      <alignment vertical="center" wrapText="1"/>
    </xf>
    <xf numFmtId="49" fontId="63" fillId="0" borderId="2" xfId="0" applyNumberFormat="1" applyFont="1" applyFill="1" applyBorder="1" applyAlignment="1">
      <alignment horizontal="center" vertical="top" wrapText="1"/>
    </xf>
    <xf numFmtId="49" fontId="63" fillId="0" borderId="15" xfId="0" applyNumberFormat="1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top" wrapText="1"/>
    </xf>
    <xf numFmtId="49" fontId="63" fillId="2" borderId="2" xfId="2" applyNumberFormat="1" applyFont="1" applyFill="1" applyBorder="1" applyAlignment="1">
      <alignment horizontal="center" vertical="center" wrapText="1"/>
    </xf>
    <xf numFmtId="49" fontId="63" fillId="2" borderId="16" xfId="2" applyNumberFormat="1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horizontal="right" vertical="top" wrapText="1"/>
    </xf>
    <xf numFmtId="0" fontId="63" fillId="0" borderId="0" xfId="0" applyNumberFormat="1" applyFont="1" applyFill="1" applyAlignment="1">
      <alignment horizontal="center" vertical="center" wrapText="1"/>
    </xf>
    <xf numFmtId="49" fontId="93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9" fontId="63" fillId="0" borderId="1" xfId="901" applyNumberFormat="1" applyFont="1" applyFill="1" applyBorder="1" applyAlignment="1">
      <alignment horizontal="center" vertical="top" wrapText="1"/>
    </xf>
    <xf numFmtId="49" fontId="63" fillId="0" borderId="2" xfId="901" applyNumberFormat="1" applyFont="1" applyFill="1" applyBorder="1" applyAlignment="1">
      <alignment horizontal="right" vertical="top" wrapText="1"/>
    </xf>
    <xf numFmtId="49" fontId="63" fillId="0" borderId="15" xfId="901" applyNumberFormat="1" applyFont="1" applyFill="1" applyBorder="1" applyAlignment="1">
      <alignment horizontal="right" vertical="top" wrapText="1"/>
    </xf>
    <xf numFmtId="49" fontId="63" fillId="0" borderId="16" xfId="901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66" fillId="0" borderId="2" xfId="901" applyNumberFormat="1" applyFont="1" applyFill="1" applyBorder="1" applyAlignment="1">
      <alignment horizontal="right" vertical="center" wrapText="1"/>
    </xf>
    <xf numFmtId="49" fontId="66" fillId="0" borderId="16" xfId="901" applyNumberFormat="1" applyFont="1" applyFill="1" applyBorder="1" applyAlignment="1">
      <alignment horizontal="right" vertical="center" wrapText="1"/>
    </xf>
    <xf numFmtId="49" fontId="63" fillId="0" borderId="1" xfId="0" applyNumberFormat="1" applyFont="1" applyFill="1" applyBorder="1" applyAlignment="1">
      <alignment vertical="center" wrapText="1"/>
    </xf>
    <xf numFmtId="49" fontId="64" fillId="0" borderId="2" xfId="0" applyNumberFormat="1" applyFont="1" applyFill="1" applyBorder="1" applyAlignment="1">
      <alignment horizontal="right" vertical="center" wrapText="1"/>
    </xf>
    <xf numFmtId="49" fontId="64" fillId="0" borderId="15" xfId="0" applyNumberFormat="1" applyFont="1" applyFill="1" applyBorder="1" applyAlignment="1">
      <alignment horizontal="right" vertical="center" wrapText="1"/>
    </xf>
    <xf numFmtId="49" fontId="64" fillId="0" borderId="16" xfId="0" applyNumberFormat="1" applyFont="1" applyFill="1" applyBorder="1" applyAlignment="1">
      <alignment horizontal="right" vertical="center" wrapText="1"/>
    </xf>
    <xf numFmtId="49" fontId="64" fillId="0" borderId="2" xfId="0" applyNumberFormat="1" applyFont="1" applyFill="1" applyBorder="1" applyAlignment="1">
      <alignment horizontal="right" vertical="top" wrapText="1"/>
    </xf>
    <xf numFmtId="49" fontId="64" fillId="0" borderId="15" xfId="0" applyNumberFormat="1" applyFont="1" applyFill="1" applyBorder="1" applyAlignment="1">
      <alignment horizontal="right" vertical="top" wrapText="1"/>
    </xf>
    <xf numFmtId="49" fontId="64" fillId="0" borderId="16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49" fontId="7" fillId="0" borderId="16" xfId="0" applyNumberFormat="1" applyFont="1" applyFill="1" applyBorder="1" applyAlignment="1">
      <alignment horizontal="right" vertical="top" wrapText="1"/>
    </xf>
    <xf numFmtId="49" fontId="63" fillId="0" borderId="2" xfId="901" applyNumberFormat="1" applyFont="1" applyFill="1" applyBorder="1" applyAlignment="1">
      <alignment horizontal="center" vertical="top" wrapText="1"/>
    </xf>
    <xf numFmtId="49" fontId="63" fillId="0" borderId="15" xfId="901" applyNumberFormat="1" applyFont="1" applyFill="1" applyBorder="1" applyAlignment="1">
      <alignment horizontal="center" vertical="top" wrapText="1"/>
    </xf>
    <xf numFmtId="49" fontId="63" fillId="0" borderId="16" xfId="901" applyNumberFormat="1" applyFont="1" applyFill="1" applyBorder="1" applyAlignment="1">
      <alignment horizontal="center" vertical="top" wrapText="1"/>
    </xf>
    <xf numFmtId="2" fontId="7" fillId="0" borderId="2" xfId="903" applyNumberFormat="1" applyFont="1" applyFill="1" applyBorder="1" applyAlignment="1">
      <alignment horizontal="center" vertical="center" wrapText="1"/>
    </xf>
    <xf numFmtId="2" fontId="7" fillId="0" borderId="15" xfId="903" applyNumberFormat="1" applyFont="1" applyFill="1" applyBorder="1" applyAlignment="1">
      <alignment horizontal="center" vertical="center" wrapText="1"/>
    </xf>
    <xf numFmtId="49" fontId="7" fillId="0" borderId="2" xfId="902" applyNumberFormat="1" applyFont="1" applyFill="1" applyBorder="1" applyAlignment="1">
      <alignment horizontal="center" vertical="center" wrapText="1"/>
    </xf>
    <xf numFmtId="49" fontId="7" fillId="0" borderId="15" xfId="902" applyNumberFormat="1" applyFont="1" applyFill="1" applyBorder="1" applyAlignment="1">
      <alignment horizontal="center" vertical="center" wrapText="1"/>
    </xf>
    <xf numFmtId="49" fontId="7" fillId="0" borderId="2" xfId="901" applyNumberFormat="1" applyFont="1" applyFill="1" applyBorder="1" applyAlignment="1">
      <alignment horizontal="center" vertical="center" wrapText="1"/>
    </xf>
    <xf numFmtId="49" fontId="7" fillId="0" borderId="15" xfId="901" applyNumberFormat="1" applyFont="1" applyFill="1" applyBorder="1" applyAlignment="1">
      <alignment horizontal="center" vertical="center" wrapText="1"/>
    </xf>
    <xf numFmtId="49" fontId="7" fillId="0" borderId="16" xfId="90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2" xfId="735" applyNumberFormat="1" applyFont="1" applyFill="1" applyBorder="1" applyAlignment="1">
      <alignment horizontal="center" vertical="center" wrapText="1"/>
    </xf>
    <xf numFmtId="49" fontId="7" fillId="0" borderId="15" xfId="735" applyNumberFormat="1" applyFont="1" applyFill="1" applyBorder="1" applyAlignment="1">
      <alignment horizontal="center" vertical="center" wrapText="1"/>
    </xf>
    <xf numFmtId="49" fontId="7" fillId="0" borderId="16" xfId="735" applyNumberFormat="1" applyFont="1" applyFill="1" applyBorder="1" applyAlignment="1">
      <alignment horizontal="center" vertical="center" wrapText="1"/>
    </xf>
    <xf numFmtId="49" fontId="7" fillId="0" borderId="16" xfId="902" applyNumberFormat="1" applyFont="1" applyFill="1" applyBorder="1" applyAlignment="1">
      <alignment horizontal="center" vertical="center" wrapText="1"/>
    </xf>
    <xf numFmtId="49" fontId="7" fillId="0" borderId="2" xfId="633" applyNumberFormat="1" applyFont="1" applyFill="1" applyBorder="1" applyAlignment="1">
      <alignment horizontal="center" vertical="center" wrapText="1"/>
    </xf>
    <xf numFmtId="49" fontId="7" fillId="0" borderId="15" xfId="633" applyNumberFormat="1" applyFont="1" applyFill="1" applyBorder="1" applyAlignment="1">
      <alignment horizontal="center" vertical="center" wrapText="1"/>
    </xf>
    <xf numFmtId="49" fontId="7" fillId="0" borderId="16" xfId="633" applyNumberFormat="1" applyFont="1" applyFill="1" applyBorder="1" applyAlignment="1">
      <alignment horizontal="center" vertical="center" wrapText="1"/>
    </xf>
    <xf numFmtId="49" fontId="7" fillId="0" borderId="2" xfId="870" applyNumberFormat="1" applyFont="1" applyFill="1" applyBorder="1" applyAlignment="1">
      <alignment horizontal="center" vertical="center" wrapText="1"/>
    </xf>
    <xf numFmtId="49" fontId="7" fillId="0" borderId="16" xfId="870" applyNumberFormat="1" applyFont="1" applyFill="1" applyBorder="1" applyAlignment="1">
      <alignment horizontal="center" vertical="center" wrapText="1"/>
    </xf>
    <xf numFmtId="49" fontId="7" fillId="0" borderId="2" xfId="654" applyNumberFormat="1" applyFont="1" applyFill="1" applyBorder="1" applyAlignment="1">
      <alignment horizontal="center" vertical="center" wrapText="1"/>
    </xf>
    <xf numFmtId="49" fontId="7" fillId="0" borderId="16" xfId="654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81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6" borderId="3" xfId="0" applyFont="1" applyFill="1" applyBorder="1" applyAlignment="1">
      <alignment horizontal="center" vertical="center" wrapText="1"/>
    </xf>
    <xf numFmtId="0" fontId="12" fillId="26" borderId="4" xfId="0" applyFont="1" applyFill="1" applyBorder="1" applyAlignment="1">
      <alignment horizontal="center" vertical="center" wrapText="1"/>
    </xf>
    <xf numFmtId="49" fontId="7" fillId="0" borderId="2" xfId="681" applyNumberFormat="1" applyFont="1" applyFill="1" applyBorder="1" applyAlignment="1">
      <alignment horizontal="center" vertical="center" wrapText="1"/>
    </xf>
    <xf numFmtId="49" fontId="7" fillId="0" borderId="15" xfId="681" applyNumberFormat="1" applyFont="1" applyFill="1" applyBorder="1" applyAlignment="1">
      <alignment horizontal="center" vertical="center" wrapText="1"/>
    </xf>
    <xf numFmtId="49" fontId="7" fillId="0" borderId="16" xfId="681" applyNumberFormat="1" applyFont="1" applyFill="1" applyBorder="1" applyAlignment="1">
      <alignment horizontal="center" vertical="center" wrapText="1"/>
    </xf>
    <xf numFmtId="49" fontId="63" fillId="31" borderId="2" xfId="0" applyNumberFormat="1" applyFont="1" applyFill="1" applyBorder="1" applyAlignment="1">
      <alignment horizontal="center" vertical="center" wrapText="1"/>
    </xf>
    <xf numFmtId="49" fontId="63" fillId="31" borderId="16" xfId="0" applyNumberFormat="1" applyFont="1" applyFill="1" applyBorder="1" applyAlignment="1">
      <alignment horizontal="center" vertical="center" wrapText="1"/>
    </xf>
    <xf numFmtId="49" fontId="7" fillId="0" borderId="1" xfId="633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7" fillId="31" borderId="2" xfId="0" applyNumberFormat="1" applyFont="1" applyFill="1" applyBorder="1" applyAlignment="1">
      <alignment horizontal="center" vertical="center" wrapTex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7" fillId="31" borderId="2" xfId="0" applyNumberFormat="1" applyFont="1" applyFill="1" applyBorder="1" applyAlignment="1">
      <alignment horizontal="center" vertical="center" wrapText="1"/>
    </xf>
    <xf numFmtId="0" fontId="7" fillId="31" borderId="16" xfId="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1" fillId="0" borderId="0" xfId="0" applyFont="1" applyAlignment="1">
      <alignment horizontal="center"/>
    </xf>
  </cellXfs>
  <cellStyles count="909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01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7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2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6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Book1_axalqalaqis skola " xfId="905"/>
    <cellStyle name="Normal_gare wyalsadfenigagarini 10" xfId="899"/>
    <cellStyle name="Normal_gare wyalsadfenigagarini 2 2" xfId="900"/>
    <cellStyle name="Normal_gare wyalsadfenigagarini_SUSTI DENEBI_axalqalaqis skola " xfId="904"/>
    <cellStyle name="Normal_SUSTI DENEBI" xfId="90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Обычный_Лист1" xfId="908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CCCC00"/>
      <color rgb="FFFFFFCC"/>
      <color rgb="FFFFCCFF"/>
      <color rgb="FFFF99FF"/>
      <color rgb="FFFF66FF"/>
      <color rgb="FF00FF99"/>
      <color rgb="FF6666FF"/>
      <color rgb="FF9900FF"/>
      <color rgb="FFFED2A2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tabSelected="1" zoomScale="80" zoomScaleNormal="80" workbookViewId="0">
      <selection activeCell="A25" sqref="A25:D26"/>
    </sheetView>
  </sheetViews>
  <sheetFormatPr defaultRowHeight="15"/>
  <cols>
    <col min="2" max="2" width="27.140625" customWidth="1"/>
    <col min="3" max="3" width="55.42578125" customWidth="1"/>
    <col min="4" max="4" width="33.42578125" style="251" customWidth="1"/>
    <col min="5" max="6" width="33.42578125" customWidth="1"/>
  </cols>
  <sheetData>
    <row r="1" spans="1:6" s="147" customFormat="1" ht="15.75">
      <c r="A1" s="581" t="s">
        <v>208</v>
      </c>
      <c r="B1" s="581"/>
      <c r="C1" s="581"/>
      <c r="D1" s="581"/>
    </row>
    <row r="2" spans="1:6" s="147" customFormat="1" ht="15.75">
      <c r="A2" s="2"/>
      <c r="B2" s="2"/>
      <c r="C2" s="2"/>
      <c r="D2" s="249"/>
    </row>
    <row r="3" spans="1:6" s="147" customFormat="1" ht="42" customHeight="1">
      <c r="A3" s="581" t="s">
        <v>371</v>
      </c>
      <c r="B3" s="581"/>
      <c r="C3" s="581"/>
      <c r="D3" s="581"/>
    </row>
    <row r="4" spans="1:6" s="147" customFormat="1" ht="15.75">
      <c r="A4" s="2"/>
      <c r="B4" s="2"/>
      <c r="C4" s="2"/>
      <c r="D4" s="249"/>
    </row>
    <row r="5" spans="1:6" s="147" customFormat="1" ht="23.25" customHeight="1">
      <c r="A5" s="582" t="s">
        <v>0</v>
      </c>
      <c r="B5" s="582" t="s">
        <v>209</v>
      </c>
      <c r="C5" s="582" t="s">
        <v>210</v>
      </c>
      <c r="D5" s="262"/>
    </row>
    <row r="6" spans="1:6" s="147" customFormat="1" ht="15.75">
      <c r="A6" s="582"/>
      <c r="B6" s="582"/>
      <c r="C6" s="582"/>
      <c r="D6" s="313" t="s">
        <v>211</v>
      </c>
    </row>
    <row r="7" spans="1:6" s="147" customFormat="1" ht="15.75">
      <c r="A7" s="4">
        <v>1</v>
      </c>
      <c r="B7" s="4">
        <v>2</v>
      </c>
      <c r="C7" s="4">
        <v>3</v>
      </c>
      <c r="D7" s="263">
        <v>4</v>
      </c>
    </row>
    <row r="8" spans="1:6" s="147" customFormat="1" ht="15.75">
      <c r="A8" s="149" t="s">
        <v>10</v>
      </c>
      <c r="B8" s="149"/>
      <c r="C8" s="149" t="s">
        <v>392</v>
      </c>
      <c r="D8" s="43"/>
    </row>
    <row r="9" spans="1:6" s="147" customFormat="1" ht="15.75">
      <c r="A9" s="4">
        <v>1</v>
      </c>
      <c r="B9" s="4" t="s">
        <v>372</v>
      </c>
      <c r="C9" s="42" t="s">
        <v>23</v>
      </c>
      <c r="D9" s="152">
        <f>'#1-1'!M763</f>
        <v>0</v>
      </c>
      <c r="E9" s="148">
        <f>SUM(D9:D12)</f>
        <v>0</v>
      </c>
      <c r="F9" s="148"/>
    </row>
    <row r="10" spans="1:6" s="147" customFormat="1" ht="15.75">
      <c r="A10" s="4">
        <v>2</v>
      </c>
      <c r="B10" s="263" t="s">
        <v>373</v>
      </c>
      <c r="C10" s="42" t="s">
        <v>390</v>
      </c>
      <c r="D10" s="152">
        <f>'#1-2'!M322</f>
        <v>0</v>
      </c>
    </row>
    <row r="11" spans="1:6" s="147" customFormat="1" ht="15.75" hidden="1">
      <c r="A11" s="4">
        <v>3</v>
      </c>
      <c r="B11" s="263" t="s">
        <v>374</v>
      </c>
      <c r="C11" s="42" t="s">
        <v>400</v>
      </c>
      <c r="D11" s="152">
        <f>'#1-3'!M85</f>
        <v>0</v>
      </c>
    </row>
    <row r="12" spans="1:6" s="147" customFormat="1" ht="15.75">
      <c r="A12" s="4">
        <v>4</v>
      </c>
      <c r="B12" s="263" t="s">
        <v>375</v>
      </c>
      <c r="C12" s="42" t="s">
        <v>399</v>
      </c>
      <c r="D12" s="152">
        <f>'1-3'!M66</f>
        <v>0</v>
      </c>
    </row>
    <row r="13" spans="1:6" s="147" customFormat="1" ht="15.75" hidden="1">
      <c r="A13" s="247"/>
      <c r="B13" s="247"/>
      <c r="C13" s="149" t="s">
        <v>370</v>
      </c>
      <c r="D13" s="261"/>
    </row>
    <row r="14" spans="1:6" s="147" customFormat="1" ht="15.75" hidden="1">
      <c r="A14" s="263">
        <v>1</v>
      </c>
      <c r="B14" s="263" t="s">
        <v>393</v>
      </c>
      <c r="C14" s="42" t="s">
        <v>404</v>
      </c>
      <c r="D14" s="152"/>
      <c r="E14" s="148">
        <f>SUM(D14:D19)</f>
        <v>0</v>
      </c>
    </row>
    <row r="15" spans="1:6" s="147" customFormat="1" ht="15.75" hidden="1">
      <c r="A15" s="263">
        <v>2</v>
      </c>
      <c r="B15" s="263" t="s">
        <v>394</v>
      </c>
      <c r="C15" s="42" t="s">
        <v>405</v>
      </c>
      <c r="D15" s="152"/>
    </row>
    <row r="16" spans="1:6" s="147" customFormat="1" ht="15.75" hidden="1">
      <c r="A16" s="263">
        <v>3</v>
      </c>
      <c r="B16" s="263" t="s">
        <v>395</v>
      </c>
      <c r="C16" s="42" t="s">
        <v>406</v>
      </c>
      <c r="D16" s="152"/>
    </row>
    <row r="17" spans="1:5" s="147" customFormat="1" ht="15.75" hidden="1">
      <c r="A17" s="263">
        <v>4</v>
      </c>
      <c r="B17" s="263" t="s">
        <v>396</v>
      </c>
      <c r="C17" s="42" t="s">
        <v>401</v>
      </c>
      <c r="D17" s="152"/>
    </row>
    <row r="18" spans="1:5" s="147" customFormat="1" ht="15.75" hidden="1">
      <c r="A18" s="263">
        <v>5</v>
      </c>
      <c r="B18" s="263" t="s">
        <v>397</v>
      </c>
      <c r="C18" s="42" t="s">
        <v>402</v>
      </c>
      <c r="D18" s="152"/>
    </row>
    <row r="19" spans="1:5" s="147" customFormat="1" ht="31.5" hidden="1">
      <c r="A19" s="263">
        <v>6</v>
      </c>
      <c r="B19" s="263" t="s">
        <v>398</v>
      </c>
      <c r="C19" s="42" t="s">
        <v>403</v>
      </c>
      <c r="D19" s="152"/>
    </row>
    <row r="20" spans="1:5" s="147" customFormat="1" ht="15.75">
      <c r="A20" s="263"/>
      <c r="B20" s="263"/>
      <c r="C20" s="42"/>
      <c r="D20" s="152"/>
    </row>
    <row r="21" spans="1:5" s="147" customFormat="1" ht="15.75">
      <c r="A21" s="4"/>
      <c r="B21" s="4"/>
      <c r="C21" s="4"/>
      <c r="D21" s="152"/>
    </row>
    <row r="22" spans="1:5" s="147" customFormat="1" ht="15.75">
      <c r="A22" s="247"/>
      <c r="B22" s="247"/>
      <c r="C22" s="149" t="s">
        <v>19</v>
      </c>
      <c r="D22" s="43">
        <f>SUM(D8:D21)</f>
        <v>0</v>
      </c>
      <c r="E22" s="148">
        <f>SUM(E8:E21)</f>
        <v>0</v>
      </c>
    </row>
    <row r="23" spans="1:5">
      <c r="C23" s="248"/>
    </row>
    <row r="24" spans="1:5">
      <c r="C24" s="250"/>
    </row>
    <row r="25" spans="1:5" ht="15.75" customHeight="1">
      <c r="A25" s="711" t="s">
        <v>555</v>
      </c>
      <c r="B25" s="710"/>
      <c r="C25" s="710"/>
      <c r="D25" s="710"/>
    </row>
    <row r="26" spans="1:5">
      <c r="A26" s="710"/>
      <c r="B26" s="710"/>
      <c r="C26" s="710"/>
      <c r="D26" s="710"/>
    </row>
  </sheetData>
  <mergeCells count="6">
    <mergeCell ref="A25:D26"/>
    <mergeCell ref="A1:D1"/>
    <mergeCell ref="A3:D3"/>
    <mergeCell ref="A5:A6"/>
    <mergeCell ref="B5:B6"/>
    <mergeCell ref="C5:C6"/>
  </mergeCells>
  <pageMargins left="0.86614173228346458" right="0.70866141732283472" top="0.9055118110236221" bottom="0.70866141732283472" header="0.43307086614173229" footer="0.35433070866141736"/>
  <pageSetup paperSize="9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906"/>
  <sheetViews>
    <sheetView topLeftCell="A739" zoomScale="80" zoomScaleNormal="80" workbookViewId="0">
      <selection activeCell="J23" sqref="J23"/>
    </sheetView>
  </sheetViews>
  <sheetFormatPr defaultRowHeight="15"/>
  <cols>
    <col min="1" max="1" width="5.5703125" style="260" customWidth="1"/>
    <col min="2" max="2" width="9" style="258" customWidth="1"/>
    <col min="3" max="3" width="49.5703125" customWidth="1"/>
    <col min="4" max="4" width="6.7109375" customWidth="1"/>
    <col min="5" max="5" width="9.140625" style="168"/>
    <col min="6" max="6" width="11.42578125" style="168" customWidth="1"/>
    <col min="7" max="7" width="9.140625" style="170"/>
    <col min="8" max="8" width="11.85546875" style="170" customWidth="1"/>
    <col min="9" max="9" width="8.140625" style="170" customWidth="1"/>
    <col min="10" max="10" width="10.85546875" style="170" customWidth="1"/>
    <col min="11" max="11" width="6" style="170" customWidth="1"/>
    <col min="12" max="12" width="10.140625" style="170" customWidth="1"/>
    <col min="13" max="13" width="12.140625" style="170" customWidth="1"/>
    <col min="14" max="14" width="19.140625" style="163" customWidth="1"/>
    <col min="15" max="15" width="28" customWidth="1"/>
  </cols>
  <sheetData>
    <row r="1" spans="1:13" ht="30.75" customHeight="1">
      <c r="A1" s="623" t="str">
        <f>krebsiti!A3</f>
        <v>q.dmanisSi wm.ninos quCaze municipalitetis meriis mimdebare teritoriaze skverebis  reabilitaciis samuSaoebi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>
      <c r="A2" s="624" t="s">
        <v>392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</row>
    <row r="3" spans="1:13">
      <c r="A3" s="623" t="s">
        <v>391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</row>
    <row r="4" spans="1:13">
      <c r="A4" s="367"/>
      <c r="B4" s="368"/>
      <c r="C4" s="368"/>
      <c r="D4" s="368"/>
      <c r="E4" s="368"/>
      <c r="F4" s="368"/>
      <c r="G4" s="369"/>
      <c r="H4" s="369"/>
      <c r="I4" s="369"/>
      <c r="J4" s="369"/>
      <c r="K4" s="369"/>
      <c r="L4" s="369"/>
      <c r="M4" s="369"/>
    </row>
    <row r="5" spans="1:13">
      <c r="A5" s="623" t="s">
        <v>23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</row>
    <row r="6" spans="1:13">
      <c r="A6" s="305"/>
      <c r="B6" s="46"/>
      <c r="C6" s="370"/>
      <c r="D6" s="46"/>
      <c r="E6" s="368"/>
      <c r="F6" s="368"/>
      <c r="G6" s="369"/>
      <c r="H6" s="369"/>
      <c r="I6" s="369"/>
      <c r="J6" s="369"/>
      <c r="K6" s="369"/>
      <c r="L6" s="369"/>
      <c r="M6" s="369"/>
    </row>
    <row r="7" spans="1:13" ht="45.75" customHeight="1">
      <c r="A7" s="590" t="s">
        <v>0</v>
      </c>
      <c r="B7" s="625" t="s">
        <v>377</v>
      </c>
      <c r="C7" s="626" t="s">
        <v>1</v>
      </c>
      <c r="D7" s="625" t="s">
        <v>376</v>
      </c>
      <c r="E7" s="628" t="s">
        <v>24</v>
      </c>
      <c r="F7" s="628"/>
      <c r="G7" s="629" t="s">
        <v>25</v>
      </c>
      <c r="H7" s="629"/>
      <c r="I7" s="629" t="s">
        <v>26</v>
      </c>
      <c r="J7" s="629"/>
      <c r="K7" s="630" t="s">
        <v>27</v>
      </c>
      <c r="L7" s="631"/>
      <c r="M7" s="629" t="s">
        <v>28</v>
      </c>
    </row>
    <row r="8" spans="1:13" ht="40.5">
      <c r="A8" s="590"/>
      <c r="B8" s="625"/>
      <c r="C8" s="627"/>
      <c r="D8" s="625"/>
      <c r="E8" s="270" t="s">
        <v>12</v>
      </c>
      <c r="F8" s="270" t="s">
        <v>5</v>
      </c>
      <c r="G8" s="271" t="s">
        <v>29</v>
      </c>
      <c r="H8" s="271" t="s">
        <v>30</v>
      </c>
      <c r="I8" s="271" t="s">
        <v>29</v>
      </c>
      <c r="J8" s="271" t="s">
        <v>30</v>
      </c>
      <c r="K8" s="271" t="s">
        <v>29</v>
      </c>
      <c r="L8" s="271" t="s">
        <v>30</v>
      </c>
      <c r="M8" s="629"/>
    </row>
    <row r="9" spans="1:13">
      <c r="A9" s="346">
        <v>1</v>
      </c>
      <c r="B9" s="154">
        <v>2</v>
      </c>
      <c r="C9" s="363">
        <v>3</v>
      </c>
      <c r="D9" s="154">
        <v>4</v>
      </c>
      <c r="E9" s="270">
        <v>5</v>
      </c>
      <c r="F9" s="7">
        <v>6</v>
      </c>
      <c r="G9" s="270">
        <v>7</v>
      </c>
      <c r="H9" s="7">
        <v>8</v>
      </c>
      <c r="I9" s="270">
        <v>9</v>
      </c>
      <c r="J9" s="7">
        <v>10</v>
      </c>
      <c r="K9" s="270">
        <v>11</v>
      </c>
      <c r="L9" s="7">
        <v>12</v>
      </c>
      <c r="M9" s="270">
        <v>13</v>
      </c>
    </row>
    <row r="10" spans="1:13" ht="54">
      <c r="A10" s="283" t="s">
        <v>310</v>
      </c>
      <c r="B10" s="283"/>
      <c r="C10" s="283" t="s">
        <v>507</v>
      </c>
      <c r="D10" s="283"/>
      <c r="E10" s="371"/>
      <c r="F10" s="286"/>
      <c r="G10" s="371"/>
      <c r="H10" s="286"/>
      <c r="I10" s="371"/>
      <c r="J10" s="286"/>
      <c r="K10" s="371"/>
      <c r="L10" s="286"/>
      <c r="M10" s="371"/>
    </row>
    <row r="11" spans="1:13" ht="27">
      <c r="A11" s="287"/>
      <c r="B11" s="92"/>
      <c r="C11" s="92" t="s">
        <v>262</v>
      </c>
      <c r="D11" s="92"/>
      <c r="E11" s="372"/>
      <c r="F11" s="372"/>
      <c r="G11" s="271"/>
      <c r="H11" s="271"/>
      <c r="I11" s="271"/>
      <c r="J11" s="271"/>
      <c r="K11" s="271"/>
      <c r="L11" s="271"/>
      <c r="M11" s="271"/>
    </row>
    <row r="12" spans="1:13" ht="27">
      <c r="A12" s="610">
        <v>1</v>
      </c>
      <c r="B12" s="154" t="s">
        <v>132</v>
      </c>
      <c r="C12" s="267" t="s">
        <v>312</v>
      </c>
      <c r="D12" s="7" t="s">
        <v>50</v>
      </c>
      <c r="E12" s="270"/>
      <c r="F12" s="7">
        <f>'7777'!G8+'7777'!G9</f>
        <v>60</v>
      </c>
      <c r="G12" s="271"/>
      <c r="H12" s="271"/>
      <c r="I12" s="271"/>
      <c r="J12" s="271"/>
      <c r="K12" s="271"/>
      <c r="L12" s="271"/>
      <c r="M12" s="271"/>
    </row>
    <row r="13" spans="1:13" ht="27">
      <c r="A13" s="612"/>
      <c r="B13" s="154"/>
      <c r="C13" s="96" t="s">
        <v>60</v>
      </c>
      <c r="D13" s="270" t="s">
        <v>8</v>
      </c>
      <c r="E13" s="270">
        <v>0.78500000000000003</v>
      </c>
      <c r="F13" s="270">
        <f>F12*E13</f>
        <v>47.1</v>
      </c>
      <c r="G13" s="271"/>
      <c r="H13" s="271"/>
      <c r="I13" s="271"/>
      <c r="J13" s="271"/>
      <c r="K13" s="271"/>
      <c r="L13" s="271"/>
      <c r="M13" s="271"/>
    </row>
    <row r="14" spans="1:13" ht="40.5">
      <c r="A14" s="610">
        <v>2</v>
      </c>
      <c r="B14" s="154" t="s">
        <v>133</v>
      </c>
      <c r="C14" s="267" t="s">
        <v>264</v>
      </c>
      <c r="D14" s="7" t="s">
        <v>54</v>
      </c>
      <c r="E14" s="270"/>
      <c r="F14" s="7">
        <f>'7777'!G7</f>
        <v>40</v>
      </c>
      <c r="G14" s="271"/>
      <c r="H14" s="271"/>
      <c r="I14" s="271"/>
      <c r="J14" s="271"/>
      <c r="K14" s="271"/>
      <c r="L14" s="271"/>
      <c r="M14" s="271"/>
    </row>
    <row r="15" spans="1:13" ht="27">
      <c r="A15" s="611"/>
      <c r="B15" s="154"/>
      <c r="C15" s="96" t="s">
        <v>60</v>
      </c>
      <c r="D15" s="270" t="s">
        <v>8</v>
      </c>
      <c r="E15" s="270">
        <v>0.32300000000000001</v>
      </c>
      <c r="F15" s="270">
        <f>F14*E15</f>
        <v>12.92</v>
      </c>
      <c r="G15" s="271"/>
      <c r="H15" s="271"/>
      <c r="I15" s="271"/>
      <c r="J15" s="271"/>
      <c r="K15" s="271"/>
      <c r="L15" s="271"/>
      <c r="M15" s="271"/>
    </row>
    <row r="16" spans="1:13">
      <c r="A16" s="612"/>
      <c r="B16" s="154"/>
      <c r="C16" s="97" t="s">
        <v>17</v>
      </c>
      <c r="D16" s="270" t="s">
        <v>6</v>
      </c>
      <c r="E16" s="270">
        <v>2.1499999999999998E-2</v>
      </c>
      <c r="F16" s="270">
        <f>F14*E16</f>
        <v>0.85999999999999988</v>
      </c>
      <c r="G16" s="271"/>
      <c r="H16" s="271"/>
      <c r="I16" s="271"/>
      <c r="J16" s="271"/>
      <c r="K16" s="271"/>
      <c r="L16" s="271"/>
      <c r="M16" s="271"/>
    </row>
    <row r="17" spans="1:13" ht="27">
      <c r="A17" s="610">
        <v>3</v>
      </c>
      <c r="B17" s="154" t="s">
        <v>134</v>
      </c>
      <c r="C17" s="267" t="s">
        <v>135</v>
      </c>
      <c r="D17" s="7" t="s">
        <v>43</v>
      </c>
      <c r="E17" s="270"/>
      <c r="F17" s="7">
        <f>F14*0.03</f>
        <v>1.2</v>
      </c>
      <c r="G17" s="271"/>
      <c r="H17" s="271"/>
      <c r="I17" s="271"/>
      <c r="J17" s="271"/>
      <c r="K17" s="271"/>
      <c r="L17" s="271"/>
      <c r="M17" s="271"/>
    </row>
    <row r="18" spans="1:13" ht="27">
      <c r="A18" s="611"/>
      <c r="B18" s="154"/>
      <c r="C18" s="96" t="s">
        <v>60</v>
      </c>
      <c r="D18" s="270" t="s">
        <v>8</v>
      </c>
      <c r="E18" s="270">
        <v>7.3</v>
      </c>
      <c r="F18" s="270">
        <f>F17*E18</f>
        <v>8.76</v>
      </c>
      <c r="G18" s="271"/>
      <c r="H18" s="271"/>
      <c r="I18" s="271"/>
      <c r="J18" s="271"/>
      <c r="K18" s="271"/>
      <c r="L18" s="271"/>
      <c r="M18" s="271"/>
    </row>
    <row r="19" spans="1:13">
      <c r="A19" s="612"/>
      <c r="B19" s="154"/>
      <c r="C19" s="97" t="s">
        <v>17</v>
      </c>
      <c r="D19" s="270" t="s">
        <v>6</v>
      </c>
      <c r="E19" s="270">
        <v>2.9</v>
      </c>
      <c r="F19" s="270">
        <f>F17*E19</f>
        <v>3.48</v>
      </c>
      <c r="G19" s="271"/>
      <c r="H19" s="271"/>
      <c r="I19" s="271"/>
      <c r="J19" s="271"/>
      <c r="K19" s="271"/>
      <c r="L19" s="271"/>
      <c r="M19" s="271"/>
    </row>
    <row r="20" spans="1:13" ht="27">
      <c r="A20" s="610">
        <v>4</v>
      </c>
      <c r="B20" s="154" t="s">
        <v>133</v>
      </c>
      <c r="C20" s="267" t="s">
        <v>313</v>
      </c>
      <c r="D20" s="7" t="s">
        <v>54</v>
      </c>
      <c r="E20" s="270"/>
      <c r="F20" s="7">
        <f>'7777'!G6</f>
        <v>50</v>
      </c>
      <c r="G20" s="271"/>
      <c r="H20" s="271"/>
      <c r="I20" s="271"/>
      <c r="J20" s="271"/>
      <c r="K20" s="271"/>
      <c r="L20" s="271"/>
      <c r="M20" s="271"/>
    </row>
    <row r="21" spans="1:13" ht="27">
      <c r="A21" s="611"/>
      <c r="B21" s="154"/>
      <c r="C21" s="96" t="s">
        <v>60</v>
      </c>
      <c r="D21" s="270" t="s">
        <v>8</v>
      </c>
      <c r="E21" s="270">
        <v>0.32300000000000001</v>
      </c>
      <c r="F21" s="270">
        <f>F20*E21</f>
        <v>16.150000000000002</v>
      </c>
      <c r="G21" s="271"/>
      <c r="H21" s="271"/>
      <c r="I21" s="271"/>
      <c r="J21" s="271"/>
      <c r="K21" s="271"/>
      <c r="L21" s="271"/>
      <c r="M21" s="271"/>
    </row>
    <row r="22" spans="1:13">
      <c r="A22" s="612"/>
      <c r="B22" s="154"/>
      <c r="C22" s="97" t="s">
        <v>17</v>
      </c>
      <c r="D22" s="270" t="s">
        <v>6</v>
      </c>
      <c r="E22" s="270">
        <v>2.1499999999999998E-2</v>
      </c>
      <c r="F22" s="270">
        <f>F20*E22</f>
        <v>1.075</v>
      </c>
      <c r="G22" s="271"/>
      <c r="H22" s="271"/>
      <c r="I22" s="271"/>
      <c r="J22" s="271"/>
      <c r="K22" s="271"/>
      <c r="L22" s="271"/>
      <c r="M22" s="271"/>
    </row>
    <row r="23" spans="1:13" ht="27">
      <c r="A23" s="610">
        <v>5</v>
      </c>
      <c r="B23" s="154" t="s">
        <v>134</v>
      </c>
      <c r="C23" s="267" t="s">
        <v>135</v>
      </c>
      <c r="D23" s="7" t="s">
        <v>43</v>
      </c>
      <c r="E23" s="270"/>
      <c r="F23" s="7">
        <f>F20*0.03</f>
        <v>1.5</v>
      </c>
      <c r="G23" s="271"/>
      <c r="H23" s="271"/>
      <c r="I23" s="271"/>
      <c r="J23" s="271"/>
      <c r="K23" s="271"/>
      <c r="L23" s="271"/>
      <c r="M23" s="271"/>
    </row>
    <row r="24" spans="1:13" ht="27">
      <c r="A24" s="611"/>
      <c r="B24" s="154"/>
      <c r="C24" s="96" t="s">
        <v>60</v>
      </c>
      <c r="D24" s="270" t="s">
        <v>8</v>
      </c>
      <c r="E24" s="270">
        <v>7.3</v>
      </c>
      <c r="F24" s="270">
        <f>F23*E24</f>
        <v>10.95</v>
      </c>
      <c r="G24" s="271"/>
      <c r="H24" s="271"/>
      <c r="I24" s="271"/>
      <c r="J24" s="271"/>
      <c r="K24" s="271"/>
      <c r="L24" s="271"/>
      <c r="M24" s="271"/>
    </row>
    <row r="25" spans="1:13">
      <c r="A25" s="612"/>
      <c r="B25" s="154"/>
      <c r="C25" s="97" t="s">
        <v>17</v>
      </c>
      <c r="D25" s="270" t="s">
        <v>6</v>
      </c>
      <c r="E25" s="270">
        <v>2.9</v>
      </c>
      <c r="F25" s="270">
        <f>F23*E25</f>
        <v>4.3499999999999996</v>
      </c>
      <c r="G25" s="271"/>
      <c r="H25" s="271"/>
      <c r="I25" s="271"/>
      <c r="J25" s="271"/>
      <c r="K25" s="271"/>
      <c r="L25" s="271"/>
      <c r="M25" s="271"/>
    </row>
    <row r="26" spans="1:13" ht="40.5">
      <c r="A26" s="288">
        <v>6</v>
      </c>
      <c r="B26" s="154" t="s">
        <v>18</v>
      </c>
      <c r="C26" s="268" t="s">
        <v>425</v>
      </c>
      <c r="D26" s="7" t="s">
        <v>58</v>
      </c>
      <c r="E26" s="7"/>
      <c r="F26" s="7">
        <f>'7777'!G15</f>
        <v>3</v>
      </c>
      <c r="G26" s="271"/>
      <c r="H26" s="271"/>
      <c r="I26" s="271"/>
      <c r="J26" s="271"/>
      <c r="K26" s="271"/>
      <c r="L26" s="271"/>
      <c r="M26" s="271"/>
    </row>
    <row r="27" spans="1:13">
      <c r="A27" s="288"/>
      <c r="B27" s="154"/>
      <c r="C27" s="268"/>
      <c r="D27" s="270"/>
      <c r="E27" s="270"/>
      <c r="F27" s="270"/>
      <c r="G27" s="271"/>
      <c r="H27" s="271"/>
      <c r="I27" s="271"/>
      <c r="J27" s="271"/>
      <c r="K27" s="271"/>
      <c r="L27" s="271"/>
      <c r="M27" s="271"/>
    </row>
    <row r="28" spans="1:13" ht="54">
      <c r="A28" s="590" t="s">
        <v>59</v>
      </c>
      <c r="B28" s="155" t="s">
        <v>137</v>
      </c>
      <c r="C28" s="62" t="s">
        <v>221</v>
      </c>
      <c r="D28" s="154" t="s">
        <v>11</v>
      </c>
      <c r="E28" s="270"/>
      <c r="F28" s="7">
        <f>F12*0.15*0.3+F14*0.03+F17+F20*0.03+F23+  2</f>
        <v>10.1</v>
      </c>
      <c r="G28" s="271"/>
      <c r="H28" s="271"/>
      <c r="I28" s="271"/>
      <c r="J28" s="271"/>
      <c r="K28" s="271"/>
      <c r="L28" s="271"/>
      <c r="M28" s="271"/>
    </row>
    <row r="29" spans="1:13" ht="27">
      <c r="A29" s="590"/>
      <c r="B29" s="154"/>
      <c r="C29" s="373" t="s">
        <v>60</v>
      </c>
      <c r="D29" s="28" t="s">
        <v>8</v>
      </c>
      <c r="E29" s="198">
        <v>0.6</v>
      </c>
      <c r="F29" s="374">
        <f>F28*E29</f>
        <v>6.06</v>
      </c>
      <c r="G29" s="375"/>
      <c r="H29" s="271"/>
      <c r="I29" s="375"/>
      <c r="J29" s="271"/>
      <c r="K29" s="271"/>
      <c r="L29" s="271"/>
      <c r="M29" s="271"/>
    </row>
    <row r="30" spans="1:13" ht="27">
      <c r="A30" s="590"/>
      <c r="B30" s="155" t="s">
        <v>97</v>
      </c>
      <c r="C30" s="376" t="s">
        <v>220</v>
      </c>
      <c r="D30" s="154" t="s">
        <v>48</v>
      </c>
      <c r="E30" s="198"/>
      <c r="F30" s="377">
        <f>F12*0.15*0.3*2+F14*0.03*2.2+F17*2.4+F20*0.03*2.2+F23*2.4+  2*1.65</f>
        <v>21.12</v>
      </c>
      <c r="G30" s="375"/>
      <c r="H30" s="271"/>
      <c r="I30" s="375"/>
      <c r="J30" s="271"/>
      <c r="K30" s="375"/>
      <c r="L30" s="271"/>
      <c r="M30" s="271"/>
    </row>
    <row r="31" spans="1:13" ht="27">
      <c r="A31" s="590"/>
      <c r="B31" s="255"/>
      <c r="C31" s="378" t="s">
        <v>62</v>
      </c>
      <c r="D31" s="28" t="s">
        <v>8</v>
      </c>
      <c r="E31" s="198">
        <v>0.53</v>
      </c>
      <c r="F31" s="374">
        <f>F30*E31</f>
        <v>11.193600000000002</v>
      </c>
      <c r="G31" s="375"/>
      <c r="H31" s="271"/>
      <c r="I31" s="375"/>
      <c r="J31" s="271"/>
      <c r="K31" s="375"/>
      <c r="L31" s="271"/>
      <c r="M31" s="271"/>
    </row>
    <row r="32" spans="1:13">
      <c r="A32" s="590"/>
      <c r="B32" s="154" t="s">
        <v>138</v>
      </c>
      <c r="C32" s="379" t="s">
        <v>224</v>
      </c>
      <c r="D32" s="154" t="s">
        <v>48</v>
      </c>
      <c r="E32" s="198"/>
      <c r="F32" s="377">
        <f>F30</f>
        <v>21.12</v>
      </c>
      <c r="G32" s="375"/>
      <c r="H32" s="271"/>
      <c r="I32" s="375"/>
      <c r="J32" s="271"/>
      <c r="K32" s="375"/>
      <c r="L32" s="271"/>
      <c r="M32" s="271"/>
    </row>
    <row r="33" spans="1:13">
      <c r="A33" s="289"/>
      <c r="B33" s="106"/>
      <c r="C33" s="380"/>
      <c r="D33" s="105"/>
      <c r="E33" s="381"/>
      <c r="F33" s="381"/>
      <c r="G33" s="64"/>
      <c r="H33" s="271"/>
      <c r="I33" s="64"/>
      <c r="J33" s="271"/>
      <c r="K33" s="65"/>
      <c r="L33" s="271"/>
      <c r="M33" s="271"/>
    </row>
    <row r="34" spans="1:13">
      <c r="A34" s="287"/>
      <c r="B34" s="92"/>
      <c r="C34" s="92" t="s">
        <v>139</v>
      </c>
      <c r="D34" s="92"/>
      <c r="E34" s="372"/>
      <c r="F34" s="372"/>
      <c r="G34" s="271"/>
      <c r="H34" s="271"/>
      <c r="I34" s="271"/>
      <c r="J34" s="271"/>
      <c r="K34" s="271"/>
      <c r="L34" s="271"/>
      <c r="M34" s="271"/>
    </row>
    <row r="35" spans="1:13" ht="27">
      <c r="A35" s="632" t="s">
        <v>98</v>
      </c>
      <c r="B35" s="107" t="s">
        <v>314</v>
      </c>
      <c r="C35" s="382" t="s">
        <v>315</v>
      </c>
      <c r="D35" s="290" t="s">
        <v>157</v>
      </c>
      <c r="E35" s="291"/>
      <c r="F35" s="383">
        <f>'7777'!G6</f>
        <v>50</v>
      </c>
      <c r="G35" s="384"/>
      <c r="H35" s="385"/>
      <c r="I35" s="384"/>
      <c r="J35" s="385"/>
      <c r="K35" s="384"/>
      <c r="L35" s="385"/>
      <c r="M35" s="385"/>
    </row>
    <row r="36" spans="1:13" ht="27">
      <c r="A36" s="632"/>
      <c r="B36" s="150"/>
      <c r="C36" s="386" t="s">
        <v>42</v>
      </c>
      <c r="D36" s="200" t="s">
        <v>8</v>
      </c>
      <c r="E36" s="13">
        <v>5.75</v>
      </c>
      <c r="F36" s="13">
        <f>F35*E36</f>
        <v>287.5</v>
      </c>
      <c r="G36" s="63"/>
      <c r="H36" s="63"/>
      <c r="I36" s="63"/>
      <c r="J36" s="63"/>
      <c r="K36" s="63"/>
      <c r="L36" s="61"/>
      <c r="M36" s="61"/>
    </row>
    <row r="37" spans="1:13">
      <c r="A37" s="632"/>
      <c r="B37" s="150"/>
      <c r="C37" s="386" t="s">
        <v>17</v>
      </c>
      <c r="D37" s="200" t="s">
        <v>6</v>
      </c>
      <c r="E37" s="13">
        <v>3.4000000000000002E-2</v>
      </c>
      <c r="F37" s="13">
        <f>F35*E37</f>
        <v>1.7000000000000002</v>
      </c>
      <c r="G37" s="63"/>
      <c r="H37" s="63"/>
      <c r="I37" s="63"/>
      <c r="J37" s="63"/>
      <c r="K37" s="63"/>
      <c r="L37" s="61"/>
      <c r="M37" s="61"/>
    </row>
    <row r="38" spans="1:13">
      <c r="A38" s="632"/>
      <c r="B38" s="150"/>
      <c r="C38" s="386" t="s">
        <v>316</v>
      </c>
      <c r="D38" s="200" t="s">
        <v>54</v>
      </c>
      <c r="E38" s="13">
        <v>1.01</v>
      </c>
      <c r="F38" s="13">
        <f>F35*E38</f>
        <v>50.5</v>
      </c>
      <c r="G38" s="63"/>
      <c r="H38" s="63"/>
      <c r="I38" s="63"/>
      <c r="J38" s="63"/>
      <c r="K38" s="63"/>
      <c r="L38" s="61"/>
      <c r="M38" s="61"/>
    </row>
    <row r="39" spans="1:13">
      <c r="A39" s="632"/>
      <c r="B39" s="150"/>
      <c r="C39" s="386" t="s">
        <v>94</v>
      </c>
      <c r="D39" s="200" t="s">
        <v>43</v>
      </c>
      <c r="E39" s="13">
        <v>0.02</v>
      </c>
      <c r="F39" s="13">
        <f>F35*E39</f>
        <v>1</v>
      </c>
      <c r="G39" s="63"/>
      <c r="H39" s="63"/>
      <c r="I39" s="63"/>
      <c r="J39" s="63"/>
      <c r="K39" s="63"/>
      <c r="L39" s="61"/>
      <c r="M39" s="61"/>
    </row>
    <row r="40" spans="1:13">
      <c r="A40" s="632"/>
      <c r="B40" s="150"/>
      <c r="C40" s="386" t="s">
        <v>56</v>
      </c>
      <c r="D40" s="200" t="s">
        <v>6</v>
      </c>
      <c r="E40" s="13">
        <v>0.24</v>
      </c>
      <c r="F40" s="13">
        <f>F35*E40</f>
        <v>12</v>
      </c>
      <c r="G40" s="63"/>
      <c r="H40" s="63"/>
      <c r="I40" s="63"/>
      <c r="J40" s="63"/>
      <c r="K40" s="63"/>
      <c r="L40" s="61"/>
      <c r="M40" s="61"/>
    </row>
    <row r="41" spans="1:13" ht="27">
      <c r="A41" s="259" t="s">
        <v>79</v>
      </c>
      <c r="B41" s="55"/>
      <c r="C41" s="55" t="s">
        <v>317</v>
      </c>
      <c r="D41" s="55" t="s">
        <v>50</v>
      </c>
      <c r="E41" s="341"/>
      <c r="F41" s="341">
        <f>'7777'!G8+'7777'!G9</f>
        <v>60</v>
      </c>
      <c r="G41" s="271"/>
      <c r="H41" s="271"/>
      <c r="I41" s="271"/>
      <c r="J41" s="271"/>
      <c r="K41" s="271"/>
      <c r="L41" s="271"/>
      <c r="M41" s="271"/>
    </row>
    <row r="42" spans="1:13" ht="27">
      <c r="A42" s="591" t="s">
        <v>98</v>
      </c>
      <c r="B42" s="154" t="s">
        <v>67</v>
      </c>
      <c r="C42" s="62" t="s">
        <v>318</v>
      </c>
      <c r="D42" s="154" t="s">
        <v>43</v>
      </c>
      <c r="E42" s="270"/>
      <c r="F42" s="7">
        <f>0.15*(0.1+0.1)*F41</f>
        <v>1.7999999999999998</v>
      </c>
      <c r="G42" s="271"/>
      <c r="H42" s="271"/>
      <c r="I42" s="271"/>
      <c r="J42" s="271"/>
      <c r="K42" s="271"/>
      <c r="L42" s="271"/>
      <c r="M42" s="271"/>
    </row>
    <row r="43" spans="1:13" ht="27">
      <c r="A43" s="592"/>
      <c r="B43" s="256"/>
      <c r="C43" s="387" t="s">
        <v>42</v>
      </c>
      <c r="D43" s="366" t="s">
        <v>8</v>
      </c>
      <c r="E43" s="165">
        <v>2.06</v>
      </c>
      <c r="F43" s="165">
        <f>E43*F42</f>
        <v>3.7079999999999997</v>
      </c>
      <c r="G43" s="388"/>
      <c r="H43" s="271"/>
      <c r="I43" s="388"/>
      <c r="J43" s="271"/>
      <c r="K43" s="271"/>
      <c r="L43" s="271"/>
      <c r="M43" s="271"/>
    </row>
    <row r="44" spans="1:13" ht="27">
      <c r="A44" s="599" t="s">
        <v>79</v>
      </c>
      <c r="B44" s="53" t="s">
        <v>97</v>
      </c>
      <c r="C44" s="376" t="s">
        <v>223</v>
      </c>
      <c r="D44" s="154" t="s">
        <v>48</v>
      </c>
      <c r="E44" s="198"/>
      <c r="F44" s="377">
        <f>F42*1.95</f>
        <v>3.51</v>
      </c>
      <c r="G44" s="375"/>
      <c r="H44" s="271"/>
      <c r="I44" s="375"/>
      <c r="J44" s="271"/>
      <c r="K44" s="375"/>
      <c r="L44" s="271"/>
      <c r="M44" s="271"/>
    </row>
    <row r="45" spans="1:13" ht="27">
      <c r="A45" s="600"/>
      <c r="B45" s="255"/>
      <c r="C45" s="378" t="s">
        <v>62</v>
      </c>
      <c r="D45" s="28" t="s">
        <v>8</v>
      </c>
      <c r="E45" s="198">
        <v>0.53</v>
      </c>
      <c r="F45" s="374">
        <f>F44*E45</f>
        <v>1.8603000000000001</v>
      </c>
      <c r="G45" s="375"/>
      <c r="H45" s="271"/>
      <c r="I45" s="375"/>
      <c r="J45" s="271"/>
      <c r="K45" s="375"/>
      <c r="L45" s="271"/>
      <c r="M45" s="271"/>
    </row>
    <row r="46" spans="1:13">
      <c r="A46" s="601"/>
      <c r="B46" s="154" t="s">
        <v>138</v>
      </c>
      <c r="C46" s="379" t="s">
        <v>224</v>
      </c>
      <c r="D46" s="154" t="s">
        <v>48</v>
      </c>
      <c r="E46" s="198"/>
      <c r="F46" s="377">
        <f>F44</f>
        <v>3.51</v>
      </c>
      <c r="G46" s="375"/>
      <c r="H46" s="271"/>
      <c r="I46" s="375"/>
      <c r="J46" s="271"/>
      <c r="K46" s="375"/>
      <c r="L46" s="271"/>
      <c r="M46" s="271"/>
    </row>
    <row r="47" spans="1:13" ht="15.75">
      <c r="A47" s="622" t="s">
        <v>99</v>
      </c>
      <c r="B47" s="154" t="s">
        <v>147</v>
      </c>
      <c r="C47" s="62" t="s">
        <v>319</v>
      </c>
      <c r="D47" s="154" t="s">
        <v>37</v>
      </c>
      <c r="E47" s="270"/>
      <c r="F47" s="7">
        <f>0.15*0.1*F41</f>
        <v>0.89999999999999991</v>
      </c>
      <c r="G47" s="271"/>
      <c r="H47" s="271"/>
      <c r="I47" s="271"/>
      <c r="J47" s="271"/>
      <c r="K47" s="271"/>
      <c r="L47" s="271"/>
      <c r="M47" s="271"/>
    </row>
    <row r="48" spans="1:13">
      <c r="A48" s="622"/>
      <c r="B48" s="154"/>
      <c r="C48" s="66" t="s">
        <v>13</v>
      </c>
      <c r="D48" s="363" t="s">
        <v>14</v>
      </c>
      <c r="E48" s="270">
        <v>0.15</v>
      </c>
      <c r="F48" s="270">
        <f>E48*F47</f>
        <v>0.13499999999999998</v>
      </c>
      <c r="G48" s="271"/>
      <c r="H48" s="271"/>
      <c r="I48" s="271"/>
      <c r="J48" s="271"/>
      <c r="K48" s="271"/>
      <c r="L48" s="271"/>
      <c r="M48" s="271"/>
    </row>
    <row r="49" spans="1:13">
      <c r="A49" s="622"/>
      <c r="B49" s="154" t="s">
        <v>32</v>
      </c>
      <c r="C49" s="66" t="s">
        <v>148</v>
      </c>
      <c r="D49" s="363" t="s">
        <v>15</v>
      </c>
      <c r="E49" s="270">
        <v>2.1600000000000001E-2</v>
      </c>
      <c r="F49" s="270">
        <f>E49*F47</f>
        <v>1.9439999999999999E-2</v>
      </c>
      <c r="G49" s="271"/>
      <c r="H49" s="271"/>
      <c r="I49" s="271"/>
      <c r="J49" s="271"/>
      <c r="K49" s="271"/>
      <c r="L49" s="271"/>
      <c r="M49" s="271"/>
    </row>
    <row r="50" spans="1:13">
      <c r="A50" s="622"/>
      <c r="B50" s="154" t="s">
        <v>149</v>
      </c>
      <c r="C50" s="66" t="s">
        <v>150</v>
      </c>
      <c r="D50" s="363" t="s">
        <v>15</v>
      </c>
      <c r="E50" s="270">
        <v>2.7300000000000001E-2</v>
      </c>
      <c r="F50" s="270">
        <f>E50*F47</f>
        <v>2.4569999999999998E-2</v>
      </c>
      <c r="G50" s="271"/>
      <c r="H50" s="271"/>
      <c r="I50" s="271"/>
      <c r="J50" s="271"/>
      <c r="K50" s="271"/>
      <c r="L50" s="271"/>
      <c r="M50" s="271"/>
    </row>
    <row r="51" spans="1:13" ht="15.75">
      <c r="A51" s="622"/>
      <c r="B51" s="154"/>
      <c r="C51" s="66" t="s">
        <v>35</v>
      </c>
      <c r="D51" s="363" t="s">
        <v>34</v>
      </c>
      <c r="E51" s="270">
        <v>1.2</v>
      </c>
      <c r="F51" s="361">
        <f>E51*F47</f>
        <v>1.0799999999999998</v>
      </c>
      <c r="G51" s="271"/>
      <c r="H51" s="271"/>
      <c r="I51" s="271"/>
      <c r="J51" s="271"/>
      <c r="K51" s="271"/>
      <c r="L51" s="271"/>
      <c r="M51" s="271"/>
    </row>
    <row r="52" spans="1:13" ht="27">
      <c r="A52" s="596" t="s">
        <v>93</v>
      </c>
      <c r="B52" s="154" t="s">
        <v>151</v>
      </c>
      <c r="C52" s="62" t="s">
        <v>320</v>
      </c>
      <c r="D52" s="154" t="s">
        <v>70</v>
      </c>
      <c r="E52" s="7"/>
      <c r="F52" s="7">
        <f>F41</f>
        <v>60</v>
      </c>
      <c r="G52" s="271"/>
      <c r="H52" s="271"/>
      <c r="I52" s="271"/>
      <c r="J52" s="271"/>
      <c r="K52" s="271"/>
      <c r="L52" s="271"/>
      <c r="M52" s="271"/>
    </row>
    <row r="53" spans="1:13">
      <c r="A53" s="596"/>
      <c r="B53" s="154"/>
      <c r="C53" s="66" t="s">
        <v>13</v>
      </c>
      <c r="D53" s="363" t="s">
        <v>14</v>
      </c>
      <c r="E53" s="270">
        <v>0.74</v>
      </c>
      <c r="F53" s="270">
        <f>E53*F52</f>
        <v>44.4</v>
      </c>
      <c r="G53" s="271"/>
      <c r="H53" s="271"/>
      <c r="I53" s="271"/>
      <c r="J53" s="271"/>
      <c r="K53" s="271"/>
      <c r="L53" s="271"/>
      <c r="M53" s="271"/>
    </row>
    <row r="54" spans="1:13">
      <c r="A54" s="596"/>
      <c r="B54" s="154"/>
      <c r="C54" s="66" t="s">
        <v>7</v>
      </c>
      <c r="D54" s="363" t="s">
        <v>15</v>
      </c>
      <c r="E54" s="270">
        <f>0.71*0.01</f>
        <v>7.0999999999999995E-3</v>
      </c>
      <c r="F54" s="270">
        <f>E54*F52</f>
        <v>0.42599999999999999</v>
      </c>
      <c r="G54" s="271"/>
      <c r="H54" s="271"/>
      <c r="I54" s="271"/>
      <c r="J54" s="271"/>
      <c r="K54" s="271"/>
      <c r="L54" s="271"/>
      <c r="M54" s="271"/>
    </row>
    <row r="55" spans="1:13">
      <c r="A55" s="596"/>
      <c r="B55" s="154"/>
      <c r="C55" s="66" t="s">
        <v>321</v>
      </c>
      <c r="D55" s="363" t="s">
        <v>70</v>
      </c>
      <c r="E55" s="270">
        <v>1</v>
      </c>
      <c r="F55" s="270">
        <f>E55*F52</f>
        <v>60</v>
      </c>
      <c r="G55" s="271"/>
      <c r="H55" s="271"/>
      <c r="I55" s="271"/>
      <c r="J55" s="271"/>
      <c r="K55" s="271"/>
      <c r="L55" s="271"/>
      <c r="M55" s="271"/>
    </row>
    <row r="56" spans="1:13" ht="15.75">
      <c r="A56" s="596"/>
      <c r="B56" s="154"/>
      <c r="C56" s="389" t="s">
        <v>153</v>
      </c>
      <c r="D56" s="363" t="s">
        <v>34</v>
      </c>
      <c r="E56" s="270">
        <f>3.9*0.01</f>
        <v>3.9E-2</v>
      </c>
      <c r="F56" s="270">
        <f>F52*E56</f>
        <v>2.34</v>
      </c>
      <c r="G56" s="271"/>
      <c r="H56" s="271"/>
      <c r="I56" s="271"/>
      <c r="J56" s="271"/>
      <c r="K56" s="271"/>
      <c r="L56" s="271"/>
      <c r="M56" s="271"/>
    </row>
    <row r="57" spans="1:13" ht="15.75">
      <c r="A57" s="596"/>
      <c r="B57" s="154"/>
      <c r="C57" s="66" t="s">
        <v>152</v>
      </c>
      <c r="D57" s="363" t="s">
        <v>34</v>
      </c>
      <c r="E57" s="270">
        <f>0.06*0.01</f>
        <v>5.9999999999999995E-4</v>
      </c>
      <c r="F57" s="270">
        <f>E57*F52</f>
        <v>3.5999999999999997E-2</v>
      </c>
      <c r="G57" s="271"/>
      <c r="H57" s="271"/>
      <c r="I57" s="271"/>
      <c r="J57" s="271"/>
      <c r="K57" s="271"/>
      <c r="L57" s="271"/>
      <c r="M57" s="271"/>
    </row>
    <row r="58" spans="1:13">
      <c r="A58" s="596"/>
      <c r="B58" s="154"/>
      <c r="C58" s="66" t="s">
        <v>9</v>
      </c>
      <c r="D58" s="363" t="s">
        <v>6</v>
      </c>
      <c r="E58" s="270">
        <f>9.6*0.01</f>
        <v>9.6000000000000002E-2</v>
      </c>
      <c r="F58" s="270">
        <f>E58*F52</f>
        <v>5.76</v>
      </c>
      <c r="G58" s="271"/>
      <c r="H58" s="271"/>
      <c r="I58" s="271"/>
      <c r="J58" s="271"/>
      <c r="K58" s="271"/>
      <c r="L58" s="271"/>
      <c r="M58" s="271"/>
    </row>
    <row r="59" spans="1:13" ht="40.5">
      <c r="A59" s="259" t="s">
        <v>99</v>
      </c>
      <c r="B59" s="55"/>
      <c r="C59" s="55" t="s">
        <v>263</v>
      </c>
      <c r="D59" s="55" t="s">
        <v>54</v>
      </c>
      <c r="E59" s="341"/>
      <c r="F59" s="341">
        <f>'7777'!G7</f>
        <v>40</v>
      </c>
      <c r="G59" s="271"/>
      <c r="H59" s="271"/>
      <c r="I59" s="271"/>
      <c r="J59" s="271"/>
      <c r="K59" s="271"/>
      <c r="L59" s="271"/>
      <c r="M59" s="271"/>
    </row>
    <row r="60" spans="1:13" ht="27">
      <c r="A60" s="597" t="s">
        <v>98</v>
      </c>
      <c r="B60" s="22" t="s">
        <v>36</v>
      </c>
      <c r="C60" s="390" t="s">
        <v>155</v>
      </c>
      <c r="D60" s="22" t="s">
        <v>34</v>
      </c>
      <c r="E60" s="24"/>
      <c r="F60" s="391">
        <f>F59*0.2</f>
        <v>8</v>
      </c>
      <c r="G60" s="392"/>
      <c r="H60" s="385"/>
      <c r="I60" s="392"/>
      <c r="J60" s="385"/>
      <c r="K60" s="392"/>
      <c r="L60" s="385"/>
      <c r="M60" s="385"/>
    </row>
    <row r="61" spans="1:13" ht="27">
      <c r="A61" s="598"/>
      <c r="B61" s="22"/>
      <c r="C61" s="137" t="s">
        <v>38</v>
      </c>
      <c r="D61" s="108" t="s">
        <v>8</v>
      </c>
      <c r="E61" s="24">
        <v>3.88</v>
      </c>
      <c r="F61" s="270">
        <f>F60*E61</f>
        <v>31.04</v>
      </c>
      <c r="G61" s="385"/>
      <c r="H61" s="385"/>
      <c r="I61" s="385"/>
      <c r="J61" s="385"/>
      <c r="K61" s="385"/>
      <c r="L61" s="385"/>
      <c r="M61" s="385"/>
    </row>
    <row r="62" spans="1:13" ht="27">
      <c r="A62" s="599" t="s">
        <v>79</v>
      </c>
      <c r="B62" s="53" t="s">
        <v>97</v>
      </c>
      <c r="C62" s="376" t="s">
        <v>223</v>
      </c>
      <c r="D62" s="154" t="s">
        <v>48</v>
      </c>
      <c r="E62" s="198"/>
      <c r="F62" s="377">
        <f>F60*1.95</f>
        <v>15.6</v>
      </c>
      <c r="G62" s="375"/>
      <c r="H62" s="271"/>
      <c r="I62" s="375"/>
      <c r="J62" s="271"/>
      <c r="K62" s="375"/>
      <c r="L62" s="271"/>
      <c r="M62" s="271"/>
    </row>
    <row r="63" spans="1:13" ht="27">
      <c r="A63" s="600"/>
      <c r="B63" s="255"/>
      <c r="C63" s="378" t="s">
        <v>62</v>
      </c>
      <c r="D63" s="28" t="s">
        <v>8</v>
      </c>
      <c r="E63" s="198">
        <v>0.53</v>
      </c>
      <c r="F63" s="374">
        <f>F62*E63</f>
        <v>8.2680000000000007</v>
      </c>
      <c r="G63" s="375"/>
      <c r="H63" s="271"/>
      <c r="I63" s="375"/>
      <c r="J63" s="271"/>
      <c r="K63" s="375"/>
      <c r="L63" s="271"/>
      <c r="M63" s="271"/>
    </row>
    <row r="64" spans="1:13">
      <c r="A64" s="601"/>
      <c r="B64" s="154" t="s">
        <v>138</v>
      </c>
      <c r="C64" s="379" t="s">
        <v>224</v>
      </c>
      <c r="D64" s="154" t="s">
        <v>48</v>
      </c>
      <c r="E64" s="198"/>
      <c r="F64" s="377">
        <f>F62</f>
        <v>15.6</v>
      </c>
      <c r="G64" s="375"/>
      <c r="H64" s="271"/>
      <c r="I64" s="375"/>
      <c r="J64" s="271"/>
      <c r="K64" s="375"/>
      <c r="L64" s="271"/>
      <c r="M64" s="271"/>
    </row>
    <row r="65" spans="1:13">
      <c r="A65" s="591" t="s">
        <v>99</v>
      </c>
      <c r="B65" s="154" t="s">
        <v>41</v>
      </c>
      <c r="C65" s="393" t="s">
        <v>217</v>
      </c>
      <c r="D65" s="154" t="s">
        <v>43</v>
      </c>
      <c r="E65" s="270"/>
      <c r="F65" s="7">
        <f>F59*0.15</f>
        <v>6</v>
      </c>
      <c r="G65" s="271"/>
      <c r="H65" s="271"/>
      <c r="I65" s="271"/>
      <c r="J65" s="271"/>
      <c r="K65" s="271"/>
      <c r="L65" s="271"/>
      <c r="M65" s="271"/>
    </row>
    <row r="66" spans="1:13" ht="27">
      <c r="A66" s="602"/>
      <c r="B66" s="154"/>
      <c r="C66" s="380" t="s">
        <v>42</v>
      </c>
      <c r="D66" s="105" t="s">
        <v>8</v>
      </c>
      <c r="E66" s="103">
        <v>3.52</v>
      </c>
      <c r="F66" s="103">
        <f>F65*E66</f>
        <v>21.12</v>
      </c>
      <c r="G66" s="64"/>
      <c r="H66" s="271"/>
      <c r="I66" s="63"/>
      <c r="J66" s="63"/>
      <c r="K66" s="63"/>
      <c r="L66" s="61"/>
      <c r="M66" s="61"/>
    </row>
    <row r="67" spans="1:13">
      <c r="A67" s="602"/>
      <c r="B67" s="154"/>
      <c r="C67" s="394" t="s">
        <v>17</v>
      </c>
      <c r="D67" s="189" t="s">
        <v>6</v>
      </c>
      <c r="E67" s="20">
        <v>1.06</v>
      </c>
      <c r="F67" s="20">
        <f>F65*E67</f>
        <v>6.36</v>
      </c>
      <c r="G67" s="395"/>
      <c r="H67" s="271"/>
      <c r="I67" s="63"/>
      <c r="J67" s="63"/>
      <c r="K67" s="63"/>
      <c r="L67" s="61"/>
      <c r="M67" s="61"/>
    </row>
    <row r="68" spans="1:13">
      <c r="A68" s="602"/>
      <c r="B68" s="154"/>
      <c r="C68" s="394" t="s">
        <v>35</v>
      </c>
      <c r="D68" s="189" t="s">
        <v>43</v>
      </c>
      <c r="E68" s="20">
        <f>0.18+0.09+0.97</f>
        <v>1.24</v>
      </c>
      <c r="F68" s="20">
        <f>F65*E68</f>
        <v>7.4399999999999995</v>
      </c>
      <c r="G68" s="395"/>
      <c r="H68" s="63"/>
      <c r="I68" s="64"/>
      <c r="J68" s="271"/>
      <c r="K68" s="65"/>
      <c r="L68" s="271"/>
      <c r="M68" s="61"/>
    </row>
    <row r="69" spans="1:13">
      <c r="A69" s="592"/>
      <c r="B69" s="154"/>
      <c r="C69" s="394" t="s">
        <v>56</v>
      </c>
      <c r="D69" s="189" t="s">
        <v>6</v>
      </c>
      <c r="E69" s="20">
        <v>0.02</v>
      </c>
      <c r="F69" s="20">
        <f>F65*E69</f>
        <v>0.12</v>
      </c>
      <c r="G69" s="395"/>
      <c r="H69" s="63"/>
      <c r="I69" s="64"/>
      <c r="J69" s="271"/>
      <c r="K69" s="65"/>
      <c r="L69" s="271"/>
      <c r="M69" s="61"/>
    </row>
    <row r="70" spans="1:13">
      <c r="A70" s="591" t="s">
        <v>93</v>
      </c>
      <c r="B70" s="613" t="s">
        <v>90</v>
      </c>
      <c r="C70" s="615" t="s">
        <v>218</v>
      </c>
      <c r="D70" s="154" t="s">
        <v>54</v>
      </c>
      <c r="E70" s="270"/>
      <c r="F70" s="7">
        <f>F59</f>
        <v>40</v>
      </c>
      <c r="G70" s="396"/>
      <c r="H70" s="271"/>
      <c r="I70" s="271"/>
      <c r="J70" s="271"/>
      <c r="K70" s="396"/>
      <c r="L70" s="271"/>
      <c r="M70" s="271"/>
    </row>
    <row r="71" spans="1:13">
      <c r="A71" s="602"/>
      <c r="B71" s="614"/>
      <c r="C71" s="616"/>
      <c r="D71" s="154" t="s">
        <v>43</v>
      </c>
      <c r="E71" s="270"/>
      <c r="F71" s="7">
        <f>F70*0.12</f>
        <v>4.8</v>
      </c>
      <c r="G71" s="396"/>
      <c r="H71" s="271"/>
      <c r="I71" s="271"/>
      <c r="J71" s="271"/>
      <c r="K71" s="396"/>
      <c r="L71" s="271"/>
      <c r="M71" s="271"/>
    </row>
    <row r="72" spans="1:13" ht="27">
      <c r="A72" s="602"/>
      <c r="B72" s="154"/>
      <c r="C72" s="397" t="s">
        <v>42</v>
      </c>
      <c r="D72" s="363" t="s">
        <v>8</v>
      </c>
      <c r="E72" s="270">
        <v>2.9</v>
      </c>
      <c r="F72" s="270">
        <f>F71*E72</f>
        <v>13.92</v>
      </c>
      <c r="G72" s="271"/>
      <c r="H72" s="271"/>
      <c r="I72" s="271"/>
      <c r="J72" s="271"/>
      <c r="K72" s="396"/>
      <c r="L72" s="271"/>
      <c r="M72" s="271"/>
    </row>
    <row r="73" spans="1:13">
      <c r="A73" s="602"/>
      <c r="B73" s="154"/>
      <c r="C73" s="397" t="s">
        <v>212</v>
      </c>
      <c r="D73" s="363" t="s">
        <v>43</v>
      </c>
      <c r="E73" s="270">
        <v>1.02</v>
      </c>
      <c r="F73" s="270">
        <f>F71*E73</f>
        <v>4.8959999999999999</v>
      </c>
      <c r="G73" s="396"/>
      <c r="H73" s="271"/>
      <c r="I73" s="271"/>
      <c r="J73" s="271"/>
      <c r="K73" s="396"/>
      <c r="L73" s="271"/>
      <c r="M73" s="271"/>
    </row>
    <row r="74" spans="1:13">
      <c r="A74" s="602"/>
      <c r="B74" s="154"/>
      <c r="C74" s="397" t="s">
        <v>156</v>
      </c>
      <c r="D74" s="363" t="s">
        <v>48</v>
      </c>
      <c r="E74" s="270">
        <v>1.03</v>
      </c>
      <c r="F74" s="270">
        <f>F59*16*1*E74*0.395/1000</f>
        <v>0.260384</v>
      </c>
      <c r="G74" s="271"/>
      <c r="H74" s="271"/>
      <c r="I74" s="271"/>
      <c r="J74" s="271"/>
      <c r="K74" s="396"/>
      <c r="L74" s="271"/>
      <c r="M74" s="271"/>
    </row>
    <row r="75" spans="1:13">
      <c r="A75" s="592"/>
      <c r="B75" s="154"/>
      <c r="C75" s="397" t="s">
        <v>16</v>
      </c>
      <c r="D75" s="363" t="s">
        <v>6</v>
      </c>
      <c r="E75" s="270">
        <v>0.88</v>
      </c>
      <c r="F75" s="270">
        <f>F71*E75</f>
        <v>4.2240000000000002</v>
      </c>
      <c r="G75" s="396"/>
      <c r="H75" s="271"/>
      <c r="I75" s="271"/>
      <c r="J75" s="271"/>
      <c r="K75" s="396"/>
      <c r="L75" s="271"/>
      <c r="M75" s="271"/>
    </row>
    <row r="76" spans="1:13" ht="27">
      <c r="A76" s="591" t="s">
        <v>95</v>
      </c>
      <c r="B76" s="154" t="s">
        <v>154</v>
      </c>
      <c r="C76" s="393" t="s">
        <v>244</v>
      </c>
      <c r="D76" s="154" t="s">
        <v>54</v>
      </c>
      <c r="E76" s="270"/>
      <c r="F76" s="7">
        <f>F59</f>
        <v>40</v>
      </c>
      <c r="G76" s="271"/>
      <c r="H76" s="271"/>
      <c r="I76" s="271"/>
      <c r="J76" s="271"/>
      <c r="K76" s="271"/>
      <c r="L76" s="271"/>
      <c r="M76" s="271"/>
    </row>
    <row r="77" spans="1:13" ht="27">
      <c r="A77" s="602"/>
      <c r="B77" s="154"/>
      <c r="C77" s="397" t="s">
        <v>42</v>
      </c>
      <c r="D77" s="363" t="s">
        <v>8</v>
      </c>
      <c r="E77" s="270">
        <v>0.77900000000000003</v>
      </c>
      <c r="F77" s="270">
        <f>F76*E77</f>
        <v>31.16</v>
      </c>
      <c r="G77" s="271"/>
      <c r="H77" s="271"/>
      <c r="I77" s="271"/>
      <c r="J77" s="271"/>
      <c r="K77" s="271"/>
      <c r="L77" s="271"/>
      <c r="M77" s="271"/>
    </row>
    <row r="78" spans="1:13">
      <c r="A78" s="602"/>
      <c r="B78" s="154"/>
      <c r="C78" s="397" t="s">
        <v>17</v>
      </c>
      <c r="D78" s="363" t="s">
        <v>6</v>
      </c>
      <c r="E78" s="270">
        <v>0.104</v>
      </c>
      <c r="F78" s="270">
        <f>F76*E78</f>
        <v>4.16</v>
      </c>
      <c r="G78" s="271"/>
      <c r="H78" s="271"/>
      <c r="I78" s="271"/>
      <c r="J78" s="271"/>
      <c r="K78" s="271"/>
      <c r="L78" s="271"/>
      <c r="M78" s="271"/>
    </row>
    <row r="79" spans="1:13">
      <c r="A79" s="602"/>
      <c r="B79" s="154"/>
      <c r="C79" s="397" t="s">
        <v>213</v>
      </c>
      <c r="D79" s="363" t="s">
        <v>54</v>
      </c>
      <c r="E79" s="270">
        <v>1.01</v>
      </c>
      <c r="F79" s="270">
        <f>F76*80%*E79</f>
        <v>32.32</v>
      </c>
      <c r="G79" s="271"/>
      <c r="H79" s="271"/>
      <c r="I79" s="271"/>
      <c r="J79" s="271"/>
      <c r="K79" s="271"/>
      <c r="L79" s="271"/>
      <c r="M79" s="271"/>
    </row>
    <row r="80" spans="1:13" ht="40.5">
      <c r="A80" s="602"/>
      <c r="B80" s="154"/>
      <c r="C80" s="397" t="s">
        <v>219</v>
      </c>
      <c r="D80" s="363" t="s">
        <v>43</v>
      </c>
      <c r="E80" s="270">
        <v>2.1100000000000001E-2</v>
      </c>
      <c r="F80" s="270">
        <f>F76*E80</f>
        <v>0.84400000000000008</v>
      </c>
      <c r="G80" s="271"/>
      <c r="H80" s="271"/>
      <c r="I80" s="271"/>
      <c r="J80" s="271"/>
      <c r="K80" s="271"/>
      <c r="L80" s="271"/>
      <c r="M80" s="271"/>
    </row>
    <row r="81" spans="1:15">
      <c r="A81" s="592"/>
      <c r="B81" s="154"/>
      <c r="C81" s="397" t="s">
        <v>16</v>
      </c>
      <c r="D81" s="363" t="s">
        <v>6</v>
      </c>
      <c r="E81" s="270">
        <v>4.66</v>
      </c>
      <c r="F81" s="270">
        <f>F76*E81</f>
        <v>186.4</v>
      </c>
      <c r="G81" s="271"/>
      <c r="H81" s="271"/>
      <c r="I81" s="271"/>
      <c r="J81" s="271"/>
      <c r="K81" s="271"/>
      <c r="L81" s="271"/>
      <c r="M81" s="271"/>
    </row>
    <row r="82" spans="1:15" ht="27">
      <c r="A82" s="591" t="s">
        <v>96</v>
      </c>
      <c r="B82" s="154" t="s">
        <v>214</v>
      </c>
      <c r="C82" s="393" t="s">
        <v>245</v>
      </c>
      <c r="D82" s="363" t="s">
        <v>54</v>
      </c>
      <c r="E82" s="270"/>
      <c r="F82" s="7">
        <f>F59</f>
        <v>40</v>
      </c>
      <c r="G82" s="398"/>
      <c r="H82" s="271"/>
      <c r="I82" s="398"/>
      <c r="J82" s="271"/>
      <c r="K82" s="398"/>
      <c r="L82" s="271"/>
      <c r="M82" s="271"/>
    </row>
    <row r="83" spans="1:15" ht="27">
      <c r="A83" s="602"/>
      <c r="B83" s="154"/>
      <c r="C83" s="397" t="s">
        <v>42</v>
      </c>
      <c r="D83" s="363" t="s">
        <v>8</v>
      </c>
      <c r="E83" s="270">
        <v>0.81100000000000005</v>
      </c>
      <c r="F83" s="270">
        <f>F82*E83</f>
        <v>32.440000000000005</v>
      </c>
      <c r="G83" s="398"/>
      <c r="H83" s="271"/>
      <c r="I83" s="271"/>
      <c r="J83" s="271"/>
      <c r="K83" s="271"/>
      <c r="L83" s="271"/>
      <c r="M83" s="271"/>
    </row>
    <row r="84" spans="1:15">
      <c r="A84" s="602"/>
      <c r="B84" s="154"/>
      <c r="C84" s="397" t="s">
        <v>7</v>
      </c>
      <c r="D84" s="363" t="s">
        <v>6</v>
      </c>
      <c r="E84" s="270">
        <v>1.2999999999999999E-2</v>
      </c>
      <c r="F84" s="270">
        <f>F82*E84</f>
        <v>0.52</v>
      </c>
      <c r="G84" s="398"/>
      <c r="H84" s="271"/>
      <c r="I84" s="398"/>
      <c r="J84" s="271"/>
      <c r="K84" s="271"/>
      <c r="L84" s="271"/>
      <c r="M84" s="271"/>
    </row>
    <row r="85" spans="1:15">
      <c r="A85" s="602"/>
      <c r="B85" s="154"/>
      <c r="C85" s="397" t="s">
        <v>215</v>
      </c>
      <c r="D85" s="363" t="s">
        <v>48</v>
      </c>
      <c r="E85" s="270">
        <v>1.8599999999999998E-2</v>
      </c>
      <c r="F85" s="270">
        <f>F82*E85</f>
        <v>0.74399999999999999</v>
      </c>
      <c r="G85" s="398"/>
      <c r="H85" s="271"/>
      <c r="I85" s="271"/>
      <c r="J85" s="271"/>
      <c r="K85" s="271"/>
      <c r="L85" s="271"/>
      <c r="M85" s="271"/>
      <c r="O85">
        <f>1500/25*30.9</f>
        <v>1854</v>
      </c>
    </row>
    <row r="86" spans="1:15">
      <c r="A86" s="602"/>
      <c r="B86" s="154"/>
      <c r="C86" s="397" t="s">
        <v>216</v>
      </c>
      <c r="D86" s="363" t="s">
        <v>48</v>
      </c>
      <c r="E86" s="270">
        <v>5.0000000000000001E-4</v>
      </c>
      <c r="F86" s="270">
        <f>F82*E86</f>
        <v>0.02</v>
      </c>
      <c r="G86" s="398"/>
      <c r="H86" s="271"/>
      <c r="I86" s="271"/>
      <c r="J86" s="271"/>
      <c r="K86" s="271"/>
      <c r="L86" s="271"/>
      <c r="M86" s="271"/>
    </row>
    <row r="87" spans="1:15">
      <c r="A87" s="592"/>
      <c r="B87" s="154"/>
      <c r="C87" s="397" t="s">
        <v>56</v>
      </c>
      <c r="D87" s="363" t="s">
        <v>6</v>
      </c>
      <c r="E87" s="270">
        <v>0.156</v>
      </c>
      <c r="F87" s="270">
        <f>F82*E87</f>
        <v>6.24</v>
      </c>
      <c r="G87" s="398"/>
      <c r="H87" s="271"/>
      <c r="I87" s="271"/>
      <c r="J87" s="271"/>
      <c r="K87" s="271"/>
      <c r="L87" s="271"/>
      <c r="M87" s="271"/>
    </row>
    <row r="88" spans="1:15">
      <c r="A88" s="354"/>
      <c r="B88" s="187"/>
      <c r="C88" s="394"/>
      <c r="D88" s="40"/>
      <c r="E88" s="270"/>
      <c r="F88" s="270"/>
      <c r="G88" s="384"/>
      <c r="H88" s="385"/>
      <c r="I88" s="384"/>
      <c r="J88" s="385"/>
      <c r="K88" s="384"/>
      <c r="L88" s="385"/>
      <c r="M88" s="385"/>
    </row>
    <row r="89" spans="1:15">
      <c r="A89" s="355"/>
      <c r="B89" s="187"/>
      <c r="C89" s="394"/>
      <c r="D89" s="189"/>
      <c r="E89" s="20"/>
      <c r="F89" s="20"/>
      <c r="G89" s="399"/>
      <c r="H89" s="385"/>
      <c r="I89" s="384"/>
      <c r="J89" s="385"/>
      <c r="K89" s="384"/>
      <c r="L89" s="385"/>
      <c r="M89" s="385"/>
    </row>
    <row r="90" spans="1:15">
      <c r="A90" s="259" t="s">
        <v>93</v>
      </c>
      <c r="B90" s="55"/>
      <c r="C90" s="400" t="s">
        <v>159</v>
      </c>
      <c r="D90" s="55" t="s">
        <v>54</v>
      </c>
      <c r="E90" s="341"/>
      <c r="F90" s="341">
        <f>'7777'!G11</f>
        <v>450</v>
      </c>
      <c r="G90" s="271"/>
      <c r="H90" s="271"/>
      <c r="I90" s="271"/>
      <c r="J90" s="271"/>
      <c r="K90" s="271"/>
      <c r="L90" s="271"/>
      <c r="M90" s="271"/>
    </row>
    <row r="91" spans="1:15" ht="27">
      <c r="A91" s="348" t="s">
        <v>98</v>
      </c>
      <c r="B91" s="154"/>
      <c r="C91" s="393" t="s">
        <v>140</v>
      </c>
      <c r="D91" s="100"/>
      <c r="E91" s="270"/>
      <c r="F91" s="270"/>
      <c r="G91" s="271"/>
      <c r="H91" s="271"/>
      <c r="I91" s="271"/>
      <c r="J91" s="271"/>
      <c r="K91" s="271"/>
      <c r="L91" s="271"/>
      <c r="M91" s="271"/>
    </row>
    <row r="92" spans="1:15" ht="27">
      <c r="A92" s="599" t="s">
        <v>79</v>
      </c>
      <c r="B92" s="257" t="s">
        <v>97</v>
      </c>
      <c r="C92" s="101" t="s">
        <v>222</v>
      </c>
      <c r="D92" s="102" t="s">
        <v>48</v>
      </c>
      <c r="E92" s="103"/>
      <c r="F92" s="7">
        <f>F95*1.95</f>
        <v>46.8</v>
      </c>
      <c r="G92" s="64"/>
      <c r="H92" s="271"/>
      <c r="I92" s="271"/>
      <c r="J92" s="271"/>
      <c r="K92" s="65"/>
      <c r="L92" s="271"/>
      <c r="M92" s="271"/>
    </row>
    <row r="93" spans="1:15">
      <c r="A93" s="601"/>
      <c r="B93" s="154"/>
      <c r="C93" s="104" t="s">
        <v>13</v>
      </c>
      <c r="D93" s="363" t="s">
        <v>14</v>
      </c>
      <c r="E93" s="270">
        <f>0.53</f>
        <v>0.53</v>
      </c>
      <c r="F93" s="270">
        <f>E93*F92</f>
        <v>24.803999999999998</v>
      </c>
      <c r="G93" s="271"/>
      <c r="H93" s="271"/>
      <c r="I93" s="271"/>
      <c r="J93" s="271"/>
      <c r="K93" s="271"/>
      <c r="L93" s="271"/>
      <c r="M93" s="271"/>
    </row>
    <row r="94" spans="1:15" ht="27">
      <c r="A94" s="349" t="s">
        <v>99</v>
      </c>
      <c r="B94" s="106" t="s">
        <v>141</v>
      </c>
      <c r="C94" s="401" t="s">
        <v>226</v>
      </c>
      <c r="D94" s="106" t="s">
        <v>48</v>
      </c>
      <c r="E94" s="103"/>
      <c r="F94" s="102">
        <f>F95*1.95</f>
        <v>46.8</v>
      </c>
      <c r="G94" s="64"/>
      <c r="H94" s="271"/>
      <c r="I94" s="271"/>
      <c r="J94" s="271"/>
      <c r="K94" s="65"/>
      <c r="L94" s="271"/>
      <c r="M94" s="271"/>
    </row>
    <row r="95" spans="1:15" ht="27">
      <c r="A95" s="599" t="s">
        <v>93</v>
      </c>
      <c r="B95" s="106" t="s">
        <v>71</v>
      </c>
      <c r="C95" s="402" t="s">
        <v>142</v>
      </c>
      <c r="D95" s="106" t="s">
        <v>43</v>
      </c>
      <c r="E95" s="103"/>
      <c r="F95" s="7">
        <f>'7777'!G10</f>
        <v>24</v>
      </c>
      <c r="G95" s="64"/>
      <c r="H95" s="271"/>
      <c r="I95" s="271"/>
      <c r="J95" s="271"/>
      <c r="K95" s="65"/>
      <c r="L95" s="271"/>
      <c r="M95" s="271"/>
    </row>
    <row r="96" spans="1:15" ht="27">
      <c r="A96" s="601"/>
      <c r="B96" s="106"/>
      <c r="C96" s="380" t="s">
        <v>38</v>
      </c>
      <c r="D96" s="105" t="s">
        <v>39</v>
      </c>
      <c r="E96" s="103">
        <v>1.21</v>
      </c>
      <c r="F96" s="103">
        <f>F95*E96</f>
        <v>29.04</v>
      </c>
      <c r="G96" s="64"/>
      <c r="H96" s="271"/>
      <c r="I96" s="64"/>
      <c r="J96" s="271"/>
      <c r="K96" s="65"/>
      <c r="L96" s="271"/>
      <c r="M96" s="271"/>
    </row>
    <row r="97" spans="1:13" ht="15.75">
      <c r="A97" s="593" t="s">
        <v>95</v>
      </c>
      <c r="B97" s="81" t="s">
        <v>160</v>
      </c>
      <c r="C97" s="403" t="s">
        <v>161</v>
      </c>
      <c r="D97" s="81" t="s">
        <v>31</v>
      </c>
      <c r="E97" s="176"/>
      <c r="F97" s="176">
        <f>F90</f>
        <v>450</v>
      </c>
      <c r="G97" s="271"/>
      <c r="H97" s="271"/>
      <c r="I97" s="271"/>
      <c r="J97" s="271"/>
      <c r="K97" s="271"/>
      <c r="L97" s="271"/>
      <c r="M97" s="271"/>
    </row>
    <row r="98" spans="1:13" ht="27">
      <c r="A98" s="594"/>
      <c r="B98" s="81"/>
      <c r="C98" s="387" t="s">
        <v>42</v>
      </c>
      <c r="D98" s="363" t="s">
        <v>8</v>
      </c>
      <c r="E98" s="177">
        <f>38.3*0.01</f>
        <v>0.38300000000000001</v>
      </c>
      <c r="F98" s="177">
        <f>F97*E98</f>
        <v>172.35</v>
      </c>
      <c r="G98" s="271"/>
      <c r="H98" s="271"/>
      <c r="I98" s="271"/>
      <c r="J98" s="271"/>
      <c r="K98" s="271"/>
      <c r="L98" s="271"/>
      <c r="M98" s="271"/>
    </row>
    <row r="99" spans="1:13" ht="27">
      <c r="A99" s="595"/>
      <c r="B99" s="81" t="s">
        <v>18</v>
      </c>
      <c r="C99" s="387" t="s">
        <v>162</v>
      </c>
      <c r="D99" s="366" t="s">
        <v>86</v>
      </c>
      <c r="E99" s="177">
        <f>2*0.01</f>
        <v>0.02</v>
      </c>
      <c r="F99" s="177">
        <f>E99*F97</f>
        <v>9</v>
      </c>
      <c r="G99" s="271"/>
      <c r="H99" s="271"/>
      <c r="I99" s="271"/>
      <c r="J99" s="271"/>
      <c r="K99" s="271"/>
      <c r="L99" s="271"/>
      <c r="M99" s="271"/>
    </row>
    <row r="100" spans="1:13" ht="27">
      <c r="A100" s="344" t="s">
        <v>96</v>
      </c>
      <c r="B100" s="154"/>
      <c r="C100" s="400" t="s">
        <v>163</v>
      </c>
      <c r="D100" s="154"/>
      <c r="E100" s="7"/>
      <c r="F100" s="7"/>
      <c r="G100" s="271"/>
      <c r="H100" s="271"/>
      <c r="I100" s="271"/>
      <c r="J100" s="271"/>
      <c r="K100" s="271"/>
      <c r="L100" s="271"/>
      <c r="M100" s="271"/>
    </row>
    <row r="101" spans="1:13">
      <c r="A101" s="344"/>
      <c r="B101" s="56"/>
      <c r="C101" s="62" t="s">
        <v>491</v>
      </c>
      <c r="D101" s="154" t="s">
        <v>58</v>
      </c>
      <c r="E101" s="270"/>
      <c r="F101" s="7">
        <f>'7777'!G12</f>
        <v>6</v>
      </c>
      <c r="G101" s="271"/>
      <c r="H101" s="271"/>
      <c r="I101" s="271"/>
      <c r="J101" s="271"/>
      <c r="K101" s="271"/>
      <c r="L101" s="271"/>
      <c r="M101" s="271"/>
    </row>
    <row r="102" spans="1:13">
      <c r="A102" s="344"/>
      <c r="B102" s="56">
        <v>3</v>
      </c>
      <c r="C102" s="62" t="s">
        <v>492</v>
      </c>
      <c r="D102" s="154" t="s">
        <v>58</v>
      </c>
      <c r="E102" s="270"/>
      <c r="F102" s="7">
        <f>'7777'!G13</f>
        <v>12</v>
      </c>
      <c r="G102" s="271"/>
      <c r="H102" s="271"/>
      <c r="I102" s="271"/>
      <c r="J102" s="271"/>
      <c r="K102" s="271"/>
      <c r="L102" s="271"/>
      <c r="M102" s="271"/>
    </row>
    <row r="103" spans="1:13">
      <c r="A103" s="350"/>
      <c r="B103" s="56"/>
      <c r="C103" s="62" t="s">
        <v>164</v>
      </c>
      <c r="D103" s="154" t="s">
        <v>58</v>
      </c>
      <c r="E103" s="270"/>
      <c r="F103" s="7">
        <f>'7777'!G14</f>
        <v>18</v>
      </c>
      <c r="G103" s="271"/>
      <c r="H103" s="271"/>
      <c r="I103" s="271"/>
      <c r="J103" s="271"/>
      <c r="K103" s="271"/>
      <c r="L103" s="271"/>
      <c r="M103" s="271"/>
    </row>
    <row r="104" spans="1:13" ht="27">
      <c r="A104" s="591" t="s">
        <v>87</v>
      </c>
      <c r="B104" s="154" t="s">
        <v>165</v>
      </c>
      <c r="C104" s="62" t="s">
        <v>166</v>
      </c>
      <c r="D104" s="154" t="s">
        <v>58</v>
      </c>
      <c r="E104" s="270"/>
      <c r="F104" s="7">
        <f>F101+F102+F103</f>
        <v>36</v>
      </c>
      <c r="G104" s="271"/>
      <c r="H104" s="271"/>
      <c r="I104" s="271"/>
      <c r="J104" s="271"/>
      <c r="K104" s="271"/>
      <c r="L104" s="271"/>
      <c r="M104" s="271"/>
    </row>
    <row r="105" spans="1:13" ht="27">
      <c r="A105" s="592"/>
      <c r="B105" s="154"/>
      <c r="C105" s="66" t="s">
        <v>42</v>
      </c>
      <c r="D105" s="363" t="s">
        <v>8</v>
      </c>
      <c r="E105" s="270">
        <v>3.18</v>
      </c>
      <c r="F105" s="270">
        <f>F104*E105</f>
        <v>114.48</v>
      </c>
      <c r="G105" s="271"/>
      <c r="H105" s="271"/>
      <c r="I105" s="271"/>
      <c r="J105" s="271"/>
      <c r="K105" s="271"/>
      <c r="L105" s="271"/>
      <c r="M105" s="271"/>
    </row>
    <row r="106" spans="1:13">
      <c r="A106" s="344" t="s">
        <v>49</v>
      </c>
      <c r="B106" s="154" t="s">
        <v>167</v>
      </c>
      <c r="C106" s="62" t="s">
        <v>168</v>
      </c>
      <c r="D106" s="154" t="s">
        <v>58</v>
      </c>
      <c r="E106" s="270"/>
      <c r="F106" s="7">
        <f>F104</f>
        <v>36</v>
      </c>
      <c r="G106" s="271"/>
      <c r="H106" s="271"/>
      <c r="I106" s="271"/>
      <c r="J106" s="271"/>
      <c r="K106" s="271"/>
      <c r="L106" s="271"/>
      <c r="M106" s="271"/>
    </row>
    <row r="107" spans="1:13" ht="27">
      <c r="A107" s="350"/>
      <c r="B107" s="154"/>
      <c r="C107" s="66" t="s">
        <v>42</v>
      </c>
      <c r="D107" s="363" t="s">
        <v>8</v>
      </c>
      <c r="E107" s="270">
        <v>1.6</v>
      </c>
      <c r="F107" s="270">
        <f>F106*E107</f>
        <v>57.6</v>
      </c>
      <c r="G107" s="271"/>
      <c r="H107" s="271"/>
      <c r="I107" s="271"/>
      <c r="J107" s="271"/>
      <c r="K107" s="271"/>
      <c r="L107" s="271"/>
      <c r="M107" s="271"/>
    </row>
    <row r="108" spans="1:13" ht="27">
      <c r="A108" s="350"/>
      <c r="B108" s="154" t="s">
        <v>33</v>
      </c>
      <c r="C108" s="66" t="s">
        <v>169</v>
      </c>
      <c r="D108" s="363" t="s">
        <v>51</v>
      </c>
      <c r="E108" s="270">
        <v>7.0999999999999994E-2</v>
      </c>
      <c r="F108" s="270">
        <f>F106*E108</f>
        <v>2.5559999999999996</v>
      </c>
      <c r="G108" s="271"/>
      <c r="H108" s="271"/>
      <c r="I108" s="271"/>
      <c r="J108" s="271"/>
      <c r="K108" s="271"/>
      <c r="L108" s="271"/>
      <c r="M108" s="271"/>
    </row>
    <row r="109" spans="1:13" ht="27">
      <c r="A109" s="350"/>
      <c r="B109" s="154" t="s">
        <v>92</v>
      </c>
      <c r="C109" s="66" t="s">
        <v>170</v>
      </c>
      <c r="D109" s="363" t="s">
        <v>51</v>
      </c>
      <c r="E109" s="270">
        <v>0.13400000000000001</v>
      </c>
      <c r="F109" s="270">
        <f>F106*E109</f>
        <v>4.8239999999999998</v>
      </c>
      <c r="G109" s="271"/>
      <c r="H109" s="271"/>
      <c r="I109" s="271"/>
      <c r="J109" s="271"/>
      <c r="K109" s="271"/>
      <c r="L109" s="271"/>
      <c r="M109" s="271"/>
    </row>
    <row r="110" spans="1:13">
      <c r="A110" s="350"/>
      <c r="B110" s="154"/>
      <c r="C110" s="62" t="s">
        <v>171</v>
      </c>
      <c r="D110" s="363"/>
      <c r="E110" s="270">
        <v>1</v>
      </c>
      <c r="F110" s="7">
        <f>F106*E110</f>
        <v>36</v>
      </c>
      <c r="G110" s="271"/>
      <c r="H110" s="271"/>
      <c r="I110" s="271"/>
      <c r="J110" s="271"/>
      <c r="K110" s="271"/>
      <c r="L110" s="271"/>
      <c r="M110" s="271"/>
    </row>
    <row r="111" spans="1:13">
      <c r="A111" s="350"/>
      <c r="B111" s="154"/>
      <c r="C111" s="62" t="s">
        <v>491</v>
      </c>
      <c r="D111" s="154" t="s">
        <v>58</v>
      </c>
      <c r="E111" s="270"/>
      <c r="F111" s="270">
        <f>F101</f>
        <v>6</v>
      </c>
      <c r="G111" s="271"/>
      <c r="H111" s="271"/>
      <c r="I111" s="271"/>
      <c r="J111" s="271"/>
      <c r="K111" s="271"/>
      <c r="L111" s="271"/>
      <c r="M111" s="271"/>
    </row>
    <row r="112" spans="1:13">
      <c r="A112" s="350"/>
      <c r="B112" s="154"/>
      <c r="C112" s="62" t="s">
        <v>492</v>
      </c>
      <c r="D112" s="154" t="s">
        <v>58</v>
      </c>
      <c r="E112" s="270"/>
      <c r="F112" s="270">
        <f>F102</f>
        <v>12</v>
      </c>
      <c r="G112" s="271"/>
      <c r="H112" s="271"/>
      <c r="I112" s="271"/>
      <c r="J112" s="271"/>
      <c r="K112" s="271"/>
      <c r="L112" s="271"/>
      <c r="M112" s="271"/>
    </row>
    <row r="113" spans="1:14">
      <c r="A113" s="350"/>
      <c r="B113" s="154"/>
      <c r="C113" s="62" t="s">
        <v>164</v>
      </c>
      <c r="D113" s="154" t="s">
        <v>58</v>
      </c>
      <c r="E113" s="270"/>
      <c r="F113" s="270">
        <f>F103</f>
        <v>18</v>
      </c>
      <c r="G113" s="271"/>
      <c r="H113" s="271"/>
      <c r="I113" s="271"/>
      <c r="J113" s="271"/>
      <c r="K113" s="271"/>
      <c r="L113" s="271"/>
      <c r="M113" s="271"/>
    </row>
    <row r="114" spans="1:14">
      <c r="A114" s="534"/>
      <c r="B114" s="154"/>
      <c r="C114" s="66" t="s">
        <v>112</v>
      </c>
      <c r="D114" s="535" t="s">
        <v>43</v>
      </c>
      <c r="E114" s="536">
        <v>0.26</v>
      </c>
      <c r="F114" s="536">
        <f>F106*E114</f>
        <v>9.36</v>
      </c>
      <c r="G114" s="537"/>
      <c r="H114" s="537"/>
      <c r="I114" s="537"/>
      <c r="J114" s="537"/>
      <c r="K114" s="537"/>
      <c r="L114" s="537"/>
      <c r="M114" s="537"/>
    </row>
    <row r="115" spans="1:14">
      <c r="A115" s="534"/>
      <c r="B115" s="154"/>
      <c r="C115" s="66" t="s">
        <v>56</v>
      </c>
      <c r="D115" s="535" t="s">
        <v>6</v>
      </c>
      <c r="E115" s="536">
        <v>0.17899999999999999</v>
      </c>
      <c r="F115" s="536">
        <f>F106*E115</f>
        <v>6.444</v>
      </c>
      <c r="G115" s="537"/>
      <c r="H115" s="537"/>
      <c r="I115" s="537"/>
      <c r="J115" s="537"/>
      <c r="K115" s="537"/>
      <c r="L115" s="537"/>
      <c r="M115" s="537"/>
    </row>
    <row r="116" spans="1:14">
      <c r="A116" s="346"/>
      <c r="B116" s="154"/>
      <c r="C116" s="404"/>
      <c r="D116" s="154"/>
      <c r="E116" s="270"/>
      <c r="F116" s="270"/>
      <c r="G116" s="271"/>
      <c r="H116" s="271"/>
      <c r="I116" s="271"/>
      <c r="J116" s="271"/>
      <c r="K116" s="271"/>
      <c r="L116" s="271"/>
      <c r="M116" s="271"/>
    </row>
    <row r="117" spans="1:14" ht="67.5">
      <c r="A117" s="590" t="s">
        <v>59</v>
      </c>
      <c r="B117" s="155" t="s">
        <v>137</v>
      </c>
      <c r="C117" s="62" t="s">
        <v>227</v>
      </c>
      <c r="D117" s="154" t="s">
        <v>11</v>
      </c>
      <c r="E117" s="270"/>
      <c r="F117" s="7">
        <v>5</v>
      </c>
      <c r="G117" s="271"/>
      <c r="H117" s="271"/>
      <c r="I117" s="271"/>
      <c r="J117" s="271"/>
      <c r="K117" s="271"/>
      <c r="L117" s="271"/>
      <c r="M117" s="271"/>
    </row>
    <row r="118" spans="1:14" ht="27">
      <c r="A118" s="590"/>
      <c r="B118" s="154"/>
      <c r="C118" s="373" t="s">
        <v>60</v>
      </c>
      <c r="D118" s="28" t="s">
        <v>8</v>
      </c>
      <c r="E118" s="198">
        <v>0.6</v>
      </c>
      <c r="F118" s="374">
        <f>F117*E118</f>
        <v>3</v>
      </c>
      <c r="G118" s="375"/>
      <c r="H118" s="271"/>
      <c r="I118" s="375"/>
      <c r="J118" s="271"/>
      <c r="K118" s="271"/>
      <c r="L118" s="271"/>
      <c r="M118" s="271"/>
    </row>
    <row r="119" spans="1:14" ht="27">
      <c r="A119" s="590"/>
      <c r="B119" s="53" t="s">
        <v>97</v>
      </c>
      <c r="C119" s="376" t="s">
        <v>61</v>
      </c>
      <c r="D119" s="154" t="s">
        <v>48</v>
      </c>
      <c r="E119" s="198"/>
      <c r="F119" s="377">
        <f>F117*1.65</f>
        <v>8.25</v>
      </c>
      <c r="G119" s="375"/>
      <c r="H119" s="271"/>
      <c r="I119" s="375"/>
      <c r="J119" s="271"/>
      <c r="K119" s="375"/>
      <c r="L119" s="271"/>
      <c r="M119" s="271"/>
    </row>
    <row r="120" spans="1:14" ht="27">
      <c r="A120" s="590"/>
      <c r="B120" s="255"/>
      <c r="C120" s="378" t="s">
        <v>62</v>
      </c>
      <c r="D120" s="28" t="s">
        <v>8</v>
      </c>
      <c r="E120" s="198">
        <v>0.53</v>
      </c>
      <c r="F120" s="374">
        <f>F119*E120</f>
        <v>4.3725000000000005</v>
      </c>
      <c r="G120" s="375"/>
      <c r="H120" s="271"/>
      <c r="I120" s="375"/>
      <c r="J120" s="271"/>
      <c r="K120" s="375"/>
      <c r="L120" s="271"/>
      <c r="M120" s="271"/>
    </row>
    <row r="121" spans="1:14">
      <c r="A121" s="590"/>
      <c r="B121" s="154" t="s">
        <v>138</v>
      </c>
      <c r="C121" s="379" t="s">
        <v>242</v>
      </c>
      <c r="D121" s="154" t="s">
        <v>48</v>
      </c>
      <c r="E121" s="198"/>
      <c r="F121" s="377">
        <f>F119</f>
        <v>8.25</v>
      </c>
      <c r="G121" s="375"/>
      <c r="H121" s="271"/>
      <c r="I121" s="375"/>
      <c r="J121" s="271"/>
      <c r="K121" s="65"/>
      <c r="L121" s="271"/>
      <c r="M121" s="271"/>
    </row>
    <row r="122" spans="1:14">
      <c r="A122" s="346"/>
      <c r="B122" s="154"/>
      <c r="C122" s="62"/>
      <c r="D122" s="154"/>
      <c r="E122" s="270"/>
      <c r="F122" s="270"/>
      <c r="G122" s="271"/>
      <c r="H122" s="271"/>
      <c r="I122" s="271"/>
      <c r="J122" s="271"/>
      <c r="K122" s="271"/>
      <c r="L122" s="271"/>
      <c r="M122" s="271"/>
    </row>
    <row r="123" spans="1:14">
      <c r="A123" s="346"/>
      <c r="B123" s="154"/>
      <c r="C123" s="62"/>
      <c r="D123" s="154"/>
      <c r="E123" s="270"/>
      <c r="F123" s="270"/>
      <c r="G123" s="271"/>
      <c r="H123" s="271"/>
      <c r="I123" s="271"/>
      <c r="J123" s="271"/>
      <c r="K123" s="271"/>
      <c r="L123" s="271"/>
      <c r="M123" s="271"/>
    </row>
    <row r="124" spans="1:14">
      <c r="A124" s="292"/>
      <c r="B124" s="237"/>
      <c r="C124" s="237" t="s">
        <v>322</v>
      </c>
      <c r="D124" s="237"/>
      <c r="E124" s="238"/>
      <c r="F124" s="238"/>
      <c r="G124" s="405"/>
      <c r="H124" s="405"/>
      <c r="I124" s="405"/>
      <c r="J124" s="405"/>
      <c r="K124" s="405"/>
      <c r="L124" s="405"/>
      <c r="M124" s="405"/>
      <c r="N124" s="538">
        <f>H124+J124+L124</f>
        <v>0</v>
      </c>
    </row>
    <row r="125" spans="1:14">
      <c r="A125" s="293"/>
      <c r="B125" s="203"/>
      <c r="C125" s="253" t="s">
        <v>253</v>
      </c>
      <c r="D125" s="203"/>
      <c r="E125" s="205"/>
      <c r="F125" s="406" t="s">
        <v>554</v>
      </c>
      <c r="G125" s="407"/>
      <c r="H125" s="407"/>
      <c r="I125" s="407"/>
      <c r="J125" s="407"/>
      <c r="K125" s="407"/>
      <c r="L125" s="407"/>
      <c r="M125" s="408"/>
    </row>
    <row r="126" spans="1:14">
      <c r="A126" s="293"/>
      <c r="B126" s="203"/>
      <c r="C126" s="409" t="s">
        <v>19</v>
      </c>
      <c r="D126" s="203"/>
      <c r="E126" s="205"/>
      <c r="F126" s="205"/>
      <c r="G126" s="407"/>
      <c r="H126" s="407"/>
      <c r="I126" s="407"/>
      <c r="J126" s="407"/>
      <c r="K126" s="407"/>
      <c r="L126" s="407"/>
      <c r="M126" s="408"/>
    </row>
    <row r="127" spans="1:14">
      <c r="A127" s="294"/>
      <c r="B127" s="212"/>
      <c r="C127" s="214" t="s">
        <v>254</v>
      </c>
      <c r="D127" s="214"/>
      <c r="E127" s="215"/>
      <c r="F127" s="410" t="s">
        <v>554</v>
      </c>
      <c r="G127" s="411"/>
      <c r="H127" s="411"/>
      <c r="I127" s="411"/>
      <c r="J127" s="411"/>
      <c r="K127" s="411"/>
      <c r="L127" s="411"/>
      <c r="M127" s="411"/>
    </row>
    <row r="128" spans="1:14">
      <c r="A128" s="295"/>
      <c r="B128" s="218"/>
      <c r="C128" s="409" t="s">
        <v>19</v>
      </c>
      <c r="D128" s="219"/>
      <c r="E128" s="220"/>
      <c r="F128" s="412"/>
      <c r="G128" s="413"/>
      <c r="H128" s="413"/>
      <c r="I128" s="413"/>
      <c r="J128" s="413"/>
      <c r="K128" s="413"/>
      <c r="L128" s="413"/>
      <c r="M128" s="413"/>
    </row>
    <row r="129" spans="1:13">
      <c r="A129" s="295"/>
      <c r="B129" s="218"/>
      <c r="C129" s="219" t="s">
        <v>82</v>
      </c>
      <c r="D129" s="219"/>
      <c r="E129" s="220"/>
      <c r="F129" s="414" t="s">
        <v>554</v>
      </c>
      <c r="G129" s="413"/>
      <c r="H129" s="413"/>
      <c r="I129" s="413"/>
      <c r="J129" s="413"/>
      <c r="K129" s="413"/>
      <c r="L129" s="413"/>
      <c r="M129" s="413"/>
    </row>
    <row r="130" spans="1:13">
      <c r="A130" s="296"/>
      <c r="B130" s="225"/>
      <c r="C130" s="237" t="s">
        <v>378</v>
      </c>
      <c r="D130" s="227"/>
      <c r="E130" s="228"/>
      <c r="F130" s="415"/>
      <c r="G130" s="416"/>
      <c r="H130" s="416"/>
      <c r="I130" s="416"/>
      <c r="J130" s="416"/>
      <c r="K130" s="416"/>
      <c r="L130" s="416"/>
      <c r="M130" s="417"/>
    </row>
    <row r="131" spans="1:13">
      <c r="A131" s="297"/>
      <c r="B131" s="298"/>
      <c r="C131" s="418"/>
      <c r="D131" s="299"/>
      <c r="E131" s="300"/>
      <c r="F131" s="412"/>
      <c r="G131" s="419"/>
      <c r="H131" s="419"/>
      <c r="I131" s="419"/>
      <c r="J131" s="419"/>
      <c r="K131" s="419"/>
      <c r="L131" s="419"/>
      <c r="M131" s="420"/>
    </row>
    <row r="132" spans="1:13" ht="40.5">
      <c r="A132" s="283" t="s">
        <v>323</v>
      </c>
      <c r="B132" s="283"/>
      <c r="C132" s="283" t="s">
        <v>505</v>
      </c>
      <c r="D132" s="283"/>
      <c r="E132" s="371"/>
      <c r="F132" s="286"/>
      <c r="G132" s="371"/>
      <c r="H132" s="286"/>
      <c r="I132" s="371"/>
      <c r="J132" s="286"/>
      <c r="K132" s="371"/>
      <c r="L132" s="286"/>
      <c r="M132" s="371"/>
    </row>
    <row r="133" spans="1:13" ht="27">
      <c r="A133" s="287"/>
      <c r="B133" s="92"/>
      <c r="C133" s="92" t="s">
        <v>262</v>
      </c>
      <c r="D133" s="92"/>
      <c r="E133" s="372"/>
      <c r="F133" s="372"/>
      <c r="G133" s="271"/>
      <c r="H133" s="271"/>
      <c r="I133" s="271"/>
      <c r="J133" s="271"/>
      <c r="K133" s="271"/>
      <c r="L133" s="271"/>
      <c r="M133" s="271"/>
    </row>
    <row r="134" spans="1:13" ht="27">
      <c r="A134" s="610">
        <v>1</v>
      </c>
      <c r="B134" s="154" t="s">
        <v>132</v>
      </c>
      <c r="C134" s="267" t="s">
        <v>312</v>
      </c>
      <c r="D134" s="7" t="s">
        <v>50</v>
      </c>
      <c r="E134" s="270"/>
      <c r="F134" s="7">
        <f>'7777'!G25</f>
        <v>25</v>
      </c>
      <c r="G134" s="271"/>
      <c r="H134" s="271"/>
      <c r="I134" s="271"/>
      <c r="J134" s="271"/>
      <c r="K134" s="271"/>
      <c r="L134" s="271"/>
      <c r="M134" s="271"/>
    </row>
    <row r="135" spans="1:13" ht="27">
      <c r="A135" s="612"/>
      <c r="B135" s="154"/>
      <c r="C135" s="96" t="s">
        <v>60</v>
      </c>
      <c r="D135" s="270" t="s">
        <v>8</v>
      </c>
      <c r="E135" s="270">
        <v>0.78500000000000003</v>
      </c>
      <c r="F135" s="270">
        <f>F134*E135</f>
        <v>19.625</v>
      </c>
      <c r="G135" s="271"/>
      <c r="H135" s="271"/>
      <c r="I135" s="271"/>
      <c r="J135" s="271"/>
      <c r="K135" s="271"/>
      <c r="L135" s="271"/>
      <c r="M135" s="271"/>
    </row>
    <row r="136" spans="1:13" ht="40.5">
      <c r="A136" s="610">
        <v>2</v>
      </c>
      <c r="B136" s="154" t="s">
        <v>133</v>
      </c>
      <c r="C136" s="267" t="s">
        <v>264</v>
      </c>
      <c r="D136" s="7" t="s">
        <v>54</v>
      </c>
      <c r="E136" s="270"/>
      <c r="F136" s="7">
        <f>'7777'!G23+'7777'!G24</f>
        <v>90</v>
      </c>
      <c r="G136" s="271"/>
      <c r="H136" s="271"/>
      <c r="I136" s="271"/>
      <c r="J136" s="271"/>
      <c r="K136" s="271"/>
      <c r="L136" s="271"/>
      <c r="M136" s="271"/>
    </row>
    <row r="137" spans="1:13" ht="27">
      <c r="A137" s="611"/>
      <c r="B137" s="154"/>
      <c r="C137" s="96" t="s">
        <v>60</v>
      </c>
      <c r="D137" s="270" t="s">
        <v>8</v>
      </c>
      <c r="E137" s="270">
        <v>0.32300000000000001</v>
      </c>
      <c r="F137" s="270">
        <f>F136*E137</f>
        <v>29.07</v>
      </c>
      <c r="G137" s="271"/>
      <c r="H137" s="271"/>
      <c r="I137" s="271"/>
      <c r="J137" s="271"/>
      <c r="K137" s="271"/>
      <c r="L137" s="271"/>
      <c r="M137" s="271"/>
    </row>
    <row r="138" spans="1:13">
      <c r="A138" s="612"/>
      <c r="B138" s="154"/>
      <c r="C138" s="97" t="s">
        <v>17</v>
      </c>
      <c r="D138" s="270" t="s">
        <v>6</v>
      </c>
      <c r="E138" s="270">
        <v>2.1499999999999998E-2</v>
      </c>
      <c r="F138" s="270">
        <f>F136*E138</f>
        <v>1.9349999999999998</v>
      </c>
      <c r="G138" s="271"/>
      <c r="H138" s="271"/>
      <c r="I138" s="271"/>
      <c r="J138" s="271"/>
      <c r="K138" s="271"/>
      <c r="L138" s="271"/>
      <c r="M138" s="271"/>
    </row>
    <row r="139" spans="1:13" ht="27">
      <c r="A139" s="610">
        <v>3</v>
      </c>
      <c r="B139" s="154" t="s">
        <v>134</v>
      </c>
      <c r="C139" s="267" t="s">
        <v>135</v>
      </c>
      <c r="D139" s="7" t="s">
        <v>43</v>
      </c>
      <c r="E139" s="270"/>
      <c r="F139" s="7">
        <f>F136*0.03</f>
        <v>2.6999999999999997</v>
      </c>
      <c r="G139" s="271"/>
      <c r="H139" s="271"/>
      <c r="I139" s="271"/>
      <c r="J139" s="271"/>
      <c r="K139" s="271"/>
      <c r="L139" s="271"/>
      <c r="M139" s="271"/>
    </row>
    <row r="140" spans="1:13" ht="27">
      <c r="A140" s="611"/>
      <c r="B140" s="154"/>
      <c r="C140" s="96" t="s">
        <v>60</v>
      </c>
      <c r="D140" s="270" t="s">
        <v>8</v>
      </c>
      <c r="E140" s="270">
        <v>7.3</v>
      </c>
      <c r="F140" s="270">
        <f>F139*E140</f>
        <v>19.709999999999997</v>
      </c>
      <c r="G140" s="271"/>
      <c r="H140" s="271"/>
      <c r="I140" s="271"/>
      <c r="J140" s="271"/>
      <c r="K140" s="271"/>
      <c r="L140" s="271"/>
      <c r="M140" s="271"/>
    </row>
    <row r="141" spans="1:13">
      <c r="A141" s="612"/>
      <c r="B141" s="154"/>
      <c r="C141" s="97" t="s">
        <v>17</v>
      </c>
      <c r="D141" s="270" t="s">
        <v>6</v>
      </c>
      <c r="E141" s="270">
        <v>2.9</v>
      </c>
      <c r="F141" s="270">
        <f>F139*E141</f>
        <v>7.8299999999999992</v>
      </c>
      <c r="G141" s="271"/>
      <c r="H141" s="271"/>
      <c r="I141" s="271"/>
      <c r="J141" s="271"/>
      <c r="K141" s="271"/>
      <c r="L141" s="271"/>
      <c r="M141" s="271"/>
    </row>
    <row r="142" spans="1:13" ht="40.5">
      <c r="A142" s="610">
        <v>4</v>
      </c>
      <c r="B142" s="154" t="s">
        <v>133</v>
      </c>
      <c r="C142" s="267" t="s">
        <v>325</v>
      </c>
      <c r="D142" s="7" t="s">
        <v>54</v>
      </c>
      <c r="E142" s="270"/>
      <c r="F142" s="7">
        <f>'7777'!G21+'7777'!G22</f>
        <v>30</v>
      </c>
      <c r="G142" s="271"/>
      <c r="H142" s="271"/>
      <c r="I142" s="271"/>
      <c r="J142" s="271"/>
      <c r="K142" s="271"/>
      <c r="L142" s="271"/>
      <c r="M142" s="271"/>
    </row>
    <row r="143" spans="1:13" ht="27">
      <c r="A143" s="611"/>
      <c r="B143" s="154"/>
      <c r="C143" s="96" t="s">
        <v>60</v>
      </c>
      <c r="D143" s="270" t="s">
        <v>8</v>
      </c>
      <c r="E143" s="270">
        <v>0.32300000000000001</v>
      </c>
      <c r="F143" s="270">
        <f>F142*E143</f>
        <v>9.69</v>
      </c>
      <c r="G143" s="271"/>
      <c r="H143" s="271"/>
      <c r="I143" s="271"/>
      <c r="J143" s="271"/>
      <c r="K143" s="271"/>
      <c r="L143" s="271"/>
      <c r="M143" s="271"/>
    </row>
    <row r="144" spans="1:13">
      <c r="A144" s="612"/>
      <c r="B144" s="154"/>
      <c r="C144" s="97" t="s">
        <v>17</v>
      </c>
      <c r="D144" s="270" t="s">
        <v>6</v>
      </c>
      <c r="E144" s="270">
        <v>2.1499999999999998E-2</v>
      </c>
      <c r="F144" s="270">
        <f>F142*E144</f>
        <v>0.64499999999999991</v>
      </c>
      <c r="G144" s="271"/>
      <c r="H144" s="271"/>
      <c r="I144" s="271"/>
      <c r="J144" s="271"/>
      <c r="K144" s="271"/>
      <c r="L144" s="271"/>
      <c r="M144" s="271"/>
    </row>
    <row r="145" spans="1:13" ht="27">
      <c r="A145" s="610">
        <v>5</v>
      </c>
      <c r="B145" s="154" t="s">
        <v>134</v>
      </c>
      <c r="C145" s="267" t="s">
        <v>135</v>
      </c>
      <c r="D145" s="7" t="s">
        <v>43</v>
      </c>
      <c r="E145" s="270"/>
      <c r="F145" s="7">
        <f>F142*0.03</f>
        <v>0.89999999999999991</v>
      </c>
      <c r="G145" s="271"/>
      <c r="H145" s="271"/>
      <c r="I145" s="271"/>
      <c r="J145" s="271"/>
      <c r="K145" s="271"/>
      <c r="L145" s="271"/>
      <c r="M145" s="271"/>
    </row>
    <row r="146" spans="1:13" ht="27">
      <c r="A146" s="611"/>
      <c r="B146" s="154"/>
      <c r="C146" s="96" t="s">
        <v>60</v>
      </c>
      <c r="D146" s="270" t="s">
        <v>8</v>
      </c>
      <c r="E146" s="270">
        <v>7.3</v>
      </c>
      <c r="F146" s="270">
        <f>F145*E146</f>
        <v>6.5699999999999994</v>
      </c>
      <c r="G146" s="271"/>
      <c r="H146" s="271"/>
      <c r="I146" s="271"/>
      <c r="J146" s="271"/>
      <c r="K146" s="271"/>
      <c r="L146" s="271"/>
      <c r="M146" s="271"/>
    </row>
    <row r="147" spans="1:13">
      <c r="A147" s="612"/>
      <c r="B147" s="154"/>
      <c r="C147" s="97" t="s">
        <v>17</v>
      </c>
      <c r="D147" s="270" t="s">
        <v>6</v>
      </c>
      <c r="E147" s="270">
        <v>2.9</v>
      </c>
      <c r="F147" s="270">
        <f>F145*E147</f>
        <v>2.61</v>
      </c>
      <c r="G147" s="271"/>
      <c r="H147" s="271"/>
      <c r="I147" s="271"/>
      <c r="J147" s="271"/>
      <c r="K147" s="271"/>
      <c r="L147" s="271"/>
      <c r="M147" s="271"/>
    </row>
    <row r="148" spans="1:13" ht="40.5">
      <c r="A148" s="288">
        <v>6</v>
      </c>
      <c r="B148" s="154" t="s">
        <v>18</v>
      </c>
      <c r="C148" s="268" t="s">
        <v>425</v>
      </c>
      <c r="D148" s="7" t="s">
        <v>58</v>
      </c>
      <c r="E148" s="7"/>
      <c r="F148" s="7">
        <f>'7777'!G32</f>
        <v>6</v>
      </c>
      <c r="G148" s="271"/>
      <c r="H148" s="271"/>
      <c r="I148" s="271"/>
      <c r="J148" s="271"/>
      <c r="K148" s="271"/>
      <c r="L148" s="271"/>
      <c r="M148" s="271"/>
    </row>
    <row r="149" spans="1:13">
      <c r="A149" s="288"/>
      <c r="B149" s="154"/>
      <c r="C149" s="268"/>
      <c r="D149" s="270"/>
      <c r="E149" s="270"/>
      <c r="F149" s="270"/>
      <c r="G149" s="271"/>
      <c r="H149" s="271"/>
      <c r="I149" s="271"/>
      <c r="J149" s="271"/>
      <c r="K149" s="271"/>
      <c r="L149" s="271"/>
      <c r="M149" s="271"/>
    </row>
    <row r="150" spans="1:13" ht="54">
      <c r="A150" s="590" t="s">
        <v>59</v>
      </c>
      <c r="B150" s="155" t="s">
        <v>137</v>
      </c>
      <c r="C150" s="62" t="s">
        <v>221</v>
      </c>
      <c r="D150" s="154" t="s">
        <v>11</v>
      </c>
      <c r="E150" s="270"/>
      <c r="F150" s="7">
        <f>F134*0.15*0.3+F136*0.03+F139+F142*0.03+F145+  2</f>
        <v>10.324999999999999</v>
      </c>
      <c r="G150" s="271"/>
      <c r="H150" s="271"/>
      <c r="I150" s="271"/>
      <c r="J150" s="271"/>
      <c r="K150" s="271"/>
      <c r="L150" s="271"/>
      <c r="M150" s="271"/>
    </row>
    <row r="151" spans="1:13" ht="27">
      <c r="A151" s="590"/>
      <c r="B151" s="154"/>
      <c r="C151" s="373" t="s">
        <v>60</v>
      </c>
      <c r="D151" s="28" t="s">
        <v>8</v>
      </c>
      <c r="E151" s="198">
        <v>0.6</v>
      </c>
      <c r="F151" s="374">
        <f>F150*E151</f>
        <v>6.1949999999999994</v>
      </c>
      <c r="G151" s="375"/>
      <c r="H151" s="271"/>
      <c r="I151" s="375"/>
      <c r="J151" s="271"/>
      <c r="K151" s="271"/>
      <c r="L151" s="271"/>
      <c r="M151" s="271"/>
    </row>
    <row r="152" spans="1:13" ht="27">
      <c r="A152" s="590"/>
      <c r="B152" s="155" t="s">
        <v>97</v>
      </c>
      <c r="C152" s="376" t="s">
        <v>220</v>
      </c>
      <c r="D152" s="154" t="s">
        <v>48</v>
      </c>
      <c r="E152" s="198"/>
      <c r="F152" s="377">
        <f>F134*0.15*0.3*2+F136*0.03*2.2+F139*2.4+F142*0.03*2.2+F145*2.4+  2*1.65</f>
        <v>22.11</v>
      </c>
      <c r="G152" s="375"/>
      <c r="H152" s="271"/>
      <c r="I152" s="375"/>
      <c r="J152" s="271"/>
      <c r="K152" s="375"/>
      <c r="L152" s="271"/>
      <c r="M152" s="271"/>
    </row>
    <row r="153" spans="1:13" ht="27">
      <c r="A153" s="590"/>
      <c r="B153" s="255"/>
      <c r="C153" s="378" t="s">
        <v>62</v>
      </c>
      <c r="D153" s="28" t="s">
        <v>8</v>
      </c>
      <c r="E153" s="198">
        <v>0.53</v>
      </c>
      <c r="F153" s="374">
        <f>F152*E153</f>
        <v>11.718300000000001</v>
      </c>
      <c r="G153" s="375"/>
      <c r="H153" s="271"/>
      <c r="I153" s="375"/>
      <c r="J153" s="271"/>
      <c r="K153" s="375"/>
      <c r="L153" s="271"/>
      <c r="M153" s="271"/>
    </row>
    <row r="154" spans="1:13">
      <c r="A154" s="590"/>
      <c r="B154" s="154" t="s">
        <v>138</v>
      </c>
      <c r="C154" s="379" t="s">
        <v>224</v>
      </c>
      <c r="D154" s="154" t="s">
        <v>48</v>
      </c>
      <c r="E154" s="198"/>
      <c r="F154" s="377">
        <f>F152</f>
        <v>22.11</v>
      </c>
      <c r="G154" s="375"/>
      <c r="H154" s="271"/>
      <c r="I154" s="375"/>
      <c r="J154" s="271"/>
      <c r="K154" s="375"/>
      <c r="L154" s="271"/>
      <c r="M154" s="271"/>
    </row>
    <row r="155" spans="1:13">
      <c r="A155" s="289"/>
      <c r="B155" s="106"/>
      <c r="C155" s="380"/>
      <c r="D155" s="105"/>
      <c r="E155" s="381"/>
      <c r="F155" s="381"/>
      <c r="G155" s="64"/>
      <c r="H155" s="271"/>
      <c r="I155" s="64"/>
      <c r="J155" s="271"/>
      <c r="K155" s="65"/>
      <c r="L155" s="271"/>
      <c r="M155" s="271"/>
    </row>
    <row r="156" spans="1:13">
      <c r="A156" s="287"/>
      <c r="B156" s="92"/>
      <c r="C156" s="92" t="s">
        <v>139</v>
      </c>
      <c r="D156" s="92"/>
      <c r="E156" s="372"/>
      <c r="F156" s="372"/>
      <c r="G156" s="271"/>
      <c r="H156" s="271"/>
      <c r="I156" s="271"/>
      <c r="J156" s="271"/>
      <c r="K156" s="271"/>
      <c r="L156" s="271"/>
      <c r="M156" s="271"/>
    </row>
    <row r="157" spans="1:13" ht="27">
      <c r="A157" s="632" t="s">
        <v>98</v>
      </c>
      <c r="B157" s="107" t="s">
        <v>314</v>
      </c>
      <c r="C157" s="382" t="s">
        <v>315</v>
      </c>
      <c r="D157" s="290" t="s">
        <v>157</v>
      </c>
      <c r="E157" s="291"/>
      <c r="F157" s="383">
        <f>'7777'!G21</f>
        <v>10</v>
      </c>
      <c r="G157" s="384"/>
      <c r="H157" s="385"/>
      <c r="I157" s="384"/>
      <c r="J157" s="385"/>
      <c r="K157" s="384"/>
      <c r="L157" s="385"/>
      <c r="M157" s="385"/>
    </row>
    <row r="158" spans="1:13" ht="27">
      <c r="A158" s="632"/>
      <c r="B158" s="150"/>
      <c r="C158" s="386" t="s">
        <v>42</v>
      </c>
      <c r="D158" s="200" t="s">
        <v>8</v>
      </c>
      <c r="E158" s="13">
        <v>5.75</v>
      </c>
      <c r="F158" s="13">
        <f>F157*E158</f>
        <v>57.5</v>
      </c>
      <c r="G158" s="63"/>
      <c r="H158" s="63"/>
      <c r="I158" s="63"/>
      <c r="J158" s="63"/>
      <c r="K158" s="63"/>
      <c r="L158" s="61"/>
      <c r="M158" s="61"/>
    </row>
    <row r="159" spans="1:13">
      <c r="A159" s="632"/>
      <c r="B159" s="150"/>
      <c r="C159" s="386" t="s">
        <v>17</v>
      </c>
      <c r="D159" s="200" t="s">
        <v>6</v>
      </c>
      <c r="E159" s="13">
        <v>3.4000000000000002E-2</v>
      </c>
      <c r="F159" s="13">
        <f>F157*E159</f>
        <v>0.34</v>
      </c>
      <c r="G159" s="63"/>
      <c r="H159" s="63"/>
      <c r="I159" s="63"/>
      <c r="J159" s="63"/>
      <c r="K159" s="63"/>
      <c r="L159" s="61"/>
      <c r="M159" s="61"/>
    </row>
    <row r="160" spans="1:13">
      <c r="A160" s="632"/>
      <c r="B160" s="150"/>
      <c r="C160" s="386" t="s">
        <v>316</v>
      </c>
      <c r="D160" s="200" t="s">
        <v>54</v>
      </c>
      <c r="E160" s="13">
        <v>1.01</v>
      </c>
      <c r="F160" s="13">
        <f>F157*E160</f>
        <v>10.1</v>
      </c>
      <c r="G160" s="63"/>
      <c r="H160" s="63"/>
      <c r="I160" s="63"/>
      <c r="J160" s="63"/>
      <c r="K160" s="63"/>
      <c r="L160" s="61"/>
      <c r="M160" s="61"/>
    </row>
    <row r="161" spans="1:13">
      <c r="A161" s="632"/>
      <c r="B161" s="150"/>
      <c r="C161" s="386" t="s">
        <v>94</v>
      </c>
      <c r="D161" s="200" t="s">
        <v>43</v>
      </c>
      <c r="E161" s="13">
        <v>0.02</v>
      </c>
      <c r="F161" s="13">
        <f>F157*E161</f>
        <v>0.2</v>
      </c>
      <c r="G161" s="63"/>
      <c r="H161" s="63"/>
      <c r="I161" s="63"/>
      <c r="J161" s="63"/>
      <c r="K161" s="63"/>
      <c r="L161" s="61"/>
      <c r="M161" s="61"/>
    </row>
    <row r="162" spans="1:13">
      <c r="A162" s="632"/>
      <c r="B162" s="150"/>
      <c r="C162" s="386" t="s">
        <v>56</v>
      </c>
      <c r="D162" s="200" t="s">
        <v>6</v>
      </c>
      <c r="E162" s="13">
        <v>0.24</v>
      </c>
      <c r="F162" s="13">
        <f>F157*E162</f>
        <v>2.4</v>
      </c>
      <c r="G162" s="63"/>
      <c r="H162" s="63"/>
      <c r="I162" s="63"/>
      <c r="J162" s="63"/>
      <c r="K162" s="63"/>
      <c r="L162" s="61"/>
      <c r="M162" s="61"/>
    </row>
    <row r="163" spans="1:13" ht="27">
      <c r="A163" s="632" t="s">
        <v>79</v>
      </c>
      <c r="B163" s="107" t="s">
        <v>225</v>
      </c>
      <c r="C163" s="382" t="s">
        <v>326</v>
      </c>
      <c r="D163" s="290" t="s">
        <v>157</v>
      </c>
      <c r="E163" s="291"/>
      <c r="F163" s="383">
        <f>'7777'!G22</f>
        <v>20</v>
      </c>
      <c r="G163" s="384"/>
      <c r="H163" s="385"/>
      <c r="I163" s="384"/>
      <c r="J163" s="385"/>
      <c r="K163" s="384"/>
      <c r="L163" s="385"/>
      <c r="M163" s="385"/>
    </row>
    <row r="164" spans="1:13" ht="27">
      <c r="A164" s="632"/>
      <c r="B164" s="150"/>
      <c r="C164" s="386" t="s">
        <v>42</v>
      </c>
      <c r="D164" s="200" t="s">
        <v>8</v>
      </c>
      <c r="E164" s="13">
        <v>7.6</v>
      </c>
      <c r="F164" s="13">
        <f>F163*E164</f>
        <v>152</v>
      </c>
      <c r="G164" s="63"/>
      <c r="H164" s="63"/>
      <c r="I164" s="63"/>
      <c r="J164" s="63"/>
      <c r="K164" s="63"/>
      <c r="L164" s="61"/>
      <c r="M164" s="61"/>
    </row>
    <row r="165" spans="1:13">
      <c r="A165" s="632"/>
      <c r="B165" s="150"/>
      <c r="C165" s="386" t="s">
        <v>17</v>
      </c>
      <c r="D165" s="200" t="s">
        <v>6</v>
      </c>
      <c r="E165" s="13">
        <v>0.2</v>
      </c>
      <c r="F165" s="13">
        <f>F163*E165</f>
        <v>4</v>
      </c>
      <c r="G165" s="63"/>
      <c r="H165" s="63"/>
      <c r="I165" s="63"/>
      <c r="J165" s="63"/>
      <c r="K165" s="63"/>
      <c r="L165" s="61"/>
      <c r="M165" s="61"/>
    </row>
    <row r="166" spans="1:13">
      <c r="A166" s="632"/>
      <c r="B166" s="150"/>
      <c r="C166" s="386" t="s">
        <v>316</v>
      </c>
      <c r="D166" s="200" t="s">
        <v>54</v>
      </c>
      <c r="E166" s="13">
        <v>1</v>
      </c>
      <c r="F166" s="13">
        <f>F163*E166</f>
        <v>20</v>
      </c>
      <c r="G166" s="63"/>
      <c r="H166" s="63"/>
      <c r="I166" s="63"/>
      <c r="J166" s="63"/>
      <c r="K166" s="63"/>
      <c r="L166" s="61"/>
      <c r="M166" s="61"/>
    </row>
    <row r="167" spans="1:13">
      <c r="A167" s="632"/>
      <c r="B167" s="150"/>
      <c r="C167" s="386" t="s">
        <v>94</v>
      </c>
      <c r="D167" s="200" t="s">
        <v>43</v>
      </c>
      <c r="E167" s="13">
        <v>3.5999999999999997E-2</v>
      </c>
      <c r="F167" s="13">
        <f>F163*E167</f>
        <v>0.72</v>
      </c>
      <c r="G167" s="63"/>
      <c r="H167" s="63"/>
      <c r="I167" s="63"/>
      <c r="J167" s="63"/>
      <c r="K167" s="63"/>
      <c r="L167" s="61"/>
      <c r="M167" s="61"/>
    </row>
    <row r="168" spans="1:13">
      <c r="A168" s="632"/>
      <c r="B168" s="150"/>
      <c r="C168" s="386" t="s">
        <v>56</v>
      </c>
      <c r="D168" s="200" t="s">
        <v>6</v>
      </c>
      <c r="E168" s="13">
        <v>0.09</v>
      </c>
      <c r="F168" s="13">
        <f>F163*E168</f>
        <v>1.7999999999999998</v>
      </c>
      <c r="G168" s="63"/>
      <c r="H168" s="63"/>
      <c r="I168" s="63"/>
      <c r="J168" s="63"/>
      <c r="K168" s="63"/>
      <c r="L168" s="61"/>
      <c r="M168" s="61"/>
    </row>
    <row r="169" spans="1:13" ht="27">
      <c r="A169" s="259" t="s">
        <v>99</v>
      </c>
      <c r="B169" s="55"/>
      <c r="C169" s="55" t="s">
        <v>317</v>
      </c>
      <c r="D169" s="55" t="s">
        <v>50</v>
      </c>
      <c r="E169" s="341"/>
      <c r="F169" s="341">
        <f>'7777'!G25</f>
        <v>25</v>
      </c>
      <c r="G169" s="271"/>
      <c r="H169" s="271"/>
      <c r="I169" s="271"/>
      <c r="J169" s="271"/>
      <c r="K169" s="271"/>
      <c r="L169" s="271"/>
      <c r="M169" s="271"/>
    </row>
    <row r="170" spans="1:13" ht="27">
      <c r="A170" s="591" t="s">
        <v>98</v>
      </c>
      <c r="B170" s="154" t="s">
        <v>67</v>
      </c>
      <c r="C170" s="62" t="s">
        <v>318</v>
      </c>
      <c r="D170" s="154" t="s">
        <v>43</v>
      </c>
      <c r="E170" s="270"/>
      <c r="F170" s="7">
        <f>0.15*(0.1+0.1)*F169</f>
        <v>0.75</v>
      </c>
      <c r="G170" s="271"/>
      <c r="H170" s="271"/>
      <c r="I170" s="271"/>
      <c r="J170" s="271"/>
      <c r="K170" s="271"/>
      <c r="L170" s="271"/>
      <c r="M170" s="271"/>
    </row>
    <row r="171" spans="1:13" ht="27">
      <c r="A171" s="592"/>
      <c r="B171" s="256"/>
      <c r="C171" s="387" t="s">
        <v>42</v>
      </c>
      <c r="D171" s="366" t="s">
        <v>8</v>
      </c>
      <c r="E171" s="165">
        <v>2.06</v>
      </c>
      <c r="F171" s="165">
        <f>E171*F170</f>
        <v>1.5449999999999999</v>
      </c>
      <c r="G171" s="388"/>
      <c r="H171" s="271"/>
      <c r="I171" s="388"/>
      <c r="J171" s="271"/>
      <c r="K171" s="271"/>
      <c r="L171" s="271"/>
      <c r="M171" s="271"/>
    </row>
    <row r="172" spans="1:13" ht="27">
      <c r="A172" s="599" t="s">
        <v>79</v>
      </c>
      <c r="B172" s="53" t="s">
        <v>97</v>
      </c>
      <c r="C172" s="376" t="s">
        <v>223</v>
      </c>
      <c r="D172" s="154" t="s">
        <v>48</v>
      </c>
      <c r="E172" s="198"/>
      <c r="F172" s="377">
        <f>F170*1.95</f>
        <v>1.4624999999999999</v>
      </c>
      <c r="G172" s="375"/>
      <c r="H172" s="271"/>
      <c r="I172" s="375"/>
      <c r="J172" s="271"/>
      <c r="K172" s="375"/>
      <c r="L172" s="271"/>
      <c r="M172" s="271"/>
    </row>
    <row r="173" spans="1:13" ht="27">
      <c r="A173" s="600"/>
      <c r="B173" s="255"/>
      <c r="C173" s="378" t="s">
        <v>62</v>
      </c>
      <c r="D173" s="28" t="s">
        <v>8</v>
      </c>
      <c r="E173" s="198">
        <v>0.53</v>
      </c>
      <c r="F173" s="374">
        <f>F172*E173</f>
        <v>0.77512499999999995</v>
      </c>
      <c r="G173" s="375"/>
      <c r="H173" s="271"/>
      <c r="I173" s="375"/>
      <c r="J173" s="271"/>
      <c r="K173" s="375"/>
      <c r="L173" s="271"/>
      <c r="M173" s="271"/>
    </row>
    <row r="174" spans="1:13">
      <c r="A174" s="601"/>
      <c r="B174" s="154" t="s">
        <v>138</v>
      </c>
      <c r="C174" s="379" t="s">
        <v>224</v>
      </c>
      <c r="D174" s="154" t="s">
        <v>48</v>
      </c>
      <c r="E174" s="198"/>
      <c r="F174" s="377">
        <f>F172</f>
        <v>1.4624999999999999</v>
      </c>
      <c r="G174" s="375"/>
      <c r="H174" s="271"/>
      <c r="I174" s="375"/>
      <c r="J174" s="271"/>
      <c r="K174" s="375"/>
      <c r="L174" s="271"/>
      <c r="M174" s="271"/>
    </row>
    <row r="175" spans="1:13" ht="15.75">
      <c r="A175" s="622" t="s">
        <v>99</v>
      </c>
      <c r="B175" s="154" t="s">
        <v>147</v>
      </c>
      <c r="C175" s="62" t="s">
        <v>319</v>
      </c>
      <c r="D175" s="154" t="s">
        <v>37</v>
      </c>
      <c r="E175" s="270"/>
      <c r="F175" s="7">
        <f>0.15*0.1*F169</f>
        <v>0.375</v>
      </c>
      <c r="G175" s="271"/>
      <c r="H175" s="271"/>
      <c r="I175" s="271"/>
      <c r="J175" s="271"/>
      <c r="K175" s="271"/>
      <c r="L175" s="271"/>
      <c r="M175" s="271"/>
    </row>
    <row r="176" spans="1:13">
      <c r="A176" s="622"/>
      <c r="B176" s="154"/>
      <c r="C176" s="66" t="s">
        <v>13</v>
      </c>
      <c r="D176" s="363" t="s">
        <v>14</v>
      </c>
      <c r="E176" s="270">
        <v>0.15</v>
      </c>
      <c r="F176" s="270">
        <f>E176*F175</f>
        <v>5.6249999999999994E-2</v>
      </c>
      <c r="G176" s="271"/>
      <c r="H176" s="271"/>
      <c r="I176" s="271"/>
      <c r="J176" s="271"/>
      <c r="K176" s="271"/>
      <c r="L176" s="271"/>
      <c r="M176" s="271"/>
    </row>
    <row r="177" spans="1:13">
      <c r="A177" s="622"/>
      <c r="B177" s="154" t="s">
        <v>32</v>
      </c>
      <c r="C177" s="66" t="s">
        <v>148</v>
      </c>
      <c r="D177" s="363" t="s">
        <v>15</v>
      </c>
      <c r="E177" s="270">
        <v>2.1600000000000001E-2</v>
      </c>
      <c r="F177" s="270">
        <f>E177*F175</f>
        <v>8.0999999999999996E-3</v>
      </c>
      <c r="G177" s="271"/>
      <c r="H177" s="271"/>
      <c r="I177" s="271"/>
      <c r="J177" s="271"/>
      <c r="K177" s="271"/>
      <c r="L177" s="271"/>
      <c r="M177" s="271"/>
    </row>
    <row r="178" spans="1:13">
      <c r="A178" s="622"/>
      <c r="B178" s="154" t="s">
        <v>149</v>
      </c>
      <c r="C178" s="66" t="s">
        <v>150</v>
      </c>
      <c r="D178" s="363" t="s">
        <v>15</v>
      </c>
      <c r="E178" s="270">
        <v>2.7300000000000001E-2</v>
      </c>
      <c r="F178" s="270">
        <f>E178*F175</f>
        <v>1.02375E-2</v>
      </c>
      <c r="G178" s="271"/>
      <c r="H178" s="271"/>
      <c r="I178" s="271"/>
      <c r="J178" s="271"/>
      <c r="K178" s="271"/>
      <c r="L178" s="271"/>
      <c r="M178" s="271"/>
    </row>
    <row r="179" spans="1:13" ht="15.75">
      <c r="A179" s="622"/>
      <c r="B179" s="154"/>
      <c r="C179" s="66" t="s">
        <v>35</v>
      </c>
      <c r="D179" s="363" t="s">
        <v>34</v>
      </c>
      <c r="E179" s="270">
        <v>1.2</v>
      </c>
      <c r="F179" s="361">
        <f>E179*F175</f>
        <v>0.44999999999999996</v>
      </c>
      <c r="G179" s="271"/>
      <c r="H179" s="271"/>
      <c r="I179" s="271"/>
      <c r="J179" s="271"/>
      <c r="K179" s="271"/>
      <c r="L179" s="271"/>
      <c r="M179" s="271"/>
    </row>
    <row r="180" spans="1:13" ht="27">
      <c r="A180" s="596" t="s">
        <v>93</v>
      </c>
      <c r="B180" s="154" t="s">
        <v>151</v>
      </c>
      <c r="C180" s="62" t="s">
        <v>320</v>
      </c>
      <c r="D180" s="154" t="s">
        <v>70</v>
      </c>
      <c r="E180" s="7"/>
      <c r="F180" s="7">
        <f>F169</f>
        <v>25</v>
      </c>
      <c r="G180" s="271"/>
      <c r="H180" s="271"/>
      <c r="I180" s="271"/>
      <c r="J180" s="271"/>
      <c r="K180" s="271"/>
      <c r="L180" s="271"/>
      <c r="M180" s="271"/>
    </row>
    <row r="181" spans="1:13">
      <c r="A181" s="596"/>
      <c r="B181" s="154"/>
      <c r="C181" s="66" t="s">
        <v>13</v>
      </c>
      <c r="D181" s="363" t="s">
        <v>14</v>
      </c>
      <c r="E181" s="270">
        <v>0.74</v>
      </c>
      <c r="F181" s="270">
        <f>E181*F180</f>
        <v>18.5</v>
      </c>
      <c r="G181" s="271"/>
      <c r="H181" s="271"/>
      <c r="I181" s="271"/>
      <c r="J181" s="271"/>
      <c r="K181" s="271"/>
      <c r="L181" s="271"/>
      <c r="M181" s="271"/>
    </row>
    <row r="182" spans="1:13">
      <c r="A182" s="596"/>
      <c r="B182" s="154"/>
      <c r="C182" s="66" t="s">
        <v>7</v>
      </c>
      <c r="D182" s="363" t="s">
        <v>15</v>
      </c>
      <c r="E182" s="270">
        <f>0.71*0.01</f>
        <v>7.0999999999999995E-3</v>
      </c>
      <c r="F182" s="270">
        <f>E182*F180</f>
        <v>0.17749999999999999</v>
      </c>
      <c r="G182" s="271"/>
      <c r="H182" s="271"/>
      <c r="I182" s="271"/>
      <c r="J182" s="271"/>
      <c r="K182" s="271"/>
      <c r="L182" s="271"/>
      <c r="M182" s="271"/>
    </row>
    <row r="183" spans="1:13">
      <c r="A183" s="596"/>
      <c r="B183" s="154"/>
      <c r="C183" s="66" t="s">
        <v>321</v>
      </c>
      <c r="D183" s="363" t="s">
        <v>70</v>
      </c>
      <c r="E183" s="270">
        <v>1</v>
      </c>
      <c r="F183" s="270">
        <f>E183*F180</f>
        <v>25</v>
      </c>
      <c r="G183" s="271"/>
      <c r="H183" s="271"/>
      <c r="I183" s="271"/>
      <c r="J183" s="271"/>
      <c r="K183" s="271"/>
      <c r="L183" s="271"/>
      <c r="M183" s="271"/>
    </row>
    <row r="184" spans="1:13" ht="15.75">
      <c r="A184" s="596"/>
      <c r="B184" s="154"/>
      <c r="C184" s="389" t="s">
        <v>153</v>
      </c>
      <c r="D184" s="363" t="s">
        <v>34</v>
      </c>
      <c r="E184" s="270">
        <f>3.9*0.01</f>
        <v>3.9E-2</v>
      </c>
      <c r="F184" s="270">
        <f>F180*E184</f>
        <v>0.97499999999999998</v>
      </c>
      <c r="G184" s="271"/>
      <c r="H184" s="271"/>
      <c r="I184" s="271"/>
      <c r="J184" s="271"/>
      <c r="K184" s="271"/>
      <c r="L184" s="271"/>
      <c r="M184" s="271"/>
    </row>
    <row r="185" spans="1:13" ht="15.75">
      <c r="A185" s="596"/>
      <c r="B185" s="154"/>
      <c r="C185" s="66" t="s">
        <v>152</v>
      </c>
      <c r="D185" s="363" t="s">
        <v>34</v>
      </c>
      <c r="E185" s="270">
        <f>0.06*0.01</f>
        <v>5.9999999999999995E-4</v>
      </c>
      <c r="F185" s="270">
        <f>E185*F180</f>
        <v>1.4999999999999999E-2</v>
      </c>
      <c r="G185" s="271"/>
      <c r="H185" s="271"/>
      <c r="I185" s="271"/>
      <c r="J185" s="271"/>
      <c r="K185" s="271"/>
      <c r="L185" s="271"/>
      <c r="M185" s="271"/>
    </row>
    <row r="186" spans="1:13">
      <c r="A186" s="596"/>
      <c r="B186" s="154"/>
      <c r="C186" s="66" t="s">
        <v>9</v>
      </c>
      <c r="D186" s="363" t="s">
        <v>6</v>
      </c>
      <c r="E186" s="270">
        <f>9.6*0.01</f>
        <v>9.6000000000000002E-2</v>
      </c>
      <c r="F186" s="270">
        <f>E186*F180</f>
        <v>2.4</v>
      </c>
      <c r="G186" s="271"/>
      <c r="H186" s="271"/>
      <c r="I186" s="271"/>
      <c r="J186" s="271"/>
      <c r="K186" s="271"/>
      <c r="L186" s="271"/>
      <c r="M186" s="271"/>
    </row>
    <row r="187" spans="1:13" ht="40.5">
      <c r="A187" s="259" t="s">
        <v>93</v>
      </c>
      <c r="B187" s="55"/>
      <c r="C187" s="55" t="s">
        <v>263</v>
      </c>
      <c r="D187" s="55" t="s">
        <v>54</v>
      </c>
      <c r="E187" s="341"/>
      <c r="F187" s="341">
        <f>'7777'!G23</f>
        <v>40</v>
      </c>
      <c r="G187" s="271"/>
      <c r="H187" s="271"/>
      <c r="I187" s="271"/>
      <c r="J187" s="271"/>
      <c r="K187" s="271"/>
      <c r="L187" s="271"/>
      <c r="M187" s="271"/>
    </row>
    <row r="188" spans="1:13" ht="27">
      <c r="A188" s="597" t="s">
        <v>98</v>
      </c>
      <c r="B188" s="22" t="s">
        <v>36</v>
      </c>
      <c r="C188" s="390" t="s">
        <v>155</v>
      </c>
      <c r="D188" s="22" t="s">
        <v>34</v>
      </c>
      <c r="E188" s="24"/>
      <c r="F188" s="391">
        <f>F187*0.2</f>
        <v>8</v>
      </c>
      <c r="G188" s="392"/>
      <c r="H188" s="385"/>
      <c r="I188" s="392"/>
      <c r="J188" s="385"/>
      <c r="K188" s="392"/>
      <c r="L188" s="385"/>
      <c r="M188" s="385"/>
    </row>
    <row r="189" spans="1:13" ht="27">
      <c r="A189" s="598"/>
      <c r="B189" s="22"/>
      <c r="C189" s="137" t="s">
        <v>38</v>
      </c>
      <c r="D189" s="108" t="s">
        <v>8</v>
      </c>
      <c r="E189" s="24">
        <v>3.88</v>
      </c>
      <c r="F189" s="270">
        <f>F188*E189</f>
        <v>31.04</v>
      </c>
      <c r="G189" s="385"/>
      <c r="H189" s="385"/>
      <c r="I189" s="385"/>
      <c r="J189" s="385"/>
      <c r="K189" s="385"/>
      <c r="L189" s="385"/>
      <c r="M189" s="385"/>
    </row>
    <row r="190" spans="1:13" ht="27">
      <c r="A190" s="599" t="s">
        <v>79</v>
      </c>
      <c r="B190" s="53" t="s">
        <v>97</v>
      </c>
      <c r="C190" s="376" t="s">
        <v>223</v>
      </c>
      <c r="D190" s="154" t="s">
        <v>48</v>
      </c>
      <c r="E190" s="198"/>
      <c r="F190" s="377">
        <f>F188*1.95</f>
        <v>15.6</v>
      </c>
      <c r="G190" s="375"/>
      <c r="H190" s="271"/>
      <c r="I190" s="375"/>
      <c r="J190" s="271"/>
      <c r="K190" s="375"/>
      <c r="L190" s="271"/>
      <c r="M190" s="271"/>
    </row>
    <row r="191" spans="1:13" ht="27">
      <c r="A191" s="600"/>
      <c r="B191" s="255"/>
      <c r="C191" s="378" t="s">
        <v>62</v>
      </c>
      <c r="D191" s="28" t="s">
        <v>8</v>
      </c>
      <c r="E191" s="198">
        <v>0.53</v>
      </c>
      <c r="F191" s="374">
        <f>F190*E191</f>
        <v>8.2680000000000007</v>
      </c>
      <c r="G191" s="375"/>
      <c r="H191" s="271"/>
      <c r="I191" s="375"/>
      <c r="J191" s="271"/>
      <c r="K191" s="375"/>
      <c r="L191" s="271"/>
      <c r="M191" s="271"/>
    </row>
    <row r="192" spans="1:13">
      <c r="A192" s="601"/>
      <c r="B192" s="154" t="s">
        <v>138</v>
      </c>
      <c r="C192" s="379" t="s">
        <v>224</v>
      </c>
      <c r="D192" s="154" t="s">
        <v>48</v>
      </c>
      <c r="E192" s="198"/>
      <c r="F192" s="377">
        <f>F190</f>
        <v>15.6</v>
      </c>
      <c r="G192" s="375"/>
      <c r="H192" s="271"/>
      <c r="I192" s="375"/>
      <c r="J192" s="271"/>
      <c r="K192" s="375"/>
      <c r="L192" s="271"/>
      <c r="M192" s="271"/>
    </row>
    <row r="193" spans="1:13">
      <c r="A193" s="591" t="s">
        <v>99</v>
      </c>
      <c r="B193" s="154" t="s">
        <v>41</v>
      </c>
      <c r="C193" s="393" t="s">
        <v>217</v>
      </c>
      <c r="D193" s="154" t="s">
        <v>43</v>
      </c>
      <c r="E193" s="270"/>
      <c r="F193" s="7">
        <f>F187*0.15</f>
        <v>6</v>
      </c>
      <c r="G193" s="271"/>
      <c r="H193" s="271"/>
      <c r="I193" s="271"/>
      <c r="J193" s="271"/>
      <c r="K193" s="271"/>
      <c r="L193" s="271"/>
      <c r="M193" s="271"/>
    </row>
    <row r="194" spans="1:13" ht="27">
      <c r="A194" s="602"/>
      <c r="B194" s="154"/>
      <c r="C194" s="380" t="s">
        <v>42</v>
      </c>
      <c r="D194" s="105" t="s">
        <v>8</v>
      </c>
      <c r="E194" s="103">
        <v>3.52</v>
      </c>
      <c r="F194" s="103">
        <f>F193*E194</f>
        <v>21.12</v>
      </c>
      <c r="G194" s="64"/>
      <c r="H194" s="271"/>
      <c r="I194" s="63"/>
      <c r="J194" s="63"/>
      <c r="K194" s="63"/>
      <c r="L194" s="61"/>
      <c r="M194" s="61"/>
    </row>
    <row r="195" spans="1:13">
      <c r="A195" s="602"/>
      <c r="B195" s="154"/>
      <c r="C195" s="394" t="s">
        <v>17</v>
      </c>
      <c r="D195" s="189" t="s">
        <v>6</v>
      </c>
      <c r="E195" s="20">
        <v>1.06</v>
      </c>
      <c r="F195" s="20">
        <f>F193*E195</f>
        <v>6.36</v>
      </c>
      <c r="G195" s="395"/>
      <c r="H195" s="271"/>
      <c r="I195" s="63"/>
      <c r="J195" s="63"/>
      <c r="K195" s="63"/>
      <c r="L195" s="61"/>
      <c r="M195" s="61"/>
    </row>
    <row r="196" spans="1:13">
      <c r="A196" s="602"/>
      <c r="B196" s="154"/>
      <c r="C196" s="394" t="s">
        <v>35</v>
      </c>
      <c r="D196" s="189" t="s">
        <v>43</v>
      </c>
      <c r="E196" s="20">
        <f>0.18+0.09+0.97</f>
        <v>1.24</v>
      </c>
      <c r="F196" s="20">
        <f>F193*E196</f>
        <v>7.4399999999999995</v>
      </c>
      <c r="G196" s="395"/>
      <c r="H196" s="63"/>
      <c r="I196" s="64"/>
      <c r="J196" s="271"/>
      <c r="K196" s="65"/>
      <c r="L196" s="271"/>
      <c r="M196" s="61"/>
    </row>
    <row r="197" spans="1:13">
      <c r="A197" s="592"/>
      <c r="B197" s="154"/>
      <c r="C197" s="394" t="s">
        <v>56</v>
      </c>
      <c r="D197" s="189" t="s">
        <v>6</v>
      </c>
      <c r="E197" s="20">
        <v>0.02</v>
      </c>
      <c r="F197" s="20">
        <f>F193*E197</f>
        <v>0.12</v>
      </c>
      <c r="G197" s="395"/>
      <c r="H197" s="63"/>
      <c r="I197" s="64"/>
      <c r="J197" s="271"/>
      <c r="K197" s="65"/>
      <c r="L197" s="271"/>
      <c r="M197" s="61"/>
    </row>
    <row r="198" spans="1:13">
      <c r="A198" s="591" t="s">
        <v>93</v>
      </c>
      <c r="B198" s="613" t="s">
        <v>90</v>
      </c>
      <c r="C198" s="615" t="s">
        <v>218</v>
      </c>
      <c r="D198" s="154" t="s">
        <v>54</v>
      </c>
      <c r="E198" s="270"/>
      <c r="F198" s="7">
        <f>F187</f>
        <v>40</v>
      </c>
      <c r="G198" s="396"/>
      <c r="H198" s="271"/>
      <c r="I198" s="271"/>
      <c r="J198" s="271"/>
      <c r="K198" s="396"/>
      <c r="L198" s="271"/>
      <c r="M198" s="271"/>
    </row>
    <row r="199" spans="1:13">
      <c r="A199" s="602"/>
      <c r="B199" s="614"/>
      <c r="C199" s="616"/>
      <c r="D199" s="154" t="s">
        <v>43</v>
      </c>
      <c r="E199" s="270"/>
      <c r="F199" s="7">
        <f>F198*0.12</f>
        <v>4.8</v>
      </c>
      <c r="G199" s="396"/>
      <c r="H199" s="271"/>
      <c r="I199" s="271"/>
      <c r="J199" s="271"/>
      <c r="K199" s="396"/>
      <c r="L199" s="271"/>
      <c r="M199" s="271"/>
    </row>
    <row r="200" spans="1:13" ht="27">
      <c r="A200" s="602"/>
      <c r="B200" s="154"/>
      <c r="C200" s="397" t="s">
        <v>42</v>
      </c>
      <c r="D200" s="363" t="s">
        <v>8</v>
      </c>
      <c r="E200" s="270">
        <v>2.9</v>
      </c>
      <c r="F200" s="270">
        <f>F199*E200</f>
        <v>13.92</v>
      </c>
      <c r="G200" s="271"/>
      <c r="H200" s="271"/>
      <c r="I200" s="271"/>
      <c r="J200" s="271"/>
      <c r="K200" s="396"/>
      <c r="L200" s="271"/>
      <c r="M200" s="271"/>
    </row>
    <row r="201" spans="1:13">
      <c r="A201" s="602"/>
      <c r="B201" s="154"/>
      <c r="C201" s="397" t="s">
        <v>212</v>
      </c>
      <c r="D201" s="363" t="s">
        <v>43</v>
      </c>
      <c r="E201" s="270">
        <v>1.02</v>
      </c>
      <c r="F201" s="270">
        <f>F199*E201</f>
        <v>4.8959999999999999</v>
      </c>
      <c r="G201" s="396"/>
      <c r="H201" s="271"/>
      <c r="I201" s="271"/>
      <c r="J201" s="271"/>
      <c r="K201" s="396"/>
      <c r="L201" s="271"/>
      <c r="M201" s="271"/>
    </row>
    <row r="202" spans="1:13">
      <c r="A202" s="602"/>
      <c r="B202" s="154"/>
      <c r="C202" s="397" t="s">
        <v>156</v>
      </c>
      <c r="D202" s="363" t="s">
        <v>48</v>
      </c>
      <c r="E202" s="270">
        <v>1.03</v>
      </c>
      <c r="F202" s="270">
        <f>F187*16*1*E202*0.395/1000</f>
        <v>0.260384</v>
      </c>
      <c r="G202" s="271"/>
      <c r="H202" s="271"/>
      <c r="I202" s="271"/>
      <c r="J202" s="271"/>
      <c r="K202" s="396"/>
      <c r="L202" s="271"/>
      <c r="M202" s="271"/>
    </row>
    <row r="203" spans="1:13">
      <c r="A203" s="592"/>
      <c r="B203" s="154"/>
      <c r="C203" s="397" t="s">
        <v>16</v>
      </c>
      <c r="D203" s="363" t="s">
        <v>6</v>
      </c>
      <c r="E203" s="270">
        <v>0.88</v>
      </c>
      <c r="F203" s="270">
        <f>F199*E203</f>
        <v>4.2240000000000002</v>
      </c>
      <c r="G203" s="396"/>
      <c r="H203" s="271"/>
      <c r="I203" s="271"/>
      <c r="J203" s="271"/>
      <c r="K203" s="396"/>
      <c r="L203" s="271"/>
      <c r="M203" s="271"/>
    </row>
    <row r="204" spans="1:13" ht="27">
      <c r="A204" s="591" t="s">
        <v>95</v>
      </c>
      <c r="B204" s="154" t="s">
        <v>154</v>
      </c>
      <c r="C204" s="393" t="s">
        <v>244</v>
      </c>
      <c r="D204" s="154" t="s">
        <v>54</v>
      </c>
      <c r="E204" s="270"/>
      <c r="F204" s="7">
        <f>F187</f>
        <v>40</v>
      </c>
      <c r="G204" s="271"/>
      <c r="H204" s="271"/>
      <c r="I204" s="271"/>
      <c r="J204" s="271"/>
      <c r="K204" s="271"/>
      <c r="L204" s="271"/>
      <c r="M204" s="271"/>
    </row>
    <row r="205" spans="1:13" ht="27">
      <c r="A205" s="602"/>
      <c r="B205" s="154"/>
      <c r="C205" s="397" t="s">
        <v>42</v>
      </c>
      <c r="D205" s="363" t="s">
        <v>8</v>
      </c>
      <c r="E205" s="270">
        <v>0.77900000000000003</v>
      </c>
      <c r="F205" s="270">
        <f>F204*E205</f>
        <v>31.16</v>
      </c>
      <c r="G205" s="271"/>
      <c r="H205" s="271"/>
      <c r="I205" s="271"/>
      <c r="J205" s="271"/>
      <c r="K205" s="271"/>
      <c r="L205" s="271"/>
      <c r="M205" s="271"/>
    </row>
    <row r="206" spans="1:13">
      <c r="A206" s="602"/>
      <c r="B206" s="154"/>
      <c r="C206" s="397" t="s">
        <v>17</v>
      </c>
      <c r="D206" s="363" t="s">
        <v>6</v>
      </c>
      <c r="E206" s="270">
        <v>0.104</v>
      </c>
      <c r="F206" s="270">
        <f>F204*E206</f>
        <v>4.16</v>
      </c>
      <c r="G206" s="271"/>
      <c r="H206" s="271"/>
      <c r="I206" s="271"/>
      <c r="J206" s="271"/>
      <c r="K206" s="271"/>
      <c r="L206" s="271"/>
      <c r="M206" s="271"/>
    </row>
    <row r="207" spans="1:13">
      <c r="A207" s="602"/>
      <c r="B207" s="154"/>
      <c r="C207" s="397" t="s">
        <v>213</v>
      </c>
      <c r="D207" s="363" t="s">
        <v>54</v>
      </c>
      <c r="E207" s="270">
        <v>1.01</v>
      </c>
      <c r="F207" s="270">
        <f>F204*80%*E207</f>
        <v>32.32</v>
      </c>
      <c r="G207" s="271"/>
      <c r="H207" s="271"/>
      <c r="I207" s="271"/>
      <c r="J207" s="271"/>
      <c r="K207" s="271"/>
      <c r="L207" s="271"/>
      <c r="M207" s="271"/>
    </row>
    <row r="208" spans="1:13" ht="40.5">
      <c r="A208" s="602"/>
      <c r="B208" s="154"/>
      <c r="C208" s="397" t="s">
        <v>219</v>
      </c>
      <c r="D208" s="363" t="s">
        <v>43</v>
      </c>
      <c r="E208" s="270">
        <v>2.1100000000000001E-2</v>
      </c>
      <c r="F208" s="270">
        <f>F204*E208</f>
        <v>0.84400000000000008</v>
      </c>
      <c r="G208" s="271"/>
      <c r="H208" s="271"/>
      <c r="I208" s="271"/>
      <c r="J208" s="271"/>
      <c r="K208" s="271"/>
      <c r="L208" s="271"/>
      <c r="M208" s="271"/>
    </row>
    <row r="209" spans="1:15">
      <c r="A209" s="592"/>
      <c r="B209" s="154"/>
      <c r="C209" s="397" t="s">
        <v>16</v>
      </c>
      <c r="D209" s="363" t="s">
        <v>6</v>
      </c>
      <c r="E209" s="270">
        <v>4.66</v>
      </c>
      <c r="F209" s="270">
        <f>F204*E209</f>
        <v>186.4</v>
      </c>
      <c r="G209" s="271"/>
      <c r="H209" s="271"/>
      <c r="I209" s="271"/>
      <c r="J209" s="271"/>
      <c r="K209" s="271"/>
      <c r="L209" s="271"/>
      <c r="M209" s="271"/>
    </row>
    <row r="210" spans="1:15" ht="27">
      <c r="A210" s="591" t="s">
        <v>96</v>
      </c>
      <c r="B210" s="154" t="s">
        <v>214</v>
      </c>
      <c r="C210" s="393" t="s">
        <v>245</v>
      </c>
      <c r="D210" s="363" t="s">
        <v>54</v>
      </c>
      <c r="E210" s="270"/>
      <c r="F210" s="7">
        <f>F187</f>
        <v>40</v>
      </c>
      <c r="G210" s="398"/>
      <c r="H210" s="271"/>
      <c r="I210" s="398"/>
      <c r="J210" s="271"/>
      <c r="K210" s="398"/>
      <c r="L210" s="271"/>
      <c r="M210" s="271"/>
    </row>
    <row r="211" spans="1:15" ht="27">
      <c r="A211" s="602"/>
      <c r="B211" s="154"/>
      <c r="C211" s="397" t="s">
        <v>42</v>
      </c>
      <c r="D211" s="363" t="s">
        <v>8</v>
      </c>
      <c r="E211" s="270">
        <v>0.81100000000000005</v>
      </c>
      <c r="F211" s="270">
        <f>F210*E211</f>
        <v>32.440000000000005</v>
      </c>
      <c r="G211" s="398"/>
      <c r="H211" s="271"/>
      <c r="I211" s="271"/>
      <c r="J211" s="271"/>
      <c r="K211" s="271"/>
      <c r="L211" s="271"/>
      <c r="M211" s="271"/>
    </row>
    <row r="212" spans="1:15">
      <c r="A212" s="602"/>
      <c r="B212" s="154"/>
      <c r="C212" s="397" t="s">
        <v>7</v>
      </c>
      <c r="D212" s="363" t="s">
        <v>6</v>
      </c>
      <c r="E212" s="270">
        <v>1.2999999999999999E-2</v>
      </c>
      <c r="F212" s="270">
        <f>F210*E212</f>
        <v>0.52</v>
      </c>
      <c r="G212" s="398"/>
      <c r="H212" s="271"/>
      <c r="I212" s="398"/>
      <c r="J212" s="271"/>
      <c r="K212" s="271"/>
      <c r="L212" s="271"/>
      <c r="M212" s="271"/>
    </row>
    <row r="213" spans="1:15">
      <c r="A213" s="602"/>
      <c r="B213" s="154"/>
      <c r="C213" s="397" t="s">
        <v>215</v>
      </c>
      <c r="D213" s="363" t="s">
        <v>48</v>
      </c>
      <c r="E213" s="270">
        <v>1.8599999999999998E-2</v>
      </c>
      <c r="F213" s="270">
        <f>F210*E213</f>
        <v>0.74399999999999999</v>
      </c>
      <c r="G213" s="398"/>
      <c r="H213" s="271"/>
      <c r="I213" s="271"/>
      <c r="J213" s="271"/>
      <c r="K213" s="271"/>
      <c r="L213" s="271"/>
      <c r="M213" s="271"/>
      <c r="O213">
        <f>1500/25*30.9</f>
        <v>1854</v>
      </c>
    </row>
    <row r="214" spans="1:15">
      <c r="A214" s="602"/>
      <c r="B214" s="154"/>
      <c r="C214" s="397" t="s">
        <v>216</v>
      </c>
      <c r="D214" s="363" t="s">
        <v>48</v>
      </c>
      <c r="E214" s="270">
        <v>5.0000000000000001E-4</v>
      </c>
      <c r="F214" s="270">
        <f>F210*E214</f>
        <v>0.02</v>
      </c>
      <c r="G214" s="398"/>
      <c r="H214" s="271"/>
      <c r="I214" s="271"/>
      <c r="J214" s="271"/>
      <c r="K214" s="271"/>
      <c r="L214" s="271"/>
      <c r="M214" s="271"/>
    </row>
    <row r="215" spans="1:15">
      <c r="A215" s="592"/>
      <c r="B215" s="154"/>
      <c r="C215" s="397" t="s">
        <v>56</v>
      </c>
      <c r="D215" s="363" t="s">
        <v>6</v>
      </c>
      <c r="E215" s="270">
        <v>0.156</v>
      </c>
      <c r="F215" s="270">
        <f>F210*E215</f>
        <v>6.24</v>
      </c>
      <c r="G215" s="398"/>
      <c r="H215" s="271"/>
      <c r="I215" s="271"/>
      <c r="J215" s="271"/>
      <c r="K215" s="271"/>
      <c r="L215" s="271"/>
      <c r="M215" s="271"/>
    </row>
    <row r="216" spans="1:15" ht="40.5">
      <c r="A216" s="632" t="s">
        <v>95</v>
      </c>
      <c r="B216" s="107" t="s">
        <v>225</v>
      </c>
      <c r="C216" s="382" t="s">
        <v>327</v>
      </c>
      <c r="D216" s="290" t="s">
        <v>157</v>
      </c>
      <c r="E216" s="291"/>
      <c r="F216" s="383">
        <f>'7777'!G24</f>
        <v>50</v>
      </c>
      <c r="G216" s="384"/>
      <c r="H216" s="385"/>
      <c r="I216" s="384"/>
      <c r="J216" s="385"/>
      <c r="K216" s="384"/>
      <c r="L216" s="385"/>
      <c r="M216" s="385"/>
    </row>
    <row r="217" spans="1:15" ht="27">
      <c r="A217" s="632"/>
      <c r="B217" s="150"/>
      <c r="C217" s="386" t="s">
        <v>42</v>
      </c>
      <c r="D217" s="200" t="s">
        <v>8</v>
      </c>
      <c r="E217" s="13">
        <v>7.6</v>
      </c>
      <c r="F217" s="13">
        <f>F216*E217</f>
        <v>380</v>
      </c>
      <c r="G217" s="63"/>
      <c r="H217" s="63"/>
      <c r="I217" s="63"/>
      <c r="J217" s="63"/>
      <c r="K217" s="63"/>
      <c r="L217" s="61"/>
      <c r="M217" s="61"/>
    </row>
    <row r="218" spans="1:15">
      <c r="A218" s="632"/>
      <c r="B218" s="150"/>
      <c r="C218" s="386" t="s">
        <v>17</v>
      </c>
      <c r="D218" s="200" t="s">
        <v>6</v>
      </c>
      <c r="E218" s="13">
        <v>0.2</v>
      </c>
      <c r="F218" s="13">
        <f>F216*E218</f>
        <v>10</v>
      </c>
      <c r="G218" s="63"/>
      <c r="H218" s="63"/>
      <c r="I218" s="63"/>
      <c r="J218" s="63"/>
      <c r="K218" s="63"/>
      <c r="L218" s="61"/>
      <c r="M218" s="61"/>
    </row>
    <row r="219" spans="1:15">
      <c r="A219" s="632"/>
      <c r="B219" s="150"/>
      <c r="C219" s="386" t="s">
        <v>241</v>
      </c>
      <c r="D219" s="200" t="s">
        <v>54</v>
      </c>
      <c r="E219" s="13">
        <v>1</v>
      </c>
      <c r="F219" s="13">
        <f>F216*E219</f>
        <v>50</v>
      </c>
      <c r="G219" s="63"/>
      <c r="H219" s="63"/>
      <c r="I219" s="63"/>
      <c r="J219" s="63"/>
      <c r="K219" s="63"/>
      <c r="L219" s="61"/>
      <c r="M219" s="61"/>
    </row>
    <row r="220" spans="1:15">
      <c r="A220" s="632"/>
      <c r="B220" s="150"/>
      <c r="C220" s="386" t="s">
        <v>94</v>
      </c>
      <c r="D220" s="200" t="s">
        <v>43</v>
      </c>
      <c r="E220" s="13">
        <v>3.5999999999999997E-2</v>
      </c>
      <c r="F220" s="13">
        <f>F216*E220</f>
        <v>1.7999999999999998</v>
      </c>
      <c r="G220" s="63"/>
      <c r="H220" s="63"/>
      <c r="I220" s="63"/>
      <c r="J220" s="63"/>
      <c r="K220" s="63"/>
      <c r="L220" s="61"/>
      <c r="M220" s="61"/>
    </row>
    <row r="221" spans="1:15">
      <c r="A221" s="632"/>
      <c r="B221" s="150"/>
      <c r="C221" s="386" t="s">
        <v>56</v>
      </c>
      <c r="D221" s="200" t="s">
        <v>6</v>
      </c>
      <c r="E221" s="13">
        <v>0.09</v>
      </c>
      <c r="F221" s="13">
        <f>F216*E221</f>
        <v>4.5</v>
      </c>
      <c r="G221" s="63"/>
      <c r="H221" s="63"/>
      <c r="I221" s="63"/>
      <c r="J221" s="63"/>
      <c r="K221" s="63"/>
      <c r="L221" s="61"/>
      <c r="M221" s="61"/>
    </row>
    <row r="222" spans="1:15" ht="40.5">
      <c r="A222" s="301" t="s">
        <v>96</v>
      </c>
      <c r="B222" s="109"/>
      <c r="C222" s="421" t="s">
        <v>328</v>
      </c>
      <c r="D222" s="107" t="s">
        <v>54</v>
      </c>
      <c r="E222" s="110"/>
      <c r="F222" s="110">
        <f>'7777'!G36</f>
        <v>60</v>
      </c>
      <c r="G222" s="399"/>
      <c r="H222" s="385"/>
      <c r="I222" s="384"/>
      <c r="J222" s="385"/>
      <c r="K222" s="384"/>
      <c r="L222" s="385"/>
      <c r="M222" s="385"/>
    </row>
    <row r="223" spans="1:15" ht="27">
      <c r="A223" s="633" t="s">
        <v>98</v>
      </c>
      <c r="B223" s="153" t="s">
        <v>329</v>
      </c>
      <c r="C223" s="308" t="s">
        <v>330</v>
      </c>
      <c r="D223" s="22" t="s">
        <v>54</v>
      </c>
      <c r="E223" s="302"/>
      <c r="F223" s="302">
        <f>F222</f>
        <v>60</v>
      </c>
      <c r="G223" s="399"/>
      <c r="H223" s="385"/>
      <c r="I223" s="384"/>
      <c r="J223" s="385"/>
      <c r="K223" s="384"/>
      <c r="L223" s="385"/>
      <c r="M223" s="385"/>
    </row>
    <row r="224" spans="1:15" ht="27">
      <c r="A224" s="634"/>
      <c r="B224" s="363"/>
      <c r="C224" s="378" t="s">
        <v>62</v>
      </c>
      <c r="D224" s="31" t="s">
        <v>8</v>
      </c>
      <c r="E224" s="198">
        <f>(19.2+5.97*1)/100</f>
        <v>0.25169999999999998</v>
      </c>
      <c r="F224" s="270">
        <f>F223*E224</f>
        <v>15.101999999999999</v>
      </c>
      <c r="G224" s="271"/>
      <c r="H224" s="63"/>
      <c r="I224" s="422"/>
      <c r="J224" s="63"/>
      <c r="K224" s="271"/>
      <c r="L224" s="63"/>
      <c r="M224" s="63"/>
    </row>
    <row r="225" spans="1:14">
      <c r="A225" s="634"/>
      <c r="B225" s="363"/>
      <c r="C225" s="378" t="s">
        <v>89</v>
      </c>
      <c r="D225" s="31" t="s">
        <v>6</v>
      </c>
      <c r="E225" s="198">
        <f>(0.59+0.24*1)/100</f>
        <v>8.3000000000000001E-3</v>
      </c>
      <c r="F225" s="270">
        <f>F223*E225</f>
        <v>0.498</v>
      </c>
      <c r="G225" s="271"/>
      <c r="H225" s="63"/>
      <c r="I225" s="271"/>
      <c r="J225" s="63"/>
      <c r="K225" s="271"/>
      <c r="L225" s="63"/>
      <c r="M225" s="63"/>
    </row>
    <row r="226" spans="1:14" ht="27">
      <c r="A226" s="634"/>
      <c r="B226" s="363" t="s">
        <v>331</v>
      </c>
      <c r="C226" s="423" t="s">
        <v>493</v>
      </c>
      <c r="D226" s="31" t="s">
        <v>4</v>
      </c>
      <c r="E226" s="32">
        <v>1.2</v>
      </c>
      <c r="F226" s="270">
        <f>F223*E226</f>
        <v>72</v>
      </c>
      <c r="G226" s="271"/>
      <c r="H226" s="63"/>
      <c r="I226" s="271"/>
      <c r="J226" s="63"/>
      <c r="K226" s="271"/>
      <c r="L226" s="63"/>
      <c r="M226" s="63"/>
    </row>
    <row r="227" spans="1:14">
      <c r="A227" s="635"/>
      <c r="B227" s="363"/>
      <c r="C227" s="423" t="s">
        <v>56</v>
      </c>
      <c r="D227" s="31" t="s">
        <v>6</v>
      </c>
      <c r="E227" s="32">
        <v>1.9E-3</v>
      </c>
      <c r="F227" s="270">
        <f>F223*E227</f>
        <v>0.114</v>
      </c>
      <c r="G227" s="271"/>
      <c r="H227" s="63"/>
      <c r="I227" s="271"/>
      <c r="J227" s="63"/>
      <c r="K227" s="271"/>
      <c r="L227" s="63"/>
      <c r="M227" s="63"/>
    </row>
    <row r="228" spans="1:14" ht="27">
      <c r="A228" s="607" t="s">
        <v>79</v>
      </c>
      <c r="B228" s="303" t="s">
        <v>332</v>
      </c>
      <c r="C228" s="424" t="s">
        <v>333</v>
      </c>
      <c r="D228" s="254" t="s">
        <v>54</v>
      </c>
      <c r="E228" s="3"/>
      <c r="F228" s="157">
        <f>F222</f>
        <v>60</v>
      </c>
      <c r="G228" s="63"/>
      <c r="H228" s="63"/>
      <c r="I228" s="63"/>
      <c r="J228" s="63"/>
      <c r="K228" s="63"/>
      <c r="L228" s="63"/>
      <c r="M228" s="63"/>
    </row>
    <row r="229" spans="1:14" ht="27">
      <c r="A229" s="608"/>
      <c r="B229" s="304"/>
      <c r="C229" s="425" t="s">
        <v>42</v>
      </c>
      <c r="D229" s="254" t="s">
        <v>8</v>
      </c>
      <c r="E229" s="3">
        <v>0.65800000000000003</v>
      </c>
      <c r="F229" s="3">
        <f>F228*E229</f>
        <v>39.480000000000004</v>
      </c>
      <c r="G229" s="63"/>
      <c r="H229" s="63"/>
      <c r="I229" s="63"/>
      <c r="J229" s="63"/>
      <c r="K229" s="63"/>
      <c r="L229" s="61"/>
      <c r="M229" s="61"/>
    </row>
    <row r="230" spans="1:14" ht="27">
      <c r="A230" s="608"/>
      <c r="B230" s="304"/>
      <c r="C230" s="426" t="s">
        <v>7</v>
      </c>
      <c r="D230" s="197" t="s">
        <v>51</v>
      </c>
      <c r="E230" s="3">
        <v>0.01</v>
      </c>
      <c r="F230" s="3">
        <f>F228*E230</f>
        <v>0.6</v>
      </c>
      <c r="G230" s="63"/>
      <c r="H230" s="63"/>
      <c r="I230" s="63"/>
      <c r="J230" s="63"/>
      <c r="K230" s="63"/>
      <c r="L230" s="61"/>
      <c r="M230" s="61"/>
    </row>
    <row r="231" spans="1:14">
      <c r="A231" s="608"/>
      <c r="B231" s="151"/>
      <c r="C231" s="426" t="s">
        <v>9</v>
      </c>
      <c r="D231" s="197" t="s">
        <v>6</v>
      </c>
      <c r="E231" s="3">
        <v>1.6E-2</v>
      </c>
      <c r="F231" s="3">
        <f>F228*E231</f>
        <v>0.96</v>
      </c>
      <c r="G231" s="63"/>
      <c r="H231" s="63"/>
      <c r="I231" s="63"/>
      <c r="J231" s="63"/>
      <c r="K231" s="63"/>
      <c r="L231" s="61"/>
      <c r="M231" s="61"/>
    </row>
    <row r="232" spans="1:14">
      <c r="A232" s="609"/>
      <c r="B232" s="153" t="s">
        <v>334</v>
      </c>
      <c r="C232" s="426" t="s">
        <v>335</v>
      </c>
      <c r="D232" s="197" t="s">
        <v>54</v>
      </c>
      <c r="E232" s="3">
        <v>0.3</v>
      </c>
      <c r="F232" s="3">
        <f>F228*E232</f>
        <v>18</v>
      </c>
      <c r="G232" s="63"/>
      <c r="H232" s="63"/>
      <c r="I232" s="63"/>
      <c r="J232" s="63"/>
      <c r="K232" s="63"/>
      <c r="L232" s="63"/>
      <c r="M232" s="61"/>
    </row>
    <row r="233" spans="1:14">
      <c r="A233" s="355"/>
      <c r="B233" s="187"/>
      <c r="C233" s="394"/>
      <c r="D233" s="189"/>
      <c r="E233" s="20"/>
      <c r="F233" s="20"/>
      <c r="G233" s="399"/>
      <c r="H233" s="385"/>
      <c r="I233" s="384"/>
      <c r="J233" s="385"/>
      <c r="K233" s="384"/>
      <c r="L233" s="385"/>
      <c r="M233" s="385"/>
    </row>
    <row r="234" spans="1:14" ht="31.5">
      <c r="A234" s="259" t="s">
        <v>87</v>
      </c>
      <c r="B234" s="55"/>
      <c r="C234" s="400" t="s">
        <v>159</v>
      </c>
      <c r="D234" s="55" t="s">
        <v>54</v>
      </c>
      <c r="E234" s="341"/>
      <c r="F234" s="341">
        <f>'7777'!G28+300</f>
        <v>550</v>
      </c>
      <c r="G234" s="271"/>
      <c r="H234" s="271"/>
      <c r="I234" s="271"/>
      <c r="J234" s="271"/>
      <c r="K234" s="271"/>
      <c r="L234" s="271"/>
      <c r="M234" s="271"/>
      <c r="N234" s="76" t="s">
        <v>509</v>
      </c>
    </row>
    <row r="235" spans="1:14" ht="27">
      <c r="A235" s="347" t="s">
        <v>98</v>
      </c>
      <c r="B235" s="154"/>
      <c r="C235" s="393" t="s">
        <v>140</v>
      </c>
      <c r="D235" s="100"/>
      <c r="E235" s="270"/>
      <c r="F235" s="270"/>
      <c r="G235" s="271"/>
      <c r="H235" s="271"/>
      <c r="I235" s="271"/>
      <c r="J235" s="271"/>
      <c r="K235" s="271"/>
      <c r="L235" s="271"/>
      <c r="M235" s="271"/>
    </row>
    <row r="236" spans="1:14" ht="15.75">
      <c r="A236" s="593" t="s">
        <v>95</v>
      </c>
      <c r="B236" s="81" t="s">
        <v>160</v>
      </c>
      <c r="C236" s="403" t="s">
        <v>161</v>
      </c>
      <c r="D236" s="81" t="s">
        <v>31</v>
      </c>
      <c r="E236" s="176"/>
      <c r="F236" s="176">
        <f>F234</f>
        <v>550</v>
      </c>
      <c r="G236" s="271"/>
      <c r="H236" s="271"/>
      <c r="I236" s="271"/>
      <c r="J236" s="271"/>
      <c r="K236" s="271"/>
      <c r="L236" s="271"/>
      <c r="M236" s="271"/>
    </row>
    <row r="237" spans="1:14" ht="27">
      <c r="A237" s="594"/>
      <c r="B237" s="81"/>
      <c r="C237" s="387" t="s">
        <v>42</v>
      </c>
      <c r="D237" s="363" t="s">
        <v>8</v>
      </c>
      <c r="E237" s="177">
        <f>38.3*0.01</f>
        <v>0.38300000000000001</v>
      </c>
      <c r="F237" s="177">
        <f>F236*E237</f>
        <v>210.65</v>
      </c>
      <c r="G237" s="271"/>
      <c r="H237" s="271"/>
      <c r="I237" s="271"/>
      <c r="J237" s="271"/>
      <c r="K237" s="271"/>
      <c r="L237" s="271"/>
      <c r="M237" s="271"/>
    </row>
    <row r="238" spans="1:14" ht="27">
      <c r="A238" s="595"/>
      <c r="B238" s="81" t="s">
        <v>18</v>
      </c>
      <c r="C238" s="387" t="s">
        <v>162</v>
      </c>
      <c r="D238" s="366" t="s">
        <v>86</v>
      </c>
      <c r="E238" s="177">
        <f>2*0.01</f>
        <v>0.02</v>
      </c>
      <c r="F238" s="177">
        <f>E238*F236</f>
        <v>11</v>
      </c>
      <c r="G238" s="271"/>
      <c r="H238" s="271"/>
      <c r="I238" s="271"/>
      <c r="J238" s="271"/>
      <c r="K238" s="271"/>
      <c r="L238" s="271"/>
      <c r="M238" s="271"/>
    </row>
    <row r="239" spans="1:14" ht="27">
      <c r="A239" s="344" t="s">
        <v>96</v>
      </c>
      <c r="B239" s="154"/>
      <c r="C239" s="400" t="s">
        <v>163</v>
      </c>
      <c r="D239" s="154"/>
      <c r="E239" s="7"/>
      <c r="F239" s="7"/>
      <c r="G239" s="271"/>
      <c r="H239" s="271"/>
      <c r="I239" s="271"/>
      <c r="J239" s="271"/>
      <c r="K239" s="271"/>
      <c r="L239" s="271"/>
      <c r="M239" s="271"/>
    </row>
    <row r="240" spans="1:14">
      <c r="A240" s="344"/>
      <c r="B240" s="56"/>
      <c r="C240" s="62" t="s">
        <v>491</v>
      </c>
      <c r="D240" s="154" t="s">
        <v>58</v>
      </c>
      <c r="E240" s="270"/>
      <c r="F240" s="7">
        <f>'7777'!G29</f>
        <v>5</v>
      </c>
      <c r="G240" s="271"/>
      <c r="H240" s="271"/>
      <c r="I240" s="271"/>
      <c r="J240" s="271"/>
      <c r="K240" s="271"/>
      <c r="L240" s="271"/>
      <c r="M240" s="271"/>
    </row>
    <row r="241" spans="1:13">
      <c r="A241" s="344"/>
      <c r="B241" s="56">
        <v>3</v>
      </c>
      <c r="C241" s="62" t="s">
        <v>492</v>
      </c>
      <c r="D241" s="154" t="s">
        <v>58</v>
      </c>
      <c r="E241" s="270"/>
      <c r="F241" s="7">
        <f>'7777'!G30</f>
        <v>15</v>
      </c>
      <c r="G241" s="271"/>
      <c r="H241" s="271"/>
      <c r="I241" s="271"/>
      <c r="J241" s="271"/>
      <c r="K241" s="271"/>
      <c r="L241" s="271"/>
      <c r="M241" s="271"/>
    </row>
    <row r="242" spans="1:13">
      <c r="A242" s="350"/>
      <c r="B242" s="56"/>
      <c r="C242" s="62"/>
      <c r="D242" s="154"/>
      <c r="E242" s="270"/>
      <c r="F242" s="7"/>
      <c r="G242" s="271"/>
      <c r="H242" s="271"/>
      <c r="I242" s="271"/>
      <c r="J242" s="271"/>
      <c r="K242" s="271"/>
      <c r="L242" s="271"/>
      <c r="M242" s="271"/>
    </row>
    <row r="243" spans="1:13" ht="27">
      <c r="A243" s="591" t="s">
        <v>87</v>
      </c>
      <c r="B243" s="154" t="s">
        <v>165</v>
      </c>
      <c r="C243" s="62" t="s">
        <v>166</v>
      </c>
      <c r="D243" s="154" t="s">
        <v>58</v>
      </c>
      <c r="E243" s="270"/>
      <c r="F243" s="7">
        <f>F240+F241</f>
        <v>20</v>
      </c>
      <c r="G243" s="271"/>
      <c r="H243" s="271"/>
      <c r="I243" s="271"/>
      <c r="J243" s="271"/>
      <c r="K243" s="271"/>
      <c r="L243" s="271"/>
      <c r="M243" s="271"/>
    </row>
    <row r="244" spans="1:13" ht="27">
      <c r="A244" s="592"/>
      <c r="B244" s="154"/>
      <c r="C244" s="66" t="s">
        <v>42</v>
      </c>
      <c r="D244" s="363" t="s">
        <v>8</v>
      </c>
      <c r="E244" s="270">
        <v>3.18</v>
      </c>
      <c r="F244" s="270">
        <f>F243*E244</f>
        <v>63.6</v>
      </c>
      <c r="G244" s="271"/>
      <c r="H244" s="271"/>
      <c r="I244" s="271"/>
      <c r="J244" s="271"/>
      <c r="K244" s="271"/>
      <c r="L244" s="271"/>
      <c r="M244" s="271"/>
    </row>
    <row r="245" spans="1:13">
      <c r="A245" s="344" t="s">
        <v>49</v>
      </c>
      <c r="B245" s="154" t="s">
        <v>167</v>
      </c>
      <c r="C245" s="62" t="s">
        <v>168</v>
      </c>
      <c r="D245" s="154" t="s">
        <v>58</v>
      </c>
      <c r="E245" s="270"/>
      <c r="F245" s="7">
        <f>F243</f>
        <v>20</v>
      </c>
      <c r="G245" s="271"/>
      <c r="H245" s="271"/>
      <c r="I245" s="271"/>
      <c r="J245" s="271"/>
      <c r="K245" s="271"/>
      <c r="L245" s="271"/>
      <c r="M245" s="271"/>
    </row>
    <row r="246" spans="1:13" ht="27">
      <c r="A246" s="350"/>
      <c r="B246" s="154"/>
      <c r="C246" s="66" t="s">
        <v>42</v>
      </c>
      <c r="D246" s="363" t="s">
        <v>8</v>
      </c>
      <c r="E246" s="270">
        <v>1.6</v>
      </c>
      <c r="F246" s="270">
        <f>F245*E246</f>
        <v>32</v>
      </c>
      <c r="G246" s="271"/>
      <c r="H246" s="271"/>
      <c r="I246" s="271"/>
      <c r="J246" s="271"/>
      <c r="K246" s="271"/>
      <c r="L246" s="271"/>
      <c r="M246" s="271"/>
    </row>
    <row r="247" spans="1:13" ht="27">
      <c r="A247" s="350"/>
      <c r="B247" s="154" t="s">
        <v>33</v>
      </c>
      <c r="C247" s="66" t="s">
        <v>169</v>
      </c>
      <c r="D247" s="363" t="s">
        <v>51</v>
      </c>
      <c r="E247" s="270">
        <v>7.0999999999999994E-2</v>
      </c>
      <c r="F247" s="270">
        <f>F245*E247</f>
        <v>1.42</v>
      </c>
      <c r="G247" s="271"/>
      <c r="H247" s="271"/>
      <c r="I247" s="271"/>
      <c r="J247" s="271"/>
      <c r="K247" s="532"/>
      <c r="L247" s="271"/>
      <c r="M247" s="271"/>
    </row>
    <row r="248" spans="1:13" ht="27">
      <c r="A248" s="350"/>
      <c r="B248" s="154" t="s">
        <v>92</v>
      </c>
      <c r="C248" s="66" t="s">
        <v>170</v>
      </c>
      <c r="D248" s="363" t="s">
        <v>51</v>
      </c>
      <c r="E248" s="270">
        <v>0.13400000000000001</v>
      </c>
      <c r="F248" s="270">
        <f>F245*E248</f>
        <v>2.68</v>
      </c>
      <c r="G248" s="271"/>
      <c r="H248" s="271"/>
      <c r="I248" s="271"/>
      <c r="J248" s="271"/>
      <c r="K248" s="532"/>
      <c r="L248" s="271"/>
      <c r="M248" s="271"/>
    </row>
    <row r="249" spans="1:13">
      <c r="A249" s="350"/>
      <c r="B249" s="154"/>
      <c r="C249" s="62" t="s">
        <v>171</v>
      </c>
      <c r="D249" s="363"/>
      <c r="E249" s="270">
        <v>1</v>
      </c>
      <c r="F249" s="7">
        <f>F245*E249</f>
        <v>20</v>
      </c>
      <c r="G249" s="271"/>
      <c r="H249" s="271"/>
      <c r="I249" s="271"/>
      <c r="J249" s="271"/>
      <c r="K249" s="271"/>
      <c r="L249" s="271"/>
      <c r="M249" s="271"/>
    </row>
    <row r="250" spans="1:13">
      <c r="A250" s="350"/>
      <c r="B250" s="154"/>
      <c r="C250" s="62" t="s">
        <v>491</v>
      </c>
      <c r="D250" s="154" t="s">
        <v>58</v>
      </c>
      <c r="E250" s="270"/>
      <c r="F250" s="270">
        <f>F240</f>
        <v>5</v>
      </c>
      <c r="G250" s="271"/>
      <c r="H250" s="271"/>
      <c r="I250" s="271"/>
      <c r="J250" s="271"/>
      <c r="K250" s="271"/>
      <c r="L250" s="271"/>
      <c r="M250" s="271"/>
    </row>
    <row r="251" spans="1:13">
      <c r="A251" s="350"/>
      <c r="B251" s="154"/>
      <c r="C251" s="62" t="s">
        <v>492</v>
      </c>
      <c r="D251" s="154" t="s">
        <v>58</v>
      </c>
      <c r="E251" s="270"/>
      <c r="F251" s="270">
        <f>F241</f>
        <v>15</v>
      </c>
      <c r="G251" s="271"/>
      <c r="H251" s="271"/>
      <c r="I251" s="271"/>
      <c r="J251" s="271"/>
      <c r="K251" s="271"/>
      <c r="L251" s="271"/>
      <c r="M251" s="271"/>
    </row>
    <row r="252" spans="1:13">
      <c r="A252" s="350"/>
      <c r="B252" s="154"/>
      <c r="C252" s="66" t="s">
        <v>112</v>
      </c>
      <c r="D252" s="363" t="s">
        <v>43</v>
      </c>
      <c r="E252" s="270">
        <v>0.26</v>
      </c>
      <c r="F252" s="270">
        <f>F245*E252</f>
        <v>5.2</v>
      </c>
      <c r="G252" s="271"/>
      <c r="H252" s="271"/>
      <c r="I252" s="271"/>
      <c r="J252" s="271"/>
      <c r="K252" s="271"/>
      <c r="L252" s="271"/>
      <c r="M252" s="271"/>
    </row>
    <row r="253" spans="1:13">
      <c r="A253" s="345"/>
      <c r="B253" s="154"/>
      <c r="C253" s="66" t="s">
        <v>56</v>
      </c>
      <c r="D253" s="363" t="s">
        <v>6</v>
      </c>
      <c r="E253" s="270">
        <v>0.17899999999999999</v>
      </c>
      <c r="F253" s="270">
        <f>F245*E253</f>
        <v>3.58</v>
      </c>
      <c r="G253" s="271"/>
      <c r="H253" s="271"/>
      <c r="I253" s="271"/>
      <c r="J253" s="271"/>
      <c r="K253" s="271"/>
      <c r="L253" s="271"/>
      <c r="M253" s="271"/>
    </row>
    <row r="254" spans="1:13">
      <c r="A254" s="346"/>
      <c r="B254" s="154"/>
      <c r="C254" s="404"/>
      <c r="D254" s="154"/>
      <c r="E254" s="270"/>
      <c r="F254" s="270"/>
      <c r="G254" s="271"/>
      <c r="H254" s="271"/>
      <c r="I254" s="271"/>
      <c r="J254" s="271"/>
      <c r="K254" s="271"/>
      <c r="L254" s="271"/>
      <c r="M254" s="271"/>
    </row>
    <row r="255" spans="1:13" ht="40.5">
      <c r="A255" s="343"/>
      <c r="B255" s="343"/>
      <c r="C255" s="343" t="s">
        <v>488</v>
      </c>
      <c r="D255" s="343"/>
      <c r="E255" s="427"/>
      <c r="F255" s="427"/>
      <c r="G255" s="271"/>
      <c r="H255" s="271"/>
      <c r="I255" s="271"/>
      <c r="J255" s="271"/>
      <c r="K255" s="271"/>
      <c r="L255" s="271"/>
      <c r="M255" s="271"/>
    </row>
    <row r="256" spans="1:13" ht="27">
      <c r="A256" s="626" t="s">
        <v>98</v>
      </c>
      <c r="B256" s="154" t="s">
        <v>133</v>
      </c>
      <c r="C256" s="62" t="s">
        <v>474</v>
      </c>
      <c r="D256" s="7" t="s">
        <v>43</v>
      </c>
      <c r="E256" s="7"/>
      <c r="F256" s="7">
        <f>(0.15+0.3)*3*7+(2.5*1.2*2+0.5*(1.2+0.5)+0.5*2.5)*2</f>
        <v>25.65</v>
      </c>
      <c r="G256" s="271"/>
      <c r="H256" s="271"/>
      <c r="I256" s="271"/>
      <c r="J256" s="271"/>
      <c r="K256" s="271"/>
      <c r="L256" s="271"/>
      <c r="M256" s="271"/>
    </row>
    <row r="257" spans="1:13" ht="27">
      <c r="A257" s="636"/>
      <c r="B257" s="154"/>
      <c r="C257" s="96" t="s">
        <v>60</v>
      </c>
      <c r="D257" s="270" t="s">
        <v>8</v>
      </c>
      <c r="E257" s="270">
        <v>0.32300000000000001</v>
      </c>
      <c r="F257" s="270">
        <f>F256*E257</f>
        <v>8.2849500000000003</v>
      </c>
      <c r="G257" s="271"/>
      <c r="H257" s="271"/>
      <c r="I257" s="271"/>
      <c r="J257" s="271"/>
      <c r="K257" s="271"/>
      <c r="L257" s="271"/>
      <c r="M257" s="271"/>
    </row>
    <row r="258" spans="1:13">
      <c r="A258" s="627"/>
      <c r="B258" s="154"/>
      <c r="C258" s="97" t="s">
        <v>17</v>
      </c>
      <c r="D258" s="270" t="s">
        <v>6</v>
      </c>
      <c r="E258" s="270">
        <v>2.1499999999999998E-2</v>
      </c>
      <c r="F258" s="270">
        <f>F256*E258</f>
        <v>0.55147499999999994</v>
      </c>
      <c r="G258" s="271"/>
      <c r="H258" s="271"/>
      <c r="I258" s="271"/>
      <c r="J258" s="271"/>
      <c r="K258" s="271"/>
      <c r="L258" s="271"/>
      <c r="M258" s="271"/>
    </row>
    <row r="259" spans="1:13" ht="27">
      <c r="A259" s="637">
        <v>2</v>
      </c>
      <c r="B259" s="154" t="s">
        <v>134</v>
      </c>
      <c r="C259" s="267" t="s">
        <v>475</v>
      </c>
      <c r="D259" s="7" t="s">
        <v>43</v>
      </c>
      <c r="E259" s="7"/>
      <c r="F259" s="7">
        <f>F256*0.03</f>
        <v>0.76949999999999996</v>
      </c>
      <c r="G259" s="271"/>
      <c r="H259" s="271"/>
      <c r="I259" s="271"/>
      <c r="J259" s="271"/>
      <c r="K259" s="271"/>
      <c r="L259" s="271"/>
      <c r="M259" s="271"/>
    </row>
    <row r="260" spans="1:13" ht="27">
      <c r="A260" s="638"/>
      <c r="B260" s="154"/>
      <c r="C260" s="96" t="s">
        <v>60</v>
      </c>
      <c r="D260" s="270" t="s">
        <v>8</v>
      </c>
      <c r="E260" s="270">
        <v>7.3</v>
      </c>
      <c r="F260" s="270">
        <f>F259*E260</f>
        <v>5.6173499999999992</v>
      </c>
      <c r="G260" s="271"/>
      <c r="H260" s="271"/>
      <c r="I260" s="271"/>
      <c r="J260" s="271"/>
      <c r="K260" s="271"/>
      <c r="L260" s="271"/>
      <c r="M260" s="271"/>
    </row>
    <row r="261" spans="1:13">
      <c r="A261" s="639"/>
      <c r="B261" s="154"/>
      <c r="C261" s="97" t="s">
        <v>17</v>
      </c>
      <c r="D261" s="270" t="s">
        <v>6</v>
      </c>
      <c r="E261" s="270">
        <v>2.9</v>
      </c>
      <c r="F261" s="270">
        <f>F259*E261</f>
        <v>2.2315499999999999</v>
      </c>
      <c r="G261" s="271"/>
      <c r="H261" s="271"/>
      <c r="I261" s="271"/>
      <c r="J261" s="271"/>
      <c r="K261" s="271"/>
      <c r="L261" s="271"/>
      <c r="M261" s="271"/>
    </row>
    <row r="262" spans="1:13" ht="40.5">
      <c r="A262" s="625" t="s">
        <v>99</v>
      </c>
      <c r="B262" s="155" t="s">
        <v>137</v>
      </c>
      <c r="C262" s="62" t="s">
        <v>476</v>
      </c>
      <c r="D262" s="154" t="s">
        <v>11</v>
      </c>
      <c r="E262" s="270"/>
      <c r="F262" s="7">
        <f>F256*0.03+F259*0.05</f>
        <v>0.807975</v>
      </c>
      <c r="G262" s="271"/>
      <c r="H262" s="271"/>
      <c r="I262" s="271"/>
      <c r="J262" s="271"/>
      <c r="K262" s="271"/>
      <c r="L262" s="271"/>
      <c r="M262" s="271"/>
    </row>
    <row r="263" spans="1:13" ht="27">
      <c r="A263" s="625"/>
      <c r="B263" s="154"/>
      <c r="C263" s="373" t="s">
        <v>60</v>
      </c>
      <c r="D263" s="28" t="s">
        <v>8</v>
      </c>
      <c r="E263" s="198">
        <v>0.6</v>
      </c>
      <c r="F263" s="374">
        <f>F262*E263</f>
        <v>0.48478499999999997</v>
      </c>
      <c r="G263" s="375"/>
      <c r="H263" s="271"/>
      <c r="I263" s="375"/>
      <c r="J263" s="271"/>
      <c r="K263" s="271"/>
      <c r="L263" s="271"/>
      <c r="M263" s="271"/>
    </row>
    <row r="264" spans="1:13" ht="27">
      <c r="A264" s="625"/>
      <c r="B264" s="155" t="s">
        <v>97</v>
      </c>
      <c r="C264" s="376" t="s">
        <v>220</v>
      </c>
      <c r="D264" s="154" t="s">
        <v>48</v>
      </c>
      <c r="E264" s="198"/>
      <c r="F264" s="377">
        <f>F256*0.03*2.1+F259*0.05*2.4</f>
        <v>1.7082900000000001</v>
      </c>
      <c r="G264" s="375"/>
      <c r="H264" s="271"/>
      <c r="I264" s="375"/>
      <c r="J264" s="271"/>
      <c r="K264" s="375"/>
      <c r="L264" s="271"/>
      <c r="M264" s="271"/>
    </row>
    <row r="265" spans="1:13" ht="27">
      <c r="A265" s="625"/>
      <c r="B265" s="255"/>
      <c r="C265" s="378" t="s">
        <v>62</v>
      </c>
      <c r="D265" s="28" t="s">
        <v>8</v>
      </c>
      <c r="E265" s="198">
        <v>0.53</v>
      </c>
      <c r="F265" s="374">
        <f>F264*E265</f>
        <v>0.90539370000000008</v>
      </c>
      <c r="G265" s="375"/>
      <c r="H265" s="271"/>
      <c r="I265" s="375"/>
      <c r="J265" s="271"/>
      <c r="K265" s="375"/>
      <c r="L265" s="271"/>
      <c r="M265" s="271"/>
    </row>
    <row r="266" spans="1:13">
      <c r="A266" s="625"/>
      <c r="B266" s="154" t="s">
        <v>138</v>
      </c>
      <c r="C266" s="379" t="s">
        <v>224</v>
      </c>
      <c r="D266" s="154" t="s">
        <v>48</v>
      </c>
      <c r="E266" s="198"/>
      <c r="F266" s="377">
        <f>F264</f>
        <v>1.7082900000000001</v>
      </c>
      <c r="G266" s="375"/>
      <c r="H266" s="271"/>
      <c r="I266" s="375"/>
      <c r="J266" s="271"/>
      <c r="K266" s="375"/>
      <c r="L266" s="271"/>
      <c r="M266" s="271"/>
    </row>
    <row r="267" spans="1:13" ht="27">
      <c r="A267" s="626" t="s">
        <v>93</v>
      </c>
      <c r="B267" s="150" t="s">
        <v>477</v>
      </c>
      <c r="C267" s="403" t="s">
        <v>478</v>
      </c>
      <c r="D267" s="366" t="s">
        <v>54</v>
      </c>
      <c r="E267" s="165"/>
      <c r="F267" s="7">
        <f>(0.15+0.3)*3*7+7*1+(2.5*1.2*2+0.5*(1.2+0.5)+0.5*2.5)*2</f>
        <v>32.65</v>
      </c>
      <c r="G267" s="271"/>
      <c r="H267" s="271"/>
      <c r="I267" s="271"/>
      <c r="J267" s="271"/>
      <c r="K267" s="271"/>
      <c r="L267" s="271"/>
      <c r="M267" s="271"/>
    </row>
    <row r="268" spans="1:13" ht="27">
      <c r="A268" s="636"/>
      <c r="B268" s="150"/>
      <c r="C268" s="386" t="s">
        <v>42</v>
      </c>
      <c r="D268" s="200" t="s">
        <v>8</v>
      </c>
      <c r="E268" s="13">
        <v>10.199999999999999</v>
      </c>
      <c r="F268" s="13">
        <f>F267*E268</f>
        <v>333.03</v>
      </c>
      <c r="G268" s="63"/>
      <c r="H268" s="63"/>
      <c r="I268" s="63"/>
      <c r="J268" s="63"/>
      <c r="K268" s="63"/>
      <c r="L268" s="61"/>
      <c r="M268" s="61"/>
    </row>
    <row r="269" spans="1:13">
      <c r="A269" s="636"/>
      <c r="B269" s="150"/>
      <c r="C269" s="386" t="s">
        <v>17</v>
      </c>
      <c r="D269" s="200" t="s">
        <v>6</v>
      </c>
      <c r="E269" s="13">
        <v>0.15</v>
      </c>
      <c r="F269" s="13">
        <f>F267*E269</f>
        <v>4.8975</v>
      </c>
      <c r="G269" s="63"/>
      <c r="H269" s="63"/>
      <c r="I269" s="63"/>
      <c r="J269" s="63"/>
      <c r="K269" s="63"/>
      <c r="L269" s="61"/>
      <c r="M269" s="61"/>
    </row>
    <row r="270" spans="1:13">
      <c r="A270" s="636"/>
      <c r="B270" s="150"/>
      <c r="C270" s="386" t="s">
        <v>479</v>
      </c>
      <c r="D270" s="200" t="s">
        <v>54</v>
      </c>
      <c r="E270" s="13">
        <v>1</v>
      </c>
      <c r="F270" s="13">
        <f>F267*E270</f>
        <v>32.65</v>
      </c>
      <c r="G270" s="63"/>
      <c r="H270" s="63"/>
      <c r="I270" s="63"/>
      <c r="J270" s="63"/>
      <c r="K270" s="63"/>
      <c r="L270" s="61"/>
      <c r="M270" s="61"/>
    </row>
    <row r="271" spans="1:13">
      <c r="A271" s="636"/>
      <c r="B271" s="150"/>
      <c r="C271" s="386" t="s">
        <v>240</v>
      </c>
      <c r="D271" s="200" t="s">
        <v>43</v>
      </c>
      <c r="E271" s="13">
        <v>3.5999999999999997E-2</v>
      </c>
      <c r="F271" s="13">
        <f>F267*E271</f>
        <v>1.1753999999999998</v>
      </c>
      <c r="G271" s="63"/>
      <c r="H271" s="63"/>
      <c r="I271" s="63"/>
      <c r="J271" s="63"/>
      <c r="K271" s="63"/>
      <c r="L271" s="61"/>
      <c r="M271" s="61"/>
    </row>
    <row r="272" spans="1:13">
      <c r="A272" s="627"/>
      <c r="B272" s="150"/>
      <c r="C272" s="386" t="s">
        <v>56</v>
      </c>
      <c r="D272" s="200" t="s">
        <v>6</v>
      </c>
      <c r="E272" s="13">
        <v>0.09</v>
      </c>
      <c r="F272" s="13">
        <f>F267*E272</f>
        <v>2.9384999999999999</v>
      </c>
      <c r="G272" s="63"/>
      <c r="H272" s="63"/>
      <c r="I272" s="63"/>
      <c r="J272" s="63"/>
      <c r="K272" s="63"/>
      <c r="L272" s="61"/>
      <c r="M272" s="61"/>
    </row>
    <row r="273" spans="1:13" ht="27">
      <c r="A273" s="340" t="s">
        <v>95</v>
      </c>
      <c r="B273" s="340"/>
      <c r="C273" s="55" t="s">
        <v>490</v>
      </c>
      <c r="D273" s="55" t="s">
        <v>50</v>
      </c>
      <c r="E273" s="341"/>
      <c r="F273" s="341">
        <v>85</v>
      </c>
      <c r="G273" s="271"/>
      <c r="H273" s="271"/>
      <c r="I273" s="271"/>
      <c r="J273" s="271"/>
      <c r="K273" s="271"/>
      <c r="L273" s="271"/>
      <c r="M273" s="271"/>
    </row>
    <row r="274" spans="1:13" ht="27">
      <c r="A274" s="603" t="s">
        <v>98</v>
      </c>
      <c r="B274" s="154" t="s">
        <v>67</v>
      </c>
      <c r="C274" s="62" t="s">
        <v>485</v>
      </c>
      <c r="D274" s="154" t="s">
        <v>43</v>
      </c>
      <c r="E274" s="270"/>
      <c r="F274" s="7">
        <f>0.3*(0.1+0.1)*F273</f>
        <v>5.0999999999999996</v>
      </c>
      <c r="G274" s="271"/>
      <c r="H274" s="271"/>
      <c r="I274" s="271"/>
      <c r="J274" s="271"/>
      <c r="K274" s="271"/>
      <c r="L274" s="271"/>
      <c r="M274" s="271"/>
    </row>
    <row r="275" spans="1:13" ht="27">
      <c r="A275" s="605"/>
      <c r="B275" s="83"/>
      <c r="C275" s="387" t="s">
        <v>42</v>
      </c>
      <c r="D275" s="366" t="s">
        <v>8</v>
      </c>
      <c r="E275" s="165">
        <v>2.06</v>
      </c>
      <c r="F275" s="165">
        <f>E275*F274</f>
        <v>10.506</v>
      </c>
      <c r="G275" s="388"/>
      <c r="H275" s="271"/>
      <c r="I275" s="388"/>
      <c r="J275" s="271"/>
      <c r="K275" s="271"/>
      <c r="L275" s="271"/>
      <c r="M275" s="271"/>
    </row>
    <row r="276" spans="1:13" ht="27">
      <c r="A276" s="606" t="s">
        <v>79</v>
      </c>
      <c r="B276" s="428" t="s">
        <v>97</v>
      </c>
      <c r="C276" s="429" t="s">
        <v>223</v>
      </c>
      <c r="D276" s="322" t="s">
        <v>246</v>
      </c>
      <c r="E276" s="323"/>
      <c r="F276" s="324">
        <f>(F274)*1.95</f>
        <v>9.9449999999999985</v>
      </c>
      <c r="G276" s="271"/>
      <c r="H276" s="63"/>
      <c r="I276" s="271"/>
      <c r="J276" s="63"/>
      <c r="K276" s="271"/>
      <c r="L276" s="63"/>
      <c r="M276" s="63"/>
    </row>
    <row r="277" spans="1:13" ht="27">
      <c r="A277" s="606"/>
      <c r="B277" s="363"/>
      <c r="C277" s="423" t="s">
        <v>60</v>
      </c>
      <c r="D277" s="31" t="s">
        <v>8</v>
      </c>
      <c r="E277" s="32">
        <v>0.53</v>
      </c>
      <c r="F277" s="361">
        <f>F276*E277</f>
        <v>5.2708499999999994</v>
      </c>
      <c r="G277" s="271"/>
      <c r="H277" s="63"/>
      <c r="I277" s="271"/>
      <c r="J277" s="63"/>
      <c r="K277" s="271"/>
      <c r="L277" s="63"/>
      <c r="M277" s="63"/>
    </row>
    <row r="278" spans="1:13" ht="27">
      <c r="A278" s="353" t="s">
        <v>99</v>
      </c>
      <c r="B278" s="363" t="s">
        <v>445</v>
      </c>
      <c r="C278" s="430" t="s">
        <v>446</v>
      </c>
      <c r="D278" s="154" t="s">
        <v>48</v>
      </c>
      <c r="E278" s="7"/>
      <c r="F278" s="324">
        <f>F276</f>
        <v>9.9449999999999985</v>
      </c>
      <c r="G278" s="271"/>
      <c r="H278" s="63"/>
      <c r="I278" s="271"/>
      <c r="J278" s="63"/>
      <c r="K278" s="375"/>
      <c r="L278" s="63"/>
      <c r="M278" s="63"/>
    </row>
    <row r="279" spans="1:13" ht="15.75">
      <c r="A279" s="643" t="s">
        <v>93</v>
      </c>
      <c r="B279" s="154" t="s">
        <v>506</v>
      </c>
      <c r="C279" s="62" t="s">
        <v>319</v>
      </c>
      <c r="D279" s="154" t="s">
        <v>37</v>
      </c>
      <c r="E279" s="270"/>
      <c r="F279" s="7">
        <f>0.1*0.3*F273</f>
        <v>2.5499999999999998</v>
      </c>
      <c r="G279" s="271"/>
      <c r="H279" s="271"/>
      <c r="I279" s="271"/>
      <c r="J279" s="271"/>
      <c r="K279" s="271"/>
      <c r="L279" s="271"/>
      <c r="M279" s="271"/>
    </row>
    <row r="280" spans="1:13">
      <c r="A280" s="644"/>
      <c r="B280" s="154"/>
      <c r="C280" s="66" t="s">
        <v>13</v>
      </c>
      <c r="D280" s="530" t="s">
        <v>14</v>
      </c>
      <c r="E280" s="531">
        <v>0.15</v>
      </c>
      <c r="F280" s="531">
        <f>E280*F279</f>
        <v>0.38249999999999995</v>
      </c>
      <c r="G280" s="532"/>
      <c r="H280" s="532"/>
      <c r="I280" s="532"/>
      <c r="J280" s="532"/>
      <c r="K280" s="532"/>
      <c r="L280" s="532"/>
      <c r="M280" s="532"/>
    </row>
    <row r="281" spans="1:13">
      <c r="A281" s="644"/>
      <c r="B281" s="154" t="s">
        <v>32</v>
      </c>
      <c r="C281" s="66" t="s">
        <v>148</v>
      </c>
      <c r="D281" s="530" t="s">
        <v>15</v>
      </c>
      <c r="E281" s="531">
        <v>2.1600000000000001E-2</v>
      </c>
      <c r="F281" s="531">
        <f>E281*F279</f>
        <v>5.5079999999999997E-2</v>
      </c>
      <c r="G281" s="532"/>
      <c r="H281" s="532"/>
      <c r="I281" s="532"/>
      <c r="J281" s="532"/>
      <c r="K281" s="532"/>
      <c r="L281" s="532"/>
      <c r="M281" s="532"/>
    </row>
    <row r="282" spans="1:13">
      <c r="A282" s="644"/>
      <c r="B282" s="154" t="s">
        <v>149</v>
      </c>
      <c r="C282" s="66" t="s">
        <v>150</v>
      </c>
      <c r="D282" s="530" t="s">
        <v>15</v>
      </c>
      <c r="E282" s="531">
        <v>2.7300000000000001E-2</v>
      </c>
      <c r="F282" s="531">
        <f>E282*F279</f>
        <v>6.9614999999999996E-2</v>
      </c>
      <c r="G282" s="532"/>
      <c r="H282" s="532"/>
      <c r="I282" s="532"/>
      <c r="J282" s="532"/>
      <c r="K282" s="532"/>
      <c r="L282" s="532"/>
      <c r="M282" s="532"/>
    </row>
    <row r="283" spans="1:13" ht="15.75">
      <c r="A283" s="645"/>
      <c r="B283" s="154"/>
      <c r="C283" s="66" t="s">
        <v>35</v>
      </c>
      <c r="D283" s="530" t="s">
        <v>34</v>
      </c>
      <c r="E283" s="531">
        <v>1.2</v>
      </c>
      <c r="F283" s="533">
        <f>E283*F279</f>
        <v>3.0599999999999996</v>
      </c>
      <c r="G283" s="532"/>
      <c r="H283" s="532"/>
      <c r="I283" s="532"/>
      <c r="J283" s="532"/>
      <c r="K283" s="532"/>
      <c r="L283" s="532"/>
      <c r="M283" s="532"/>
    </row>
    <row r="284" spans="1:13" ht="27">
      <c r="A284" s="606" t="s">
        <v>95</v>
      </c>
      <c r="B284" s="154" t="s">
        <v>486</v>
      </c>
      <c r="C284" s="62" t="s">
        <v>320</v>
      </c>
      <c r="D284" s="154" t="s">
        <v>70</v>
      </c>
      <c r="E284" s="7"/>
      <c r="F284" s="7">
        <f>F273</f>
        <v>85</v>
      </c>
      <c r="G284" s="271"/>
      <c r="H284" s="271"/>
      <c r="I284" s="271"/>
      <c r="J284" s="271"/>
      <c r="K284" s="271"/>
      <c r="L284" s="271"/>
      <c r="M284" s="271"/>
    </row>
    <row r="285" spans="1:13">
      <c r="A285" s="606"/>
      <c r="B285" s="363"/>
      <c r="C285" s="66" t="s">
        <v>13</v>
      </c>
      <c r="D285" s="363" t="s">
        <v>14</v>
      </c>
      <c r="E285" s="270">
        <v>1.1100000000000001</v>
      </c>
      <c r="F285" s="270">
        <f>E285*F284</f>
        <v>94.350000000000009</v>
      </c>
      <c r="G285" s="271"/>
      <c r="H285" s="271"/>
      <c r="I285" s="271"/>
      <c r="J285" s="271"/>
      <c r="K285" s="271"/>
      <c r="L285" s="271"/>
      <c r="M285" s="271"/>
    </row>
    <row r="286" spans="1:13">
      <c r="A286" s="606"/>
      <c r="B286" s="363"/>
      <c r="C286" s="66" t="s">
        <v>7</v>
      </c>
      <c r="D286" s="363" t="s">
        <v>15</v>
      </c>
      <c r="E286" s="270">
        <f>0.71/100</f>
        <v>7.0999999999999995E-3</v>
      </c>
      <c r="F286" s="270">
        <f>E286*F284</f>
        <v>0.60349999999999993</v>
      </c>
      <c r="G286" s="271"/>
      <c r="H286" s="271"/>
      <c r="I286" s="271"/>
      <c r="J286" s="271"/>
      <c r="K286" s="271"/>
      <c r="L286" s="271"/>
      <c r="M286" s="271"/>
    </row>
    <row r="287" spans="1:13">
      <c r="A287" s="606"/>
      <c r="B287" s="359"/>
      <c r="C287" s="66" t="s">
        <v>321</v>
      </c>
      <c r="D287" s="363" t="s">
        <v>70</v>
      </c>
      <c r="E287" s="3">
        <v>1</v>
      </c>
      <c r="F287" s="270">
        <f>E287*F284</f>
        <v>85</v>
      </c>
      <c r="G287" s="271"/>
      <c r="H287" s="271"/>
      <c r="I287" s="271"/>
      <c r="J287" s="271"/>
      <c r="K287" s="271"/>
      <c r="L287" s="271"/>
      <c r="M287" s="271"/>
    </row>
    <row r="288" spans="1:13" ht="15.75">
      <c r="A288" s="606"/>
      <c r="B288" s="363"/>
      <c r="C288" s="389" t="s">
        <v>487</v>
      </c>
      <c r="D288" s="363" t="s">
        <v>34</v>
      </c>
      <c r="E288" s="3">
        <f>3.9/100</f>
        <v>3.9E-2</v>
      </c>
      <c r="F288" s="270">
        <f>F284*E288</f>
        <v>3.3149999999999999</v>
      </c>
      <c r="G288" s="271"/>
      <c r="H288" s="271"/>
      <c r="I288" s="271"/>
      <c r="J288" s="271"/>
      <c r="K288" s="271"/>
      <c r="L288" s="271"/>
      <c r="M288" s="271"/>
    </row>
    <row r="289" spans="1:13" ht="15.75">
      <c r="A289" s="606"/>
      <c r="B289" s="363"/>
      <c r="C289" s="66" t="s">
        <v>152</v>
      </c>
      <c r="D289" s="363" t="s">
        <v>34</v>
      </c>
      <c r="E289" s="3">
        <f>0.06/100</f>
        <v>5.9999999999999995E-4</v>
      </c>
      <c r="F289" s="270">
        <f>E289*F284</f>
        <v>5.0999999999999997E-2</v>
      </c>
      <c r="G289" s="271"/>
      <c r="H289" s="271"/>
      <c r="I289" s="271"/>
      <c r="J289" s="271"/>
      <c r="K289" s="271"/>
      <c r="L289" s="271"/>
      <c r="M289" s="271"/>
    </row>
    <row r="290" spans="1:13">
      <c r="A290" s="606"/>
      <c r="B290" s="363"/>
      <c r="C290" s="66" t="s">
        <v>9</v>
      </c>
      <c r="D290" s="363" t="s">
        <v>6</v>
      </c>
      <c r="E290" s="3">
        <f>9.6/100</f>
        <v>9.6000000000000002E-2</v>
      </c>
      <c r="F290" s="270">
        <f>E290*F284</f>
        <v>8.16</v>
      </c>
      <c r="G290" s="271"/>
      <c r="H290" s="271"/>
      <c r="I290" s="271"/>
      <c r="J290" s="271"/>
      <c r="K290" s="271"/>
      <c r="L290" s="271"/>
      <c r="M290" s="271"/>
    </row>
    <row r="291" spans="1:13">
      <c r="A291" s="346"/>
      <c r="B291" s="154"/>
      <c r="C291" s="404"/>
      <c r="D291" s="154"/>
      <c r="E291" s="270"/>
      <c r="F291" s="270"/>
      <c r="G291" s="271"/>
      <c r="H291" s="271"/>
      <c r="I291" s="271"/>
      <c r="J291" s="271"/>
      <c r="K291" s="271"/>
      <c r="L291" s="271"/>
      <c r="M291" s="271"/>
    </row>
    <row r="292" spans="1:13" ht="40.5">
      <c r="A292" s="340" t="s">
        <v>96</v>
      </c>
      <c r="B292" s="340"/>
      <c r="C292" s="55" t="s">
        <v>489</v>
      </c>
      <c r="D292" s="55" t="s">
        <v>54</v>
      </c>
      <c r="E292" s="341"/>
      <c r="F292" s="383">
        <v>103</v>
      </c>
      <c r="G292" s="271"/>
      <c r="H292" s="271"/>
      <c r="I292" s="271"/>
      <c r="J292" s="271"/>
      <c r="K292" s="271"/>
      <c r="L292" s="271"/>
      <c r="M292" s="271"/>
    </row>
    <row r="293" spans="1:13" ht="27">
      <c r="A293" s="640" t="s">
        <v>98</v>
      </c>
      <c r="B293" s="22" t="s">
        <v>36</v>
      </c>
      <c r="C293" s="431" t="s">
        <v>155</v>
      </c>
      <c r="D293" s="22" t="s">
        <v>34</v>
      </c>
      <c r="E293" s="24"/>
      <c r="F293" s="391">
        <f>F292*0.2</f>
        <v>20.6</v>
      </c>
      <c r="G293" s="392"/>
      <c r="H293" s="385"/>
      <c r="I293" s="392"/>
      <c r="J293" s="385"/>
      <c r="K293" s="392"/>
      <c r="L293" s="385"/>
      <c r="M293" s="385"/>
    </row>
    <row r="294" spans="1:13" ht="27">
      <c r="A294" s="641"/>
      <c r="B294" s="189"/>
      <c r="C294" s="108" t="s">
        <v>38</v>
      </c>
      <c r="D294" s="108" t="s">
        <v>8</v>
      </c>
      <c r="E294" s="24">
        <v>3.88</v>
      </c>
      <c r="F294" s="24">
        <f>F293*E294</f>
        <v>79.927999999999997</v>
      </c>
      <c r="G294" s="385"/>
      <c r="H294" s="385"/>
      <c r="I294" s="385"/>
      <c r="J294" s="385"/>
      <c r="K294" s="385"/>
      <c r="L294" s="385"/>
      <c r="M294" s="385"/>
    </row>
    <row r="295" spans="1:13" ht="27">
      <c r="A295" s="604" t="s">
        <v>79</v>
      </c>
      <c r="B295" s="342" t="s">
        <v>97</v>
      </c>
      <c r="C295" s="429" t="s">
        <v>223</v>
      </c>
      <c r="D295" s="322" t="s">
        <v>246</v>
      </c>
      <c r="E295" s="323"/>
      <c r="F295" s="324">
        <f>F293*1.95</f>
        <v>40.17</v>
      </c>
      <c r="G295" s="271"/>
      <c r="H295" s="271"/>
      <c r="I295" s="271"/>
      <c r="J295" s="271"/>
      <c r="K295" s="271"/>
      <c r="L295" s="271"/>
      <c r="M295" s="271"/>
    </row>
    <row r="296" spans="1:13" ht="27">
      <c r="A296" s="605"/>
      <c r="B296" s="363"/>
      <c r="C296" s="423" t="s">
        <v>60</v>
      </c>
      <c r="D296" s="31" t="s">
        <v>8</v>
      </c>
      <c r="E296" s="32">
        <v>0.53</v>
      </c>
      <c r="F296" s="361">
        <f>F295*E296</f>
        <v>21.290100000000002</v>
      </c>
      <c r="G296" s="271"/>
      <c r="H296" s="271"/>
      <c r="I296" s="271"/>
      <c r="J296" s="271"/>
      <c r="K296" s="271"/>
      <c r="L296" s="271"/>
      <c r="M296" s="271"/>
    </row>
    <row r="297" spans="1:13" ht="27">
      <c r="A297" s="353" t="s">
        <v>99</v>
      </c>
      <c r="B297" s="154" t="s">
        <v>445</v>
      </c>
      <c r="C297" s="430" t="s">
        <v>446</v>
      </c>
      <c r="D297" s="154" t="s">
        <v>48</v>
      </c>
      <c r="E297" s="324"/>
      <c r="F297" s="324">
        <f>F295</f>
        <v>40.17</v>
      </c>
      <c r="G297" s="271"/>
      <c r="H297" s="271"/>
      <c r="I297" s="271"/>
      <c r="J297" s="271"/>
      <c r="K297" s="375"/>
      <c r="L297" s="271"/>
      <c r="M297" s="271"/>
    </row>
    <row r="298" spans="1:13">
      <c r="A298" s="603" t="s">
        <v>93</v>
      </c>
      <c r="B298" s="154" t="s">
        <v>41</v>
      </c>
      <c r="C298" s="393" t="s">
        <v>447</v>
      </c>
      <c r="D298" s="154" t="s">
        <v>43</v>
      </c>
      <c r="E298" s="270"/>
      <c r="F298" s="391">
        <f>F292*0.15</f>
        <v>15.45</v>
      </c>
      <c r="G298" s="271"/>
      <c r="H298" s="271"/>
      <c r="I298" s="271"/>
      <c r="J298" s="271"/>
      <c r="K298" s="271"/>
      <c r="L298" s="271"/>
      <c r="M298" s="271"/>
    </row>
    <row r="299" spans="1:13">
      <c r="A299" s="604"/>
      <c r="B299" s="363"/>
      <c r="C299" s="66" t="s">
        <v>13</v>
      </c>
      <c r="D299" s="363" t="s">
        <v>14</v>
      </c>
      <c r="E299" s="270">
        <v>3.52</v>
      </c>
      <c r="F299" s="24">
        <f>E299*F298</f>
        <v>54.384</v>
      </c>
      <c r="G299" s="271"/>
      <c r="H299" s="271"/>
      <c r="I299" s="271"/>
      <c r="J299" s="271"/>
      <c r="K299" s="271"/>
      <c r="L299" s="271"/>
      <c r="M299" s="271"/>
    </row>
    <row r="300" spans="1:13">
      <c r="A300" s="604"/>
      <c r="B300" s="363"/>
      <c r="C300" s="66" t="s">
        <v>17</v>
      </c>
      <c r="D300" s="363" t="s">
        <v>6</v>
      </c>
      <c r="E300" s="270">
        <v>1.06</v>
      </c>
      <c r="F300" s="24">
        <f>F298*E300</f>
        <v>16.376999999999999</v>
      </c>
      <c r="G300" s="271"/>
      <c r="H300" s="271"/>
      <c r="I300" s="271"/>
      <c r="J300" s="271"/>
      <c r="K300" s="271"/>
      <c r="L300" s="271"/>
      <c r="M300" s="271"/>
    </row>
    <row r="301" spans="1:13" ht="15.75">
      <c r="A301" s="604"/>
      <c r="B301" s="363"/>
      <c r="C301" s="66" t="s">
        <v>35</v>
      </c>
      <c r="D301" s="363" t="s">
        <v>34</v>
      </c>
      <c r="E301" s="270">
        <f>0.18+0.09+0.97</f>
        <v>1.24</v>
      </c>
      <c r="F301" s="24">
        <f>E301*F298</f>
        <v>19.157999999999998</v>
      </c>
      <c r="G301" s="271"/>
      <c r="H301" s="271"/>
      <c r="I301" s="271"/>
      <c r="J301" s="271"/>
      <c r="K301" s="271"/>
      <c r="L301" s="271"/>
      <c r="M301" s="271"/>
    </row>
    <row r="302" spans="1:13">
      <c r="A302" s="605"/>
      <c r="B302" s="363"/>
      <c r="C302" s="394" t="s">
        <v>56</v>
      </c>
      <c r="D302" s="189" t="s">
        <v>6</v>
      </c>
      <c r="E302" s="270">
        <v>0.02</v>
      </c>
      <c r="F302" s="24">
        <f>F298*E302</f>
        <v>0.309</v>
      </c>
      <c r="G302" s="385"/>
      <c r="H302" s="271"/>
      <c r="I302" s="64"/>
      <c r="J302" s="271"/>
      <c r="K302" s="65"/>
      <c r="L302" s="271"/>
      <c r="M302" s="271"/>
    </row>
    <row r="303" spans="1:13">
      <c r="A303" s="603" t="s">
        <v>95</v>
      </c>
      <c r="B303" s="154" t="s">
        <v>90</v>
      </c>
      <c r="C303" s="642" t="s">
        <v>480</v>
      </c>
      <c r="D303" s="154" t="s">
        <v>54</v>
      </c>
      <c r="E303" s="270"/>
      <c r="F303" s="391">
        <f>F292</f>
        <v>103</v>
      </c>
      <c r="G303" s="396"/>
      <c r="H303" s="271"/>
      <c r="I303" s="271"/>
      <c r="J303" s="271"/>
      <c r="K303" s="396"/>
      <c r="L303" s="271"/>
      <c r="M303" s="271"/>
    </row>
    <row r="304" spans="1:13">
      <c r="A304" s="604"/>
      <c r="B304" s="363"/>
      <c r="C304" s="642"/>
      <c r="D304" s="154" t="s">
        <v>43</v>
      </c>
      <c r="E304" s="270"/>
      <c r="F304" s="391">
        <f>F303*0.12</f>
        <v>12.36</v>
      </c>
      <c r="G304" s="396"/>
      <c r="H304" s="271"/>
      <c r="I304" s="271"/>
      <c r="J304" s="271"/>
      <c r="K304" s="396"/>
      <c r="L304" s="271"/>
      <c r="M304" s="271"/>
    </row>
    <row r="305" spans="1:13" ht="27">
      <c r="A305" s="604"/>
      <c r="B305" s="363"/>
      <c r="C305" s="397" t="s">
        <v>42</v>
      </c>
      <c r="D305" s="363" t="s">
        <v>8</v>
      </c>
      <c r="E305" s="270">
        <v>2.9</v>
      </c>
      <c r="F305" s="24">
        <f>F304*E305</f>
        <v>35.843999999999994</v>
      </c>
      <c r="G305" s="271"/>
      <c r="H305" s="271"/>
      <c r="I305" s="271"/>
      <c r="J305" s="271"/>
      <c r="K305" s="396"/>
      <c r="L305" s="271"/>
      <c r="M305" s="271"/>
    </row>
    <row r="306" spans="1:13">
      <c r="A306" s="604"/>
      <c r="B306" s="363"/>
      <c r="C306" s="397" t="s">
        <v>481</v>
      </c>
      <c r="D306" s="363" t="s">
        <v>43</v>
      </c>
      <c r="E306" s="270">
        <v>1.02</v>
      </c>
      <c r="F306" s="24">
        <f>F304*E306</f>
        <v>12.607199999999999</v>
      </c>
      <c r="G306" s="396"/>
      <c r="H306" s="271"/>
      <c r="I306" s="271"/>
      <c r="J306" s="271"/>
      <c r="K306" s="396"/>
      <c r="L306" s="271"/>
      <c r="M306" s="271"/>
    </row>
    <row r="307" spans="1:13">
      <c r="A307" s="604"/>
      <c r="B307" s="363"/>
      <c r="C307" s="393" t="s">
        <v>156</v>
      </c>
      <c r="D307" s="363" t="s">
        <v>48</v>
      </c>
      <c r="E307" s="270">
        <v>1.03</v>
      </c>
      <c r="F307" s="391">
        <f>F303*8*2*1*1*E307*0.395/1000</f>
        <v>0.67048880000000011</v>
      </c>
      <c r="G307" s="271"/>
      <c r="H307" s="271"/>
      <c r="I307" s="271"/>
      <c r="J307" s="271"/>
      <c r="K307" s="396"/>
      <c r="L307" s="271"/>
      <c r="M307" s="271"/>
    </row>
    <row r="308" spans="1:13">
      <c r="A308" s="605"/>
      <c r="B308" s="363"/>
      <c r="C308" s="397" t="s">
        <v>16</v>
      </c>
      <c r="D308" s="363" t="s">
        <v>6</v>
      </c>
      <c r="E308" s="270">
        <v>0.88</v>
      </c>
      <c r="F308" s="24">
        <f>F304*E308</f>
        <v>10.876799999999999</v>
      </c>
      <c r="G308" s="396"/>
      <c r="H308" s="271"/>
      <c r="I308" s="271"/>
      <c r="J308" s="271"/>
      <c r="K308" s="396"/>
      <c r="L308" s="271"/>
      <c r="M308" s="271"/>
    </row>
    <row r="309" spans="1:13" ht="27">
      <c r="A309" s="603" t="s">
        <v>96</v>
      </c>
      <c r="B309" s="150" t="s">
        <v>482</v>
      </c>
      <c r="C309" s="403" t="s">
        <v>483</v>
      </c>
      <c r="D309" s="366" t="s">
        <v>54</v>
      </c>
      <c r="E309" s="165"/>
      <c r="F309" s="176">
        <f>F292</f>
        <v>103</v>
      </c>
      <c r="G309" s="271"/>
      <c r="H309" s="271"/>
      <c r="I309" s="271"/>
      <c r="J309" s="271"/>
      <c r="K309" s="271"/>
      <c r="L309" s="271"/>
      <c r="M309" s="271"/>
    </row>
    <row r="310" spans="1:13" ht="27">
      <c r="A310" s="604"/>
      <c r="B310" s="150"/>
      <c r="C310" s="386" t="s">
        <v>42</v>
      </c>
      <c r="D310" s="200" t="s">
        <v>8</v>
      </c>
      <c r="E310" s="13">
        <v>11.8</v>
      </c>
      <c r="F310" s="13">
        <f>F309*E310</f>
        <v>1215.4000000000001</v>
      </c>
      <c r="G310" s="63"/>
      <c r="H310" s="63"/>
      <c r="I310" s="63"/>
      <c r="J310" s="63"/>
      <c r="K310" s="63"/>
      <c r="L310" s="61"/>
      <c r="M310" s="61"/>
    </row>
    <row r="311" spans="1:13">
      <c r="A311" s="604"/>
      <c r="B311" s="150"/>
      <c r="C311" s="386" t="s">
        <v>17</v>
      </c>
      <c r="D311" s="200" t="s">
        <v>6</v>
      </c>
      <c r="E311" s="13">
        <v>0.15</v>
      </c>
      <c r="F311" s="13">
        <f>F309*E311</f>
        <v>15.45</v>
      </c>
      <c r="G311" s="63"/>
      <c r="H311" s="63"/>
      <c r="I311" s="63"/>
      <c r="J311" s="63"/>
      <c r="K311" s="63"/>
      <c r="L311" s="61"/>
      <c r="M311" s="61"/>
    </row>
    <row r="312" spans="1:13">
      <c r="A312" s="604"/>
      <c r="B312" s="150"/>
      <c r="C312" s="386" t="s">
        <v>484</v>
      </c>
      <c r="D312" s="200" t="s">
        <v>54</v>
      </c>
      <c r="E312" s="13">
        <v>1</v>
      </c>
      <c r="F312" s="13">
        <f>F309*E312</f>
        <v>103</v>
      </c>
      <c r="G312" s="63"/>
      <c r="H312" s="63"/>
      <c r="I312" s="63"/>
      <c r="J312" s="63"/>
      <c r="K312" s="63"/>
      <c r="L312" s="61"/>
      <c r="M312" s="61"/>
    </row>
    <row r="313" spans="1:13">
      <c r="A313" s="604"/>
      <c r="B313" s="150"/>
      <c r="C313" s="386" t="s">
        <v>240</v>
      </c>
      <c r="D313" s="200" t="s">
        <v>43</v>
      </c>
      <c r="E313" s="13">
        <v>3.5999999999999997E-2</v>
      </c>
      <c r="F313" s="13">
        <f>F309*E313</f>
        <v>3.7079999999999997</v>
      </c>
      <c r="G313" s="63"/>
      <c r="H313" s="63"/>
      <c r="I313" s="63"/>
      <c r="J313" s="63"/>
      <c r="K313" s="63"/>
      <c r="L313" s="61"/>
      <c r="M313" s="61"/>
    </row>
    <row r="314" spans="1:13">
      <c r="A314" s="605"/>
      <c r="B314" s="150"/>
      <c r="C314" s="386" t="s">
        <v>56</v>
      </c>
      <c r="D314" s="200" t="s">
        <v>6</v>
      </c>
      <c r="E314" s="13">
        <v>0.1</v>
      </c>
      <c r="F314" s="13">
        <f>F309*E314</f>
        <v>10.3</v>
      </c>
      <c r="G314" s="63"/>
      <c r="H314" s="63"/>
      <c r="I314" s="63"/>
      <c r="J314" s="63"/>
      <c r="K314" s="63"/>
      <c r="L314" s="61"/>
      <c r="M314" s="61"/>
    </row>
    <row r="315" spans="1:13">
      <c r="A315" s="346"/>
      <c r="B315" s="154"/>
      <c r="C315" s="404"/>
      <c r="D315" s="154"/>
      <c r="E315" s="270"/>
      <c r="F315" s="270"/>
      <c r="G315" s="271"/>
      <c r="H315" s="271"/>
      <c r="I315" s="271"/>
      <c r="J315" s="271"/>
      <c r="K315" s="271"/>
      <c r="L315" s="271"/>
      <c r="M315" s="271"/>
    </row>
    <row r="316" spans="1:13" ht="67.5">
      <c r="A316" s="590" t="s">
        <v>59</v>
      </c>
      <c r="B316" s="155" t="s">
        <v>137</v>
      </c>
      <c r="C316" s="62" t="s">
        <v>227</v>
      </c>
      <c r="D316" s="154" t="s">
        <v>11</v>
      </c>
      <c r="E316" s="270"/>
      <c r="F316" s="7">
        <v>5</v>
      </c>
      <c r="G316" s="271"/>
      <c r="H316" s="271"/>
      <c r="I316" s="271"/>
      <c r="J316" s="271"/>
      <c r="K316" s="271"/>
      <c r="L316" s="271"/>
      <c r="M316" s="271"/>
    </row>
    <row r="317" spans="1:13" ht="27">
      <c r="A317" s="590"/>
      <c r="B317" s="154"/>
      <c r="C317" s="373" t="s">
        <v>60</v>
      </c>
      <c r="D317" s="28" t="s">
        <v>8</v>
      </c>
      <c r="E317" s="198">
        <v>0.6</v>
      </c>
      <c r="F317" s="374">
        <f>F316*E317</f>
        <v>3</v>
      </c>
      <c r="G317" s="375"/>
      <c r="H317" s="271"/>
      <c r="I317" s="375"/>
      <c r="J317" s="271"/>
      <c r="K317" s="271"/>
      <c r="L317" s="271"/>
      <c r="M317" s="271"/>
    </row>
    <row r="318" spans="1:13" ht="27">
      <c r="A318" s="590"/>
      <c r="B318" s="53" t="s">
        <v>97</v>
      </c>
      <c r="C318" s="376" t="s">
        <v>61</v>
      </c>
      <c r="D318" s="154" t="s">
        <v>48</v>
      </c>
      <c r="E318" s="198"/>
      <c r="F318" s="377">
        <f>F316*1.65</f>
        <v>8.25</v>
      </c>
      <c r="G318" s="375"/>
      <c r="H318" s="271"/>
      <c r="I318" s="375"/>
      <c r="J318" s="271"/>
      <c r="K318" s="375"/>
      <c r="L318" s="271"/>
      <c r="M318" s="271"/>
    </row>
    <row r="319" spans="1:13" ht="27">
      <c r="A319" s="590"/>
      <c r="B319" s="255"/>
      <c r="C319" s="378" t="s">
        <v>62</v>
      </c>
      <c r="D319" s="28" t="s">
        <v>8</v>
      </c>
      <c r="E319" s="198">
        <v>0.53</v>
      </c>
      <c r="F319" s="374">
        <f>F318*E319</f>
        <v>4.3725000000000005</v>
      </c>
      <c r="G319" s="375"/>
      <c r="H319" s="271"/>
      <c r="I319" s="375"/>
      <c r="J319" s="271"/>
      <c r="K319" s="375"/>
      <c r="L319" s="271"/>
      <c r="M319" s="271"/>
    </row>
    <row r="320" spans="1:13">
      <c r="A320" s="590"/>
      <c r="B320" s="154" t="s">
        <v>138</v>
      </c>
      <c r="C320" s="379" t="s">
        <v>242</v>
      </c>
      <c r="D320" s="154" t="s">
        <v>48</v>
      </c>
      <c r="E320" s="198"/>
      <c r="F320" s="377">
        <f>F318</f>
        <v>8.25</v>
      </c>
      <c r="G320" s="375"/>
      <c r="H320" s="271"/>
      <c r="I320" s="375"/>
      <c r="J320" s="271"/>
      <c r="K320" s="65"/>
      <c r="L320" s="271"/>
      <c r="M320" s="271"/>
    </row>
    <row r="321" spans="1:14">
      <c r="A321" s="346"/>
      <c r="B321" s="154"/>
      <c r="C321" s="62"/>
      <c r="D321" s="154"/>
      <c r="E321" s="270"/>
      <c r="F321" s="270"/>
      <c r="G321" s="271"/>
      <c r="H321" s="271"/>
      <c r="I321" s="271"/>
      <c r="J321" s="271"/>
      <c r="K321" s="271"/>
      <c r="L321" s="271"/>
      <c r="M321" s="271"/>
    </row>
    <row r="322" spans="1:14">
      <c r="A322" s="346"/>
      <c r="B322" s="154"/>
      <c r="C322" s="62"/>
      <c r="D322" s="154"/>
      <c r="E322" s="270"/>
      <c r="F322" s="270"/>
      <c r="G322" s="271"/>
      <c r="H322" s="271"/>
      <c r="I322" s="271"/>
      <c r="J322" s="271"/>
      <c r="K322" s="271"/>
      <c r="L322" s="271"/>
      <c r="M322" s="271"/>
    </row>
    <row r="323" spans="1:14">
      <c r="A323" s="292"/>
      <c r="B323" s="237"/>
      <c r="C323" s="237" t="s">
        <v>336</v>
      </c>
      <c r="D323" s="237"/>
      <c r="E323" s="238"/>
      <c r="F323" s="238"/>
      <c r="G323" s="405"/>
      <c r="H323" s="405"/>
      <c r="I323" s="405"/>
      <c r="J323" s="405"/>
      <c r="K323" s="405"/>
      <c r="L323" s="405"/>
      <c r="M323" s="405"/>
      <c r="N323" s="538">
        <f>H323+J323+L323</f>
        <v>0</v>
      </c>
    </row>
    <row r="324" spans="1:14">
      <c r="A324" s="293"/>
      <c r="B324" s="203"/>
      <c r="C324" s="253" t="s">
        <v>253</v>
      </c>
      <c r="D324" s="203"/>
      <c r="E324" s="205"/>
      <c r="F324" s="406" t="s">
        <v>554</v>
      </c>
      <c r="G324" s="407"/>
      <c r="H324" s="407"/>
      <c r="I324" s="407"/>
      <c r="J324" s="407"/>
      <c r="K324" s="407"/>
      <c r="L324" s="407"/>
      <c r="M324" s="408"/>
    </row>
    <row r="325" spans="1:14">
      <c r="A325" s="293"/>
      <c r="B325" s="203"/>
      <c r="C325" s="409" t="s">
        <v>19</v>
      </c>
      <c r="D325" s="203"/>
      <c r="E325" s="205"/>
      <c r="F325" s="205"/>
      <c r="G325" s="407"/>
      <c r="H325" s="407"/>
      <c r="I325" s="407"/>
      <c r="J325" s="407"/>
      <c r="K325" s="407"/>
      <c r="L325" s="407"/>
      <c r="M325" s="408"/>
    </row>
    <row r="326" spans="1:14">
      <c r="A326" s="294"/>
      <c r="B326" s="212"/>
      <c r="C326" s="214" t="s">
        <v>254</v>
      </c>
      <c r="D326" s="214"/>
      <c r="E326" s="215"/>
      <c r="F326" s="410" t="s">
        <v>554</v>
      </c>
      <c r="G326" s="411"/>
      <c r="H326" s="411"/>
      <c r="I326" s="411"/>
      <c r="J326" s="411"/>
      <c r="K326" s="411"/>
      <c r="L326" s="411"/>
      <c r="M326" s="411"/>
    </row>
    <row r="327" spans="1:14">
      <c r="A327" s="295"/>
      <c r="B327" s="218"/>
      <c r="C327" s="409" t="s">
        <v>19</v>
      </c>
      <c r="D327" s="219"/>
      <c r="E327" s="220"/>
      <c r="F327" s="412"/>
      <c r="G327" s="413"/>
      <c r="H327" s="413"/>
      <c r="I327" s="413"/>
      <c r="J327" s="413"/>
      <c r="K327" s="413"/>
      <c r="L327" s="413"/>
      <c r="M327" s="413"/>
    </row>
    <row r="328" spans="1:14">
      <c r="A328" s="295"/>
      <c r="B328" s="218"/>
      <c r="C328" s="219" t="s">
        <v>82</v>
      </c>
      <c r="D328" s="219"/>
      <c r="E328" s="220"/>
      <c r="F328" s="414" t="s">
        <v>554</v>
      </c>
      <c r="G328" s="413"/>
      <c r="H328" s="413"/>
      <c r="I328" s="413"/>
      <c r="J328" s="413"/>
      <c r="K328" s="413"/>
      <c r="L328" s="413"/>
      <c r="M328" s="413"/>
    </row>
    <row r="329" spans="1:14">
      <c r="A329" s="296"/>
      <c r="B329" s="225"/>
      <c r="C329" s="237" t="s">
        <v>379</v>
      </c>
      <c r="D329" s="227"/>
      <c r="E329" s="228"/>
      <c r="F329" s="415"/>
      <c r="G329" s="416"/>
      <c r="H329" s="416"/>
      <c r="I329" s="416"/>
      <c r="J329" s="416"/>
      <c r="K329" s="416"/>
      <c r="L329" s="416"/>
      <c r="M329" s="417"/>
    </row>
    <row r="330" spans="1:14">
      <c r="A330" s="297"/>
      <c r="B330" s="298"/>
      <c r="C330" s="418"/>
      <c r="D330" s="299"/>
      <c r="E330" s="300"/>
      <c r="F330" s="412"/>
      <c r="G330" s="419"/>
      <c r="H330" s="419"/>
      <c r="I330" s="419"/>
      <c r="J330" s="419"/>
      <c r="K330" s="419"/>
      <c r="L330" s="419"/>
      <c r="M330" s="420"/>
    </row>
    <row r="331" spans="1:14" ht="54">
      <c r="A331" s="283" t="s">
        <v>337</v>
      </c>
      <c r="B331" s="283"/>
      <c r="C331" s="283" t="s">
        <v>338</v>
      </c>
      <c r="D331" s="283"/>
      <c r="E331" s="371"/>
      <c r="F331" s="286"/>
      <c r="G331" s="371"/>
      <c r="H331" s="286"/>
      <c r="I331" s="371"/>
      <c r="J331" s="286"/>
      <c r="K331" s="371"/>
      <c r="L331" s="286"/>
      <c r="M331" s="371"/>
    </row>
    <row r="332" spans="1:14" ht="27">
      <c r="A332" s="287"/>
      <c r="B332" s="92"/>
      <c r="C332" s="92" t="s">
        <v>262</v>
      </c>
      <c r="D332" s="92"/>
      <c r="E332" s="372"/>
      <c r="F332" s="372"/>
      <c r="G332" s="271"/>
      <c r="H332" s="271"/>
      <c r="I332" s="271"/>
      <c r="J332" s="271"/>
      <c r="K332" s="271"/>
      <c r="L332" s="271"/>
      <c r="M332" s="271"/>
    </row>
    <row r="333" spans="1:14" ht="27">
      <c r="A333" s="610">
        <v>1</v>
      </c>
      <c r="B333" s="154" t="s">
        <v>132</v>
      </c>
      <c r="C333" s="267" t="s">
        <v>312</v>
      </c>
      <c r="D333" s="7" t="s">
        <v>50</v>
      </c>
      <c r="E333" s="270"/>
      <c r="F333" s="7">
        <f>'7777'!G47</f>
        <v>28</v>
      </c>
      <c r="G333" s="271"/>
      <c r="H333" s="271"/>
      <c r="I333" s="271"/>
      <c r="J333" s="271"/>
      <c r="K333" s="271"/>
      <c r="L333" s="271"/>
      <c r="M333" s="271"/>
    </row>
    <row r="334" spans="1:14" ht="27">
      <c r="A334" s="612"/>
      <c r="B334" s="154"/>
      <c r="C334" s="96" t="s">
        <v>60</v>
      </c>
      <c r="D334" s="270" t="s">
        <v>8</v>
      </c>
      <c r="E334" s="270">
        <v>0.78500000000000003</v>
      </c>
      <c r="F334" s="270">
        <f>F333*E334</f>
        <v>21.98</v>
      </c>
      <c r="G334" s="271"/>
      <c r="H334" s="271"/>
      <c r="I334" s="271"/>
      <c r="J334" s="271"/>
      <c r="K334" s="271"/>
      <c r="L334" s="271"/>
      <c r="M334" s="271"/>
    </row>
    <row r="335" spans="1:14" ht="40.5">
      <c r="A335" s="610">
        <v>2</v>
      </c>
      <c r="B335" s="154" t="s">
        <v>133</v>
      </c>
      <c r="C335" s="267" t="s">
        <v>264</v>
      </c>
      <c r="D335" s="7" t="s">
        <v>54</v>
      </c>
      <c r="E335" s="270"/>
      <c r="F335" s="7">
        <f>'7777'!G46</f>
        <v>40</v>
      </c>
      <c r="G335" s="271"/>
      <c r="H335" s="271"/>
      <c r="I335" s="271"/>
      <c r="J335" s="271"/>
      <c r="K335" s="271"/>
      <c r="L335" s="271"/>
      <c r="M335" s="271"/>
    </row>
    <row r="336" spans="1:14" ht="27">
      <c r="A336" s="611"/>
      <c r="B336" s="154"/>
      <c r="C336" s="96" t="s">
        <v>60</v>
      </c>
      <c r="D336" s="270" t="s">
        <v>8</v>
      </c>
      <c r="E336" s="270">
        <v>0.32300000000000001</v>
      </c>
      <c r="F336" s="270">
        <f>F335*E336</f>
        <v>12.92</v>
      </c>
      <c r="G336" s="271"/>
      <c r="H336" s="271"/>
      <c r="I336" s="271"/>
      <c r="J336" s="271"/>
      <c r="K336" s="271"/>
      <c r="L336" s="271"/>
      <c r="M336" s="271"/>
    </row>
    <row r="337" spans="1:13">
      <c r="A337" s="612"/>
      <c r="B337" s="154"/>
      <c r="C337" s="97" t="s">
        <v>17</v>
      </c>
      <c r="D337" s="270" t="s">
        <v>6</v>
      </c>
      <c r="E337" s="270">
        <v>2.1499999999999998E-2</v>
      </c>
      <c r="F337" s="270">
        <f>F335*E337</f>
        <v>0.85999999999999988</v>
      </c>
      <c r="G337" s="271"/>
      <c r="H337" s="271"/>
      <c r="I337" s="271"/>
      <c r="J337" s="271"/>
      <c r="K337" s="271"/>
      <c r="L337" s="271"/>
      <c r="M337" s="271"/>
    </row>
    <row r="338" spans="1:13" ht="27">
      <c r="A338" s="610">
        <v>3</v>
      </c>
      <c r="B338" s="154" t="s">
        <v>134</v>
      </c>
      <c r="C338" s="267" t="s">
        <v>135</v>
      </c>
      <c r="D338" s="7" t="s">
        <v>43</v>
      </c>
      <c r="E338" s="270"/>
      <c r="F338" s="7">
        <f>F335*0.03</f>
        <v>1.2</v>
      </c>
      <c r="G338" s="271"/>
      <c r="H338" s="271"/>
      <c r="I338" s="271"/>
      <c r="J338" s="271"/>
      <c r="K338" s="271"/>
      <c r="L338" s="271"/>
      <c r="M338" s="271"/>
    </row>
    <row r="339" spans="1:13" ht="27">
      <c r="A339" s="611"/>
      <c r="B339" s="154"/>
      <c r="C339" s="96" t="s">
        <v>60</v>
      </c>
      <c r="D339" s="270" t="s">
        <v>8</v>
      </c>
      <c r="E339" s="270">
        <v>7.3</v>
      </c>
      <c r="F339" s="270">
        <f>F338*E339</f>
        <v>8.76</v>
      </c>
      <c r="G339" s="271"/>
      <c r="H339" s="271"/>
      <c r="I339" s="271"/>
      <c r="J339" s="271"/>
      <c r="K339" s="271"/>
      <c r="L339" s="271"/>
      <c r="M339" s="271"/>
    </row>
    <row r="340" spans="1:13">
      <c r="A340" s="612"/>
      <c r="B340" s="154"/>
      <c r="C340" s="97" t="s">
        <v>17</v>
      </c>
      <c r="D340" s="270" t="s">
        <v>6</v>
      </c>
      <c r="E340" s="270">
        <v>2.9</v>
      </c>
      <c r="F340" s="270">
        <f>F338*E340</f>
        <v>3.48</v>
      </c>
      <c r="G340" s="271"/>
      <c r="H340" s="271"/>
      <c r="I340" s="271"/>
      <c r="J340" s="271"/>
      <c r="K340" s="271"/>
      <c r="L340" s="271"/>
      <c r="M340" s="271"/>
    </row>
    <row r="341" spans="1:13" ht="54">
      <c r="A341" s="610">
        <v>4</v>
      </c>
      <c r="B341" s="154" t="s">
        <v>133</v>
      </c>
      <c r="C341" s="267" t="s">
        <v>407</v>
      </c>
      <c r="D341" s="7" t="s">
        <v>54</v>
      </c>
      <c r="E341" s="270"/>
      <c r="F341" s="7">
        <f>'7777'!G38+'7777'!G39+'7777'!G43</f>
        <v>355</v>
      </c>
      <c r="G341" s="271"/>
      <c r="H341" s="271"/>
      <c r="I341" s="271"/>
      <c r="J341" s="271"/>
      <c r="K341" s="271"/>
      <c r="L341" s="271"/>
      <c r="M341" s="271"/>
    </row>
    <row r="342" spans="1:13" ht="27">
      <c r="A342" s="611"/>
      <c r="B342" s="154"/>
      <c r="C342" s="96" t="s">
        <v>60</v>
      </c>
      <c r="D342" s="270" t="s">
        <v>8</v>
      </c>
      <c r="E342" s="270">
        <v>0.32300000000000001</v>
      </c>
      <c r="F342" s="270">
        <f>F341*E342</f>
        <v>114.66500000000001</v>
      </c>
      <c r="G342" s="271"/>
      <c r="H342" s="271"/>
      <c r="I342" s="271"/>
      <c r="J342" s="271"/>
      <c r="K342" s="271"/>
      <c r="L342" s="271"/>
      <c r="M342" s="271"/>
    </row>
    <row r="343" spans="1:13">
      <c r="A343" s="612"/>
      <c r="B343" s="154"/>
      <c r="C343" s="97" t="s">
        <v>17</v>
      </c>
      <c r="D343" s="270" t="s">
        <v>6</v>
      </c>
      <c r="E343" s="270">
        <v>2.1499999999999998E-2</v>
      </c>
      <c r="F343" s="270">
        <f>F341*E343</f>
        <v>7.6324999999999994</v>
      </c>
      <c r="G343" s="271"/>
      <c r="H343" s="271"/>
      <c r="I343" s="271"/>
      <c r="J343" s="271"/>
      <c r="K343" s="271"/>
      <c r="L343" s="271"/>
      <c r="M343" s="271"/>
    </row>
    <row r="344" spans="1:13" ht="27">
      <c r="A344" s="610">
        <v>5</v>
      </c>
      <c r="B344" s="154" t="s">
        <v>134</v>
      </c>
      <c r="C344" s="267" t="s">
        <v>135</v>
      </c>
      <c r="D344" s="7" t="s">
        <v>43</v>
      </c>
      <c r="E344" s="270"/>
      <c r="F344" s="7">
        <f>F341*0.03</f>
        <v>10.65</v>
      </c>
      <c r="G344" s="271"/>
      <c r="H344" s="271"/>
      <c r="I344" s="271"/>
      <c r="J344" s="271"/>
      <c r="K344" s="271"/>
      <c r="L344" s="271"/>
      <c r="M344" s="271"/>
    </row>
    <row r="345" spans="1:13" ht="27">
      <c r="A345" s="611"/>
      <c r="B345" s="154"/>
      <c r="C345" s="96" t="s">
        <v>60</v>
      </c>
      <c r="D345" s="270" t="s">
        <v>8</v>
      </c>
      <c r="E345" s="270">
        <v>7.3</v>
      </c>
      <c r="F345" s="270">
        <f>F344*E345</f>
        <v>77.745000000000005</v>
      </c>
      <c r="G345" s="271"/>
      <c r="H345" s="271"/>
      <c r="I345" s="271"/>
      <c r="J345" s="271"/>
      <c r="K345" s="271"/>
      <c r="L345" s="271"/>
      <c r="M345" s="271"/>
    </row>
    <row r="346" spans="1:13">
      <c r="A346" s="612"/>
      <c r="B346" s="154"/>
      <c r="C346" s="97" t="s">
        <v>17</v>
      </c>
      <c r="D346" s="270" t="s">
        <v>6</v>
      </c>
      <c r="E346" s="270">
        <v>2.9</v>
      </c>
      <c r="F346" s="270">
        <f>F344*E346</f>
        <v>30.885000000000002</v>
      </c>
      <c r="G346" s="271"/>
      <c r="H346" s="271"/>
      <c r="I346" s="271"/>
      <c r="J346" s="271"/>
      <c r="K346" s="271"/>
      <c r="L346" s="271"/>
      <c r="M346" s="271"/>
    </row>
    <row r="347" spans="1:13" ht="27">
      <c r="A347" s="610">
        <v>6</v>
      </c>
      <c r="B347" s="154" t="s">
        <v>136</v>
      </c>
      <c r="C347" s="268" t="s">
        <v>362</v>
      </c>
      <c r="D347" s="7" t="s">
        <v>43</v>
      </c>
      <c r="E347" s="7"/>
      <c r="F347" s="7">
        <f>'7777'!G62</f>
        <v>6.3</v>
      </c>
      <c r="G347" s="271"/>
      <c r="H347" s="271"/>
      <c r="I347" s="271"/>
      <c r="J347" s="271"/>
      <c r="K347" s="271"/>
      <c r="L347" s="271"/>
      <c r="M347" s="271"/>
    </row>
    <row r="348" spans="1:13" ht="27">
      <c r="A348" s="611"/>
      <c r="B348" s="154"/>
      <c r="C348" s="66" t="s">
        <v>60</v>
      </c>
      <c r="D348" s="363" t="s">
        <v>8</v>
      </c>
      <c r="E348" s="198">
        <v>22</v>
      </c>
      <c r="F348" s="270">
        <f>F347*E348</f>
        <v>138.6</v>
      </c>
      <c r="G348" s="271"/>
      <c r="H348" s="271"/>
      <c r="I348" s="271"/>
      <c r="J348" s="271"/>
      <c r="K348" s="271"/>
      <c r="L348" s="271"/>
      <c r="M348" s="271"/>
    </row>
    <row r="349" spans="1:13">
      <c r="A349" s="612"/>
      <c r="B349" s="154"/>
      <c r="C349" s="66" t="s">
        <v>17</v>
      </c>
      <c r="D349" s="363" t="s">
        <v>6</v>
      </c>
      <c r="E349" s="1">
        <v>16.8</v>
      </c>
      <c r="F349" s="270">
        <f>F347*E349</f>
        <v>105.84</v>
      </c>
      <c r="G349" s="271"/>
      <c r="H349" s="271"/>
      <c r="I349" s="271"/>
      <c r="J349" s="271"/>
      <c r="K349" s="271"/>
      <c r="L349" s="271"/>
      <c r="M349" s="271"/>
    </row>
    <row r="350" spans="1:13" ht="40.5">
      <c r="A350" s="288">
        <v>7</v>
      </c>
      <c r="B350" s="154" t="s">
        <v>18</v>
      </c>
      <c r="C350" s="268" t="s">
        <v>425</v>
      </c>
      <c r="D350" s="7" t="s">
        <v>58</v>
      </c>
      <c r="E350" s="7"/>
      <c r="F350" s="7">
        <f>'7777'!G54</f>
        <v>6</v>
      </c>
      <c r="G350" s="271"/>
      <c r="H350" s="271"/>
      <c r="I350" s="271"/>
      <c r="J350" s="271"/>
      <c r="K350" s="271"/>
      <c r="L350" s="271"/>
      <c r="M350" s="271"/>
    </row>
    <row r="351" spans="1:13" ht="27">
      <c r="A351" s="356">
        <v>8</v>
      </c>
      <c r="B351" s="154" t="s">
        <v>18</v>
      </c>
      <c r="C351" s="62" t="s">
        <v>369</v>
      </c>
      <c r="D351" s="154" t="s">
        <v>83</v>
      </c>
      <c r="E351" s="310"/>
      <c r="F351" s="7">
        <v>1</v>
      </c>
      <c r="G351" s="271"/>
      <c r="H351" s="271"/>
      <c r="I351" s="271"/>
      <c r="J351" s="271"/>
      <c r="K351" s="271"/>
      <c r="L351" s="271"/>
      <c r="M351" s="271"/>
    </row>
    <row r="352" spans="1:13">
      <c r="A352" s="356"/>
      <c r="B352" s="154"/>
      <c r="C352" s="66"/>
      <c r="D352" s="363"/>
      <c r="E352" s="1"/>
      <c r="F352" s="270"/>
      <c r="G352" s="271"/>
      <c r="H352" s="271"/>
      <c r="I352" s="271"/>
      <c r="J352" s="271"/>
      <c r="K352" s="271"/>
      <c r="L352" s="271"/>
      <c r="M352" s="271"/>
    </row>
    <row r="353" spans="1:13" ht="54">
      <c r="A353" s="590" t="s">
        <v>59</v>
      </c>
      <c r="B353" s="155" t="s">
        <v>137</v>
      </c>
      <c r="C353" s="62" t="s">
        <v>221</v>
      </c>
      <c r="D353" s="154" t="s">
        <v>11</v>
      </c>
      <c r="E353" s="270"/>
      <c r="F353" s="7">
        <f>F333*0.15*0.3+F335*0.03+F338+F341*0.03+F344+F347+  5</f>
        <v>36.260000000000005</v>
      </c>
      <c r="G353" s="271"/>
      <c r="H353" s="271"/>
      <c r="I353" s="271"/>
      <c r="J353" s="271"/>
      <c r="K353" s="271"/>
      <c r="L353" s="271"/>
      <c r="M353" s="271"/>
    </row>
    <row r="354" spans="1:13" ht="27">
      <c r="A354" s="590"/>
      <c r="B354" s="154"/>
      <c r="C354" s="373" t="s">
        <v>60</v>
      </c>
      <c r="D354" s="28" t="s">
        <v>8</v>
      </c>
      <c r="E354" s="198">
        <v>0.6</v>
      </c>
      <c r="F354" s="374">
        <f>F353*E354</f>
        <v>21.756000000000004</v>
      </c>
      <c r="G354" s="375"/>
      <c r="H354" s="271"/>
      <c r="I354" s="375"/>
      <c r="J354" s="271"/>
      <c r="K354" s="271"/>
      <c r="L354" s="271"/>
      <c r="M354" s="271"/>
    </row>
    <row r="355" spans="1:13" ht="27">
      <c r="A355" s="590"/>
      <c r="B355" s="155" t="s">
        <v>97</v>
      </c>
      <c r="C355" s="376" t="s">
        <v>220</v>
      </c>
      <c r="D355" s="154" t="s">
        <v>48</v>
      </c>
      <c r="E355" s="198"/>
      <c r="F355" s="377">
        <f>F333*0.15*0.3*2+F335*0.03*2.2+F338*2.4+F341*0.03*2.2+F344*2.4+F347*2.4+  5*2</f>
        <v>82.15</v>
      </c>
      <c r="G355" s="375"/>
      <c r="H355" s="271"/>
      <c r="I355" s="375"/>
      <c r="J355" s="271"/>
      <c r="K355" s="375"/>
      <c r="L355" s="271"/>
      <c r="M355" s="271"/>
    </row>
    <row r="356" spans="1:13" ht="27">
      <c r="A356" s="590"/>
      <c r="B356" s="255"/>
      <c r="C356" s="378" t="s">
        <v>62</v>
      </c>
      <c r="D356" s="28" t="s">
        <v>8</v>
      </c>
      <c r="E356" s="198">
        <v>0.53</v>
      </c>
      <c r="F356" s="374">
        <f>F355*E356</f>
        <v>43.539500000000004</v>
      </c>
      <c r="G356" s="375"/>
      <c r="H356" s="271"/>
      <c r="I356" s="375"/>
      <c r="J356" s="271"/>
      <c r="K356" s="375"/>
      <c r="L356" s="271"/>
      <c r="M356" s="271"/>
    </row>
    <row r="357" spans="1:13">
      <c r="A357" s="590"/>
      <c r="B357" s="154" t="s">
        <v>138</v>
      </c>
      <c r="C357" s="379" t="s">
        <v>224</v>
      </c>
      <c r="D357" s="154" t="s">
        <v>48</v>
      </c>
      <c r="E357" s="198"/>
      <c r="F357" s="377">
        <f>F355</f>
        <v>82.15</v>
      </c>
      <c r="G357" s="375"/>
      <c r="H357" s="271"/>
      <c r="I357" s="375"/>
      <c r="J357" s="271"/>
      <c r="K357" s="375"/>
      <c r="L357" s="271"/>
      <c r="M357" s="271"/>
    </row>
    <row r="358" spans="1:13">
      <c r="A358" s="289"/>
      <c r="B358" s="106"/>
      <c r="C358" s="380"/>
      <c r="D358" s="105"/>
      <c r="E358" s="381"/>
      <c r="F358" s="381"/>
      <c r="G358" s="64"/>
      <c r="H358" s="271"/>
      <c r="I358" s="64"/>
      <c r="J358" s="271"/>
      <c r="K358" s="65"/>
      <c r="L358" s="271"/>
      <c r="M358" s="271"/>
    </row>
    <row r="359" spans="1:13">
      <c r="A359" s="287"/>
      <c r="B359" s="92"/>
      <c r="C359" s="92" t="s">
        <v>139</v>
      </c>
      <c r="D359" s="92"/>
      <c r="E359" s="372"/>
      <c r="F359" s="372"/>
      <c r="G359" s="271"/>
      <c r="H359" s="271"/>
      <c r="I359" s="271"/>
      <c r="J359" s="271"/>
      <c r="K359" s="271"/>
      <c r="L359" s="271"/>
      <c r="M359" s="271"/>
    </row>
    <row r="360" spans="1:13" ht="27">
      <c r="A360" s="632" t="s">
        <v>98</v>
      </c>
      <c r="B360" s="107" t="s">
        <v>314</v>
      </c>
      <c r="C360" s="382" t="s">
        <v>315</v>
      </c>
      <c r="D360" s="290" t="s">
        <v>157</v>
      </c>
      <c r="E360" s="291"/>
      <c r="F360" s="383">
        <f>'7777'!G38</f>
        <v>30</v>
      </c>
      <c r="G360" s="384"/>
      <c r="H360" s="385"/>
      <c r="I360" s="384"/>
      <c r="J360" s="385"/>
      <c r="K360" s="384"/>
      <c r="L360" s="385"/>
      <c r="M360" s="385"/>
    </row>
    <row r="361" spans="1:13" ht="27">
      <c r="A361" s="632"/>
      <c r="B361" s="150"/>
      <c r="C361" s="386" t="s">
        <v>42</v>
      </c>
      <c r="D361" s="200" t="s">
        <v>8</v>
      </c>
      <c r="E361" s="13">
        <v>5.75</v>
      </c>
      <c r="F361" s="13">
        <f>F360*E361</f>
        <v>172.5</v>
      </c>
      <c r="G361" s="63"/>
      <c r="H361" s="63"/>
      <c r="I361" s="63"/>
      <c r="J361" s="63"/>
      <c r="K361" s="63"/>
      <c r="L361" s="61"/>
      <c r="M361" s="61"/>
    </row>
    <row r="362" spans="1:13">
      <c r="A362" s="632"/>
      <c r="B362" s="150"/>
      <c r="C362" s="386" t="s">
        <v>17</v>
      </c>
      <c r="D362" s="200" t="s">
        <v>6</v>
      </c>
      <c r="E362" s="13">
        <v>3.4000000000000002E-2</v>
      </c>
      <c r="F362" s="13">
        <f>F360*E362</f>
        <v>1.02</v>
      </c>
      <c r="G362" s="63"/>
      <c r="H362" s="63"/>
      <c r="I362" s="63"/>
      <c r="J362" s="63"/>
      <c r="K362" s="63"/>
      <c r="L362" s="61"/>
      <c r="M362" s="61"/>
    </row>
    <row r="363" spans="1:13">
      <c r="A363" s="632"/>
      <c r="B363" s="150"/>
      <c r="C363" s="386" t="s">
        <v>316</v>
      </c>
      <c r="D363" s="200" t="s">
        <v>54</v>
      </c>
      <c r="E363" s="13">
        <v>1.01</v>
      </c>
      <c r="F363" s="13">
        <f>F360*E363</f>
        <v>30.3</v>
      </c>
      <c r="G363" s="63"/>
      <c r="H363" s="63"/>
      <c r="I363" s="63"/>
      <c r="J363" s="63"/>
      <c r="K363" s="63"/>
      <c r="L363" s="61"/>
      <c r="M363" s="61"/>
    </row>
    <row r="364" spans="1:13">
      <c r="A364" s="632"/>
      <c r="B364" s="150"/>
      <c r="C364" s="386" t="s">
        <v>94</v>
      </c>
      <c r="D364" s="200" t="s">
        <v>43</v>
      </c>
      <c r="E364" s="13">
        <v>0.02</v>
      </c>
      <c r="F364" s="13">
        <f>F360*E364</f>
        <v>0.6</v>
      </c>
      <c r="G364" s="63"/>
      <c r="H364" s="63"/>
      <c r="I364" s="63"/>
      <c r="J364" s="63"/>
      <c r="K364" s="63"/>
      <c r="L364" s="61"/>
      <c r="M364" s="61"/>
    </row>
    <row r="365" spans="1:13">
      <c r="A365" s="632"/>
      <c r="B365" s="150"/>
      <c r="C365" s="386" t="s">
        <v>56</v>
      </c>
      <c r="D365" s="200" t="s">
        <v>6</v>
      </c>
      <c r="E365" s="13">
        <v>0.24</v>
      </c>
      <c r="F365" s="13">
        <f>F360*E365</f>
        <v>7.1999999999999993</v>
      </c>
      <c r="G365" s="63"/>
      <c r="H365" s="63"/>
      <c r="I365" s="63"/>
      <c r="J365" s="63"/>
      <c r="K365" s="63"/>
      <c r="L365" s="61"/>
      <c r="M365" s="61"/>
    </row>
    <row r="366" spans="1:13" ht="27">
      <c r="A366" s="632" t="s">
        <v>79</v>
      </c>
      <c r="B366" s="107" t="s">
        <v>350</v>
      </c>
      <c r="C366" s="382" t="s">
        <v>349</v>
      </c>
      <c r="D366" s="290" t="s">
        <v>157</v>
      </c>
      <c r="E366" s="291"/>
      <c r="F366" s="383">
        <f>'7777'!G41</f>
        <v>70</v>
      </c>
      <c r="G366" s="384"/>
      <c r="H366" s="385"/>
      <c r="I366" s="384"/>
      <c r="J366" s="385"/>
      <c r="K366" s="384"/>
      <c r="L366" s="385"/>
      <c r="M366" s="385"/>
    </row>
    <row r="367" spans="1:13" ht="27">
      <c r="A367" s="632"/>
      <c r="B367" s="150"/>
      <c r="C367" s="386" t="s">
        <v>42</v>
      </c>
      <c r="D367" s="200" t="s">
        <v>8</v>
      </c>
      <c r="E367" s="13">
        <v>7.8</v>
      </c>
      <c r="F367" s="13">
        <f>F366*E367</f>
        <v>546</v>
      </c>
      <c r="G367" s="63"/>
      <c r="H367" s="63"/>
      <c r="I367" s="63"/>
      <c r="J367" s="63"/>
      <c r="K367" s="63"/>
      <c r="L367" s="61"/>
      <c r="M367" s="61"/>
    </row>
    <row r="368" spans="1:13">
      <c r="A368" s="632"/>
      <c r="B368" s="150"/>
      <c r="C368" s="386" t="s">
        <v>17</v>
      </c>
      <c r="D368" s="200" t="s">
        <v>6</v>
      </c>
      <c r="E368" s="13">
        <v>0.22</v>
      </c>
      <c r="F368" s="13">
        <f>F366*E368</f>
        <v>15.4</v>
      </c>
      <c r="G368" s="63"/>
      <c r="H368" s="63"/>
      <c r="I368" s="63"/>
      <c r="J368" s="63"/>
      <c r="K368" s="63"/>
      <c r="L368" s="61"/>
      <c r="M368" s="61"/>
    </row>
    <row r="369" spans="1:14">
      <c r="A369" s="632"/>
      <c r="B369" s="150"/>
      <c r="C369" s="386" t="s">
        <v>348</v>
      </c>
      <c r="D369" s="200" t="s">
        <v>54</v>
      </c>
      <c r="E369" s="13">
        <v>1</v>
      </c>
      <c r="F369" s="13">
        <f>F366*E369</f>
        <v>70</v>
      </c>
      <c r="G369" s="63"/>
      <c r="H369" s="63"/>
      <c r="I369" s="63"/>
      <c r="J369" s="63"/>
      <c r="K369" s="63"/>
      <c r="L369" s="61"/>
      <c r="M369" s="61"/>
    </row>
    <row r="370" spans="1:14">
      <c r="A370" s="632"/>
      <c r="B370" s="150"/>
      <c r="C370" s="386" t="s">
        <v>94</v>
      </c>
      <c r="D370" s="200" t="s">
        <v>43</v>
      </c>
      <c r="E370" s="13">
        <v>3.6999999999999998E-2</v>
      </c>
      <c r="F370" s="13">
        <f>F366*E370</f>
        <v>2.59</v>
      </c>
      <c r="G370" s="63"/>
      <c r="H370" s="63"/>
      <c r="I370" s="63"/>
      <c r="J370" s="63"/>
      <c r="K370" s="63"/>
      <c r="L370" s="61"/>
      <c r="M370" s="61"/>
    </row>
    <row r="371" spans="1:14">
      <c r="A371" s="632"/>
      <c r="B371" s="150"/>
      <c r="C371" s="386" t="s">
        <v>56</v>
      </c>
      <c r="D371" s="200" t="s">
        <v>6</v>
      </c>
      <c r="E371" s="13">
        <v>0.09</v>
      </c>
      <c r="F371" s="13">
        <f>F366*E371</f>
        <v>6.3</v>
      </c>
      <c r="G371" s="63"/>
      <c r="H371" s="63"/>
      <c r="I371" s="63"/>
      <c r="J371" s="63"/>
      <c r="K371" s="63"/>
      <c r="L371" s="61"/>
      <c r="M371" s="61"/>
      <c r="N371"/>
    </row>
    <row r="372" spans="1:14" ht="27">
      <c r="A372" s="632" t="s">
        <v>99</v>
      </c>
      <c r="B372" s="107" t="s">
        <v>225</v>
      </c>
      <c r="C372" s="382" t="s">
        <v>351</v>
      </c>
      <c r="D372" s="290" t="s">
        <v>157</v>
      </c>
      <c r="E372" s="291"/>
      <c r="F372" s="383">
        <f>'7777'!G42</f>
        <v>30</v>
      </c>
      <c r="G372" s="384"/>
      <c r="H372" s="385"/>
      <c r="I372" s="384"/>
      <c r="J372" s="385"/>
      <c r="K372" s="384"/>
      <c r="L372" s="385"/>
      <c r="M372" s="385"/>
      <c r="N372"/>
    </row>
    <row r="373" spans="1:14" ht="27">
      <c r="A373" s="632"/>
      <c r="B373" s="150"/>
      <c r="C373" s="386" t="s">
        <v>42</v>
      </c>
      <c r="D373" s="200" t="s">
        <v>8</v>
      </c>
      <c r="E373" s="13">
        <v>7.6</v>
      </c>
      <c r="F373" s="13">
        <f>F372*E373</f>
        <v>228</v>
      </c>
      <c r="G373" s="63"/>
      <c r="H373" s="63"/>
      <c r="I373" s="63"/>
      <c r="J373" s="63"/>
      <c r="K373" s="63"/>
      <c r="L373" s="61"/>
      <c r="M373" s="61"/>
      <c r="N373"/>
    </row>
    <row r="374" spans="1:14">
      <c r="A374" s="632"/>
      <c r="B374" s="150"/>
      <c r="C374" s="386" t="s">
        <v>17</v>
      </c>
      <c r="D374" s="200" t="s">
        <v>6</v>
      </c>
      <c r="E374" s="13">
        <v>0.2</v>
      </c>
      <c r="F374" s="13">
        <f>F372*E374</f>
        <v>6</v>
      </c>
      <c r="G374" s="63"/>
      <c r="H374" s="63"/>
      <c r="I374" s="63"/>
      <c r="J374" s="63"/>
      <c r="K374" s="63"/>
      <c r="L374" s="61"/>
      <c r="M374" s="61"/>
      <c r="N374"/>
    </row>
    <row r="375" spans="1:14">
      <c r="A375" s="632"/>
      <c r="B375" s="150"/>
      <c r="C375" s="386" t="s">
        <v>316</v>
      </c>
      <c r="D375" s="200" t="s">
        <v>54</v>
      </c>
      <c r="E375" s="13">
        <v>1</v>
      </c>
      <c r="F375" s="13">
        <f>F372*E375</f>
        <v>30</v>
      </c>
      <c r="G375" s="63"/>
      <c r="H375" s="63"/>
      <c r="I375" s="63"/>
      <c r="J375" s="63"/>
      <c r="K375" s="63"/>
      <c r="L375" s="61"/>
      <c r="M375" s="61"/>
      <c r="N375"/>
    </row>
    <row r="376" spans="1:14">
      <c r="A376" s="632"/>
      <c r="B376" s="150"/>
      <c r="C376" s="386" t="s">
        <v>94</v>
      </c>
      <c r="D376" s="200" t="s">
        <v>43</v>
      </c>
      <c r="E376" s="13">
        <v>3.5999999999999997E-2</v>
      </c>
      <c r="F376" s="13">
        <f>F372*E376</f>
        <v>1.0799999999999998</v>
      </c>
      <c r="G376" s="63"/>
      <c r="H376" s="63"/>
      <c r="I376" s="63"/>
      <c r="J376" s="63"/>
      <c r="K376" s="63"/>
      <c r="L376" s="61"/>
      <c r="M376" s="61"/>
      <c r="N376"/>
    </row>
    <row r="377" spans="1:14">
      <c r="A377" s="632"/>
      <c r="B377" s="150"/>
      <c r="C377" s="386" t="s">
        <v>56</v>
      </c>
      <c r="D377" s="200" t="s">
        <v>6</v>
      </c>
      <c r="E377" s="13">
        <v>0.09</v>
      </c>
      <c r="F377" s="13">
        <f>F372*E377</f>
        <v>2.6999999999999997</v>
      </c>
      <c r="G377" s="63"/>
      <c r="H377" s="63"/>
      <c r="I377" s="63"/>
      <c r="J377" s="63"/>
      <c r="K377" s="63"/>
      <c r="L377" s="61"/>
      <c r="M377" s="61"/>
      <c r="N377"/>
    </row>
    <row r="378" spans="1:14" ht="40.5">
      <c r="A378" s="652" t="s">
        <v>93</v>
      </c>
      <c r="B378" s="107" t="s">
        <v>225</v>
      </c>
      <c r="C378" s="382" t="s">
        <v>353</v>
      </c>
      <c r="D378" s="290" t="s">
        <v>157</v>
      </c>
      <c r="E378" s="291"/>
      <c r="F378" s="383">
        <f>'7777'!G40</f>
        <v>150</v>
      </c>
      <c r="G378" s="384"/>
      <c r="H378" s="385"/>
      <c r="I378" s="384"/>
      <c r="J378" s="385"/>
      <c r="K378" s="384"/>
      <c r="L378" s="385"/>
      <c r="M378" s="385"/>
      <c r="N378"/>
    </row>
    <row r="379" spans="1:14" ht="27">
      <c r="A379" s="653"/>
      <c r="B379" s="150"/>
      <c r="C379" s="386" t="s">
        <v>42</v>
      </c>
      <c r="D379" s="200" t="s">
        <v>8</v>
      </c>
      <c r="E379" s="13">
        <v>7.6</v>
      </c>
      <c r="F379" s="13">
        <f>F378*E379</f>
        <v>1140</v>
      </c>
      <c r="G379" s="63"/>
      <c r="H379" s="63"/>
      <c r="I379" s="63"/>
      <c r="J379" s="63"/>
      <c r="K379" s="63"/>
      <c r="L379" s="61"/>
      <c r="M379" s="61"/>
      <c r="N379"/>
    </row>
    <row r="380" spans="1:14">
      <c r="A380" s="653"/>
      <c r="B380" s="150"/>
      <c r="C380" s="386" t="s">
        <v>17</v>
      </c>
      <c r="D380" s="200" t="s">
        <v>6</v>
      </c>
      <c r="E380" s="13">
        <v>0.2</v>
      </c>
      <c r="F380" s="13">
        <f>F378*E380</f>
        <v>30</v>
      </c>
      <c r="G380" s="63"/>
      <c r="H380" s="63"/>
      <c r="I380" s="63"/>
      <c r="J380" s="63"/>
      <c r="K380" s="63"/>
      <c r="L380" s="61"/>
      <c r="M380" s="61"/>
      <c r="N380"/>
    </row>
    <row r="381" spans="1:14">
      <c r="A381" s="653"/>
      <c r="B381" s="150"/>
      <c r="C381" s="386" t="s">
        <v>241</v>
      </c>
      <c r="D381" s="200" t="s">
        <v>54</v>
      </c>
      <c r="E381" s="13">
        <v>1</v>
      </c>
      <c r="F381" s="13">
        <f>F378*E381</f>
        <v>150</v>
      </c>
      <c r="G381" s="63"/>
      <c r="H381" s="63"/>
      <c r="I381" s="63"/>
      <c r="J381" s="63"/>
      <c r="K381" s="63"/>
      <c r="L381" s="61"/>
      <c r="M381" s="61"/>
      <c r="N381"/>
    </row>
    <row r="382" spans="1:14">
      <c r="A382" s="653"/>
      <c r="B382" s="150"/>
      <c r="C382" s="386" t="s">
        <v>94</v>
      </c>
      <c r="D382" s="200" t="s">
        <v>43</v>
      </c>
      <c r="E382" s="13">
        <v>3.5999999999999997E-2</v>
      </c>
      <c r="F382" s="13">
        <f>F378*E382</f>
        <v>5.3999999999999995</v>
      </c>
      <c r="G382" s="63"/>
      <c r="H382" s="63"/>
      <c r="I382" s="63"/>
      <c r="J382" s="63"/>
      <c r="K382" s="63"/>
      <c r="L382" s="61"/>
      <c r="M382" s="61"/>
      <c r="N382"/>
    </row>
    <row r="383" spans="1:14">
      <c r="A383" s="654"/>
      <c r="B383" s="150"/>
      <c r="C383" s="386" t="s">
        <v>56</v>
      </c>
      <c r="D383" s="200" t="s">
        <v>6</v>
      </c>
      <c r="E383" s="13">
        <v>0.09</v>
      </c>
      <c r="F383" s="13">
        <f>F378*E383</f>
        <v>13.5</v>
      </c>
      <c r="G383" s="63"/>
      <c r="H383" s="63"/>
      <c r="I383" s="63"/>
      <c r="J383" s="63"/>
      <c r="K383" s="63"/>
      <c r="L383" s="61"/>
      <c r="M383" s="61"/>
      <c r="N383"/>
    </row>
    <row r="384" spans="1:14" ht="27">
      <c r="A384" s="617" t="s">
        <v>95</v>
      </c>
      <c r="B384" s="620" t="s">
        <v>225</v>
      </c>
      <c r="C384" s="432" t="s">
        <v>352</v>
      </c>
      <c r="D384" s="196" t="s">
        <v>50</v>
      </c>
      <c r="E384" s="311"/>
      <c r="F384" s="433">
        <f>'7777'!G45</f>
        <v>15</v>
      </c>
      <c r="G384" s="271"/>
      <c r="H384" s="271"/>
      <c r="I384" s="271"/>
      <c r="J384" s="271"/>
      <c r="K384" s="271"/>
      <c r="L384" s="271"/>
      <c r="M384" s="271"/>
      <c r="N384"/>
    </row>
    <row r="385" spans="1:14">
      <c r="A385" s="618"/>
      <c r="B385" s="621"/>
      <c r="C385" s="434"/>
      <c r="D385" s="196" t="s">
        <v>54</v>
      </c>
      <c r="E385" s="311"/>
      <c r="F385" s="433">
        <f>F384*0.5</f>
        <v>7.5</v>
      </c>
      <c r="G385" s="271"/>
      <c r="H385" s="271"/>
      <c r="I385" s="271"/>
      <c r="J385" s="271"/>
      <c r="K385" s="271"/>
      <c r="L385" s="271"/>
      <c r="M385" s="271"/>
      <c r="N385"/>
    </row>
    <row r="386" spans="1:14" ht="27">
      <c r="A386" s="618"/>
      <c r="B386" s="150"/>
      <c r="C386" s="386" t="s">
        <v>42</v>
      </c>
      <c r="D386" s="200" t="s">
        <v>8</v>
      </c>
      <c r="E386" s="13">
        <v>7.6</v>
      </c>
      <c r="F386" s="13">
        <f>F385*E386</f>
        <v>57</v>
      </c>
      <c r="G386" s="63"/>
      <c r="H386" s="63"/>
      <c r="I386" s="63"/>
      <c r="J386" s="63"/>
      <c r="K386" s="63"/>
      <c r="L386" s="61"/>
      <c r="M386" s="61"/>
      <c r="N386"/>
    </row>
    <row r="387" spans="1:14">
      <c r="A387" s="618"/>
      <c r="B387" s="150"/>
      <c r="C387" s="386" t="s">
        <v>17</v>
      </c>
      <c r="D387" s="200" t="s">
        <v>6</v>
      </c>
      <c r="E387" s="13">
        <v>0.2</v>
      </c>
      <c r="F387" s="13">
        <f>F385*E387</f>
        <v>1.5</v>
      </c>
      <c r="G387" s="63"/>
      <c r="H387" s="63"/>
      <c r="I387" s="63"/>
      <c r="J387" s="63"/>
      <c r="K387" s="63"/>
      <c r="L387" s="61"/>
      <c r="M387" s="61"/>
      <c r="N387"/>
    </row>
    <row r="388" spans="1:14">
      <c r="A388" s="618"/>
      <c r="B388" s="150"/>
      <c r="C388" s="386" t="s">
        <v>243</v>
      </c>
      <c r="D388" s="200" t="s">
        <v>54</v>
      </c>
      <c r="E388" s="13">
        <v>1</v>
      </c>
      <c r="F388" s="13">
        <f>F385*E388</f>
        <v>7.5</v>
      </c>
      <c r="G388" s="63"/>
      <c r="H388" s="63"/>
      <c r="I388" s="63"/>
      <c r="J388" s="63"/>
      <c r="K388" s="63"/>
      <c r="L388" s="61"/>
      <c r="M388" s="61"/>
      <c r="N388"/>
    </row>
    <row r="389" spans="1:14">
      <c r="A389" s="618"/>
      <c r="B389" s="150"/>
      <c r="C389" s="386" t="s">
        <v>240</v>
      </c>
      <c r="D389" s="200" t="s">
        <v>43</v>
      </c>
      <c r="E389" s="13">
        <v>3.5999999999999997E-2</v>
      </c>
      <c r="F389" s="13">
        <f>F385*E389</f>
        <v>0.26999999999999996</v>
      </c>
      <c r="G389" s="63"/>
      <c r="H389" s="63"/>
      <c r="I389" s="63"/>
      <c r="J389" s="63"/>
      <c r="K389" s="63"/>
      <c r="L389" s="61"/>
      <c r="M389" s="61"/>
      <c r="N389"/>
    </row>
    <row r="390" spans="1:14">
      <c r="A390" s="619"/>
      <c r="B390" s="150"/>
      <c r="C390" s="386" t="s">
        <v>56</v>
      </c>
      <c r="D390" s="200" t="s">
        <v>6</v>
      </c>
      <c r="E390" s="13">
        <v>0.09</v>
      </c>
      <c r="F390" s="13">
        <f>F385*E390</f>
        <v>0.67499999999999993</v>
      </c>
      <c r="G390" s="63"/>
      <c r="H390" s="63"/>
      <c r="I390" s="63"/>
      <c r="J390" s="63"/>
      <c r="K390" s="63"/>
      <c r="L390" s="61"/>
      <c r="M390" s="61"/>
      <c r="N390"/>
    </row>
    <row r="391" spans="1:14" ht="40.5">
      <c r="A391" s="617" t="s">
        <v>96</v>
      </c>
      <c r="B391" s="620" t="s">
        <v>225</v>
      </c>
      <c r="C391" s="432" t="s">
        <v>354</v>
      </c>
      <c r="D391" s="196" t="s">
        <v>50</v>
      </c>
      <c r="E391" s="311"/>
      <c r="F391" s="433">
        <f>'7777'!G44</f>
        <v>60</v>
      </c>
      <c r="G391" s="271"/>
      <c r="H391" s="271"/>
      <c r="I391" s="271"/>
      <c r="J391" s="271"/>
      <c r="K391" s="271"/>
      <c r="L391" s="271"/>
      <c r="M391" s="271"/>
      <c r="N391"/>
    </row>
    <row r="392" spans="1:14">
      <c r="A392" s="618"/>
      <c r="B392" s="621"/>
      <c r="C392" s="434"/>
      <c r="D392" s="196" t="s">
        <v>54</v>
      </c>
      <c r="E392" s="311"/>
      <c r="F392" s="433">
        <f>F391*0.5</f>
        <v>30</v>
      </c>
      <c r="G392" s="271"/>
      <c r="H392" s="271"/>
      <c r="I392" s="271"/>
      <c r="J392" s="271"/>
      <c r="K392" s="271"/>
      <c r="L392" s="271"/>
      <c r="M392" s="271"/>
      <c r="N392"/>
    </row>
    <row r="393" spans="1:14" ht="27">
      <c r="A393" s="618"/>
      <c r="B393" s="150"/>
      <c r="C393" s="386" t="s">
        <v>42</v>
      </c>
      <c r="D393" s="200" t="s">
        <v>8</v>
      </c>
      <c r="E393" s="13">
        <v>7.6</v>
      </c>
      <c r="F393" s="13">
        <f>F392*E393</f>
        <v>228</v>
      </c>
      <c r="G393" s="63"/>
      <c r="H393" s="63"/>
      <c r="I393" s="63"/>
      <c r="J393" s="63"/>
      <c r="K393" s="63"/>
      <c r="L393" s="61"/>
      <c r="M393" s="61"/>
      <c r="N393"/>
    </row>
    <row r="394" spans="1:14">
      <c r="A394" s="618"/>
      <c r="B394" s="150"/>
      <c r="C394" s="386" t="s">
        <v>17</v>
      </c>
      <c r="D394" s="200" t="s">
        <v>6</v>
      </c>
      <c r="E394" s="13">
        <v>0.2</v>
      </c>
      <c r="F394" s="13">
        <f>F392*E394</f>
        <v>6</v>
      </c>
      <c r="G394" s="63"/>
      <c r="H394" s="63"/>
      <c r="I394" s="63"/>
      <c r="J394" s="63"/>
      <c r="K394" s="63"/>
      <c r="L394" s="61"/>
      <c r="M394" s="61"/>
      <c r="N394"/>
    </row>
    <row r="395" spans="1:14">
      <c r="A395" s="618"/>
      <c r="B395" s="150"/>
      <c r="C395" s="386" t="s">
        <v>243</v>
      </c>
      <c r="D395" s="200" t="s">
        <v>54</v>
      </c>
      <c r="E395" s="13">
        <v>1</v>
      </c>
      <c r="F395" s="13">
        <f>F392*E395</f>
        <v>30</v>
      </c>
      <c r="G395" s="63"/>
      <c r="H395" s="63"/>
      <c r="I395" s="63"/>
      <c r="J395" s="63"/>
      <c r="K395" s="63"/>
      <c r="L395" s="61"/>
      <c r="M395" s="61"/>
      <c r="N395"/>
    </row>
    <row r="396" spans="1:14">
      <c r="A396" s="618"/>
      <c r="B396" s="150"/>
      <c r="C396" s="386" t="s">
        <v>240</v>
      </c>
      <c r="D396" s="200" t="s">
        <v>43</v>
      </c>
      <c r="E396" s="13">
        <v>3.5999999999999997E-2</v>
      </c>
      <c r="F396" s="13">
        <f>F392*E396</f>
        <v>1.0799999999999998</v>
      </c>
      <c r="G396" s="63"/>
      <c r="H396" s="63"/>
      <c r="I396" s="63"/>
      <c r="J396" s="63"/>
      <c r="K396" s="63"/>
      <c r="L396" s="61"/>
      <c r="M396" s="61"/>
      <c r="N396"/>
    </row>
    <row r="397" spans="1:14">
      <c r="A397" s="619"/>
      <c r="B397" s="150"/>
      <c r="C397" s="386" t="s">
        <v>56</v>
      </c>
      <c r="D397" s="200" t="s">
        <v>6</v>
      </c>
      <c r="E397" s="13">
        <v>0.09</v>
      </c>
      <c r="F397" s="13">
        <f>F392*E397</f>
        <v>2.6999999999999997</v>
      </c>
      <c r="G397" s="63"/>
      <c r="H397" s="63"/>
      <c r="I397" s="63"/>
      <c r="J397" s="63"/>
      <c r="K397" s="63"/>
      <c r="L397" s="61"/>
      <c r="M397" s="61"/>
      <c r="N397"/>
    </row>
    <row r="398" spans="1:14" ht="27">
      <c r="A398" s="259" t="s">
        <v>87</v>
      </c>
      <c r="B398" s="55"/>
      <c r="C398" s="55" t="s">
        <v>317</v>
      </c>
      <c r="D398" s="55" t="s">
        <v>50</v>
      </c>
      <c r="E398" s="341"/>
      <c r="F398" s="341">
        <f>'7777'!G47</f>
        <v>28</v>
      </c>
      <c r="G398" s="271"/>
      <c r="H398" s="271"/>
      <c r="I398" s="271"/>
      <c r="J398" s="271"/>
      <c r="K398" s="271"/>
      <c r="L398" s="271"/>
      <c r="M398" s="271"/>
      <c r="N398"/>
    </row>
    <row r="399" spans="1:14" ht="27">
      <c r="A399" s="591" t="s">
        <v>98</v>
      </c>
      <c r="B399" s="154" t="s">
        <v>67</v>
      </c>
      <c r="C399" s="62" t="s">
        <v>318</v>
      </c>
      <c r="D399" s="154" t="s">
        <v>43</v>
      </c>
      <c r="E399" s="270"/>
      <c r="F399" s="7">
        <f>0.15*(0.1+0.1)*F398</f>
        <v>0.84</v>
      </c>
      <c r="G399" s="271"/>
      <c r="H399" s="271"/>
      <c r="I399" s="271"/>
      <c r="J399" s="271"/>
      <c r="K399" s="271"/>
      <c r="L399" s="271"/>
      <c r="M399" s="271"/>
      <c r="N399"/>
    </row>
    <row r="400" spans="1:14" ht="27">
      <c r="A400" s="592"/>
      <c r="B400" s="256"/>
      <c r="C400" s="387" t="s">
        <v>42</v>
      </c>
      <c r="D400" s="366" t="s">
        <v>8</v>
      </c>
      <c r="E400" s="165">
        <v>2.06</v>
      </c>
      <c r="F400" s="165">
        <f>E400*F399</f>
        <v>1.7303999999999999</v>
      </c>
      <c r="G400" s="388"/>
      <c r="H400" s="271"/>
      <c r="I400" s="388"/>
      <c r="J400" s="271"/>
      <c r="K400" s="271"/>
      <c r="L400" s="271"/>
      <c r="M400" s="271"/>
      <c r="N400"/>
    </row>
    <row r="401" spans="1:14" ht="27">
      <c r="A401" s="599" t="s">
        <v>79</v>
      </c>
      <c r="B401" s="53" t="s">
        <v>97</v>
      </c>
      <c r="C401" s="376" t="s">
        <v>223</v>
      </c>
      <c r="D401" s="154" t="s">
        <v>48</v>
      </c>
      <c r="E401" s="198"/>
      <c r="F401" s="377">
        <f>F399*1.95</f>
        <v>1.6379999999999999</v>
      </c>
      <c r="G401" s="375"/>
      <c r="H401" s="271"/>
      <c r="I401" s="375"/>
      <c r="J401" s="271"/>
      <c r="K401" s="375"/>
      <c r="L401" s="271"/>
      <c r="M401" s="271"/>
      <c r="N401"/>
    </row>
    <row r="402" spans="1:14" ht="27">
      <c r="A402" s="600"/>
      <c r="B402" s="255"/>
      <c r="C402" s="378" t="s">
        <v>62</v>
      </c>
      <c r="D402" s="28" t="s">
        <v>8</v>
      </c>
      <c r="E402" s="198">
        <v>0.53</v>
      </c>
      <c r="F402" s="374">
        <f>F401*E402</f>
        <v>0.86814000000000002</v>
      </c>
      <c r="G402" s="375"/>
      <c r="H402" s="271"/>
      <c r="I402" s="375"/>
      <c r="J402" s="271"/>
      <c r="K402" s="375"/>
      <c r="L402" s="271"/>
      <c r="M402" s="271"/>
      <c r="N402"/>
    </row>
    <row r="403" spans="1:14">
      <c r="A403" s="601"/>
      <c r="B403" s="154" t="s">
        <v>138</v>
      </c>
      <c r="C403" s="379" t="s">
        <v>224</v>
      </c>
      <c r="D403" s="154" t="s">
        <v>48</v>
      </c>
      <c r="E403" s="198"/>
      <c r="F403" s="377">
        <f>F401</f>
        <v>1.6379999999999999</v>
      </c>
      <c r="G403" s="375"/>
      <c r="H403" s="271"/>
      <c r="I403" s="375"/>
      <c r="J403" s="271"/>
      <c r="K403" s="375"/>
      <c r="L403" s="271"/>
      <c r="M403" s="271"/>
      <c r="N403"/>
    </row>
    <row r="404" spans="1:14" ht="15.75">
      <c r="A404" s="622" t="s">
        <v>99</v>
      </c>
      <c r="B404" s="154" t="s">
        <v>147</v>
      </c>
      <c r="C404" s="62" t="s">
        <v>319</v>
      </c>
      <c r="D404" s="154" t="s">
        <v>37</v>
      </c>
      <c r="E404" s="270"/>
      <c r="F404" s="7">
        <f>0.15*0.1*F398</f>
        <v>0.42</v>
      </c>
      <c r="G404" s="271"/>
      <c r="H404" s="271"/>
      <c r="I404" s="271"/>
      <c r="J404" s="271"/>
      <c r="K404" s="271"/>
      <c r="L404" s="271"/>
      <c r="M404" s="271"/>
      <c r="N404"/>
    </row>
    <row r="405" spans="1:14">
      <c r="A405" s="622"/>
      <c r="B405" s="154"/>
      <c r="C405" s="66" t="s">
        <v>13</v>
      </c>
      <c r="D405" s="363" t="s">
        <v>14</v>
      </c>
      <c r="E405" s="270">
        <v>0.15</v>
      </c>
      <c r="F405" s="270">
        <f>E405*F404</f>
        <v>6.3E-2</v>
      </c>
      <c r="G405" s="271"/>
      <c r="H405" s="271"/>
      <c r="I405" s="271"/>
      <c r="J405" s="271"/>
      <c r="K405" s="271"/>
      <c r="L405" s="271"/>
      <c r="M405" s="271"/>
      <c r="N405"/>
    </row>
    <row r="406" spans="1:14">
      <c r="A406" s="622"/>
      <c r="B406" s="154" t="s">
        <v>32</v>
      </c>
      <c r="C406" s="66" t="s">
        <v>148</v>
      </c>
      <c r="D406" s="363" t="s">
        <v>15</v>
      </c>
      <c r="E406" s="270">
        <v>2.1600000000000001E-2</v>
      </c>
      <c r="F406" s="270">
        <f>E406*F404</f>
        <v>9.0720000000000002E-3</v>
      </c>
      <c r="G406" s="271"/>
      <c r="H406" s="271"/>
      <c r="I406" s="271"/>
      <c r="J406" s="271"/>
      <c r="K406" s="532"/>
      <c r="L406" s="271"/>
      <c r="M406" s="271"/>
      <c r="N406"/>
    </row>
    <row r="407" spans="1:14">
      <c r="A407" s="622"/>
      <c r="B407" s="154" t="s">
        <v>149</v>
      </c>
      <c r="C407" s="66" t="s">
        <v>150</v>
      </c>
      <c r="D407" s="363" t="s">
        <v>15</v>
      </c>
      <c r="E407" s="270">
        <v>2.7300000000000001E-2</v>
      </c>
      <c r="F407" s="270">
        <f>E407*F404</f>
        <v>1.1466E-2</v>
      </c>
      <c r="G407" s="271"/>
      <c r="H407" s="271"/>
      <c r="I407" s="271"/>
      <c r="J407" s="271"/>
      <c r="K407" s="532"/>
      <c r="L407" s="271"/>
      <c r="M407" s="271"/>
      <c r="N407"/>
    </row>
    <row r="408" spans="1:14" ht="15.75">
      <c r="A408" s="622"/>
      <c r="B408" s="154"/>
      <c r="C408" s="66" t="s">
        <v>35</v>
      </c>
      <c r="D408" s="363" t="s">
        <v>34</v>
      </c>
      <c r="E408" s="270">
        <v>1.2</v>
      </c>
      <c r="F408" s="361">
        <f>E408*F404</f>
        <v>0.504</v>
      </c>
      <c r="G408" s="271"/>
      <c r="H408" s="271"/>
      <c r="I408" s="271"/>
      <c r="J408" s="271"/>
      <c r="K408" s="271"/>
      <c r="L408" s="271"/>
      <c r="M408" s="271"/>
      <c r="N408"/>
    </row>
    <row r="409" spans="1:14" ht="27">
      <c r="A409" s="596" t="s">
        <v>93</v>
      </c>
      <c r="B409" s="154" t="s">
        <v>151</v>
      </c>
      <c r="C409" s="62" t="s">
        <v>320</v>
      </c>
      <c r="D409" s="154" t="s">
        <v>70</v>
      </c>
      <c r="E409" s="7"/>
      <c r="F409" s="7">
        <f>F398</f>
        <v>28</v>
      </c>
      <c r="G409" s="271"/>
      <c r="H409" s="271"/>
      <c r="I409" s="271"/>
      <c r="J409" s="271"/>
      <c r="K409" s="271"/>
      <c r="L409" s="271"/>
      <c r="M409" s="271"/>
      <c r="N409"/>
    </row>
    <row r="410" spans="1:14">
      <c r="A410" s="596"/>
      <c r="B410" s="154"/>
      <c r="C410" s="66" t="s">
        <v>13</v>
      </c>
      <c r="D410" s="363" t="s">
        <v>14</v>
      </c>
      <c r="E410" s="270">
        <v>0.74</v>
      </c>
      <c r="F410" s="270">
        <f>E410*F409</f>
        <v>20.72</v>
      </c>
      <c r="G410" s="271"/>
      <c r="H410" s="271"/>
      <c r="I410" s="271"/>
      <c r="J410" s="271"/>
      <c r="K410" s="271"/>
      <c r="L410" s="271"/>
      <c r="M410" s="271"/>
      <c r="N410"/>
    </row>
    <row r="411" spans="1:14">
      <c r="A411" s="596"/>
      <c r="B411" s="154"/>
      <c r="C411" s="66" t="s">
        <v>7</v>
      </c>
      <c r="D411" s="363" t="s">
        <v>15</v>
      </c>
      <c r="E411" s="270">
        <f>0.71*0.01</f>
        <v>7.0999999999999995E-3</v>
      </c>
      <c r="F411" s="270">
        <f>E411*F409</f>
        <v>0.19879999999999998</v>
      </c>
      <c r="G411" s="271"/>
      <c r="H411" s="271"/>
      <c r="I411" s="271"/>
      <c r="J411" s="271"/>
      <c r="K411" s="271"/>
      <c r="L411" s="271"/>
      <c r="M411" s="271"/>
      <c r="N411"/>
    </row>
    <row r="412" spans="1:14">
      <c r="A412" s="596"/>
      <c r="B412" s="154"/>
      <c r="C412" s="66" t="s">
        <v>321</v>
      </c>
      <c r="D412" s="363" t="s">
        <v>70</v>
      </c>
      <c r="E412" s="270">
        <v>1</v>
      </c>
      <c r="F412" s="270">
        <f>E412*F409</f>
        <v>28</v>
      </c>
      <c r="G412" s="271"/>
      <c r="H412" s="271"/>
      <c r="I412" s="271"/>
      <c r="J412" s="271"/>
      <c r="K412" s="271"/>
      <c r="L412" s="271"/>
      <c r="M412" s="271"/>
      <c r="N412"/>
    </row>
    <row r="413" spans="1:14" ht="15.75">
      <c r="A413" s="596"/>
      <c r="B413" s="154"/>
      <c r="C413" s="389" t="s">
        <v>153</v>
      </c>
      <c r="D413" s="363" t="s">
        <v>34</v>
      </c>
      <c r="E413" s="270">
        <f>3.9*0.01</f>
        <v>3.9E-2</v>
      </c>
      <c r="F413" s="270">
        <f>F409*E413</f>
        <v>1.0920000000000001</v>
      </c>
      <c r="G413" s="271"/>
      <c r="H413" s="271"/>
      <c r="I413" s="271"/>
      <c r="J413" s="271"/>
      <c r="K413" s="271"/>
      <c r="L413" s="271"/>
      <c r="M413" s="271"/>
      <c r="N413"/>
    </row>
    <row r="414" spans="1:14" ht="15.75">
      <c r="A414" s="596"/>
      <c r="B414" s="154"/>
      <c r="C414" s="66" t="s">
        <v>152</v>
      </c>
      <c r="D414" s="363" t="s">
        <v>34</v>
      </c>
      <c r="E414" s="270">
        <f>0.06*0.01</f>
        <v>5.9999999999999995E-4</v>
      </c>
      <c r="F414" s="270">
        <f>E414*F409</f>
        <v>1.6799999999999999E-2</v>
      </c>
      <c r="G414" s="271"/>
      <c r="H414" s="271"/>
      <c r="I414" s="271"/>
      <c r="J414" s="271"/>
      <c r="K414" s="271"/>
      <c r="L414" s="271"/>
      <c r="M414" s="271"/>
      <c r="N414"/>
    </row>
    <row r="415" spans="1:14">
      <c r="A415" s="596"/>
      <c r="B415" s="154"/>
      <c r="C415" s="66" t="s">
        <v>9</v>
      </c>
      <c r="D415" s="363" t="s">
        <v>6</v>
      </c>
      <c r="E415" s="270">
        <f>9.6*0.01</f>
        <v>9.6000000000000002E-2</v>
      </c>
      <c r="F415" s="270">
        <f>E415*F409</f>
        <v>2.6880000000000002</v>
      </c>
      <c r="G415" s="271"/>
      <c r="H415" s="271"/>
      <c r="I415" s="271"/>
      <c r="J415" s="271"/>
      <c r="K415" s="271"/>
      <c r="L415" s="271"/>
      <c r="M415" s="271"/>
      <c r="N415"/>
    </row>
    <row r="416" spans="1:14" ht="40.5">
      <c r="A416" s="259" t="s">
        <v>49</v>
      </c>
      <c r="B416" s="55"/>
      <c r="C416" s="55" t="s">
        <v>263</v>
      </c>
      <c r="D416" s="55" t="s">
        <v>54</v>
      </c>
      <c r="E416" s="341"/>
      <c r="F416" s="341">
        <f>'7777'!G46</f>
        <v>40</v>
      </c>
      <c r="G416" s="271"/>
      <c r="H416" s="271"/>
      <c r="I416" s="271"/>
      <c r="J416" s="271"/>
      <c r="K416" s="271"/>
      <c r="L416" s="271"/>
      <c r="M416" s="271"/>
      <c r="N416"/>
    </row>
    <row r="417" spans="1:14" ht="27">
      <c r="A417" s="597" t="s">
        <v>98</v>
      </c>
      <c r="B417" s="22" t="s">
        <v>36</v>
      </c>
      <c r="C417" s="390" t="s">
        <v>155</v>
      </c>
      <c r="D417" s="22" t="s">
        <v>34</v>
      </c>
      <c r="E417" s="24"/>
      <c r="F417" s="391">
        <f>F416*0.2</f>
        <v>8</v>
      </c>
      <c r="G417" s="392"/>
      <c r="H417" s="385"/>
      <c r="I417" s="392"/>
      <c r="J417" s="385"/>
      <c r="K417" s="392"/>
      <c r="L417" s="385"/>
      <c r="M417" s="385"/>
      <c r="N417"/>
    </row>
    <row r="418" spans="1:14" ht="27">
      <c r="A418" s="598"/>
      <c r="B418" s="22"/>
      <c r="C418" s="137" t="s">
        <v>38</v>
      </c>
      <c r="D418" s="108" t="s">
        <v>8</v>
      </c>
      <c r="E418" s="24">
        <v>3.88</v>
      </c>
      <c r="F418" s="270">
        <f>F417*E418</f>
        <v>31.04</v>
      </c>
      <c r="G418" s="385"/>
      <c r="H418" s="385"/>
      <c r="I418" s="385"/>
      <c r="J418" s="385"/>
      <c r="K418" s="385"/>
      <c r="L418" s="385"/>
      <c r="M418" s="385"/>
      <c r="N418"/>
    </row>
    <row r="419" spans="1:14" ht="27">
      <c r="A419" s="599" t="s">
        <v>79</v>
      </c>
      <c r="B419" s="53" t="s">
        <v>97</v>
      </c>
      <c r="C419" s="376" t="s">
        <v>223</v>
      </c>
      <c r="D419" s="154" t="s">
        <v>48</v>
      </c>
      <c r="E419" s="198"/>
      <c r="F419" s="377">
        <f>F417*1.95</f>
        <v>15.6</v>
      </c>
      <c r="G419" s="375"/>
      <c r="H419" s="271"/>
      <c r="I419" s="375"/>
      <c r="J419" s="271"/>
      <c r="K419" s="375"/>
      <c r="L419" s="271"/>
      <c r="M419" s="271"/>
      <c r="N419"/>
    </row>
    <row r="420" spans="1:14" ht="27">
      <c r="A420" s="600"/>
      <c r="B420" s="255"/>
      <c r="C420" s="378" t="s">
        <v>62</v>
      </c>
      <c r="D420" s="28" t="s">
        <v>8</v>
      </c>
      <c r="E420" s="198">
        <v>0.53</v>
      </c>
      <c r="F420" s="374">
        <f>F419*E420</f>
        <v>8.2680000000000007</v>
      </c>
      <c r="G420" s="375"/>
      <c r="H420" s="271"/>
      <c r="I420" s="375"/>
      <c r="J420" s="271"/>
      <c r="K420" s="375"/>
      <c r="L420" s="271"/>
      <c r="M420" s="271"/>
      <c r="N420"/>
    </row>
    <row r="421" spans="1:14">
      <c r="A421" s="601"/>
      <c r="B421" s="154" t="s">
        <v>138</v>
      </c>
      <c r="C421" s="379" t="s">
        <v>224</v>
      </c>
      <c r="D421" s="154" t="s">
        <v>48</v>
      </c>
      <c r="E421" s="198"/>
      <c r="F421" s="377">
        <f>F419</f>
        <v>15.6</v>
      </c>
      <c r="G421" s="375"/>
      <c r="H421" s="271"/>
      <c r="I421" s="375"/>
      <c r="J421" s="271"/>
      <c r="K421" s="375"/>
      <c r="L421" s="271"/>
      <c r="M421" s="271"/>
      <c r="N421"/>
    </row>
    <row r="422" spans="1:14">
      <c r="A422" s="591" t="s">
        <v>99</v>
      </c>
      <c r="B422" s="154" t="s">
        <v>41</v>
      </c>
      <c r="C422" s="393" t="s">
        <v>217</v>
      </c>
      <c r="D422" s="154" t="s">
        <v>43</v>
      </c>
      <c r="E422" s="270"/>
      <c r="F422" s="7">
        <f>F416*0.15</f>
        <v>6</v>
      </c>
      <c r="G422" s="271"/>
      <c r="H422" s="271"/>
      <c r="I422" s="271"/>
      <c r="J422" s="271"/>
      <c r="K422" s="271"/>
      <c r="L422" s="271"/>
      <c r="M422" s="271"/>
      <c r="N422"/>
    </row>
    <row r="423" spans="1:14" ht="27">
      <c r="A423" s="602"/>
      <c r="B423" s="154"/>
      <c r="C423" s="380" t="s">
        <v>42</v>
      </c>
      <c r="D423" s="105" t="s">
        <v>8</v>
      </c>
      <c r="E423" s="103">
        <v>3.52</v>
      </c>
      <c r="F423" s="103">
        <f>F422*E423</f>
        <v>21.12</v>
      </c>
      <c r="G423" s="64"/>
      <c r="H423" s="271"/>
      <c r="I423" s="63"/>
      <c r="J423" s="63"/>
      <c r="K423" s="63"/>
      <c r="L423" s="61"/>
      <c r="M423" s="61"/>
      <c r="N423"/>
    </row>
    <row r="424" spans="1:14">
      <c r="A424" s="602"/>
      <c r="B424" s="154"/>
      <c r="C424" s="394" t="s">
        <v>17</v>
      </c>
      <c r="D424" s="189" t="s">
        <v>6</v>
      </c>
      <c r="E424" s="20">
        <v>1.06</v>
      </c>
      <c r="F424" s="20">
        <f>F422*E424</f>
        <v>6.36</v>
      </c>
      <c r="G424" s="395"/>
      <c r="H424" s="271"/>
      <c r="I424" s="63"/>
      <c r="J424" s="63"/>
      <c r="K424" s="63"/>
      <c r="L424" s="61"/>
      <c r="M424" s="61"/>
      <c r="N424"/>
    </row>
    <row r="425" spans="1:14">
      <c r="A425" s="602"/>
      <c r="B425" s="154"/>
      <c r="C425" s="394" t="s">
        <v>35</v>
      </c>
      <c r="D425" s="189" t="s">
        <v>43</v>
      </c>
      <c r="E425" s="20">
        <f>0.18+0.09+0.97</f>
        <v>1.24</v>
      </c>
      <c r="F425" s="20">
        <f>F422*E425</f>
        <v>7.4399999999999995</v>
      </c>
      <c r="G425" s="395"/>
      <c r="H425" s="63"/>
      <c r="I425" s="64"/>
      <c r="J425" s="271"/>
      <c r="K425" s="65"/>
      <c r="L425" s="271"/>
      <c r="M425" s="61"/>
      <c r="N425"/>
    </row>
    <row r="426" spans="1:14">
      <c r="A426" s="592"/>
      <c r="B426" s="154"/>
      <c r="C426" s="394" t="s">
        <v>56</v>
      </c>
      <c r="D426" s="189" t="s">
        <v>6</v>
      </c>
      <c r="E426" s="20">
        <v>0.02</v>
      </c>
      <c r="F426" s="20">
        <f>F422*E426</f>
        <v>0.12</v>
      </c>
      <c r="G426" s="395"/>
      <c r="H426" s="63"/>
      <c r="I426" s="64"/>
      <c r="J426" s="271"/>
      <c r="K426" s="65"/>
      <c r="L426" s="271"/>
      <c r="M426" s="61"/>
      <c r="N426"/>
    </row>
    <row r="427" spans="1:14">
      <c r="A427" s="591" t="s">
        <v>93</v>
      </c>
      <c r="B427" s="613" t="s">
        <v>90</v>
      </c>
      <c r="C427" s="615" t="s">
        <v>218</v>
      </c>
      <c r="D427" s="154" t="s">
        <v>54</v>
      </c>
      <c r="E427" s="270"/>
      <c r="F427" s="7">
        <f>F416</f>
        <v>40</v>
      </c>
      <c r="G427" s="396"/>
      <c r="H427" s="271"/>
      <c r="I427" s="271"/>
      <c r="J427" s="271"/>
      <c r="K427" s="396"/>
      <c r="L427" s="271"/>
      <c r="M427" s="271"/>
      <c r="N427"/>
    </row>
    <row r="428" spans="1:14">
      <c r="A428" s="602"/>
      <c r="B428" s="614"/>
      <c r="C428" s="616"/>
      <c r="D428" s="154" t="s">
        <v>43</v>
      </c>
      <c r="E428" s="270"/>
      <c r="F428" s="7">
        <f>F427*0.12</f>
        <v>4.8</v>
      </c>
      <c r="G428" s="396"/>
      <c r="H428" s="271"/>
      <c r="I428" s="271"/>
      <c r="J428" s="271"/>
      <c r="K428" s="396"/>
      <c r="L428" s="271"/>
      <c r="M428" s="271"/>
      <c r="N428"/>
    </row>
    <row r="429" spans="1:14" ht="27">
      <c r="A429" s="602"/>
      <c r="B429" s="154"/>
      <c r="C429" s="397" t="s">
        <v>42</v>
      </c>
      <c r="D429" s="363" t="s">
        <v>8</v>
      </c>
      <c r="E429" s="270">
        <v>2.9</v>
      </c>
      <c r="F429" s="270">
        <f>F428*E429</f>
        <v>13.92</v>
      </c>
      <c r="G429" s="271"/>
      <c r="H429" s="271"/>
      <c r="I429" s="271"/>
      <c r="J429" s="271"/>
      <c r="K429" s="396"/>
      <c r="L429" s="271"/>
      <c r="M429" s="271"/>
      <c r="N429"/>
    </row>
    <row r="430" spans="1:14">
      <c r="A430" s="602"/>
      <c r="B430" s="154"/>
      <c r="C430" s="397" t="s">
        <v>212</v>
      </c>
      <c r="D430" s="363" t="s">
        <v>43</v>
      </c>
      <c r="E430" s="270">
        <v>1.02</v>
      </c>
      <c r="F430" s="270">
        <f>F428*E430</f>
        <v>4.8959999999999999</v>
      </c>
      <c r="G430" s="396"/>
      <c r="H430" s="271"/>
      <c r="I430" s="271"/>
      <c r="J430" s="271"/>
      <c r="K430" s="396"/>
      <c r="L430" s="271"/>
      <c r="M430" s="271"/>
      <c r="N430"/>
    </row>
    <row r="431" spans="1:14">
      <c r="A431" s="602"/>
      <c r="B431" s="154"/>
      <c r="C431" s="397" t="s">
        <v>156</v>
      </c>
      <c r="D431" s="363" t="s">
        <v>48</v>
      </c>
      <c r="E431" s="270">
        <v>1.03</v>
      </c>
      <c r="F431" s="270">
        <f>F416*16*1*E431*0.395/1000</f>
        <v>0.260384</v>
      </c>
      <c r="G431" s="271"/>
      <c r="H431" s="271"/>
      <c r="I431" s="271"/>
      <c r="J431" s="271"/>
      <c r="K431" s="396"/>
      <c r="L431" s="271"/>
      <c r="M431" s="271"/>
      <c r="N431"/>
    </row>
    <row r="432" spans="1:14">
      <c r="A432" s="592"/>
      <c r="B432" s="154"/>
      <c r="C432" s="397" t="s">
        <v>16</v>
      </c>
      <c r="D432" s="363" t="s">
        <v>6</v>
      </c>
      <c r="E432" s="270">
        <v>0.88</v>
      </c>
      <c r="F432" s="270">
        <f>F428*E432</f>
        <v>4.2240000000000002</v>
      </c>
      <c r="G432" s="396"/>
      <c r="H432" s="271"/>
      <c r="I432" s="271"/>
      <c r="J432" s="271"/>
      <c r="K432" s="396"/>
      <c r="L432" s="271"/>
      <c r="M432" s="271"/>
      <c r="N432"/>
    </row>
    <row r="433" spans="1:15" ht="27">
      <c r="A433" s="591" t="s">
        <v>95</v>
      </c>
      <c r="B433" s="154" t="s">
        <v>154</v>
      </c>
      <c r="C433" s="393" t="s">
        <v>244</v>
      </c>
      <c r="D433" s="154" t="s">
        <v>54</v>
      </c>
      <c r="E433" s="270"/>
      <c r="F433" s="7">
        <f>F416</f>
        <v>40</v>
      </c>
      <c r="G433" s="271"/>
      <c r="H433" s="271"/>
      <c r="I433" s="271"/>
      <c r="J433" s="271"/>
      <c r="K433" s="271"/>
      <c r="L433" s="271"/>
      <c r="M433" s="271"/>
      <c r="N433"/>
    </row>
    <row r="434" spans="1:15" ht="27">
      <c r="A434" s="602"/>
      <c r="B434" s="154"/>
      <c r="C434" s="397" t="s">
        <v>42</v>
      </c>
      <c r="D434" s="363" t="s">
        <v>8</v>
      </c>
      <c r="E434" s="270">
        <v>0.77900000000000003</v>
      </c>
      <c r="F434" s="270">
        <f>F433*E434</f>
        <v>31.16</v>
      </c>
      <c r="G434" s="271"/>
      <c r="H434" s="271"/>
      <c r="I434" s="271"/>
      <c r="J434" s="271"/>
      <c r="K434" s="271"/>
      <c r="L434" s="271"/>
      <c r="M434" s="271"/>
      <c r="N434"/>
    </row>
    <row r="435" spans="1:15">
      <c r="A435" s="602"/>
      <c r="B435" s="154"/>
      <c r="C435" s="397" t="s">
        <v>17</v>
      </c>
      <c r="D435" s="363" t="s">
        <v>6</v>
      </c>
      <c r="E435" s="270">
        <v>0.104</v>
      </c>
      <c r="F435" s="270">
        <f>F433*E435</f>
        <v>4.16</v>
      </c>
      <c r="G435" s="271"/>
      <c r="H435" s="271"/>
      <c r="I435" s="271"/>
      <c r="J435" s="271"/>
      <c r="K435" s="271"/>
      <c r="L435" s="271"/>
      <c r="M435" s="271"/>
      <c r="N435"/>
    </row>
    <row r="436" spans="1:15">
      <c r="A436" s="602"/>
      <c r="B436" s="154"/>
      <c r="C436" s="397" t="s">
        <v>213</v>
      </c>
      <c r="D436" s="363" t="s">
        <v>54</v>
      </c>
      <c r="E436" s="270">
        <v>1.01</v>
      </c>
      <c r="F436" s="270">
        <f>F433*80%*E436</f>
        <v>32.32</v>
      </c>
      <c r="G436" s="271"/>
      <c r="H436" s="271"/>
      <c r="I436" s="271"/>
      <c r="J436" s="271"/>
      <c r="K436" s="271"/>
      <c r="L436" s="271"/>
      <c r="M436" s="271"/>
      <c r="N436"/>
    </row>
    <row r="437" spans="1:15" ht="40.5">
      <c r="A437" s="602"/>
      <c r="B437" s="154"/>
      <c r="C437" s="397" t="s">
        <v>219</v>
      </c>
      <c r="D437" s="363" t="s">
        <v>43</v>
      </c>
      <c r="E437" s="270">
        <v>2.1100000000000001E-2</v>
      </c>
      <c r="F437" s="270">
        <f>F433*E437</f>
        <v>0.84400000000000008</v>
      </c>
      <c r="G437" s="271"/>
      <c r="H437" s="271"/>
      <c r="I437" s="271"/>
      <c r="J437" s="271"/>
      <c r="K437" s="271"/>
      <c r="L437" s="271"/>
      <c r="M437" s="271"/>
      <c r="N437"/>
    </row>
    <row r="438" spans="1:15">
      <c r="A438" s="592"/>
      <c r="B438" s="154"/>
      <c r="C438" s="397" t="s">
        <v>16</v>
      </c>
      <c r="D438" s="363" t="s">
        <v>6</v>
      </c>
      <c r="E438" s="270">
        <v>4.66</v>
      </c>
      <c r="F438" s="270">
        <f>F433*E438</f>
        <v>186.4</v>
      </c>
      <c r="G438" s="271"/>
      <c r="H438" s="271"/>
      <c r="I438" s="271"/>
      <c r="J438" s="271"/>
      <c r="K438" s="271"/>
      <c r="L438" s="271"/>
      <c r="M438" s="271"/>
      <c r="N438"/>
    </row>
    <row r="439" spans="1:15" ht="27">
      <c r="A439" s="591" t="s">
        <v>96</v>
      </c>
      <c r="B439" s="154" t="s">
        <v>214</v>
      </c>
      <c r="C439" s="393" t="s">
        <v>245</v>
      </c>
      <c r="D439" s="363" t="s">
        <v>54</v>
      </c>
      <c r="E439" s="270"/>
      <c r="F439" s="7">
        <f>F416</f>
        <v>40</v>
      </c>
      <c r="G439" s="398"/>
      <c r="H439" s="271"/>
      <c r="I439" s="398"/>
      <c r="J439" s="271"/>
      <c r="K439" s="398"/>
      <c r="L439" s="271"/>
      <c r="M439" s="271"/>
      <c r="N439"/>
    </row>
    <row r="440" spans="1:15" ht="27">
      <c r="A440" s="602"/>
      <c r="B440" s="154"/>
      <c r="C440" s="397" t="s">
        <v>42</v>
      </c>
      <c r="D440" s="363" t="s">
        <v>8</v>
      </c>
      <c r="E440" s="270">
        <v>0.81100000000000005</v>
      </c>
      <c r="F440" s="270">
        <f>F439*E440</f>
        <v>32.440000000000005</v>
      </c>
      <c r="G440" s="398"/>
      <c r="H440" s="271"/>
      <c r="I440" s="271"/>
      <c r="J440" s="271"/>
      <c r="K440" s="271"/>
      <c r="L440" s="271"/>
      <c r="M440" s="271"/>
      <c r="N440"/>
    </row>
    <row r="441" spans="1:15">
      <c r="A441" s="602"/>
      <c r="B441" s="154"/>
      <c r="C441" s="397" t="s">
        <v>7</v>
      </c>
      <c r="D441" s="363" t="s">
        <v>6</v>
      </c>
      <c r="E441" s="270">
        <v>1.2999999999999999E-2</v>
      </c>
      <c r="F441" s="270">
        <f>F439*E441</f>
        <v>0.52</v>
      </c>
      <c r="G441" s="398"/>
      <c r="H441" s="271"/>
      <c r="I441" s="398"/>
      <c r="J441" s="271"/>
      <c r="K441" s="271"/>
      <c r="L441" s="271"/>
      <c r="M441" s="271"/>
      <c r="N441"/>
    </row>
    <row r="442" spans="1:15">
      <c r="A442" s="602"/>
      <c r="B442" s="154"/>
      <c r="C442" s="397" t="s">
        <v>215</v>
      </c>
      <c r="D442" s="363" t="s">
        <v>48</v>
      </c>
      <c r="E442" s="270">
        <v>1.8599999999999998E-2</v>
      </c>
      <c r="F442" s="270">
        <f>F439*E442</f>
        <v>0.74399999999999999</v>
      </c>
      <c r="G442" s="398"/>
      <c r="H442" s="271"/>
      <c r="I442" s="271"/>
      <c r="J442" s="271"/>
      <c r="K442" s="271"/>
      <c r="L442" s="271"/>
      <c r="M442" s="271"/>
      <c r="N442"/>
      <c r="O442">
        <f>1500/25*30.9</f>
        <v>1854</v>
      </c>
    </row>
    <row r="443" spans="1:15">
      <c r="A443" s="602"/>
      <c r="B443" s="154"/>
      <c r="C443" s="397" t="s">
        <v>216</v>
      </c>
      <c r="D443" s="363" t="s">
        <v>48</v>
      </c>
      <c r="E443" s="270">
        <v>5.0000000000000001E-4</v>
      </c>
      <c r="F443" s="270">
        <f>F439*E443</f>
        <v>0.02</v>
      </c>
      <c r="G443" s="398"/>
      <c r="H443" s="271"/>
      <c r="I443" s="271"/>
      <c r="J443" s="271"/>
      <c r="K443" s="271"/>
      <c r="L443" s="271"/>
      <c r="M443" s="271"/>
      <c r="N443"/>
    </row>
    <row r="444" spans="1:15">
      <c r="A444" s="592"/>
      <c r="B444" s="154"/>
      <c r="C444" s="397" t="s">
        <v>56</v>
      </c>
      <c r="D444" s="363" t="s">
        <v>6</v>
      </c>
      <c r="E444" s="270">
        <v>0.156</v>
      </c>
      <c r="F444" s="270">
        <f>F439*E444</f>
        <v>6.24</v>
      </c>
      <c r="G444" s="398"/>
      <c r="H444" s="271"/>
      <c r="I444" s="271"/>
      <c r="J444" s="271"/>
      <c r="K444" s="271"/>
      <c r="L444" s="271"/>
      <c r="M444" s="271"/>
      <c r="N444"/>
    </row>
    <row r="445" spans="1:15" ht="40.5">
      <c r="A445" s="301" t="s">
        <v>53</v>
      </c>
      <c r="B445" s="109"/>
      <c r="C445" s="421" t="s">
        <v>355</v>
      </c>
      <c r="D445" s="107" t="s">
        <v>54</v>
      </c>
      <c r="E445" s="110"/>
      <c r="F445" s="110">
        <f>'7777'!G59</f>
        <v>105</v>
      </c>
      <c r="G445" s="399"/>
      <c r="H445" s="385"/>
      <c r="I445" s="384"/>
      <c r="J445" s="385"/>
      <c r="K445" s="384"/>
      <c r="L445" s="385"/>
      <c r="M445" s="385"/>
      <c r="N445"/>
    </row>
    <row r="446" spans="1:15" ht="27">
      <c r="A446" s="633" t="s">
        <v>98</v>
      </c>
      <c r="B446" s="153" t="s">
        <v>329</v>
      </c>
      <c r="C446" s="308" t="s">
        <v>356</v>
      </c>
      <c r="D446" s="22" t="s">
        <v>54</v>
      </c>
      <c r="E446" s="302"/>
      <c r="F446" s="302">
        <f>F445</f>
        <v>105</v>
      </c>
      <c r="G446" s="399"/>
      <c r="H446" s="385"/>
      <c r="I446" s="384"/>
      <c r="J446" s="385"/>
      <c r="K446" s="384"/>
      <c r="L446" s="385"/>
      <c r="M446" s="385"/>
      <c r="N446"/>
    </row>
    <row r="447" spans="1:15" ht="27">
      <c r="A447" s="634"/>
      <c r="B447" s="363"/>
      <c r="C447" s="378" t="s">
        <v>62</v>
      </c>
      <c r="D447" s="31" t="s">
        <v>8</v>
      </c>
      <c r="E447" s="198">
        <f>(19.2+5.97*1)/100</f>
        <v>0.25169999999999998</v>
      </c>
      <c r="F447" s="270">
        <f>F446*E447</f>
        <v>26.428499999999996</v>
      </c>
      <c r="G447" s="271"/>
      <c r="H447" s="63"/>
      <c r="I447" s="422"/>
      <c r="J447" s="63"/>
      <c r="K447" s="271"/>
      <c r="L447" s="63"/>
      <c r="M447" s="63"/>
      <c r="N447"/>
    </row>
    <row r="448" spans="1:15">
      <c r="A448" s="634"/>
      <c r="B448" s="363"/>
      <c r="C448" s="378" t="s">
        <v>89</v>
      </c>
      <c r="D448" s="31" t="s">
        <v>6</v>
      </c>
      <c r="E448" s="198">
        <f>(0.59+0.24*1)/100</f>
        <v>8.3000000000000001E-3</v>
      </c>
      <c r="F448" s="270">
        <f>F446*E448</f>
        <v>0.87150000000000005</v>
      </c>
      <c r="G448" s="271"/>
      <c r="H448" s="63"/>
      <c r="I448" s="271"/>
      <c r="J448" s="63"/>
      <c r="K448" s="271"/>
      <c r="L448" s="63"/>
      <c r="M448" s="63"/>
      <c r="N448"/>
    </row>
    <row r="449" spans="1:14" ht="27">
      <c r="A449" s="634"/>
      <c r="B449" s="363" t="s">
        <v>331</v>
      </c>
      <c r="C449" s="423" t="s">
        <v>493</v>
      </c>
      <c r="D449" s="31" t="s">
        <v>4</v>
      </c>
      <c r="E449" s="32">
        <v>1.2</v>
      </c>
      <c r="F449" s="270">
        <f>F446*E449</f>
        <v>126</v>
      </c>
      <c r="G449" s="271"/>
      <c r="H449" s="63"/>
      <c r="I449" s="271"/>
      <c r="J449" s="63"/>
      <c r="K449" s="271"/>
      <c r="L449" s="63"/>
      <c r="M449" s="63"/>
      <c r="N449"/>
    </row>
    <row r="450" spans="1:14">
      <c r="A450" s="635"/>
      <c r="B450" s="363"/>
      <c r="C450" s="423" t="s">
        <v>56</v>
      </c>
      <c r="D450" s="31" t="s">
        <v>6</v>
      </c>
      <c r="E450" s="32">
        <v>1.9E-3</v>
      </c>
      <c r="F450" s="270">
        <f>F446*E450</f>
        <v>0.19950000000000001</v>
      </c>
      <c r="G450" s="271"/>
      <c r="H450" s="63"/>
      <c r="I450" s="271"/>
      <c r="J450" s="63"/>
      <c r="K450" s="271"/>
      <c r="L450" s="63"/>
      <c r="M450" s="63"/>
      <c r="N450"/>
    </row>
    <row r="451" spans="1:14" ht="27">
      <c r="A451" s="607" t="s">
        <v>79</v>
      </c>
      <c r="B451" s="303" t="s">
        <v>332</v>
      </c>
      <c r="C451" s="424" t="s">
        <v>357</v>
      </c>
      <c r="D451" s="254" t="s">
        <v>54</v>
      </c>
      <c r="E451" s="3"/>
      <c r="F451" s="157">
        <f>'7777'!G60</f>
        <v>75</v>
      </c>
      <c r="G451" s="63"/>
      <c r="H451" s="63"/>
      <c r="I451" s="63"/>
      <c r="J451" s="63"/>
      <c r="K451" s="63"/>
      <c r="L451" s="63"/>
      <c r="M451" s="63"/>
      <c r="N451"/>
    </row>
    <row r="452" spans="1:14" ht="27">
      <c r="A452" s="608"/>
      <c r="B452" s="304"/>
      <c r="C452" s="425" t="s">
        <v>42</v>
      </c>
      <c r="D452" s="254" t="s">
        <v>8</v>
      </c>
      <c r="E452" s="3">
        <v>0.65800000000000003</v>
      </c>
      <c r="F452" s="3">
        <f>F451*E452</f>
        <v>49.35</v>
      </c>
      <c r="G452" s="63"/>
      <c r="H452" s="63"/>
      <c r="I452" s="63"/>
      <c r="J452" s="63"/>
      <c r="K452" s="63"/>
      <c r="L452" s="61"/>
      <c r="M452" s="61"/>
      <c r="N452"/>
    </row>
    <row r="453" spans="1:14" ht="27">
      <c r="A453" s="608"/>
      <c r="B453" s="304"/>
      <c r="C453" s="426" t="s">
        <v>7</v>
      </c>
      <c r="D453" s="197" t="s">
        <v>51</v>
      </c>
      <c r="E453" s="3">
        <v>0.01</v>
      </c>
      <c r="F453" s="3">
        <f>F451*E453</f>
        <v>0.75</v>
      </c>
      <c r="G453" s="63"/>
      <c r="H453" s="63"/>
      <c r="I453" s="63"/>
      <c r="J453" s="63"/>
      <c r="K453" s="63"/>
      <c r="L453" s="61"/>
      <c r="M453" s="61"/>
      <c r="N453"/>
    </row>
    <row r="454" spans="1:14">
      <c r="A454" s="608"/>
      <c r="B454" s="151"/>
      <c r="C454" s="426" t="s">
        <v>9</v>
      </c>
      <c r="D454" s="197" t="s">
        <v>6</v>
      </c>
      <c r="E454" s="3">
        <v>1.6E-2</v>
      </c>
      <c r="F454" s="3">
        <f>F451*E454</f>
        <v>1.2</v>
      </c>
      <c r="G454" s="63"/>
      <c r="H454" s="63"/>
      <c r="I454" s="63"/>
      <c r="J454" s="63"/>
      <c r="K454" s="63"/>
      <c r="L454" s="61"/>
      <c r="M454" s="61"/>
      <c r="N454"/>
    </row>
    <row r="455" spans="1:14">
      <c r="A455" s="609"/>
      <c r="B455" s="153" t="s">
        <v>334</v>
      </c>
      <c r="C455" s="426" t="s">
        <v>335</v>
      </c>
      <c r="D455" s="197" t="s">
        <v>54</v>
      </c>
      <c r="E455" s="3">
        <v>0.3</v>
      </c>
      <c r="F455" s="3">
        <f>F451*E455</f>
        <v>22.5</v>
      </c>
      <c r="G455" s="63"/>
      <c r="H455" s="63"/>
      <c r="I455" s="63"/>
      <c r="J455" s="63"/>
      <c r="K455" s="63"/>
      <c r="L455" s="63"/>
      <c r="M455" s="61"/>
      <c r="N455"/>
    </row>
    <row r="456" spans="1:14" ht="27">
      <c r="A456" s="358" t="s">
        <v>55</v>
      </c>
      <c r="B456" s="153" t="s">
        <v>18</v>
      </c>
      <c r="C456" s="435" t="s">
        <v>408</v>
      </c>
      <c r="D456" s="197" t="s">
        <v>83</v>
      </c>
      <c r="E456" s="318"/>
      <c r="F456" s="318">
        <v>1</v>
      </c>
      <c r="G456" s="436"/>
      <c r="H456" s="63"/>
      <c r="I456" s="63"/>
      <c r="J456" s="63"/>
      <c r="K456" s="63"/>
      <c r="L456" s="63"/>
      <c r="M456" s="61"/>
      <c r="N456"/>
    </row>
    <row r="457" spans="1:14">
      <c r="A457" s="358"/>
      <c r="B457" s="153"/>
      <c r="C457" s="426"/>
      <c r="D457" s="197"/>
      <c r="E457" s="318"/>
      <c r="F457" s="318"/>
      <c r="G457" s="436"/>
      <c r="H457" s="63"/>
      <c r="I457" s="63"/>
      <c r="J457" s="63"/>
      <c r="K457" s="63"/>
      <c r="L457" s="63"/>
      <c r="M457" s="61"/>
      <c r="N457"/>
    </row>
    <row r="458" spans="1:14">
      <c r="A458" s="301" t="s">
        <v>55</v>
      </c>
      <c r="B458" s="109"/>
      <c r="C458" s="421" t="s">
        <v>361</v>
      </c>
      <c r="D458" s="107" t="s">
        <v>50</v>
      </c>
      <c r="E458" s="110"/>
      <c r="F458" s="110">
        <f>'7777'!G61</f>
        <v>30</v>
      </c>
      <c r="G458" s="399"/>
      <c r="H458" s="385"/>
      <c r="I458" s="384"/>
      <c r="J458" s="385"/>
      <c r="K458" s="384"/>
      <c r="L458" s="385"/>
      <c r="M458" s="385"/>
      <c r="N458"/>
    </row>
    <row r="459" spans="1:14" ht="27">
      <c r="A459" s="646" t="s">
        <v>98</v>
      </c>
      <c r="B459" s="106" t="s">
        <v>41</v>
      </c>
      <c r="C459" s="402" t="s">
        <v>364</v>
      </c>
      <c r="D459" s="106" t="s">
        <v>43</v>
      </c>
      <c r="E459" s="103"/>
      <c r="F459" s="7">
        <f>'7777'!G63</f>
        <v>1.7999999999999998</v>
      </c>
      <c r="G459" s="64"/>
      <c r="H459" s="271"/>
      <c r="I459" s="271"/>
      <c r="J459" s="271"/>
      <c r="K459" s="65"/>
      <c r="L459" s="271"/>
      <c r="M459" s="271"/>
      <c r="N459"/>
    </row>
    <row r="460" spans="1:14" ht="27">
      <c r="A460" s="647"/>
      <c r="B460" s="106"/>
      <c r="C460" s="380" t="s">
        <v>38</v>
      </c>
      <c r="D460" s="105" t="s">
        <v>39</v>
      </c>
      <c r="E460" s="103">
        <v>3.52</v>
      </c>
      <c r="F460" s="103">
        <f>F459*E460</f>
        <v>6.3359999999999994</v>
      </c>
      <c r="G460" s="64"/>
      <c r="H460" s="271"/>
      <c r="I460" s="64"/>
      <c r="J460" s="271"/>
      <c r="K460" s="65"/>
      <c r="L460" s="271"/>
      <c r="M460" s="271"/>
      <c r="N460"/>
    </row>
    <row r="461" spans="1:14">
      <c r="A461" s="647"/>
      <c r="B461" s="106"/>
      <c r="C461" s="380" t="s">
        <v>17</v>
      </c>
      <c r="D461" s="105" t="s">
        <v>6</v>
      </c>
      <c r="E461" s="103">
        <v>1.06</v>
      </c>
      <c r="F461" s="103">
        <f>F459*E461</f>
        <v>1.9079999999999999</v>
      </c>
      <c r="G461" s="64"/>
      <c r="H461" s="271"/>
      <c r="I461" s="271"/>
      <c r="J461" s="271"/>
      <c r="K461" s="65"/>
      <c r="L461" s="271"/>
      <c r="M461" s="271"/>
      <c r="N461"/>
    </row>
    <row r="462" spans="1:14">
      <c r="A462" s="647"/>
      <c r="B462" s="106"/>
      <c r="C462" s="380" t="s">
        <v>143</v>
      </c>
      <c r="D462" s="105" t="s">
        <v>43</v>
      </c>
      <c r="E462" s="103">
        <f>0.18+0.09+0.97</f>
        <v>1.24</v>
      </c>
      <c r="F462" s="103">
        <f>F459*E462</f>
        <v>2.2319999999999998</v>
      </c>
      <c r="G462" s="64"/>
      <c r="H462" s="271"/>
      <c r="I462" s="271"/>
      <c r="J462" s="271"/>
      <c r="K462" s="65"/>
      <c r="L462" s="271"/>
      <c r="M462" s="271"/>
      <c r="N462"/>
    </row>
    <row r="463" spans="1:14">
      <c r="A463" s="648"/>
      <c r="B463" s="106"/>
      <c r="C463" s="380" t="s">
        <v>56</v>
      </c>
      <c r="D463" s="105" t="s">
        <v>6</v>
      </c>
      <c r="E463" s="103">
        <v>0.02</v>
      </c>
      <c r="F463" s="103">
        <f>F459*E463</f>
        <v>3.5999999999999997E-2</v>
      </c>
      <c r="G463" s="64"/>
      <c r="H463" s="271"/>
      <c r="I463" s="271"/>
      <c r="J463" s="271"/>
      <c r="K463" s="65"/>
      <c r="L463" s="271"/>
      <c r="M463" s="271"/>
      <c r="N463"/>
    </row>
    <row r="464" spans="1:14" ht="27">
      <c r="A464" s="649" t="s">
        <v>79</v>
      </c>
      <c r="B464" s="154" t="s">
        <v>84</v>
      </c>
      <c r="C464" s="308" t="s">
        <v>363</v>
      </c>
      <c r="D464" s="22" t="s">
        <v>43</v>
      </c>
      <c r="E464" s="270"/>
      <c r="F464" s="7">
        <f>'7777'!G64</f>
        <v>6.3</v>
      </c>
      <c r="G464" s="437"/>
      <c r="H464" s="271"/>
      <c r="I464" s="437"/>
      <c r="J464" s="271"/>
      <c r="K464" s="437"/>
      <c r="L464" s="271"/>
      <c r="M464" s="271"/>
      <c r="N464"/>
    </row>
    <row r="465" spans="1:14">
      <c r="A465" s="650"/>
      <c r="B465" s="154"/>
      <c r="C465" s="386" t="s">
        <v>44</v>
      </c>
      <c r="D465" s="200" t="s">
        <v>14</v>
      </c>
      <c r="E465" s="13">
        <v>3.78</v>
      </c>
      <c r="F465" s="438">
        <f>E465*F464</f>
        <v>23.813999999999997</v>
      </c>
      <c r="G465" s="271"/>
      <c r="H465" s="271"/>
      <c r="I465" s="271"/>
      <c r="J465" s="271"/>
      <c r="K465" s="271"/>
      <c r="L465" s="271"/>
      <c r="M465" s="271"/>
      <c r="N465"/>
    </row>
    <row r="466" spans="1:14">
      <c r="A466" s="650"/>
      <c r="B466" s="154"/>
      <c r="C466" s="386" t="s">
        <v>7</v>
      </c>
      <c r="D466" s="200" t="s">
        <v>6</v>
      </c>
      <c r="E466" s="13">
        <v>0.92</v>
      </c>
      <c r="F466" s="438">
        <f>E466*F464</f>
        <v>5.7960000000000003</v>
      </c>
      <c r="G466" s="271"/>
      <c r="H466" s="271"/>
      <c r="I466" s="271"/>
      <c r="J466" s="271"/>
      <c r="K466" s="271"/>
      <c r="L466" s="271"/>
      <c r="M466" s="271"/>
      <c r="N466"/>
    </row>
    <row r="467" spans="1:14" ht="15.75">
      <c r="A467" s="650"/>
      <c r="B467" s="154"/>
      <c r="C467" s="386" t="s">
        <v>145</v>
      </c>
      <c r="D467" s="200" t="s">
        <v>34</v>
      </c>
      <c r="E467" s="13">
        <v>1.0149999999999999</v>
      </c>
      <c r="F467" s="438">
        <f>E467*F464</f>
        <v>6.394499999999999</v>
      </c>
      <c r="G467" s="271"/>
      <c r="H467" s="271"/>
      <c r="I467" s="271"/>
      <c r="J467" s="271"/>
      <c r="K467" s="271"/>
      <c r="L467" s="271"/>
      <c r="M467" s="271"/>
      <c r="N467"/>
    </row>
    <row r="468" spans="1:14" ht="15.75">
      <c r="A468" s="650"/>
      <c r="B468" s="154"/>
      <c r="C468" s="386" t="s">
        <v>45</v>
      </c>
      <c r="D468" s="200" t="s">
        <v>46</v>
      </c>
      <c r="E468" s="13">
        <v>0.70299999999999996</v>
      </c>
      <c r="F468" s="438">
        <f>E468*F464</f>
        <v>4.4288999999999996</v>
      </c>
      <c r="G468" s="271"/>
      <c r="H468" s="271"/>
      <c r="I468" s="271"/>
      <c r="J468" s="271"/>
      <c r="K468" s="271"/>
      <c r="L468" s="271"/>
      <c r="M468" s="271"/>
      <c r="N468"/>
    </row>
    <row r="469" spans="1:14" ht="15.75">
      <c r="A469" s="650"/>
      <c r="B469" s="154"/>
      <c r="C469" s="386" t="s">
        <v>47</v>
      </c>
      <c r="D469" s="200" t="s">
        <v>34</v>
      </c>
      <c r="E469" s="13">
        <v>1.14E-2</v>
      </c>
      <c r="F469" s="438">
        <f>E469*F464</f>
        <v>7.1819999999999995E-2</v>
      </c>
      <c r="G469" s="271"/>
      <c r="H469" s="271"/>
      <c r="I469" s="271"/>
      <c r="J469" s="271"/>
      <c r="K469" s="271"/>
      <c r="L469" s="271"/>
      <c r="M469" s="271"/>
      <c r="N469"/>
    </row>
    <row r="470" spans="1:14">
      <c r="A470" s="650"/>
      <c r="B470" s="154"/>
      <c r="C470" s="386" t="s">
        <v>494</v>
      </c>
      <c r="D470" s="200" t="s">
        <v>40</v>
      </c>
      <c r="E470" s="13"/>
      <c r="F470" s="438">
        <f>'7777'!G65</f>
        <v>0.26107564500000002</v>
      </c>
      <c r="G470" s="271"/>
      <c r="H470" s="271"/>
      <c r="I470" s="271"/>
      <c r="J470" s="271"/>
      <c r="K470" s="271"/>
      <c r="L470" s="271"/>
      <c r="M470" s="271"/>
      <c r="N470"/>
    </row>
    <row r="471" spans="1:14">
      <c r="A471" s="651"/>
      <c r="B471" s="154"/>
      <c r="C471" s="386" t="s">
        <v>9</v>
      </c>
      <c r="D471" s="200" t="s">
        <v>6</v>
      </c>
      <c r="E471" s="13">
        <v>0.6</v>
      </c>
      <c r="F471" s="438">
        <f>E471*F464</f>
        <v>3.78</v>
      </c>
      <c r="G471" s="271"/>
      <c r="H471" s="271"/>
      <c r="I471" s="271"/>
      <c r="J471" s="271"/>
      <c r="K471" s="271"/>
      <c r="L471" s="271"/>
      <c r="M471" s="271"/>
      <c r="N471"/>
    </row>
    <row r="472" spans="1:14" ht="27">
      <c r="A472" s="633" t="s">
        <v>99</v>
      </c>
      <c r="B472" s="308" t="s">
        <v>366</v>
      </c>
      <c r="C472" s="308" t="s">
        <v>365</v>
      </c>
      <c r="D472" s="22" t="s">
        <v>54</v>
      </c>
      <c r="E472" s="20"/>
      <c r="F472" s="302">
        <f>F458*0.6</f>
        <v>18</v>
      </c>
      <c r="G472" s="399"/>
      <c r="H472" s="385"/>
      <c r="I472" s="384"/>
      <c r="J472" s="385"/>
      <c r="K472" s="384"/>
      <c r="L472" s="385"/>
      <c r="M472" s="385"/>
      <c r="N472"/>
    </row>
    <row r="473" spans="1:14">
      <c r="A473" s="634"/>
      <c r="B473" s="187"/>
      <c r="C473" s="394" t="s">
        <v>367</v>
      </c>
      <c r="D473" s="189" t="s">
        <v>54</v>
      </c>
      <c r="E473" s="20">
        <v>1</v>
      </c>
      <c r="F473" s="20">
        <f>F472*E473</f>
        <v>18</v>
      </c>
      <c r="G473" s="399"/>
      <c r="H473" s="385"/>
      <c r="I473" s="384"/>
      <c r="J473" s="385"/>
      <c r="K473" s="384"/>
      <c r="L473" s="385"/>
      <c r="M473" s="271"/>
      <c r="N473"/>
    </row>
    <row r="474" spans="1:14">
      <c r="A474" s="635"/>
      <c r="B474" s="187"/>
      <c r="C474" s="394" t="s">
        <v>368</v>
      </c>
      <c r="D474" s="189" t="s">
        <v>54</v>
      </c>
      <c r="E474" s="20">
        <v>1</v>
      </c>
      <c r="F474" s="20">
        <f>F472*E474</f>
        <v>18</v>
      </c>
      <c r="G474" s="399"/>
      <c r="H474" s="271"/>
      <c r="I474" s="271"/>
      <c r="J474" s="271"/>
      <c r="K474" s="271"/>
      <c r="L474" s="271"/>
      <c r="M474" s="271"/>
      <c r="N474"/>
    </row>
    <row r="475" spans="1:14">
      <c r="A475" s="355"/>
      <c r="B475" s="187"/>
      <c r="C475" s="394"/>
      <c r="D475" s="189"/>
      <c r="E475" s="20"/>
      <c r="F475" s="20"/>
      <c r="G475" s="399"/>
      <c r="H475" s="385"/>
      <c r="I475" s="384"/>
      <c r="J475" s="385"/>
      <c r="K475" s="384"/>
      <c r="L475" s="385"/>
      <c r="M475" s="385"/>
      <c r="N475"/>
    </row>
    <row r="476" spans="1:14">
      <c r="A476" s="259" t="s">
        <v>158</v>
      </c>
      <c r="B476" s="55"/>
      <c r="C476" s="400" t="s">
        <v>159</v>
      </c>
      <c r="D476" s="55" t="s">
        <v>54</v>
      </c>
      <c r="E476" s="341"/>
      <c r="F476" s="341">
        <f>'7777'!G50</f>
        <v>250</v>
      </c>
      <c r="G476" s="271"/>
      <c r="H476" s="271"/>
      <c r="I476" s="271"/>
      <c r="J476" s="271"/>
      <c r="K476" s="271"/>
      <c r="L476" s="271"/>
      <c r="M476" s="271"/>
      <c r="N476"/>
    </row>
    <row r="477" spans="1:14" ht="15.75">
      <c r="A477" s="593" t="s">
        <v>95</v>
      </c>
      <c r="B477" s="81" t="s">
        <v>160</v>
      </c>
      <c r="C477" s="403" t="s">
        <v>161</v>
      </c>
      <c r="D477" s="81" t="s">
        <v>31</v>
      </c>
      <c r="E477" s="176"/>
      <c r="F477" s="176">
        <f>F476</f>
        <v>250</v>
      </c>
      <c r="G477" s="271"/>
      <c r="H477" s="271"/>
      <c r="I477" s="271"/>
      <c r="J477" s="271"/>
      <c r="K477" s="271"/>
      <c r="L477" s="271"/>
      <c r="M477" s="271"/>
      <c r="N477"/>
    </row>
    <row r="478" spans="1:14" ht="27">
      <c r="A478" s="594"/>
      <c r="B478" s="81"/>
      <c r="C478" s="387" t="s">
        <v>42</v>
      </c>
      <c r="D478" s="363" t="s">
        <v>8</v>
      </c>
      <c r="E478" s="177">
        <f>38.3*0.01</f>
        <v>0.38300000000000001</v>
      </c>
      <c r="F478" s="177">
        <f>F477*E478</f>
        <v>95.75</v>
      </c>
      <c r="G478" s="271"/>
      <c r="H478" s="271"/>
      <c r="I478" s="271"/>
      <c r="J478" s="271"/>
      <c r="K478" s="271"/>
      <c r="L478" s="271"/>
      <c r="M478" s="271"/>
      <c r="N478"/>
    </row>
    <row r="479" spans="1:14" ht="27">
      <c r="A479" s="595"/>
      <c r="B479" s="81" t="s">
        <v>18</v>
      </c>
      <c r="C479" s="387" t="s">
        <v>162</v>
      </c>
      <c r="D479" s="366" t="s">
        <v>86</v>
      </c>
      <c r="E479" s="177">
        <f>2*0.01</f>
        <v>0.02</v>
      </c>
      <c r="F479" s="177">
        <f>E479*F477</f>
        <v>5</v>
      </c>
      <c r="G479" s="271"/>
      <c r="H479" s="271"/>
      <c r="I479" s="271"/>
      <c r="J479" s="271"/>
      <c r="K479" s="271"/>
      <c r="L479" s="271"/>
      <c r="M479" s="271"/>
      <c r="N479"/>
    </row>
    <row r="480" spans="1:14" ht="27">
      <c r="A480" s="344" t="s">
        <v>96</v>
      </c>
      <c r="B480" s="154"/>
      <c r="C480" s="400" t="s">
        <v>163</v>
      </c>
      <c r="D480" s="154"/>
      <c r="E480" s="7"/>
      <c r="F480" s="7"/>
      <c r="G480" s="271"/>
      <c r="H480" s="271"/>
      <c r="I480" s="271"/>
      <c r="J480" s="271"/>
      <c r="K480" s="271"/>
      <c r="L480" s="271"/>
      <c r="M480" s="271"/>
      <c r="N480"/>
    </row>
    <row r="481" spans="1:14">
      <c r="A481" s="344"/>
      <c r="B481" s="56"/>
      <c r="C481" s="62" t="s">
        <v>491</v>
      </c>
      <c r="D481" s="154" t="s">
        <v>58</v>
      </c>
      <c r="E481" s="270"/>
      <c r="F481" s="7">
        <f>'7777'!G51</f>
        <v>5</v>
      </c>
      <c r="G481" s="271"/>
      <c r="H481" s="271"/>
      <c r="I481" s="271"/>
      <c r="J481" s="271"/>
      <c r="K481" s="271"/>
      <c r="L481" s="271"/>
      <c r="M481" s="271"/>
      <c r="N481"/>
    </row>
    <row r="482" spans="1:14">
      <c r="A482" s="350"/>
      <c r="B482" s="56"/>
      <c r="C482" s="62" t="s">
        <v>164</v>
      </c>
      <c r="D482" s="154" t="s">
        <v>58</v>
      </c>
      <c r="E482" s="270"/>
      <c r="F482" s="7">
        <f>'7777'!G53</f>
        <v>10</v>
      </c>
      <c r="G482" s="271"/>
      <c r="H482" s="271"/>
      <c r="I482" s="271"/>
      <c r="J482" s="271"/>
      <c r="K482" s="271"/>
      <c r="L482" s="271"/>
      <c r="M482" s="271"/>
      <c r="N482"/>
    </row>
    <row r="483" spans="1:14" ht="27">
      <c r="A483" s="591" t="s">
        <v>87</v>
      </c>
      <c r="B483" s="154" t="s">
        <v>165</v>
      </c>
      <c r="C483" s="62" t="s">
        <v>166</v>
      </c>
      <c r="D483" s="154" t="s">
        <v>58</v>
      </c>
      <c r="E483" s="270"/>
      <c r="F483" s="7">
        <f>F481+F482</f>
        <v>15</v>
      </c>
      <c r="G483" s="271"/>
      <c r="H483" s="271"/>
      <c r="I483" s="271"/>
      <c r="J483" s="271"/>
      <c r="K483" s="271"/>
      <c r="L483" s="271"/>
      <c r="M483" s="271"/>
      <c r="N483"/>
    </row>
    <row r="484" spans="1:14" ht="27">
      <c r="A484" s="592"/>
      <c r="B484" s="154"/>
      <c r="C484" s="66" t="s">
        <v>42</v>
      </c>
      <c r="D484" s="363" t="s">
        <v>8</v>
      </c>
      <c r="E484" s="270">
        <v>3.18</v>
      </c>
      <c r="F484" s="270">
        <f>F483*E484</f>
        <v>47.7</v>
      </c>
      <c r="G484" s="271"/>
      <c r="H484" s="271"/>
      <c r="I484" s="271"/>
      <c r="J484" s="271"/>
      <c r="K484" s="271"/>
      <c r="L484" s="271"/>
      <c r="M484" s="271"/>
      <c r="N484"/>
    </row>
    <row r="485" spans="1:14">
      <c r="A485" s="344" t="s">
        <v>49</v>
      </c>
      <c r="B485" s="154" t="s">
        <v>167</v>
      </c>
      <c r="C485" s="62" t="s">
        <v>168</v>
      </c>
      <c r="D485" s="154" t="s">
        <v>58</v>
      </c>
      <c r="E485" s="270"/>
      <c r="F485" s="7">
        <f>F483</f>
        <v>15</v>
      </c>
      <c r="G485" s="271"/>
      <c r="H485" s="271"/>
      <c r="I485" s="271"/>
      <c r="J485" s="271"/>
      <c r="K485" s="271"/>
      <c r="L485" s="271"/>
      <c r="M485" s="271"/>
      <c r="N485"/>
    </row>
    <row r="486" spans="1:14" ht="27">
      <c r="A486" s="350"/>
      <c r="B486" s="154"/>
      <c r="C486" s="66" t="s">
        <v>42</v>
      </c>
      <c r="D486" s="363" t="s">
        <v>8</v>
      </c>
      <c r="E486" s="270">
        <v>1.6</v>
      </c>
      <c r="F486" s="270">
        <f>F485*E486</f>
        <v>24</v>
      </c>
      <c r="G486" s="271"/>
      <c r="H486" s="271"/>
      <c r="I486" s="271"/>
      <c r="J486" s="271"/>
      <c r="K486" s="271"/>
      <c r="L486" s="271"/>
      <c r="M486" s="271"/>
      <c r="N486"/>
    </row>
    <row r="487" spans="1:14" ht="27">
      <c r="A487" s="350"/>
      <c r="B487" s="154" t="s">
        <v>33</v>
      </c>
      <c r="C487" s="66" t="s">
        <v>169</v>
      </c>
      <c r="D487" s="363" t="s">
        <v>51</v>
      </c>
      <c r="E487" s="270">
        <v>7.0999999999999994E-2</v>
      </c>
      <c r="F487" s="270">
        <f>F485*E487</f>
        <v>1.0649999999999999</v>
      </c>
      <c r="G487" s="271"/>
      <c r="H487" s="271"/>
      <c r="I487" s="271"/>
      <c r="J487" s="271"/>
      <c r="K487" s="532"/>
      <c r="L487" s="271"/>
      <c r="M487" s="271"/>
      <c r="N487"/>
    </row>
    <row r="488" spans="1:14" ht="27">
      <c r="A488" s="350"/>
      <c r="B488" s="154" t="s">
        <v>92</v>
      </c>
      <c r="C488" s="66" t="s">
        <v>170</v>
      </c>
      <c r="D488" s="363" t="s">
        <v>51</v>
      </c>
      <c r="E488" s="270">
        <v>0.13400000000000001</v>
      </c>
      <c r="F488" s="270">
        <f>F485*E488</f>
        <v>2.0100000000000002</v>
      </c>
      <c r="G488" s="271"/>
      <c r="H488" s="271"/>
      <c r="I488" s="271"/>
      <c r="J488" s="271"/>
      <c r="K488" s="532"/>
      <c r="L488" s="271"/>
      <c r="M488" s="271"/>
      <c r="N488"/>
    </row>
    <row r="489" spans="1:14">
      <c r="A489" s="350"/>
      <c r="B489" s="154"/>
      <c r="C489" s="62" t="s">
        <v>171</v>
      </c>
      <c r="D489" s="363"/>
      <c r="E489" s="270">
        <v>1</v>
      </c>
      <c r="F489" s="7">
        <f>F485*E489</f>
        <v>15</v>
      </c>
      <c r="G489" s="271"/>
      <c r="H489" s="271"/>
      <c r="I489" s="271"/>
      <c r="J489" s="271"/>
      <c r="K489" s="271"/>
      <c r="L489" s="271"/>
      <c r="M489" s="271"/>
      <c r="N489"/>
    </row>
    <row r="490" spans="1:14">
      <c r="A490" s="350"/>
      <c r="B490" s="154"/>
      <c r="C490" s="62" t="s">
        <v>491</v>
      </c>
      <c r="D490" s="154" t="s">
        <v>58</v>
      </c>
      <c r="E490" s="270"/>
      <c r="F490" s="270">
        <f>F481</f>
        <v>5</v>
      </c>
      <c r="G490" s="271"/>
      <c r="H490" s="271"/>
      <c r="I490" s="271"/>
      <c r="J490" s="271"/>
      <c r="K490" s="271"/>
      <c r="L490" s="271"/>
      <c r="M490" s="271"/>
      <c r="N490"/>
    </row>
    <row r="491" spans="1:14">
      <c r="A491" s="350"/>
      <c r="B491" s="154"/>
      <c r="C491" s="62" t="s">
        <v>164</v>
      </c>
      <c r="D491" s="154" t="s">
        <v>58</v>
      </c>
      <c r="E491" s="270"/>
      <c r="F491" s="270">
        <f>F482</f>
        <v>10</v>
      </c>
      <c r="G491" s="271"/>
      <c r="H491" s="271"/>
      <c r="I491" s="271"/>
      <c r="J491" s="271"/>
      <c r="K491" s="271"/>
      <c r="L491" s="271"/>
      <c r="M491" s="271"/>
      <c r="N491"/>
    </row>
    <row r="492" spans="1:14">
      <c r="A492" s="350"/>
      <c r="B492" s="154"/>
      <c r="C492" s="66" t="s">
        <v>112</v>
      </c>
      <c r="D492" s="363" t="s">
        <v>43</v>
      </c>
      <c r="E492" s="270">
        <v>0.26</v>
      </c>
      <c r="F492" s="270">
        <f>F485*E492</f>
        <v>3.9000000000000004</v>
      </c>
      <c r="G492" s="271"/>
      <c r="H492" s="271"/>
      <c r="I492" s="271"/>
      <c r="J492" s="271"/>
      <c r="K492" s="271"/>
      <c r="L492" s="271"/>
      <c r="M492" s="271"/>
      <c r="N492"/>
    </row>
    <row r="493" spans="1:14">
      <c r="A493" s="345"/>
      <c r="B493" s="154"/>
      <c r="C493" s="66" t="s">
        <v>56</v>
      </c>
      <c r="D493" s="363" t="s">
        <v>6</v>
      </c>
      <c r="E493" s="270">
        <v>0.17899999999999999</v>
      </c>
      <c r="F493" s="270">
        <f>F485*E493</f>
        <v>2.6850000000000001</v>
      </c>
      <c r="G493" s="271"/>
      <c r="H493" s="271"/>
      <c r="I493" s="271"/>
      <c r="J493" s="271"/>
      <c r="K493" s="271"/>
      <c r="L493" s="271"/>
      <c r="M493" s="271"/>
      <c r="N493"/>
    </row>
    <row r="494" spans="1:14">
      <c r="A494" s="346"/>
      <c r="B494" s="154"/>
      <c r="C494" s="404"/>
      <c r="D494" s="154"/>
      <c r="E494" s="270"/>
      <c r="F494" s="270"/>
      <c r="G494" s="271"/>
      <c r="H494" s="271"/>
      <c r="I494" s="271"/>
      <c r="J494" s="271"/>
      <c r="K494" s="271"/>
      <c r="L494" s="271"/>
      <c r="M494" s="271"/>
      <c r="N494"/>
    </row>
    <row r="495" spans="1:14" ht="67.5">
      <c r="A495" s="590" t="s">
        <v>59</v>
      </c>
      <c r="B495" s="155" t="s">
        <v>137</v>
      </c>
      <c r="C495" s="62" t="s">
        <v>227</v>
      </c>
      <c r="D495" s="154" t="s">
        <v>11</v>
      </c>
      <c r="E495" s="270"/>
      <c r="F495" s="7">
        <v>5</v>
      </c>
      <c r="G495" s="271"/>
      <c r="H495" s="271"/>
      <c r="I495" s="271"/>
      <c r="J495" s="271"/>
      <c r="K495" s="271"/>
      <c r="L495" s="271"/>
      <c r="M495" s="271"/>
      <c r="N495"/>
    </row>
    <row r="496" spans="1:14" ht="27">
      <c r="A496" s="590"/>
      <c r="B496" s="154"/>
      <c r="C496" s="373" t="s">
        <v>60</v>
      </c>
      <c r="D496" s="28" t="s">
        <v>8</v>
      </c>
      <c r="E496" s="198">
        <v>0.6</v>
      </c>
      <c r="F496" s="374">
        <f>F495*E496</f>
        <v>3</v>
      </c>
      <c r="G496" s="375"/>
      <c r="H496" s="271"/>
      <c r="I496" s="375"/>
      <c r="J496" s="271"/>
      <c r="K496" s="271"/>
      <c r="L496" s="271"/>
      <c r="M496" s="271"/>
      <c r="N496"/>
    </row>
    <row r="497" spans="1:14" ht="27">
      <c r="A497" s="590"/>
      <c r="B497" s="53" t="s">
        <v>97</v>
      </c>
      <c r="C497" s="376" t="s">
        <v>61</v>
      </c>
      <c r="D497" s="154" t="s">
        <v>48</v>
      </c>
      <c r="E497" s="198"/>
      <c r="F497" s="377">
        <f>F495*1.65</f>
        <v>8.25</v>
      </c>
      <c r="G497" s="375"/>
      <c r="H497" s="271"/>
      <c r="I497" s="375"/>
      <c r="J497" s="271"/>
      <c r="K497" s="375"/>
      <c r="L497" s="271"/>
      <c r="M497" s="271"/>
      <c r="N497"/>
    </row>
    <row r="498" spans="1:14" ht="27">
      <c r="A498" s="590"/>
      <c r="B498" s="255"/>
      <c r="C498" s="378" t="s">
        <v>62</v>
      </c>
      <c r="D498" s="28" t="s">
        <v>8</v>
      </c>
      <c r="E498" s="198">
        <v>0.53</v>
      </c>
      <c r="F498" s="374">
        <f>F497*E498</f>
        <v>4.3725000000000005</v>
      </c>
      <c r="G498" s="375"/>
      <c r="H498" s="271"/>
      <c r="I498" s="375"/>
      <c r="J498" s="271"/>
      <c r="K498" s="375"/>
      <c r="L498" s="271"/>
      <c r="M498" s="271"/>
      <c r="N498"/>
    </row>
    <row r="499" spans="1:14">
      <c r="A499" s="590"/>
      <c r="B499" s="154" t="s">
        <v>138</v>
      </c>
      <c r="C499" s="379" t="s">
        <v>242</v>
      </c>
      <c r="D499" s="154" t="s">
        <v>48</v>
      </c>
      <c r="E499" s="198"/>
      <c r="F499" s="377">
        <f>F497</f>
        <v>8.25</v>
      </c>
      <c r="G499" s="375"/>
      <c r="H499" s="271"/>
      <c r="I499" s="375"/>
      <c r="J499" s="271"/>
      <c r="K499" s="65"/>
      <c r="L499" s="271"/>
      <c r="M499" s="271"/>
      <c r="N499"/>
    </row>
    <row r="500" spans="1:14">
      <c r="A500" s="346"/>
      <c r="B500" s="154"/>
      <c r="C500" s="62"/>
      <c r="D500" s="154"/>
      <c r="E500" s="270"/>
      <c r="F500" s="270"/>
      <c r="G500" s="271"/>
      <c r="H500" s="271"/>
      <c r="I500" s="271"/>
      <c r="J500" s="271"/>
      <c r="K500" s="271"/>
      <c r="L500" s="271"/>
      <c r="M500" s="271"/>
      <c r="N500"/>
    </row>
    <row r="501" spans="1:14">
      <c r="A501" s="346"/>
      <c r="B501" s="154"/>
      <c r="C501" s="62"/>
      <c r="D501" s="154"/>
      <c r="E501" s="270"/>
      <c r="F501" s="270"/>
      <c r="G501" s="271"/>
      <c r="H501" s="271"/>
      <c r="I501" s="271"/>
      <c r="J501" s="271"/>
      <c r="K501" s="271"/>
      <c r="L501" s="271"/>
      <c r="M501" s="271"/>
      <c r="N501"/>
    </row>
    <row r="502" spans="1:14">
      <c r="A502" s="292"/>
      <c r="B502" s="237"/>
      <c r="C502" s="237" t="s">
        <v>381</v>
      </c>
      <c r="D502" s="237"/>
      <c r="E502" s="238"/>
      <c r="F502" s="238"/>
      <c r="G502" s="405"/>
      <c r="H502" s="405"/>
      <c r="I502" s="405"/>
      <c r="J502" s="405"/>
      <c r="K502" s="405"/>
      <c r="L502" s="405"/>
      <c r="M502" s="405"/>
      <c r="N502" s="538">
        <f>H502+J502+L502</f>
        <v>0</v>
      </c>
    </row>
    <row r="503" spans="1:14">
      <c r="A503" s="293"/>
      <c r="B503" s="203"/>
      <c r="C503" s="253" t="s">
        <v>253</v>
      </c>
      <c r="D503" s="203"/>
      <c r="E503" s="205"/>
      <c r="F503" s="406" t="s">
        <v>554</v>
      </c>
      <c r="G503" s="407"/>
      <c r="H503" s="407"/>
      <c r="I503" s="407"/>
      <c r="J503" s="407"/>
      <c r="K503" s="407"/>
      <c r="L503" s="407"/>
      <c r="M503" s="408"/>
      <c r="N503"/>
    </row>
    <row r="504" spans="1:14">
      <c r="A504" s="293"/>
      <c r="B504" s="203"/>
      <c r="C504" s="409" t="s">
        <v>19</v>
      </c>
      <c r="D504" s="203"/>
      <c r="E504" s="205"/>
      <c r="F504" s="205"/>
      <c r="G504" s="407"/>
      <c r="H504" s="407"/>
      <c r="I504" s="407"/>
      <c r="J504" s="407"/>
      <c r="K504" s="407"/>
      <c r="L504" s="407"/>
      <c r="M504" s="408"/>
      <c r="N504"/>
    </row>
    <row r="505" spans="1:14">
      <c r="A505" s="294"/>
      <c r="B505" s="212"/>
      <c r="C505" s="214" t="s">
        <v>254</v>
      </c>
      <c r="D505" s="214"/>
      <c r="E505" s="215"/>
      <c r="F505" s="410" t="s">
        <v>554</v>
      </c>
      <c r="G505" s="411"/>
      <c r="H505" s="411"/>
      <c r="I505" s="411"/>
      <c r="J505" s="411"/>
      <c r="K505" s="411"/>
      <c r="L505" s="411"/>
      <c r="M505" s="411"/>
      <c r="N505"/>
    </row>
    <row r="506" spans="1:14">
      <c r="A506" s="295"/>
      <c r="B506" s="218"/>
      <c r="C506" s="409" t="s">
        <v>19</v>
      </c>
      <c r="D506" s="219"/>
      <c r="E506" s="220"/>
      <c r="F506" s="412"/>
      <c r="G506" s="413"/>
      <c r="H506" s="413"/>
      <c r="I506" s="413"/>
      <c r="J506" s="413"/>
      <c r="K506" s="413"/>
      <c r="L506" s="413"/>
      <c r="M506" s="413"/>
      <c r="N506"/>
    </row>
    <row r="507" spans="1:14">
      <c r="A507" s="295"/>
      <c r="B507" s="218"/>
      <c r="C507" s="219" t="s">
        <v>82</v>
      </c>
      <c r="D507" s="219"/>
      <c r="E507" s="220"/>
      <c r="F507" s="414" t="s">
        <v>554</v>
      </c>
      <c r="G507" s="413"/>
      <c r="H507" s="413"/>
      <c r="I507" s="413"/>
      <c r="J507" s="413"/>
      <c r="K507" s="413"/>
      <c r="L507" s="413"/>
      <c r="M507" s="413"/>
      <c r="N507"/>
    </row>
    <row r="508" spans="1:14">
      <c r="A508" s="296"/>
      <c r="B508" s="225"/>
      <c r="C508" s="237" t="s">
        <v>380</v>
      </c>
      <c r="D508" s="227"/>
      <c r="E508" s="228"/>
      <c r="F508" s="415"/>
      <c r="G508" s="416"/>
      <c r="H508" s="416"/>
      <c r="I508" s="416"/>
      <c r="J508" s="416"/>
      <c r="K508" s="416"/>
      <c r="L508" s="416"/>
      <c r="M508" s="417"/>
      <c r="N508"/>
    </row>
    <row r="509" spans="1:14">
      <c r="A509" s="346"/>
      <c r="B509" s="154"/>
      <c r="C509" s="439"/>
      <c r="D509" s="154"/>
      <c r="E509" s="270"/>
      <c r="F509" s="270"/>
      <c r="G509" s="271"/>
      <c r="H509" s="440"/>
      <c r="I509" s="440"/>
      <c r="J509" s="271"/>
      <c r="K509" s="271"/>
      <c r="L509" s="271"/>
      <c r="M509" s="271"/>
      <c r="N509"/>
    </row>
    <row r="510" spans="1:14" ht="54">
      <c r="A510" s="283" t="s">
        <v>409</v>
      </c>
      <c r="B510" s="283"/>
      <c r="C510" s="283" t="s">
        <v>473</v>
      </c>
      <c r="D510" s="283"/>
      <c r="E510" s="371"/>
      <c r="F510" s="286"/>
      <c r="G510" s="371"/>
      <c r="H510" s="286"/>
      <c r="I510" s="371"/>
      <c r="J510" s="286"/>
      <c r="K510" s="371"/>
      <c r="L510" s="286"/>
      <c r="M510" s="371"/>
      <c r="N510"/>
    </row>
    <row r="511" spans="1:14" ht="27">
      <c r="A511" s="287"/>
      <c r="B511" s="92"/>
      <c r="C511" s="92" t="s">
        <v>262</v>
      </c>
      <c r="D511" s="92"/>
      <c r="E511" s="372"/>
      <c r="F511" s="372"/>
      <c r="G511" s="271"/>
      <c r="H511" s="271"/>
      <c r="I511" s="271"/>
      <c r="J511" s="271"/>
      <c r="K511" s="271"/>
      <c r="L511" s="271"/>
      <c r="M511" s="271"/>
      <c r="N511"/>
    </row>
    <row r="512" spans="1:14" ht="27">
      <c r="A512" s="610">
        <v>1</v>
      </c>
      <c r="B512" s="154" t="s">
        <v>132</v>
      </c>
      <c r="C512" s="267" t="s">
        <v>312</v>
      </c>
      <c r="D512" s="7" t="s">
        <v>50</v>
      </c>
      <c r="E512" s="270"/>
      <c r="F512" s="7">
        <f>'7777'!G77</f>
        <v>25</v>
      </c>
      <c r="G512" s="271"/>
      <c r="H512" s="271"/>
      <c r="I512" s="271"/>
      <c r="J512" s="271"/>
      <c r="K512" s="271"/>
      <c r="L512" s="271"/>
      <c r="M512" s="271"/>
      <c r="N512"/>
    </row>
    <row r="513" spans="1:14" ht="27">
      <c r="A513" s="612"/>
      <c r="B513" s="154"/>
      <c r="C513" s="96" t="s">
        <v>60</v>
      </c>
      <c r="D513" s="270" t="s">
        <v>8</v>
      </c>
      <c r="E513" s="270">
        <v>0.78500000000000003</v>
      </c>
      <c r="F513" s="270">
        <f>F512*E513</f>
        <v>19.625</v>
      </c>
      <c r="G513" s="271"/>
      <c r="H513" s="271"/>
      <c r="I513" s="271"/>
      <c r="J513" s="271"/>
      <c r="K513" s="271"/>
      <c r="L513" s="271"/>
      <c r="M513" s="271"/>
      <c r="N513"/>
    </row>
    <row r="514" spans="1:14" ht="40.5">
      <c r="A514" s="610">
        <v>2</v>
      </c>
      <c r="B514" s="154" t="s">
        <v>133</v>
      </c>
      <c r="C514" s="267" t="s">
        <v>264</v>
      </c>
      <c r="D514" s="7" t="s">
        <v>54</v>
      </c>
      <c r="E514" s="270"/>
      <c r="F514" s="7">
        <f>'7777'!G76</f>
        <v>50</v>
      </c>
      <c r="G514" s="271"/>
      <c r="H514" s="271"/>
      <c r="I514" s="271"/>
      <c r="J514" s="271"/>
      <c r="K514" s="271"/>
      <c r="L514" s="271"/>
      <c r="M514" s="271"/>
      <c r="N514"/>
    </row>
    <row r="515" spans="1:14" ht="27">
      <c r="A515" s="611"/>
      <c r="B515" s="154"/>
      <c r="C515" s="96" t="s">
        <v>60</v>
      </c>
      <c r="D515" s="270" t="s">
        <v>8</v>
      </c>
      <c r="E515" s="270">
        <v>0.32300000000000001</v>
      </c>
      <c r="F515" s="270">
        <f>F514*E515</f>
        <v>16.150000000000002</v>
      </c>
      <c r="G515" s="271"/>
      <c r="H515" s="271"/>
      <c r="I515" s="271"/>
      <c r="J515" s="271"/>
      <c r="K515" s="271"/>
      <c r="L515" s="271"/>
      <c r="M515" s="271"/>
      <c r="N515"/>
    </row>
    <row r="516" spans="1:14">
      <c r="A516" s="612"/>
      <c r="B516" s="154"/>
      <c r="C516" s="97" t="s">
        <v>17</v>
      </c>
      <c r="D516" s="270" t="s">
        <v>6</v>
      </c>
      <c r="E516" s="270">
        <v>2.1499999999999998E-2</v>
      </c>
      <c r="F516" s="270">
        <f>F514*E516</f>
        <v>1.075</v>
      </c>
      <c r="G516" s="271"/>
      <c r="H516" s="271"/>
      <c r="I516" s="271"/>
      <c r="J516" s="271"/>
      <c r="K516" s="271"/>
      <c r="L516" s="271"/>
      <c r="M516" s="271"/>
      <c r="N516"/>
    </row>
    <row r="517" spans="1:14" ht="27">
      <c r="A517" s="610">
        <v>3</v>
      </c>
      <c r="B517" s="154" t="s">
        <v>134</v>
      </c>
      <c r="C517" s="267" t="s">
        <v>135</v>
      </c>
      <c r="D517" s="7" t="s">
        <v>43</v>
      </c>
      <c r="E517" s="270"/>
      <c r="F517" s="7">
        <f>F514*0.03</f>
        <v>1.5</v>
      </c>
      <c r="G517" s="271"/>
      <c r="H517" s="271"/>
      <c r="I517" s="271"/>
      <c r="J517" s="271"/>
      <c r="K517" s="271"/>
      <c r="L517" s="271"/>
      <c r="M517" s="271"/>
      <c r="N517"/>
    </row>
    <row r="518" spans="1:14" ht="27">
      <c r="A518" s="611"/>
      <c r="B518" s="154"/>
      <c r="C518" s="96" t="s">
        <v>60</v>
      </c>
      <c r="D518" s="270" t="s">
        <v>8</v>
      </c>
      <c r="E518" s="270">
        <v>7.3</v>
      </c>
      <c r="F518" s="270">
        <f>F517*E518</f>
        <v>10.95</v>
      </c>
      <c r="G518" s="271"/>
      <c r="H518" s="271"/>
      <c r="I518" s="271"/>
      <c r="J518" s="271"/>
      <c r="K518" s="271"/>
      <c r="L518" s="271"/>
      <c r="M518" s="271"/>
      <c r="N518"/>
    </row>
    <row r="519" spans="1:14">
      <c r="A519" s="612"/>
      <c r="B519" s="154"/>
      <c r="C519" s="97" t="s">
        <v>17</v>
      </c>
      <c r="D519" s="270" t="s">
        <v>6</v>
      </c>
      <c r="E519" s="270">
        <v>2.9</v>
      </c>
      <c r="F519" s="270">
        <f>F517*E519</f>
        <v>4.3499999999999996</v>
      </c>
      <c r="G519" s="271"/>
      <c r="H519" s="271"/>
      <c r="I519" s="271"/>
      <c r="J519" s="271"/>
      <c r="K519" s="271"/>
      <c r="L519" s="271"/>
      <c r="M519" s="271"/>
      <c r="N519"/>
    </row>
    <row r="520" spans="1:14" ht="40.5">
      <c r="A520" s="610">
        <v>4</v>
      </c>
      <c r="B520" s="154" t="s">
        <v>133</v>
      </c>
      <c r="C520" s="267" t="s">
        <v>420</v>
      </c>
      <c r="D520" s="7" t="s">
        <v>54</v>
      </c>
      <c r="E520" s="270"/>
      <c r="F520" s="7">
        <f>'7777'!G73</f>
        <v>55</v>
      </c>
      <c r="G520" s="271"/>
      <c r="H520" s="271"/>
      <c r="I520" s="271"/>
      <c r="J520" s="271"/>
      <c r="K520" s="271"/>
      <c r="L520" s="271"/>
      <c r="M520" s="271"/>
      <c r="N520"/>
    </row>
    <row r="521" spans="1:14" ht="27">
      <c r="A521" s="611"/>
      <c r="B521" s="154"/>
      <c r="C521" s="96" t="s">
        <v>60</v>
      </c>
      <c r="D521" s="270" t="s">
        <v>8</v>
      </c>
      <c r="E521" s="270">
        <v>0.32300000000000001</v>
      </c>
      <c r="F521" s="270">
        <f>F520*E521</f>
        <v>17.765000000000001</v>
      </c>
      <c r="G521" s="271"/>
      <c r="H521" s="271"/>
      <c r="I521" s="271"/>
      <c r="J521" s="271"/>
      <c r="K521" s="271"/>
      <c r="L521" s="271"/>
      <c r="M521" s="271"/>
      <c r="N521"/>
    </row>
    <row r="522" spans="1:14">
      <c r="A522" s="612"/>
      <c r="B522" s="154"/>
      <c r="C522" s="97" t="s">
        <v>17</v>
      </c>
      <c r="D522" s="270" t="s">
        <v>6</v>
      </c>
      <c r="E522" s="270">
        <v>2.1499999999999998E-2</v>
      </c>
      <c r="F522" s="270">
        <f>F520*E522</f>
        <v>1.1824999999999999</v>
      </c>
      <c r="G522" s="271"/>
      <c r="H522" s="271"/>
      <c r="I522" s="271"/>
      <c r="J522" s="271"/>
      <c r="K522" s="271"/>
      <c r="L522" s="271"/>
      <c r="M522" s="271"/>
      <c r="N522"/>
    </row>
    <row r="523" spans="1:14" ht="27">
      <c r="A523" s="610">
        <v>5</v>
      </c>
      <c r="B523" s="154" t="s">
        <v>134</v>
      </c>
      <c r="C523" s="267" t="s">
        <v>135</v>
      </c>
      <c r="D523" s="7" t="s">
        <v>43</v>
      </c>
      <c r="E523" s="270"/>
      <c r="F523" s="7">
        <f>F520*0.03</f>
        <v>1.65</v>
      </c>
      <c r="G523" s="271"/>
      <c r="H523" s="271"/>
      <c r="I523" s="271"/>
      <c r="J523" s="271"/>
      <c r="K523" s="271"/>
      <c r="L523" s="271"/>
      <c r="M523" s="271"/>
      <c r="N523"/>
    </row>
    <row r="524" spans="1:14" ht="27">
      <c r="A524" s="611"/>
      <c r="B524" s="154"/>
      <c r="C524" s="96" t="s">
        <v>60</v>
      </c>
      <c r="D524" s="270" t="s">
        <v>8</v>
      </c>
      <c r="E524" s="270">
        <v>7.3</v>
      </c>
      <c r="F524" s="270">
        <f>F523*E524</f>
        <v>12.045</v>
      </c>
      <c r="G524" s="271"/>
      <c r="H524" s="271"/>
      <c r="I524" s="271"/>
      <c r="J524" s="271"/>
      <c r="K524" s="271"/>
      <c r="L524" s="271"/>
      <c r="M524" s="271"/>
      <c r="N524"/>
    </row>
    <row r="525" spans="1:14">
      <c r="A525" s="612"/>
      <c r="B525" s="154"/>
      <c r="C525" s="97" t="s">
        <v>17</v>
      </c>
      <c r="D525" s="270" t="s">
        <v>6</v>
      </c>
      <c r="E525" s="270">
        <v>2.9</v>
      </c>
      <c r="F525" s="270">
        <f>F523*E525</f>
        <v>4.7849999999999993</v>
      </c>
      <c r="G525" s="271"/>
      <c r="H525" s="271"/>
      <c r="I525" s="271"/>
      <c r="J525" s="271"/>
      <c r="K525" s="271"/>
      <c r="L525" s="271"/>
      <c r="M525" s="271"/>
      <c r="N525"/>
    </row>
    <row r="526" spans="1:14" ht="27">
      <c r="A526" s="610">
        <v>7</v>
      </c>
      <c r="B526" s="154" t="s">
        <v>423</v>
      </c>
      <c r="C526" s="62" t="s">
        <v>422</v>
      </c>
      <c r="D526" s="154" t="s">
        <v>43</v>
      </c>
      <c r="E526" s="310"/>
      <c r="F526" s="7">
        <v>5</v>
      </c>
      <c r="G526" s="271"/>
      <c r="H526" s="271"/>
      <c r="I526" s="271"/>
      <c r="J526" s="271"/>
      <c r="K526" s="271"/>
      <c r="L526" s="271"/>
      <c r="M526" s="271"/>
      <c r="N526"/>
    </row>
    <row r="527" spans="1:14" ht="27">
      <c r="A527" s="611"/>
      <c r="B527" s="154"/>
      <c r="C527" s="66" t="s">
        <v>60</v>
      </c>
      <c r="D527" s="363" t="s">
        <v>8</v>
      </c>
      <c r="E527" s="198">
        <v>4.8</v>
      </c>
      <c r="F527" s="270">
        <f>F526*E527</f>
        <v>24</v>
      </c>
      <c r="G527" s="271"/>
      <c r="H527" s="271"/>
      <c r="I527" s="271"/>
      <c r="J527" s="271"/>
      <c r="K527" s="271"/>
      <c r="L527" s="271"/>
      <c r="M527" s="271"/>
      <c r="N527"/>
    </row>
    <row r="528" spans="1:14">
      <c r="A528" s="612"/>
      <c r="B528" s="154"/>
      <c r="C528" s="66" t="s">
        <v>17</v>
      </c>
      <c r="D528" s="363" t="s">
        <v>6</v>
      </c>
      <c r="E528" s="1">
        <v>1.1000000000000001</v>
      </c>
      <c r="F528" s="270">
        <f>F526*E528</f>
        <v>5.5</v>
      </c>
      <c r="G528" s="271"/>
      <c r="H528" s="271"/>
      <c r="I528" s="271"/>
      <c r="J528" s="271"/>
      <c r="K528" s="271"/>
      <c r="L528" s="271"/>
      <c r="M528" s="271"/>
      <c r="N528"/>
    </row>
    <row r="529" spans="1:14" ht="40.5">
      <c r="A529" s="356">
        <v>8</v>
      </c>
      <c r="B529" s="154" t="s">
        <v>18</v>
      </c>
      <c r="C529" s="62" t="s">
        <v>424</v>
      </c>
      <c r="D529" s="154" t="s">
        <v>50</v>
      </c>
      <c r="E529" s="310"/>
      <c r="F529" s="7">
        <f>'7777'!G89</f>
        <v>85</v>
      </c>
      <c r="G529" s="271"/>
      <c r="H529" s="271"/>
      <c r="I529" s="271"/>
      <c r="J529" s="271"/>
      <c r="K529" s="271"/>
      <c r="L529" s="271"/>
      <c r="M529" s="271"/>
      <c r="N529"/>
    </row>
    <row r="530" spans="1:14" ht="40.5">
      <c r="A530" s="356">
        <v>9</v>
      </c>
      <c r="B530" s="154" t="s">
        <v>18</v>
      </c>
      <c r="C530" s="268" t="s">
        <v>425</v>
      </c>
      <c r="D530" s="7" t="s">
        <v>58</v>
      </c>
      <c r="E530" s="7"/>
      <c r="F530" s="7">
        <f>'7777'!G84</f>
        <v>23</v>
      </c>
      <c r="G530" s="271"/>
      <c r="H530" s="271"/>
      <c r="I530" s="271"/>
      <c r="J530" s="271"/>
      <c r="K530" s="271"/>
      <c r="L530" s="271"/>
      <c r="M530" s="271"/>
      <c r="N530"/>
    </row>
    <row r="531" spans="1:14" ht="54">
      <c r="A531" s="590" t="s">
        <v>59</v>
      </c>
      <c r="B531" s="155" t="s">
        <v>137</v>
      </c>
      <c r="C531" s="62" t="s">
        <v>221</v>
      </c>
      <c r="D531" s="154" t="s">
        <v>11</v>
      </c>
      <c r="E531" s="270"/>
      <c r="F531" s="7">
        <f>F512*0.15*0.3+F514*0.03+F517+F520*0.03+F523+F526+  3</f>
        <v>15.425000000000001</v>
      </c>
      <c r="G531" s="271"/>
      <c r="H531" s="271"/>
      <c r="I531" s="271"/>
      <c r="J531" s="271"/>
      <c r="K531" s="271"/>
      <c r="L531" s="271"/>
      <c r="M531" s="271"/>
      <c r="N531"/>
    </row>
    <row r="532" spans="1:14" ht="27">
      <c r="A532" s="590"/>
      <c r="B532" s="154"/>
      <c r="C532" s="373" t="s">
        <v>60</v>
      </c>
      <c r="D532" s="28" t="s">
        <v>8</v>
      </c>
      <c r="E532" s="198">
        <v>0.6</v>
      </c>
      <c r="F532" s="374">
        <f>F531*E532</f>
        <v>9.2550000000000008</v>
      </c>
      <c r="G532" s="375"/>
      <c r="H532" s="271"/>
      <c r="I532" s="375"/>
      <c r="J532" s="271"/>
      <c r="K532" s="271"/>
      <c r="L532" s="271"/>
      <c r="M532" s="271"/>
      <c r="N532"/>
    </row>
    <row r="533" spans="1:14" ht="27">
      <c r="A533" s="590"/>
      <c r="B533" s="155" t="s">
        <v>97</v>
      </c>
      <c r="C533" s="376" t="s">
        <v>220</v>
      </c>
      <c r="D533" s="154" t="s">
        <v>48</v>
      </c>
      <c r="E533" s="198"/>
      <c r="F533" s="377">
        <f>F512*0.15*0.3*2+F514*0.03*2.2+F517*2.4+F520*0.03*2.2+F523*2.4+F526*2.2+  3*2</f>
        <v>33.74</v>
      </c>
      <c r="G533" s="375"/>
      <c r="H533" s="271"/>
      <c r="I533" s="375"/>
      <c r="J533" s="271"/>
      <c r="K533" s="375"/>
      <c r="L533" s="271"/>
      <c r="M533" s="271"/>
      <c r="N533"/>
    </row>
    <row r="534" spans="1:14" ht="27">
      <c r="A534" s="590"/>
      <c r="B534" s="255"/>
      <c r="C534" s="378" t="s">
        <v>62</v>
      </c>
      <c r="D534" s="28" t="s">
        <v>8</v>
      </c>
      <c r="E534" s="198">
        <v>0.53</v>
      </c>
      <c r="F534" s="374">
        <f>F533*E534</f>
        <v>17.882200000000001</v>
      </c>
      <c r="G534" s="375"/>
      <c r="H534" s="271"/>
      <c r="I534" s="375"/>
      <c r="J534" s="271"/>
      <c r="K534" s="375"/>
      <c r="L534" s="271"/>
      <c r="M534" s="271"/>
      <c r="N534"/>
    </row>
    <row r="535" spans="1:14">
      <c r="A535" s="590"/>
      <c r="B535" s="154" t="s">
        <v>138</v>
      </c>
      <c r="C535" s="379" t="s">
        <v>224</v>
      </c>
      <c r="D535" s="154" t="s">
        <v>48</v>
      </c>
      <c r="E535" s="198"/>
      <c r="F535" s="377">
        <f>F533</f>
        <v>33.74</v>
      </c>
      <c r="G535" s="375"/>
      <c r="H535" s="271"/>
      <c r="I535" s="375"/>
      <c r="J535" s="271"/>
      <c r="K535" s="375"/>
      <c r="L535" s="271"/>
      <c r="M535" s="271"/>
      <c r="N535"/>
    </row>
    <row r="536" spans="1:14">
      <c r="A536" s="289"/>
      <c r="B536" s="106"/>
      <c r="C536" s="380"/>
      <c r="D536" s="105"/>
      <c r="E536" s="381"/>
      <c r="F536" s="381"/>
      <c r="G536" s="64"/>
      <c r="H536" s="271"/>
      <c r="I536" s="64"/>
      <c r="J536" s="271"/>
      <c r="K536" s="65"/>
      <c r="L536" s="271"/>
      <c r="M536" s="271"/>
      <c r="N536"/>
    </row>
    <row r="537" spans="1:14">
      <c r="A537" s="287"/>
      <c r="B537" s="92"/>
      <c r="C537" s="92" t="s">
        <v>139</v>
      </c>
      <c r="D537" s="92"/>
      <c r="E537" s="372"/>
      <c r="F537" s="372"/>
      <c r="G537" s="271"/>
      <c r="H537" s="271"/>
      <c r="I537" s="271"/>
      <c r="J537" s="271"/>
      <c r="K537" s="271"/>
      <c r="L537" s="271"/>
      <c r="M537" s="271"/>
      <c r="N537"/>
    </row>
    <row r="538" spans="1:14" ht="42" customHeight="1">
      <c r="A538" s="617" t="s">
        <v>95</v>
      </c>
      <c r="B538" s="620" t="s">
        <v>225</v>
      </c>
      <c r="C538" s="432" t="s">
        <v>352</v>
      </c>
      <c r="D538" s="196" t="s">
        <v>50</v>
      </c>
      <c r="E538" s="311"/>
      <c r="F538" s="433">
        <f>'7777'!G73</f>
        <v>55</v>
      </c>
      <c r="G538" s="271"/>
      <c r="H538" s="271"/>
      <c r="I538" s="271"/>
      <c r="J538" s="271"/>
      <c r="K538" s="271"/>
      <c r="L538" s="271"/>
      <c r="M538" s="271"/>
      <c r="N538"/>
    </row>
    <row r="539" spans="1:14">
      <c r="A539" s="618"/>
      <c r="B539" s="621"/>
      <c r="C539" s="434"/>
      <c r="D539" s="196" t="s">
        <v>54</v>
      </c>
      <c r="E539" s="311"/>
      <c r="F539" s="433">
        <f>F538*0.5</f>
        <v>27.5</v>
      </c>
      <c r="G539" s="271"/>
      <c r="H539" s="271"/>
      <c r="I539" s="271"/>
      <c r="J539" s="271"/>
      <c r="K539" s="271"/>
      <c r="L539" s="271"/>
      <c r="M539" s="271"/>
      <c r="N539"/>
    </row>
    <row r="540" spans="1:14" ht="27">
      <c r="A540" s="618"/>
      <c r="B540" s="150"/>
      <c r="C540" s="386" t="s">
        <v>42</v>
      </c>
      <c r="D540" s="200" t="s">
        <v>8</v>
      </c>
      <c r="E540" s="13">
        <v>7.6</v>
      </c>
      <c r="F540" s="13">
        <f>F539*E540</f>
        <v>209</v>
      </c>
      <c r="G540" s="63"/>
      <c r="H540" s="63"/>
      <c r="I540" s="63"/>
      <c r="J540" s="63"/>
      <c r="K540" s="63"/>
      <c r="L540" s="61"/>
      <c r="M540" s="61"/>
      <c r="N540"/>
    </row>
    <row r="541" spans="1:14">
      <c r="A541" s="618"/>
      <c r="B541" s="150"/>
      <c r="C541" s="386" t="s">
        <v>17</v>
      </c>
      <c r="D541" s="200" t="s">
        <v>6</v>
      </c>
      <c r="E541" s="13">
        <v>0.2</v>
      </c>
      <c r="F541" s="13">
        <f>F539*E541</f>
        <v>5.5</v>
      </c>
      <c r="G541" s="63"/>
      <c r="H541" s="63"/>
      <c r="I541" s="63"/>
      <c r="J541" s="63"/>
      <c r="K541" s="63"/>
      <c r="L541" s="61"/>
      <c r="M541" s="61"/>
      <c r="N541"/>
    </row>
    <row r="542" spans="1:14">
      <c r="A542" s="618"/>
      <c r="B542" s="150"/>
      <c r="C542" s="386" t="s">
        <v>243</v>
      </c>
      <c r="D542" s="200" t="s">
        <v>54</v>
      </c>
      <c r="E542" s="13">
        <v>1</v>
      </c>
      <c r="F542" s="13">
        <f>F539*E542</f>
        <v>27.5</v>
      </c>
      <c r="G542" s="63"/>
      <c r="H542" s="63"/>
      <c r="I542" s="63"/>
      <c r="J542" s="63"/>
      <c r="K542" s="63"/>
      <c r="L542" s="61"/>
      <c r="M542" s="61"/>
      <c r="N542"/>
    </row>
    <row r="543" spans="1:14">
      <c r="A543" s="618"/>
      <c r="B543" s="150"/>
      <c r="C543" s="386" t="s">
        <v>240</v>
      </c>
      <c r="D543" s="200" t="s">
        <v>43</v>
      </c>
      <c r="E543" s="13">
        <v>3.5999999999999997E-2</v>
      </c>
      <c r="F543" s="13">
        <f>F539*E543</f>
        <v>0.98999999999999988</v>
      </c>
      <c r="G543" s="63"/>
      <c r="H543" s="63"/>
      <c r="I543" s="63"/>
      <c r="J543" s="63"/>
      <c r="K543" s="63"/>
      <c r="L543" s="61"/>
      <c r="M543" s="61"/>
      <c r="N543"/>
    </row>
    <row r="544" spans="1:14">
      <c r="A544" s="619"/>
      <c r="B544" s="150"/>
      <c r="C544" s="386" t="s">
        <v>56</v>
      </c>
      <c r="D544" s="200" t="s">
        <v>6</v>
      </c>
      <c r="E544" s="13">
        <v>0.09</v>
      </c>
      <c r="F544" s="13">
        <f>F539*E544</f>
        <v>2.4750000000000001</v>
      </c>
      <c r="G544" s="63"/>
      <c r="H544" s="63"/>
      <c r="I544" s="63"/>
      <c r="J544" s="63"/>
      <c r="K544" s="63"/>
      <c r="L544" s="61"/>
      <c r="M544" s="61"/>
      <c r="N544"/>
    </row>
    <row r="545" spans="1:14" ht="27">
      <c r="A545" s="259" t="s">
        <v>87</v>
      </c>
      <c r="B545" s="55"/>
      <c r="C545" s="55" t="s">
        <v>317</v>
      </c>
      <c r="D545" s="55" t="s">
        <v>50</v>
      </c>
      <c r="E545" s="341"/>
      <c r="F545" s="341">
        <f>'7777'!G77</f>
        <v>25</v>
      </c>
      <c r="G545" s="271"/>
      <c r="H545" s="271"/>
      <c r="I545" s="271"/>
      <c r="J545" s="271"/>
      <c r="K545" s="271"/>
      <c r="L545" s="271"/>
      <c r="M545" s="271"/>
      <c r="N545"/>
    </row>
    <row r="546" spans="1:14" ht="27">
      <c r="A546" s="591" t="s">
        <v>98</v>
      </c>
      <c r="B546" s="154" t="s">
        <v>67</v>
      </c>
      <c r="C546" s="62" t="s">
        <v>318</v>
      </c>
      <c r="D546" s="154" t="s">
        <v>43</v>
      </c>
      <c r="E546" s="270"/>
      <c r="F546" s="7">
        <f>0.15*(0.1+0.1)*F545</f>
        <v>0.75</v>
      </c>
      <c r="G546" s="271"/>
      <c r="H546" s="271"/>
      <c r="I546" s="271"/>
      <c r="J546" s="271"/>
      <c r="K546" s="271"/>
      <c r="L546" s="271"/>
      <c r="M546" s="271"/>
      <c r="N546"/>
    </row>
    <row r="547" spans="1:14" ht="27">
      <c r="A547" s="592"/>
      <c r="B547" s="256"/>
      <c r="C547" s="387" t="s">
        <v>42</v>
      </c>
      <c r="D547" s="366" t="s">
        <v>8</v>
      </c>
      <c r="E547" s="165">
        <v>2.06</v>
      </c>
      <c r="F547" s="165">
        <f>E547*F546</f>
        <v>1.5449999999999999</v>
      </c>
      <c r="G547" s="388"/>
      <c r="H547" s="271"/>
      <c r="I547" s="388"/>
      <c r="J547" s="271"/>
      <c r="K547" s="271"/>
      <c r="L547" s="271"/>
      <c r="M547" s="271"/>
      <c r="N547"/>
    </row>
    <row r="548" spans="1:14" ht="27">
      <c r="A548" s="599" t="s">
        <v>79</v>
      </c>
      <c r="B548" s="53" t="s">
        <v>97</v>
      </c>
      <c r="C548" s="376" t="s">
        <v>223</v>
      </c>
      <c r="D548" s="154" t="s">
        <v>48</v>
      </c>
      <c r="E548" s="198"/>
      <c r="F548" s="377">
        <f>F546*1.95</f>
        <v>1.4624999999999999</v>
      </c>
      <c r="G548" s="375"/>
      <c r="H548" s="271"/>
      <c r="I548" s="375"/>
      <c r="J548" s="271"/>
      <c r="K548" s="375"/>
      <c r="L548" s="271"/>
      <c r="M548" s="271"/>
      <c r="N548"/>
    </row>
    <row r="549" spans="1:14" ht="27">
      <c r="A549" s="600"/>
      <c r="B549" s="255"/>
      <c r="C549" s="378" t="s">
        <v>62</v>
      </c>
      <c r="D549" s="28" t="s">
        <v>8</v>
      </c>
      <c r="E549" s="198">
        <v>0.53</v>
      </c>
      <c r="F549" s="374">
        <f>F548*E549</f>
        <v>0.77512499999999995</v>
      </c>
      <c r="G549" s="375"/>
      <c r="H549" s="271"/>
      <c r="I549" s="375"/>
      <c r="J549" s="271"/>
      <c r="K549" s="375"/>
      <c r="L549" s="271"/>
      <c r="M549" s="271"/>
      <c r="N549"/>
    </row>
    <row r="550" spans="1:14">
      <c r="A550" s="601"/>
      <c r="B550" s="154" t="s">
        <v>138</v>
      </c>
      <c r="C550" s="379" t="s">
        <v>224</v>
      </c>
      <c r="D550" s="154" t="s">
        <v>48</v>
      </c>
      <c r="E550" s="198"/>
      <c r="F550" s="377">
        <f>F548</f>
        <v>1.4624999999999999</v>
      </c>
      <c r="G550" s="375"/>
      <c r="H550" s="271"/>
      <c r="I550" s="375"/>
      <c r="J550" s="271"/>
      <c r="K550" s="375"/>
      <c r="L550" s="271"/>
      <c r="M550" s="271"/>
      <c r="N550"/>
    </row>
    <row r="551" spans="1:14" ht="15.75">
      <c r="A551" s="622" t="s">
        <v>99</v>
      </c>
      <c r="B551" s="154" t="s">
        <v>147</v>
      </c>
      <c r="C551" s="62" t="s">
        <v>319</v>
      </c>
      <c r="D551" s="154" t="s">
        <v>37</v>
      </c>
      <c r="E551" s="270"/>
      <c r="F551" s="7">
        <f>0.15*0.1*F545</f>
        <v>0.375</v>
      </c>
      <c r="G551" s="271"/>
      <c r="H551" s="271"/>
      <c r="I551" s="271"/>
      <c r="J551" s="271"/>
      <c r="K551" s="271"/>
      <c r="L551" s="271"/>
      <c r="M551" s="271"/>
      <c r="N551"/>
    </row>
    <row r="552" spans="1:14">
      <c r="A552" s="622"/>
      <c r="B552" s="154"/>
      <c r="C552" s="66" t="s">
        <v>13</v>
      </c>
      <c r="D552" s="363" t="s">
        <v>14</v>
      </c>
      <c r="E552" s="270">
        <v>0.15</v>
      </c>
      <c r="F552" s="270">
        <f>E552*F551</f>
        <v>5.6249999999999994E-2</v>
      </c>
      <c r="G552" s="271"/>
      <c r="H552" s="271"/>
      <c r="I552" s="271"/>
      <c r="J552" s="271"/>
      <c r="K552" s="271"/>
      <c r="L552" s="271"/>
      <c r="M552" s="271"/>
      <c r="N552"/>
    </row>
    <row r="553" spans="1:14">
      <c r="A553" s="622"/>
      <c r="B553" s="154" t="s">
        <v>32</v>
      </c>
      <c r="C553" s="66" t="s">
        <v>148</v>
      </c>
      <c r="D553" s="363" t="s">
        <v>15</v>
      </c>
      <c r="E553" s="270">
        <v>2.1600000000000001E-2</v>
      </c>
      <c r="F553" s="270">
        <f>E553*F551</f>
        <v>8.0999999999999996E-3</v>
      </c>
      <c r="G553" s="271"/>
      <c r="H553" s="271"/>
      <c r="I553" s="271"/>
      <c r="J553" s="271"/>
      <c r="K553" s="532"/>
      <c r="L553" s="271"/>
      <c r="M553" s="271"/>
      <c r="N553"/>
    </row>
    <row r="554" spans="1:14">
      <c r="A554" s="622"/>
      <c r="B554" s="154" t="s">
        <v>149</v>
      </c>
      <c r="C554" s="66" t="s">
        <v>150</v>
      </c>
      <c r="D554" s="363" t="s">
        <v>15</v>
      </c>
      <c r="E554" s="270">
        <v>2.7300000000000001E-2</v>
      </c>
      <c r="F554" s="270">
        <f>E554*F551</f>
        <v>1.02375E-2</v>
      </c>
      <c r="G554" s="271"/>
      <c r="H554" s="271"/>
      <c r="I554" s="271"/>
      <c r="J554" s="271"/>
      <c r="K554" s="532"/>
      <c r="L554" s="271"/>
      <c r="M554" s="271"/>
      <c r="N554"/>
    </row>
    <row r="555" spans="1:14" ht="15.75">
      <c r="A555" s="622"/>
      <c r="B555" s="154"/>
      <c r="C555" s="66" t="s">
        <v>35</v>
      </c>
      <c r="D555" s="363" t="s">
        <v>34</v>
      </c>
      <c r="E555" s="270">
        <v>1.2</v>
      </c>
      <c r="F555" s="361">
        <f>E555*F551</f>
        <v>0.44999999999999996</v>
      </c>
      <c r="G555" s="271"/>
      <c r="H555" s="271"/>
      <c r="I555" s="271"/>
      <c r="J555" s="271"/>
      <c r="K555" s="271"/>
      <c r="L555" s="271"/>
      <c r="M555" s="271"/>
      <c r="N555"/>
    </row>
    <row r="556" spans="1:14" ht="27">
      <c r="A556" s="596" t="s">
        <v>93</v>
      </c>
      <c r="B556" s="154" t="s">
        <v>151</v>
      </c>
      <c r="C556" s="62" t="s">
        <v>320</v>
      </c>
      <c r="D556" s="154" t="s">
        <v>70</v>
      </c>
      <c r="E556" s="7"/>
      <c r="F556" s="7">
        <f>F545</f>
        <v>25</v>
      </c>
      <c r="G556" s="271"/>
      <c r="H556" s="271"/>
      <c r="I556" s="271"/>
      <c r="J556" s="271"/>
      <c r="K556" s="271"/>
      <c r="L556" s="271"/>
      <c r="M556" s="271"/>
      <c r="N556"/>
    </row>
    <row r="557" spans="1:14">
      <c r="A557" s="596"/>
      <c r="B557" s="154"/>
      <c r="C557" s="66" t="s">
        <v>13</v>
      </c>
      <c r="D557" s="363" t="s">
        <v>14</v>
      </c>
      <c r="E557" s="270">
        <v>0.74</v>
      </c>
      <c r="F557" s="270">
        <f>E557*F556</f>
        <v>18.5</v>
      </c>
      <c r="G557" s="271"/>
      <c r="H557" s="271"/>
      <c r="I557" s="271"/>
      <c r="J557" s="271"/>
      <c r="K557" s="271"/>
      <c r="L557" s="271"/>
      <c r="M557" s="271"/>
      <c r="N557"/>
    </row>
    <row r="558" spans="1:14">
      <c r="A558" s="596"/>
      <c r="B558" s="154"/>
      <c r="C558" s="66" t="s">
        <v>7</v>
      </c>
      <c r="D558" s="363" t="s">
        <v>15</v>
      </c>
      <c r="E558" s="270">
        <f>0.71*0.01</f>
        <v>7.0999999999999995E-3</v>
      </c>
      <c r="F558" s="270">
        <f>E558*F556</f>
        <v>0.17749999999999999</v>
      </c>
      <c r="G558" s="271"/>
      <c r="H558" s="271"/>
      <c r="I558" s="271"/>
      <c r="J558" s="271"/>
      <c r="K558" s="271"/>
      <c r="L558" s="271"/>
      <c r="M558" s="271"/>
      <c r="N558"/>
    </row>
    <row r="559" spans="1:14">
      <c r="A559" s="596"/>
      <c r="B559" s="154"/>
      <c r="C559" s="66" t="s">
        <v>321</v>
      </c>
      <c r="D559" s="363" t="s">
        <v>70</v>
      </c>
      <c r="E559" s="270">
        <v>1</v>
      </c>
      <c r="F559" s="270">
        <f>E559*F556</f>
        <v>25</v>
      </c>
      <c r="G559" s="271"/>
      <c r="H559" s="271"/>
      <c r="I559" s="271"/>
      <c r="J559" s="271"/>
      <c r="K559" s="271"/>
      <c r="L559" s="271"/>
      <c r="M559" s="271"/>
      <c r="N559"/>
    </row>
    <row r="560" spans="1:14" ht="15.75">
      <c r="A560" s="596"/>
      <c r="B560" s="154"/>
      <c r="C560" s="389" t="s">
        <v>153</v>
      </c>
      <c r="D560" s="363" t="s">
        <v>34</v>
      </c>
      <c r="E560" s="270">
        <f>3.9*0.01</f>
        <v>3.9E-2</v>
      </c>
      <c r="F560" s="270">
        <f>F556*E560</f>
        <v>0.97499999999999998</v>
      </c>
      <c r="G560" s="271"/>
      <c r="H560" s="271"/>
      <c r="I560" s="271"/>
      <c r="J560" s="271"/>
      <c r="K560" s="271"/>
      <c r="L560" s="271"/>
      <c r="M560" s="271"/>
      <c r="N560"/>
    </row>
    <row r="561" spans="1:14" ht="15.75">
      <c r="A561" s="596"/>
      <c r="B561" s="154"/>
      <c r="C561" s="66" t="s">
        <v>152</v>
      </c>
      <c r="D561" s="363" t="s">
        <v>34</v>
      </c>
      <c r="E561" s="270">
        <f>0.06*0.01</f>
        <v>5.9999999999999995E-4</v>
      </c>
      <c r="F561" s="270">
        <f>E561*F556</f>
        <v>1.4999999999999999E-2</v>
      </c>
      <c r="G561" s="271"/>
      <c r="H561" s="271"/>
      <c r="I561" s="271"/>
      <c r="J561" s="271"/>
      <c r="K561" s="271"/>
      <c r="L561" s="271"/>
      <c r="M561" s="271"/>
      <c r="N561"/>
    </row>
    <row r="562" spans="1:14">
      <c r="A562" s="596"/>
      <c r="B562" s="154"/>
      <c r="C562" s="66" t="s">
        <v>9</v>
      </c>
      <c r="D562" s="363" t="s">
        <v>6</v>
      </c>
      <c r="E562" s="270">
        <f>9.6*0.01</f>
        <v>9.6000000000000002E-2</v>
      </c>
      <c r="F562" s="270">
        <f>E562*F556</f>
        <v>2.4</v>
      </c>
      <c r="G562" s="271"/>
      <c r="H562" s="271"/>
      <c r="I562" s="271"/>
      <c r="J562" s="271"/>
      <c r="K562" s="271"/>
      <c r="L562" s="271"/>
      <c r="M562" s="271"/>
      <c r="N562"/>
    </row>
    <row r="563" spans="1:14" ht="40.5">
      <c r="A563" s="259" t="s">
        <v>49</v>
      </c>
      <c r="B563" s="55"/>
      <c r="C563" s="55" t="s">
        <v>263</v>
      </c>
      <c r="D563" s="55" t="s">
        <v>54</v>
      </c>
      <c r="E563" s="341"/>
      <c r="F563" s="341">
        <f>'7777'!G76</f>
        <v>50</v>
      </c>
      <c r="G563" s="271"/>
      <c r="H563" s="271"/>
      <c r="I563" s="271"/>
      <c r="J563" s="271"/>
      <c r="K563" s="271"/>
      <c r="L563" s="271"/>
      <c r="M563" s="271"/>
      <c r="N563"/>
    </row>
    <row r="564" spans="1:14" ht="27">
      <c r="A564" s="597" t="s">
        <v>98</v>
      </c>
      <c r="B564" s="22" t="s">
        <v>36</v>
      </c>
      <c r="C564" s="390" t="s">
        <v>155</v>
      </c>
      <c r="D564" s="22" t="s">
        <v>34</v>
      </c>
      <c r="E564" s="24"/>
      <c r="F564" s="391">
        <f>F563*0.2</f>
        <v>10</v>
      </c>
      <c r="G564" s="392"/>
      <c r="H564" s="385"/>
      <c r="I564" s="392"/>
      <c r="J564" s="385"/>
      <c r="K564" s="392"/>
      <c r="L564" s="385"/>
      <c r="M564" s="385"/>
      <c r="N564"/>
    </row>
    <row r="565" spans="1:14" ht="27">
      <c r="A565" s="598"/>
      <c r="B565" s="22"/>
      <c r="C565" s="137" t="s">
        <v>38</v>
      </c>
      <c r="D565" s="108" t="s">
        <v>8</v>
      </c>
      <c r="E565" s="24">
        <v>3.88</v>
      </c>
      <c r="F565" s="270">
        <f>F564*E565</f>
        <v>38.799999999999997</v>
      </c>
      <c r="G565" s="385"/>
      <c r="H565" s="385"/>
      <c r="I565" s="385"/>
      <c r="J565" s="385"/>
      <c r="K565" s="385"/>
      <c r="L565" s="385"/>
      <c r="M565" s="385"/>
      <c r="N565"/>
    </row>
    <row r="566" spans="1:14" ht="27">
      <c r="A566" s="599" t="s">
        <v>79</v>
      </c>
      <c r="B566" s="53" t="s">
        <v>97</v>
      </c>
      <c r="C566" s="376" t="s">
        <v>223</v>
      </c>
      <c r="D566" s="154" t="s">
        <v>48</v>
      </c>
      <c r="E566" s="198"/>
      <c r="F566" s="377">
        <f>F564*1.95</f>
        <v>19.5</v>
      </c>
      <c r="G566" s="375"/>
      <c r="H566" s="271"/>
      <c r="I566" s="375"/>
      <c r="J566" s="271"/>
      <c r="K566" s="375"/>
      <c r="L566" s="271"/>
      <c r="M566" s="271"/>
      <c r="N566"/>
    </row>
    <row r="567" spans="1:14" ht="27">
      <c r="A567" s="600"/>
      <c r="B567" s="255"/>
      <c r="C567" s="378" t="s">
        <v>62</v>
      </c>
      <c r="D567" s="28" t="s">
        <v>8</v>
      </c>
      <c r="E567" s="198">
        <v>0.53</v>
      </c>
      <c r="F567" s="374">
        <f>F566*E567</f>
        <v>10.335000000000001</v>
      </c>
      <c r="G567" s="375"/>
      <c r="H567" s="271"/>
      <c r="I567" s="375"/>
      <c r="J567" s="271"/>
      <c r="K567" s="375"/>
      <c r="L567" s="271"/>
      <c r="M567" s="271"/>
      <c r="N567"/>
    </row>
    <row r="568" spans="1:14">
      <c r="A568" s="601"/>
      <c r="B568" s="154" t="s">
        <v>138</v>
      </c>
      <c r="C568" s="379" t="s">
        <v>224</v>
      </c>
      <c r="D568" s="154" t="s">
        <v>48</v>
      </c>
      <c r="E568" s="198"/>
      <c r="F568" s="377">
        <f>F566</f>
        <v>19.5</v>
      </c>
      <c r="G568" s="375"/>
      <c r="H568" s="271"/>
      <c r="I568" s="375"/>
      <c r="J568" s="271"/>
      <c r="K568" s="375"/>
      <c r="L568" s="271"/>
      <c r="M568" s="271"/>
      <c r="N568"/>
    </row>
    <row r="569" spans="1:14">
      <c r="A569" s="591" t="s">
        <v>99</v>
      </c>
      <c r="B569" s="154" t="s">
        <v>41</v>
      </c>
      <c r="C569" s="393" t="s">
        <v>217</v>
      </c>
      <c r="D569" s="154" t="s">
        <v>43</v>
      </c>
      <c r="E569" s="270"/>
      <c r="F569" s="7">
        <f>F563*0.15</f>
        <v>7.5</v>
      </c>
      <c r="G569" s="271"/>
      <c r="H569" s="271"/>
      <c r="I569" s="271"/>
      <c r="J569" s="271"/>
      <c r="K569" s="271"/>
      <c r="L569" s="271"/>
      <c r="M569" s="271"/>
      <c r="N569"/>
    </row>
    <row r="570" spans="1:14" ht="27">
      <c r="A570" s="602"/>
      <c r="B570" s="154"/>
      <c r="C570" s="380" t="s">
        <v>42</v>
      </c>
      <c r="D570" s="105" t="s">
        <v>8</v>
      </c>
      <c r="E570" s="103">
        <v>3.52</v>
      </c>
      <c r="F570" s="103">
        <f>F569*E570</f>
        <v>26.4</v>
      </c>
      <c r="G570" s="64"/>
      <c r="H570" s="271"/>
      <c r="I570" s="63"/>
      <c r="J570" s="63"/>
      <c r="K570" s="63"/>
      <c r="L570" s="61"/>
      <c r="M570" s="61"/>
      <c r="N570"/>
    </row>
    <row r="571" spans="1:14">
      <c r="A571" s="602"/>
      <c r="B571" s="154"/>
      <c r="C571" s="394" t="s">
        <v>17</v>
      </c>
      <c r="D571" s="189" t="s">
        <v>6</v>
      </c>
      <c r="E571" s="20">
        <v>1.06</v>
      </c>
      <c r="F571" s="20">
        <f>F569*E571</f>
        <v>7.95</v>
      </c>
      <c r="G571" s="395"/>
      <c r="H571" s="271"/>
      <c r="I571" s="63"/>
      <c r="J571" s="63"/>
      <c r="K571" s="63"/>
      <c r="L571" s="61"/>
      <c r="M571" s="61"/>
      <c r="N571"/>
    </row>
    <row r="572" spans="1:14">
      <c r="A572" s="602"/>
      <c r="B572" s="154"/>
      <c r="C572" s="394" t="s">
        <v>35</v>
      </c>
      <c r="D572" s="189" t="s">
        <v>43</v>
      </c>
      <c r="E572" s="20">
        <f>0.18+0.09+0.97</f>
        <v>1.24</v>
      </c>
      <c r="F572" s="20">
        <f>F569*E572</f>
        <v>9.3000000000000007</v>
      </c>
      <c r="G572" s="395"/>
      <c r="H572" s="63"/>
      <c r="I572" s="64"/>
      <c r="J572" s="271"/>
      <c r="K572" s="65"/>
      <c r="L572" s="271"/>
      <c r="M572" s="61"/>
      <c r="N572"/>
    </row>
    <row r="573" spans="1:14">
      <c r="A573" s="592"/>
      <c r="B573" s="154"/>
      <c r="C573" s="394" t="s">
        <v>56</v>
      </c>
      <c r="D573" s="189" t="s">
        <v>6</v>
      </c>
      <c r="E573" s="20">
        <v>0.02</v>
      </c>
      <c r="F573" s="20">
        <f>F569*E573</f>
        <v>0.15</v>
      </c>
      <c r="G573" s="395"/>
      <c r="H573" s="63"/>
      <c r="I573" s="64"/>
      <c r="J573" s="271"/>
      <c r="K573" s="65"/>
      <c r="L573" s="271"/>
      <c r="M573" s="61"/>
      <c r="N573"/>
    </row>
    <row r="574" spans="1:14">
      <c r="A574" s="591" t="s">
        <v>93</v>
      </c>
      <c r="B574" s="613" t="s">
        <v>90</v>
      </c>
      <c r="C574" s="615" t="s">
        <v>218</v>
      </c>
      <c r="D574" s="154" t="s">
        <v>54</v>
      </c>
      <c r="E574" s="270"/>
      <c r="F574" s="7">
        <f>F563</f>
        <v>50</v>
      </c>
      <c r="G574" s="396"/>
      <c r="H574" s="271"/>
      <c r="I574" s="271"/>
      <c r="J574" s="271"/>
      <c r="K574" s="396"/>
      <c r="L574" s="271"/>
      <c r="M574" s="271"/>
      <c r="N574"/>
    </row>
    <row r="575" spans="1:14">
      <c r="A575" s="602"/>
      <c r="B575" s="614"/>
      <c r="C575" s="616"/>
      <c r="D575" s="154" t="s">
        <v>43</v>
      </c>
      <c r="E575" s="270"/>
      <c r="F575" s="7">
        <f>F574*0.12</f>
        <v>6</v>
      </c>
      <c r="G575" s="396"/>
      <c r="H575" s="271"/>
      <c r="I575" s="271"/>
      <c r="J575" s="271"/>
      <c r="K575" s="396"/>
      <c r="L575" s="271"/>
      <c r="M575" s="271"/>
      <c r="N575"/>
    </row>
    <row r="576" spans="1:14" ht="27">
      <c r="A576" s="602"/>
      <c r="B576" s="154"/>
      <c r="C576" s="397" t="s">
        <v>42</v>
      </c>
      <c r="D576" s="363" t="s">
        <v>8</v>
      </c>
      <c r="E576" s="270">
        <v>2.9</v>
      </c>
      <c r="F576" s="270">
        <f>F575*E576</f>
        <v>17.399999999999999</v>
      </c>
      <c r="G576" s="271"/>
      <c r="H576" s="271"/>
      <c r="I576" s="271"/>
      <c r="J576" s="271"/>
      <c r="K576" s="396"/>
      <c r="L576" s="271"/>
      <c r="M576" s="271"/>
      <c r="N576"/>
    </row>
    <row r="577" spans="1:15">
      <c r="A577" s="602"/>
      <c r="B577" s="154"/>
      <c r="C577" s="397" t="s">
        <v>212</v>
      </c>
      <c r="D577" s="363" t="s">
        <v>43</v>
      </c>
      <c r="E577" s="270">
        <v>1.02</v>
      </c>
      <c r="F577" s="270">
        <f>F575*E577</f>
        <v>6.12</v>
      </c>
      <c r="G577" s="396"/>
      <c r="H577" s="271"/>
      <c r="I577" s="271"/>
      <c r="J577" s="271"/>
      <c r="K577" s="396"/>
      <c r="L577" s="271"/>
      <c r="M577" s="271"/>
      <c r="N577"/>
    </row>
    <row r="578" spans="1:15">
      <c r="A578" s="602"/>
      <c r="B578" s="154"/>
      <c r="C578" s="397" t="s">
        <v>156</v>
      </c>
      <c r="D578" s="363" t="s">
        <v>48</v>
      </c>
      <c r="E578" s="270">
        <v>1.03</v>
      </c>
      <c r="F578" s="270">
        <f>F563*16*1*E578*0.395/1000</f>
        <v>0.32547999999999999</v>
      </c>
      <c r="G578" s="271"/>
      <c r="H578" s="271"/>
      <c r="I578" s="271"/>
      <c r="J578" s="271"/>
      <c r="K578" s="396"/>
      <c r="L578" s="271"/>
      <c r="M578" s="271"/>
      <c r="N578"/>
    </row>
    <row r="579" spans="1:15">
      <c r="A579" s="592"/>
      <c r="B579" s="154"/>
      <c r="C579" s="397" t="s">
        <v>16</v>
      </c>
      <c r="D579" s="363" t="s">
        <v>6</v>
      </c>
      <c r="E579" s="270">
        <v>0.88</v>
      </c>
      <c r="F579" s="270">
        <f>F575*E579</f>
        <v>5.28</v>
      </c>
      <c r="G579" s="396"/>
      <c r="H579" s="271"/>
      <c r="I579" s="271"/>
      <c r="J579" s="271"/>
      <c r="K579" s="396"/>
      <c r="L579" s="271"/>
      <c r="M579" s="271"/>
      <c r="N579"/>
    </row>
    <row r="580" spans="1:15" ht="27">
      <c r="A580" s="591" t="s">
        <v>95</v>
      </c>
      <c r="B580" s="154" t="s">
        <v>154</v>
      </c>
      <c r="C580" s="393" t="s">
        <v>244</v>
      </c>
      <c r="D580" s="154" t="s">
        <v>54</v>
      </c>
      <c r="E580" s="270"/>
      <c r="F580" s="7">
        <f>F563</f>
        <v>50</v>
      </c>
      <c r="G580" s="271"/>
      <c r="H580" s="271"/>
      <c r="I580" s="271"/>
      <c r="J580" s="271"/>
      <c r="K580" s="271"/>
      <c r="L580" s="271"/>
      <c r="M580" s="271"/>
      <c r="N580"/>
    </row>
    <row r="581" spans="1:15" ht="27">
      <c r="A581" s="602"/>
      <c r="B581" s="154"/>
      <c r="C581" s="397" t="s">
        <v>42</v>
      </c>
      <c r="D581" s="363" t="s">
        <v>8</v>
      </c>
      <c r="E581" s="270">
        <v>0.77900000000000003</v>
      </c>
      <c r="F581" s="270">
        <f>F580*E581</f>
        <v>38.950000000000003</v>
      </c>
      <c r="G581" s="271"/>
      <c r="H581" s="271"/>
      <c r="I581" s="271"/>
      <c r="J581" s="271"/>
      <c r="K581" s="271"/>
      <c r="L581" s="271"/>
      <c r="M581" s="271"/>
      <c r="N581"/>
    </row>
    <row r="582" spans="1:15">
      <c r="A582" s="602"/>
      <c r="B582" s="154"/>
      <c r="C582" s="397" t="s">
        <v>17</v>
      </c>
      <c r="D582" s="363" t="s">
        <v>6</v>
      </c>
      <c r="E582" s="270">
        <v>0.104</v>
      </c>
      <c r="F582" s="270">
        <f>F580*E582</f>
        <v>5.2</v>
      </c>
      <c r="G582" s="271"/>
      <c r="H582" s="271"/>
      <c r="I582" s="271"/>
      <c r="J582" s="271"/>
      <c r="K582" s="271"/>
      <c r="L582" s="271"/>
      <c r="M582" s="271"/>
      <c r="N582"/>
    </row>
    <row r="583" spans="1:15">
      <c r="A583" s="602"/>
      <c r="B583" s="154"/>
      <c r="C583" s="397" t="s">
        <v>213</v>
      </c>
      <c r="D583" s="363" t="s">
        <v>54</v>
      </c>
      <c r="E583" s="270">
        <v>1.01</v>
      </c>
      <c r="F583" s="270">
        <f>F580*80%*E583</f>
        <v>40.4</v>
      </c>
      <c r="G583" s="271"/>
      <c r="H583" s="271"/>
      <c r="I583" s="271"/>
      <c r="J583" s="271"/>
      <c r="K583" s="271"/>
      <c r="L583" s="271"/>
      <c r="M583" s="271"/>
      <c r="N583"/>
    </row>
    <row r="584" spans="1:15" ht="40.5">
      <c r="A584" s="602"/>
      <c r="B584" s="154"/>
      <c r="C584" s="397" t="s">
        <v>219</v>
      </c>
      <c r="D584" s="363" t="s">
        <v>43</v>
      </c>
      <c r="E584" s="270">
        <v>2.1100000000000001E-2</v>
      </c>
      <c r="F584" s="270">
        <f>F580*E584</f>
        <v>1.0549999999999999</v>
      </c>
      <c r="G584" s="271"/>
      <c r="H584" s="271"/>
      <c r="I584" s="271"/>
      <c r="J584" s="271"/>
      <c r="K584" s="271"/>
      <c r="L584" s="271"/>
      <c r="M584" s="271"/>
      <c r="N584"/>
    </row>
    <row r="585" spans="1:15">
      <c r="A585" s="592"/>
      <c r="B585" s="154"/>
      <c r="C585" s="397" t="s">
        <v>16</v>
      </c>
      <c r="D585" s="363" t="s">
        <v>6</v>
      </c>
      <c r="E585" s="270">
        <v>4.66</v>
      </c>
      <c r="F585" s="270">
        <f>F580*E585</f>
        <v>233</v>
      </c>
      <c r="G585" s="271"/>
      <c r="H585" s="271"/>
      <c r="I585" s="271"/>
      <c r="J585" s="271"/>
      <c r="K585" s="271"/>
      <c r="L585" s="271"/>
      <c r="M585" s="271"/>
      <c r="N585"/>
    </row>
    <row r="586" spans="1:15" ht="27">
      <c r="A586" s="591" t="s">
        <v>96</v>
      </c>
      <c r="B586" s="154" t="s">
        <v>214</v>
      </c>
      <c r="C586" s="393" t="s">
        <v>245</v>
      </c>
      <c r="D586" s="363" t="s">
        <v>54</v>
      </c>
      <c r="E586" s="270"/>
      <c r="F586" s="7">
        <f>F563</f>
        <v>50</v>
      </c>
      <c r="G586" s="398"/>
      <c r="H586" s="271"/>
      <c r="I586" s="398"/>
      <c r="J586" s="271"/>
      <c r="K586" s="398"/>
      <c r="L586" s="271"/>
      <c r="M586" s="271"/>
      <c r="N586"/>
    </row>
    <row r="587" spans="1:15" ht="27">
      <c r="A587" s="602"/>
      <c r="B587" s="154"/>
      <c r="C587" s="397" t="s">
        <v>42</v>
      </c>
      <c r="D587" s="363" t="s">
        <v>8</v>
      </c>
      <c r="E587" s="270">
        <v>0.81100000000000005</v>
      </c>
      <c r="F587" s="270">
        <f>F586*E587</f>
        <v>40.550000000000004</v>
      </c>
      <c r="G587" s="398"/>
      <c r="H587" s="271"/>
      <c r="I587" s="271"/>
      <c r="J587" s="271"/>
      <c r="K587" s="271"/>
      <c r="L587" s="271"/>
      <c r="M587" s="271"/>
      <c r="N587"/>
    </row>
    <row r="588" spans="1:15">
      <c r="A588" s="602"/>
      <c r="B588" s="154"/>
      <c r="C588" s="397" t="s">
        <v>7</v>
      </c>
      <c r="D588" s="363" t="s">
        <v>6</v>
      </c>
      <c r="E588" s="270">
        <v>1.2999999999999999E-2</v>
      </c>
      <c r="F588" s="270">
        <f>F586*E588</f>
        <v>0.65</v>
      </c>
      <c r="G588" s="398"/>
      <c r="H588" s="271"/>
      <c r="I588" s="398"/>
      <c r="J588" s="271"/>
      <c r="K588" s="271"/>
      <c r="L588" s="271"/>
      <c r="M588" s="271"/>
      <c r="N588"/>
    </row>
    <row r="589" spans="1:15">
      <c r="A589" s="602"/>
      <c r="B589" s="154"/>
      <c r="C589" s="397" t="s">
        <v>215</v>
      </c>
      <c r="D589" s="363" t="s">
        <v>48</v>
      </c>
      <c r="E589" s="270">
        <v>1.8599999999999998E-2</v>
      </c>
      <c r="F589" s="270">
        <f>F586*E589</f>
        <v>0.92999999999999994</v>
      </c>
      <c r="G589" s="398"/>
      <c r="H589" s="271"/>
      <c r="I589" s="271"/>
      <c r="J589" s="271"/>
      <c r="K589" s="271"/>
      <c r="L589" s="271"/>
      <c r="M589" s="271"/>
      <c r="N589"/>
      <c r="O589">
        <f>1500/25*30.9</f>
        <v>1854</v>
      </c>
    </row>
    <row r="590" spans="1:15">
      <c r="A590" s="602"/>
      <c r="B590" s="154"/>
      <c r="C590" s="397" t="s">
        <v>216</v>
      </c>
      <c r="D590" s="363" t="s">
        <v>48</v>
      </c>
      <c r="E590" s="270">
        <v>5.0000000000000001E-4</v>
      </c>
      <c r="F590" s="270">
        <f>F586*E590</f>
        <v>2.5000000000000001E-2</v>
      </c>
      <c r="G590" s="398"/>
      <c r="H590" s="271"/>
      <c r="I590" s="271"/>
      <c r="J590" s="271"/>
      <c r="K590" s="271"/>
      <c r="L590" s="271"/>
      <c r="M590" s="271"/>
      <c r="N590"/>
    </row>
    <row r="591" spans="1:15">
      <c r="A591" s="592"/>
      <c r="B591" s="154"/>
      <c r="C591" s="397" t="s">
        <v>56</v>
      </c>
      <c r="D591" s="363" t="s">
        <v>6</v>
      </c>
      <c r="E591" s="270">
        <v>0.156</v>
      </c>
      <c r="F591" s="270">
        <f>F586*E591</f>
        <v>7.8</v>
      </c>
      <c r="G591" s="398"/>
      <c r="H591" s="271"/>
      <c r="I591" s="271"/>
      <c r="J591" s="271"/>
      <c r="K591" s="271"/>
      <c r="L591" s="271"/>
      <c r="M591" s="271"/>
      <c r="N591"/>
    </row>
    <row r="592" spans="1:15">
      <c r="A592" s="358"/>
      <c r="B592" s="153"/>
      <c r="C592" s="426"/>
      <c r="D592" s="197"/>
      <c r="E592" s="318"/>
      <c r="F592" s="318"/>
      <c r="G592" s="436"/>
      <c r="H592" s="63"/>
      <c r="I592" s="63"/>
      <c r="J592" s="63"/>
      <c r="K592" s="63"/>
      <c r="L592" s="63"/>
      <c r="M592" s="61"/>
      <c r="N592"/>
    </row>
    <row r="593" spans="1:14" ht="27">
      <c r="A593" s="133" t="s">
        <v>53</v>
      </c>
      <c r="B593" s="133"/>
      <c r="C593" s="441" t="s">
        <v>462</v>
      </c>
      <c r="D593" s="442" t="s">
        <v>50</v>
      </c>
      <c r="E593" s="443"/>
      <c r="F593" s="443">
        <f>'7777'!G90</f>
        <v>85</v>
      </c>
      <c r="G593" s="444"/>
      <c r="H593" s="445"/>
      <c r="I593" s="444"/>
      <c r="J593" s="445"/>
      <c r="K593" s="446"/>
      <c r="L593" s="445"/>
      <c r="M593" s="445"/>
      <c r="N593"/>
    </row>
    <row r="594" spans="1:14" ht="27">
      <c r="A594" s="606" t="s">
        <v>98</v>
      </c>
      <c r="B594" s="154" t="s">
        <v>427</v>
      </c>
      <c r="C594" s="403" t="s">
        <v>428</v>
      </c>
      <c r="D594" s="363" t="s">
        <v>43</v>
      </c>
      <c r="E594" s="362"/>
      <c r="F594" s="7">
        <f>0.4*0.2*F593</f>
        <v>6.8000000000000016</v>
      </c>
      <c r="G594" s="271"/>
      <c r="H594" s="271"/>
      <c r="I594" s="271"/>
      <c r="J594" s="271"/>
      <c r="K594" s="271"/>
      <c r="L594" s="271"/>
      <c r="M594" s="271"/>
      <c r="N594"/>
    </row>
    <row r="595" spans="1:14" ht="27">
      <c r="A595" s="606"/>
      <c r="B595" s="360"/>
      <c r="C595" s="447" t="s">
        <v>42</v>
      </c>
      <c r="D595" s="363" t="s">
        <v>8</v>
      </c>
      <c r="E595" s="270">
        <v>8.5399999999999991</v>
      </c>
      <c r="F595" s="270">
        <f>F594*E595</f>
        <v>58.07200000000001</v>
      </c>
      <c r="G595" s="271"/>
      <c r="H595" s="271"/>
      <c r="I595" s="271"/>
      <c r="J595" s="271"/>
      <c r="K595" s="271"/>
      <c r="L595" s="271"/>
      <c r="M595" s="271"/>
      <c r="N595"/>
    </row>
    <row r="596" spans="1:14">
      <c r="A596" s="606"/>
      <c r="B596" s="363"/>
      <c r="C596" s="397" t="s">
        <v>7</v>
      </c>
      <c r="D596" s="363" t="s">
        <v>6</v>
      </c>
      <c r="E596" s="362">
        <v>1.06</v>
      </c>
      <c r="F596" s="362">
        <f>F594*E596</f>
        <v>7.208000000000002</v>
      </c>
      <c r="G596" s="271"/>
      <c r="H596" s="271"/>
      <c r="I596" s="271"/>
      <c r="J596" s="271"/>
      <c r="K596" s="271"/>
      <c r="L596" s="271"/>
      <c r="M596" s="271"/>
      <c r="N596"/>
    </row>
    <row r="597" spans="1:14" ht="15.75">
      <c r="A597" s="606"/>
      <c r="B597" s="363"/>
      <c r="C597" s="397" t="s">
        <v>495</v>
      </c>
      <c r="D597" s="363" t="s">
        <v>34</v>
      </c>
      <c r="E597" s="270">
        <v>1.0149999999999999</v>
      </c>
      <c r="F597" s="362">
        <f>F594*E597</f>
        <v>6.902000000000001</v>
      </c>
      <c r="G597" s="271"/>
      <c r="H597" s="271"/>
      <c r="I597" s="271"/>
      <c r="J597" s="271"/>
      <c r="K597" s="271"/>
      <c r="L597" s="271"/>
      <c r="M597" s="271"/>
      <c r="N597"/>
    </row>
    <row r="598" spans="1:14" ht="15.75">
      <c r="A598" s="606"/>
      <c r="B598" s="360"/>
      <c r="C598" s="447" t="s">
        <v>45</v>
      </c>
      <c r="D598" s="363" t="s">
        <v>46</v>
      </c>
      <c r="E598" s="270">
        <v>1.4</v>
      </c>
      <c r="F598" s="270">
        <f>F594*E598</f>
        <v>9.5200000000000014</v>
      </c>
      <c r="G598" s="422"/>
      <c r="H598" s="271"/>
      <c r="I598" s="271"/>
      <c r="J598" s="271"/>
      <c r="K598" s="271"/>
      <c r="L598" s="271"/>
      <c r="M598" s="271"/>
      <c r="N598"/>
    </row>
    <row r="599" spans="1:14" ht="15.75">
      <c r="A599" s="606"/>
      <c r="B599" s="360"/>
      <c r="C599" s="447" t="s">
        <v>429</v>
      </c>
      <c r="D599" s="360" t="s">
        <v>34</v>
      </c>
      <c r="E599" s="270">
        <f>(1.45)/100</f>
        <v>1.4499999999999999E-2</v>
      </c>
      <c r="F599" s="270">
        <f>F594*E599</f>
        <v>9.8600000000000021E-2</v>
      </c>
      <c r="G599" s="271"/>
      <c r="H599" s="271"/>
      <c r="I599" s="271"/>
      <c r="J599" s="271"/>
      <c r="K599" s="271"/>
      <c r="L599" s="271"/>
      <c r="M599" s="271"/>
      <c r="N599"/>
    </row>
    <row r="600" spans="1:14">
      <c r="A600" s="606"/>
      <c r="B600" s="360"/>
      <c r="C600" s="447" t="s">
        <v>52</v>
      </c>
      <c r="D600" s="360" t="s">
        <v>86</v>
      </c>
      <c r="E600" s="362">
        <v>2.5</v>
      </c>
      <c r="F600" s="270">
        <f>F594*E600</f>
        <v>17.000000000000004</v>
      </c>
      <c r="G600" s="271"/>
      <c r="H600" s="271"/>
      <c r="I600" s="271"/>
      <c r="J600" s="271"/>
      <c r="K600" s="271"/>
      <c r="L600" s="271"/>
      <c r="M600" s="271"/>
      <c r="N600"/>
    </row>
    <row r="601" spans="1:14">
      <c r="A601" s="606"/>
      <c r="B601" s="363"/>
      <c r="C601" s="397" t="s">
        <v>56</v>
      </c>
      <c r="D601" s="363" t="s">
        <v>6</v>
      </c>
      <c r="E601" s="362">
        <v>0.74</v>
      </c>
      <c r="F601" s="362">
        <f>F594*E601</f>
        <v>5.0320000000000009</v>
      </c>
      <c r="G601" s="271"/>
      <c r="H601" s="271"/>
      <c r="I601" s="271"/>
      <c r="J601" s="271"/>
      <c r="K601" s="271"/>
      <c r="L601" s="271"/>
      <c r="M601" s="271"/>
      <c r="N601"/>
    </row>
    <row r="602" spans="1:14">
      <c r="A602" s="606"/>
      <c r="B602" s="366"/>
      <c r="C602" s="448" t="s">
        <v>496</v>
      </c>
      <c r="D602" s="363" t="s">
        <v>73</v>
      </c>
      <c r="E602" s="13"/>
      <c r="F602" s="449">
        <f>4*F593*1.03*0.617/1000+((F593/0.45)+1)*2*0.3*1.03*0.888/1000</f>
        <v>0.320281384</v>
      </c>
      <c r="G602" s="422"/>
      <c r="H602" s="271"/>
      <c r="I602" s="271"/>
      <c r="J602" s="271"/>
      <c r="K602" s="271"/>
      <c r="L602" s="271"/>
      <c r="M602" s="271"/>
      <c r="N602"/>
    </row>
    <row r="603" spans="1:14">
      <c r="A603" s="606"/>
      <c r="B603" s="366"/>
      <c r="C603" s="448" t="s">
        <v>497</v>
      </c>
      <c r="D603" s="363" t="s">
        <v>73</v>
      </c>
      <c r="E603" s="13"/>
      <c r="F603" s="449">
        <f>((F593/0.15)+1)*(0.4+0.2)*2*1.03*0.222/1000</f>
        <v>0.15576319200000002</v>
      </c>
      <c r="G603" s="271"/>
      <c r="H603" s="271"/>
      <c r="I603" s="271"/>
      <c r="J603" s="271"/>
      <c r="K603" s="271"/>
      <c r="L603" s="271"/>
      <c r="M603" s="271"/>
      <c r="N603"/>
    </row>
    <row r="604" spans="1:14" ht="67.5">
      <c r="A604" s="603" t="s">
        <v>79</v>
      </c>
      <c r="B604" s="150" t="s">
        <v>430</v>
      </c>
      <c r="C604" s="403" t="s">
        <v>498</v>
      </c>
      <c r="D604" s="366" t="s">
        <v>54</v>
      </c>
      <c r="E604" s="165"/>
      <c r="F604" s="7">
        <f>F593*0.3*2</f>
        <v>51</v>
      </c>
      <c r="G604" s="271"/>
      <c r="H604" s="271"/>
      <c r="I604" s="271"/>
      <c r="J604" s="271"/>
      <c r="K604" s="271"/>
      <c r="L604" s="271"/>
      <c r="M604" s="271"/>
      <c r="N604"/>
    </row>
    <row r="605" spans="1:14" ht="27">
      <c r="A605" s="604"/>
      <c r="B605" s="200"/>
      <c r="C605" s="386" t="s">
        <v>42</v>
      </c>
      <c r="D605" s="200" t="s">
        <v>8</v>
      </c>
      <c r="E605" s="13">
        <v>10.4</v>
      </c>
      <c r="F605" s="13">
        <f>F604*E605</f>
        <v>530.4</v>
      </c>
      <c r="G605" s="271"/>
      <c r="H605" s="271"/>
      <c r="I605" s="271"/>
      <c r="J605" s="271"/>
      <c r="K605" s="271"/>
      <c r="L605" s="271"/>
      <c r="M605" s="271"/>
      <c r="N605"/>
    </row>
    <row r="606" spans="1:14">
      <c r="A606" s="604"/>
      <c r="B606" s="200"/>
      <c r="C606" s="386" t="s">
        <v>17</v>
      </c>
      <c r="D606" s="200" t="s">
        <v>6</v>
      </c>
      <c r="E606" s="13">
        <v>0.23</v>
      </c>
      <c r="F606" s="13">
        <f>F604*E606</f>
        <v>11.73</v>
      </c>
      <c r="G606" s="271"/>
      <c r="H606" s="271"/>
      <c r="I606" s="271"/>
      <c r="J606" s="271"/>
      <c r="K606" s="271"/>
      <c r="L606" s="271"/>
      <c r="M606" s="271"/>
      <c r="N606"/>
    </row>
    <row r="607" spans="1:14">
      <c r="A607" s="604"/>
      <c r="B607" s="200"/>
      <c r="C607" s="387" t="s">
        <v>431</v>
      </c>
      <c r="D607" s="200" t="s">
        <v>54</v>
      </c>
      <c r="E607" s="13">
        <v>1</v>
      </c>
      <c r="F607" s="13">
        <f>F604*E607</f>
        <v>51</v>
      </c>
      <c r="G607" s="271"/>
      <c r="H607" s="271"/>
      <c r="I607" s="271"/>
      <c r="J607" s="271"/>
      <c r="K607" s="271"/>
      <c r="L607" s="271"/>
      <c r="M607" s="271"/>
      <c r="N607"/>
    </row>
    <row r="608" spans="1:14">
      <c r="A608" s="604"/>
      <c r="B608" s="200"/>
      <c r="C608" s="386" t="s">
        <v>94</v>
      </c>
      <c r="D608" s="200" t="s">
        <v>43</v>
      </c>
      <c r="E608" s="13">
        <v>3.6999999999999998E-2</v>
      </c>
      <c r="F608" s="13">
        <f>F604*E608</f>
        <v>1.887</v>
      </c>
      <c r="G608" s="271"/>
      <c r="H608" s="271"/>
      <c r="I608" s="271"/>
      <c r="J608" s="271"/>
      <c r="K608" s="271"/>
      <c r="L608" s="271"/>
      <c r="M608" s="271"/>
      <c r="N608"/>
    </row>
    <row r="609" spans="1:14">
      <c r="A609" s="605"/>
      <c r="B609" s="200"/>
      <c r="C609" s="386" t="s">
        <v>56</v>
      </c>
      <c r="D609" s="200" t="s">
        <v>6</v>
      </c>
      <c r="E609" s="13">
        <v>0.09</v>
      </c>
      <c r="F609" s="13">
        <f>F604*E609</f>
        <v>4.59</v>
      </c>
      <c r="G609" s="271"/>
      <c r="H609" s="271"/>
      <c r="I609" s="271"/>
      <c r="J609" s="271"/>
      <c r="K609" s="271"/>
      <c r="L609" s="271"/>
      <c r="M609" s="271"/>
      <c r="N609"/>
    </row>
    <row r="610" spans="1:14" ht="27">
      <c r="A610" s="603" t="s">
        <v>99</v>
      </c>
      <c r="B610" s="154" t="s">
        <v>432</v>
      </c>
      <c r="C610" s="450" t="s">
        <v>433</v>
      </c>
      <c r="D610" s="366" t="s">
        <v>50</v>
      </c>
      <c r="E610" s="165"/>
      <c r="F610" s="7">
        <f>F593</f>
        <v>85</v>
      </c>
      <c r="G610" s="271"/>
      <c r="H610" s="271"/>
      <c r="I610" s="271"/>
      <c r="J610" s="271"/>
      <c r="K610" s="271"/>
      <c r="L610" s="271"/>
      <c r="M610" s="271"/>
      <c r="N610"/>
    </row>
    <row r="611" spans="1:14">
      <c r="A611" s="604"/>
      <c r="B611" s="363"/>
      <c r="C611" s="451"/>
      <c r="D611" s="363" t="s">
        <v>54</v>
      </c>
      <c r="E611" s="32"/>
      <c r="F611" s="7">
        <f>F610*0.5</f>
        <v>42.5</v>
      </c>
      <c r="G611" s="271"/>
      <c r="H611" s="271"/>
      <c r="I611" s="271"/>
      <c r="J611" s="271"/>
      <c r="K611" s="271"/>
      <c r="L611" s="271"/>
      <c r="M611" s="271"/>
      <c r="N611"/>
    </row>
    <row r="612" spans="1:14" ht="27">
      <c r="A612" s="604"/>
      <c r="B612" s="363"/>
      <c r="C612" s="452" t="s">
        <v>42</v>
      </c>
      <c r="D612" s="200" t="s">
        <v>8</v>
      </c>
      <c r="E612" s="32">
        <v>6</v>
      </c>
      <c r="F612" s="270">
        <f>F611*E612</f>
        <v>255</v>
      </c>
      <c r="G612" s="271"/>
      <c r="H612" s="271"/>
      <c r="I612" s="271"/>
      <c r="J612" s="271"/>
      <c r="K612" s="271"/>
      <c r="L612" s="271"/>
      <c r="M612" s="271"/>
      <c r="N612"/>
    </row>
    <row r="613" spans="1:14">
      <c r="A613" s="604"/>
      <c r="B613" s="363"/>
      <c r="C613" s="66" t="s">
        <v>17</v>
      </c>
      <c r="D613" s="200" t="s">
        <v>6</v>
      </c>
      <c r="E613" s="270">
        <v>0.18</v>
      </c>
      <c r="F613" s="270">
        <f>F611*E613</f>
        <v>7.6499999999999995</v>
      </c>
      <c r="G613" s="271"/>
      <c r="H613" s="271"/>
      <c r="I613" s="271"/>
      <c r="J613" s="271"/>
      <c r="K613" s="271"/>
      <c r="L613" s="271"/>
      <c r="M613" s="271"/>
      <c r="N613"/>
    </row>
    <row r="614" spans="1:14">
      <c r="A614" s="604"/>
      <c r="B614" s="363"/>
      <c r="C614" s="66" t="s">
        <v>434</v>
      </c>
      <c r="D614" s="200" t="s">
        <v>54</v>
      </c>
      <c r="E614" s="270">
        <v>1.03</v>
      </c>
      <c r="F614" s="270">
        <f>F611*E614</f>
        <v>43.774999999999999</v>
      </c>
      <c r="G614" s="271"/>
      <c r="H614" s="271"/>
      <c r="I614" s="271"/>
      <c r="J614" s="271"/>
      <c r="K614" s="271"/>
      <c r="L614" s="271"/>
      <c r="M614" s="271"/>
      <c r="N614"/>
    </row>
    <row r="615" spans="1:14">
      <c r="A615" s="604"/>
      <c r="B615" s="363"/>
      <c r="C615" s="66" t="s">
        <v>94</v>
      </c>
      <c r="D615" s="200" t="s">
        <v>43</v>
      </c>
      <c r="E615" s="270">
        <v>3.5999999999999997E-2</v>
      </c>
      <c r="F615" s="270">
        <f>F611*E615</f>
        <v>1.5299999999999998</v>
      </c>
      <c r="G615" s="271"/>
      <c r="H615" s="271"/>
      <c r="I615" s="271"/>
      <c r="J615" s="271"/>
      <c r="K615" s="271"/>
      <c r="L615" s="271"/>
      <c r="M615" s="271"/>
      <c r="N615"/>
    </row>
    <row r="616" spans="1:14">
      <c r="A616" s="605"/>
      <c r="B616" s="105"/>
      <c r="C616" s="380" t="s">
        <v>56</v>
      </c>
      <c r="D616" s="200" t="s">
        <v>6</v>
      </c>
      <c r="E616" s="103">
        <v>0.08</v>
      </c>
      <c r="F616" s="103">
        <f>F611*E616</f>
        <v>3.4</v>
      </c>
      <c r="G616" s="64"/>
      <c r="H616" s="271"/>
      <c r="I616" s="271"/>
      <c r="J616" s="271"/>
      <c r="K616" s="271"/>
      <c r="L616" s="271"/>
      <c r="M616" s="271"/>
      <c r="N616"/>
    </row>
    <row r="617" spans="1:14" ht="40.5" customHeight="1">
      <c r="A617" s="603" t="s">
        <v>95</v>
      </c>
      <c r="B617" s="81" t="s">
        <v>435</v>
      </c>
      <c r="C617" s="403" t="s">
        <v>499</v>
      </c>
      <c r="D617" s="81" t="s">
        <v>70</v>
      </c>
      <c r="E617" s="177"/>
      <c r="F617" s="7">
        <f>F593</f>
        <v>85</v>
      </c>
      <c r="G617" s="271"/>
      <c r="H617" s="271"/>
      <c r="I617" s="271"/>
      <c r="J617" s="271"/>
      <c r="K617" s="271"/>
      <c r="L617" s="271"/>
      <c r="M617" s="271"/>
      <c r="N617"/>
    </row>
    <row r="618" spans="1:14" ht="27">
      <c r="A618" s="604"/>
      <c r="B618" s="366"/>
      <c r="C618" s="387" t="s">
        <v>42</v>
      </c>
      <c r="D618" s="363" t="s">
        <v>8</v>
      </c>
      <c r="E618" s="177">
        <v>0.379</v>
      </c>
      <c r="F618" s="177">
        <f>F617*E618</f>
        <v>32.215000000000003</v>
      </c>
      <c r="G618" s="271"/>
      <c r="H618" s="271"/>
      <c r="I618" s="271"/>
      <c r="J618" s="271"/>
      <c r="K618" s="271"/>
      <c r="L618" s="271"/>
      <c r="M618" s="271"/>
      <c r="N618"/>
    </row>
    <row r="619" spans="1:14">
      <c r="A619" s="604"/>
      <c r="B619" s="363"/>
      <c r="C619" s="66" t="s">
        <v>7</v>
      </c>
      <c r="D619" s="363" t="s">
        <v>6</v>
      </c>
      <c r="E619" s="362">
        <v>2.8000000000000001E-2</v>
      </c>
      <c r="F619" s="362">
        <f>F617*E619</f>
        <v>2.38</v>
      </c>
      <c r="G619" s="271"/>
      <c r="H619" s="271"/>
      <c r="I619" s="271"/>
      <c r="J619" s="271"/>
      <c r="K619" s="271"/>
      <c r="L619" s="271"/>
      <c r="M619" s="271"/>
      <c r="N619"/>
    </row>
    <row r="620" spans="1:14">
      <c r="A620" s="604"/>
      <c r="B620" s="363"/>
      <c r="C620" s="403" t="s">
        <v>436</v>
      </c>
      <c r="D620" s="366" t="str">
        <f>D617</f>
        <v>grZ.m.</v>
      </c>
      <c r="E620" s="165">
        <v>1</v>
      </c>
      <c r="F620" s="176">
        <f>F617*E620</f>
        <v>85</v>
      </c>
      <c r="G620" s="271"/>
      <c r="H620" s="271"/>
      <c r="I620" s="271"/>
      <c r="J620" s="271"/>
      <c r="K620" s="271"/>
      <c r="L620" s="271"/>
      <c r="M620" s="271"/>
      <c r="N620"/>
    </row>
    <row r="621" spans="1:14">
      <c r="A621" s="604"/>
      <c r="B621" s="363" t="s">
        <v>437</v>
      </c>
      <c r="C621" s="66" t="s">
        <v>438</v>
      </c>
      <c r="D621" s="363" t="s">
        <v>246</v>
      </c>
      <c r="E621" s="362">
        <v>1.5E-3</v>
      </c>
      <c r="F621" s="362">
        <f>F617*E621</f>
        <v>0.1275</v>
      </c>
      <c r="G621" s="271"/>
      <c r="H621" s="271"/>
      <c r="I621" s="271"/>
      <c r="J621" s="271"/>
      <c r="K621" s="271"/>
      <c r="L621" s="271"/>
      <c r="M621" s="271"/>
      <c r="N621"/>
    </row>
    <row r="622" spans="1:14" ht="27">
      <c r="A622" s="603" t="s">
        <v>96</v>
      </c>
      <c r="B622" s="81" t="s">
        <v>439</v>
      </c>
      <c r="C622" s="403" t="s">
        <v>440</v>
      </c>
      <c r="D622" s="81" t="s">
        <v>31</v>
      </c>
      <c r="E622" s="177"/>
      <c r="F622" s="176">
        <f>F617*0.6*2</f>
        <v>102</v>
      </c>
      <c r="G622" s="271"/>
      <c r="H622" s="271"/>
      <c r="I622" s="271"/>
      <c r="J622" s="271"/>
      <c r="K622" s="271"/>
      <c r="L622" s="271"/>
      <c r="M622" s="271"/>
      <c r="N622"/>
    </row>
    <row r="623" spans="1:14" ht="27">
      <c r="A623" s="604"/>
      <c r="B623" s="364"/>
      <c r="C623" s="453" t="s">
        <v>42</v>
      </c>
      <c r="D623" s="454" t="s">
        <v>8</v>
      </c>
      <c r="E623" s="362">
        <f>68*0.01</f>
        <v>0.68</v>
      </c>
      <c r="F623" s="455">
        <f>F622*E623</f>
        <v>69.36</v>
      </c>
      <c r="G623" s="271"/>
      <c r="H623" s="271"/>
      <c r="I623" s="271"/>
      <c r="J623" s="271"/>
      <c r="K623" s="271"/>
      <c r="L623" s="271"/>
      <c r="M623" s="271"/>
      <c r="N623"/>
    </row>
    <row r="624" spans="1:14">
      <c r="A624" s="604"/>
      <c r="B624" s="366"/>
      <c r="C624" s="387" t="s">
        <v>7</v>
      </c>
      <c r="D624" s="366" t="s">
        <v>6</v>
      </c>
      <c r="E624" s="165">
        <f>0.03*0.01</f>
        <v>2.9999999999999997E-4</v>
      </c>
      <c r="F624" s="165">
        <f>F622*E624</f>
        <v>3.0599999999999999E-2</v>
      </c>
      <c r="G624" s="271"/>
      <c r="H624" s="271"/>
      <c r="I624" s="271"/>
      <c r="J624" s="271"/>
      <c r="K624" s="271"/>
      <c r="L624" s="271"/>
      <c r="M624" s="271"/>
      <c r="N624"/>
    </row>
    <row r="625" spans="1:14">
      <c r="A625" s="604"/>
      <c r="B625" s="366"/>
      <c r="C625" s="387" t="s">
        <v>441</v>
      </c>
      <c r="D625" s="364" t="s">
        <v>86</v>
      </c>
      <c r="E625" s="177">
        <v>0.35</v>
      </c>
      <c r="F625" s="177">
        <f>E625*F622</f>
        <v>35.699999999999996</v>
      </c>
      <c r="G625" s="271"/>
      <c r="H625" s="271"/>
      <c r="I625" s="271"/>
      <c r="J625" s="271"/>
      <c r="K625" s="271"/>
      <c r="L625" s="271"/>
      <c r="M625" s="271"/>
      <c r="N625"/>
    </row>
    <row r="626" spans="1:14">
      <c r="A626" s="604"/>
      <c r="B626" s="366"/>
      <c r="C626" s="387" t="s">
        <v>442</v>
      </c>
      <c r="D626" s="364" t="s">
        <v>86</v>
      </c>
      <c r="E626" s="177">
        <v>2.7E-2</v>
      </c>
      <c r="F626" s="177">
        <f>E626*F622</f>
        <v>2.754</v>
      </c>
      <c r="G626" s="271"/>
      <c r="H626" s="271"/>
      <c r="I626" s="271"/>
      <c r="J626" s="271"/>
      <c r="K626" s="271"/>
      <c r="L626" s="271"/>
      <c r="M626" s="271"/>
      <c r="N626"/>
    </row>
    <row r="627" spans="1:14">
      <c r="A627" s="605"/>
      <c r="B627" s="366"/>
      <c r="C627" s="387" t="s">
        <v>9</v>
      </c>
      <c r="D627" s="366" t="s">
        <v>6</v>
      </c>
      <c r="E627" s="165">
        <v>1.9E-3</v>
      </c>
      <c r="F627" s="165">
        <f>F622*E627</f>
        <v>0.1938</v>
      </c>
      <c r="G627" s="271"/>
      <c r="H627" s="271"/>
      <c r="I627" s="271"/>
      <c r="J627" s="271"/>
      <c r="K627" s="271"/>
      <c r="L627" s="271"/>
      <c r="M627" s="271"/>
      <c r="N627"/>
    </row>
    <row r="628" spans="1:14" ht="27">
      <c r="A628" s="133" t="s">
        <v>55</v>
      </c>
      <c r="B628" s="133"/>
      <c r="C628" s="441" t="s">
        <v>443</v>
      </c>
      <c r="D628" s="442"/>
      <c r="E628" s="443"/>
      <c r="F628" s="443"/>
      <c r="G628" s="271"/>
      <c r="H628" s="271"/>
      <c r="I628" s="271"/>
      <c r="J628" s="271"/>
      <c r="K628" s="271"/>
      <c r="L628" s="271"/>
      <c r="M628" s="271"/>
      <c r="N628"/>
    </row>
    <row r="629" spans="1:14" ht="40.5">
      <c r="A629" s="606" t="s">
        <v>98</v>
      </c>
      <c r="B629" s="357" t="s">
        <v>36</v>
      </c>
      <c r="C629" s="456" t="s">
        <v>444</v>
      </c>
      <c r="D629" s="457" t="s">
        <v>43</v>
      </c>
      <c r="E629" s="458"/>
      <c r="F629" s="458">
        <f>0.7*0.7*0.8*5</f>
        <v>1.9599999999999997</v>
      </c>
      <c r="G629" s="271"/>
      <c r="H629" s="271"/>
      <c r="I629" s="271"/>
      <c r="J629" s="271"/>
      <c r="K629" s="271"/>
      <c r="L629" s="271"/>
      <c r="M629" s="271"/>
      <c r="N629"/>
    </row>
    <row r="630" spans="1:14" ht="27">
      <c r="A630" s="606"/>
      <c r="B630" s="189"/>
      <c r="C630" s="108" t="s">
        <v>38</v>
      </c>
      <c r="D630" s="108" t="s">
        <v>8</v>
      </c>
      <c r="E630" s="24">
        <v>3.88</v>
      </c>
      <c r="F630" s="24">
        <f>F629*E630</f>
        <v>7.6047999999999991</v>
      </c>
      <c r="G630" s="385"/>
      <c r="H630" s="385"/>
      <c r="I630" s="385"/>
      <c r="J630" s="385"/>
      <c r="K630" s="385"/>
      <c r="L630" s="385"/>
      <c r="M630" s="385"/>
      <c r="N630"/>
    </row>
    <row r="631" spans="1:14" ht="27">
      <c r="A631" s="606" t="s">
        <v>79</v>
      </c>
      <c r="B631" s="321" t="s">
        <v>97</v>
      </c>
      <c r="C631" s="429" t="s">
        <v>223</v>
      </c>
      <c r="D631" s="322" t="s">
        <v>246</v>
      </c>
      <c r="E631" s="323"/>
      <c r="F631" s="324">
        <f>F629*1.95</f>
        <v>3.8219999999999996</v>
      </c>
      <c r="G631" s="271"/>
      <c r="H631" s="271"/>
      <c r="I631" s="271"/>
      <c r="J631" s="271"/>
      <c r="K631" s="271"/>
      <c r="L631" s="271"/>
      <c r="M631" s="271"/>
      <c r="N631"/>
    </row>
    <row r="632" spans="1:14" ht="27">
      <c r="A632" s="606"/>
      <c r="B632" s="154"/>
      <c r="C632" s="423" t="s">
        <v>60</v>
      </c>
      <c r="D632" s="31" t="s">
        <v>8</v>
      </c>
      <c r="E632" s="32">
        <v>0.53</v>
      </c>
      <c r="F632" s="361">
        <f>F631*E632</f>
        <v>2.0256599999999998</v>
      </c>
      <c r="G632" s="271"/>
      <c r="H632" s="271"/>
      <c r="I632" s="271"/>
      <c r="J632" s="271"/>
      <c r="K632" s="271"/>
      <c r="L632" s="271"/>
      <c r="M632" s="271"/>
      <c r="N632"/>
    </row>
    <row r="633" spans="1:14" ht="27">
      <c r="A633" s="351" t="s">
        <v>99</v>
      </c>
      <c r="B633" s="154" t="s">
        <v>445</v>
      </c>
      <c r="C633" s="430" t="s">
        <v>446</v>
      </c>
      <c r="D633" s="154" t="s">
        <v>48</v>
      </c>
      <c r="E633" s="324"/>
      <c r="F633" s="324">
        <f>F631</f>
        <v>3.8219999999999996</v>
      </c>
      <c r="G633" s="271"/>
      <c r="H633" s="271"/>
      <c r="I633" s="271"/>
      <c r="J633" s="271"/>
      <c r="K633" s="375"/>
      <c r="L633" s="271"/>
      <c r="M633" s="271"/>
      <c r="N633"/>
    </row>
    <row r="634" spans="1:14">
      <c r="A634" s="604" t="s">
        <v>93</v>
      </c>
      <c r="B634" s="154" t="s">
        <v>41</v>
      </c>
      <c r="C634" s="393" t="s">
        <v>447</v>
      </c>
      <c r="D634" s="154" t="s">
        <v>43</v>
      </c>
      <c r="E634" s="270"/>
      <c r="F634" s="391">
        <f>0.7*0.7*0.1*5</f>
        <v>0.24499999999999997</v>
      </c>
      <c r="G634" s="271"/>
      <c r="H634" s="271"/>
      <c r="I634" s="271"/>
      <c r="J634" s="271"/>
      <c r="K634" s="271"/>
      <c r="L634" s="271"/>
      <c r="M634" s="271"/>
      <c r="N634"/>
    </row>
    <row r="635" spans="1:14">
      <c r="A635" s="604"/>
      <c r="B635" s="363"/>
      <c r="C635" s="66" t="s">
        <v>13</v>
      </c>
      <c r="D635" s="363" t="s">
        <v>14</v>
      </c>
      <c r="E635" s="270">
        <v>3.52</v>
      </c>
      <c r="F635" s="24">
        <f>E635*F634</f>
        <v>0.86239999999999994</v>
      </c>
      <c r="G635" s="271"/>
      <c r="H635" s="271"/>
      <c r="I635" s="271"/>
      <c r="J635" s="271"/>
      <c r="K635" s="271"/>
      <c r="L635" s="271"/>
      <c r="M635" s="271"/>
      <c r="N635"/>
    </row>
    <row r="636" spans="1:14">
      <c r="A636" s="604"/>
      <c r="B636" s="363"/>
      <c r="C636" s="66" t="s">
        <v>17</v>
      </c>
      <c r="D636" s="363" t="s">
        <v>6</v>
      </c>
      <c r="E636" s="270">
        <v>1.06</v>
      </c>
      <c r="F636" s="24">
        <f>F634*E636</f>
        <v>0.25969999999999999</v>
      </c>
      <c r="G636" s="271"/>
      <c r="H636" s="271"/>
      <c r="I636" s="271"/>
      <c r="J636" s="271"/>
      <c r="K636" s="271"/>
      <c r="L636" s="271"/>
      <c r="M636" s="271"/>
      <c r="N636"/>
    </row>
    <row r="637" spans="1:14" ht="15.75">
      <c r="A637" s="604"/>
      <c r="B637" s="363"/>
      <c r="C637" s="66" t="s">
        <v>35</v>
      </c>
      <c r="D637" s="363" t="s">
        <v>34</v>
      </c>
      <c r="E637" s="270">
        <f>0.18+0.09+0.97</f>
        <v>1.24</v>
      </c>
      <c r="F637" s="24">
        <f>E637*F634</f>
        <v>0.30379999999999996</v>
      </c>
      <c r="G637" s="271"/>
      <c r="H637" s="271"/>
      <c r="I637" s="271"/>
      <c r="J637" s="271"/>
      <c r="K637" s="271"/>
      <c r="L637" s="271"/>
      <c r="M637" s="271"/>
      <c r="N637"/>
    </row>
    <row r="638" spans="1:14">
      <c r="A638" s="605"/>
      <c r="B638" s="363"/>
      <c r="C638" s="394" t="s">
        <v>56</v>
      </c>
      <c r="D638" s="189" t="s">
        <v>6</v>
      </c>
      <c r="E638" s="270">
        <v>0.02</v>
      </c>
      <c r="F638" s="24">
        <f>F634*E638</f>
        <v>4.8999999999999998E-3</v>
      </c>
      <c r="G638" s="385"/>
      <c r="H638" s="271"/>
      <c r="I638" s="64"/>
      <c r="J638" s="271"/>
      <c r="K638" s="65"/>
      <c r="L638" s="271"/>
      <c r="M638" s="271"/>
      <c r="N638"/>
    </row>
    <row r="639" spans="1:14" ht="40.5">
      <c r="A639" s="603" t="s">
        <v>95</v>
      </c>
      <c r="B639" s="357" t="s">
        <v>448</v>
      </c>
      <c r="C639" s="456" t="s">
        <v>449</v>
      </c>
      <c r="D639" s="457" t="s">
        <v>43</v>
      </c>
      <c r="E639" s="458"/>
      <c r="F639" s="458">
        <f>(0.6*0.6*0.3+0.4*0.4*0.3)*5</f>
        <v>0.78</v>
      </c>
      <c r="G639" s="271"/>
      <c r="H639" s="271"/>
      <c r="I639" s="271"/>
      <c r="J639" s="271"/>
      <c r="K639" s="271"/>
      <c r="L639" s="271"/>
      <c r="M639" s="271"/>
      <c r="N639"/>
    </row>
    <row r="640" spans="1:14" ht="27">
      <c r="A640" s="604"/>
      <c r="B640" s="360"/>
      <c r="C640" s="447" t="s">
        <v>42</v>
      </c>
      <c r="D640" s="363" t="s">
        <v>8</v>
      </c>
      <c r="E640" s="270">
        <v>6.66</v>
      </c>
      <c r="F640" s="270">
        <f>F639*E640</f>
        <v>5.1947999999999999</v>
      </c>
      <c r="G640" s="271"/>
      <c r="H640" s="271"/>
      <c r="I640" s="271"/>
      <c r="J640" s="271"/>
      <c r="K640" s="271"/>
      <c r="L640" s="271"/>
      <c r="M640" s="271"/>
      <c r="N640"/>
    </row>
    <row r="641" spans="1:14">
      <c r="A641" s="604"/>
      <c r="B641" s="363"/>
      <c r="C641" s="397" t="s">
        <v>7</v>
      </c>
      <c r="D641" s="363" t="s">
        <v>6</v>
      </c>
      <c r="E641" s="362">
        <v>0.59</v>
      </c>
      <c r="F641" s="362">
        <f>F639*E641</f>
        <v>0.4602</v>
      </c>
      <c r="G641" s="271"/>
      <c r="H641" s="271"/>
      <c r="I641" s="271"/>
      <c r="J641" s="271"/>
      <c r="K641" s="271"/>
      <c r="L641" s="271"/>
      <c r="M641" s="271"/>
      <c r="N641"/>
    </row>
    <row r="642" spans="1:14" ht="15.75">
      <c r="A642" s="604"/>
      <c r="B642" s="363"/>
      <c r="C642" s="397" t="s">
        <v>495</v>
      </c>
      <c r="D642" s="363" t="s">
        <v>34</v>
      </c>
      <c r="E642" s="270">
        <v>1.0149999999999999</v>
      </c>
      <c r="F642" s="362">
        <f>F639*E642</f>
        <v>0.79169999999999996</v>
      </c>
      <c r="G642" s="271"/>
      <c r="H642" s="271"/>
      <c r="I642" s="271"/>
      <c r="J642" s="271"/>
      <c r="K642" s="271"/>
      <c r="L642" s="271"/>
      <c r="M642" s="271"/>
      <c r="N642"/>
    </row>
    <row r="643" spans="1:14" ht="15.75">
      <c r="A643" s="604"/>
      <c r="B643" s="360"/>
      <c r="C643" s="447" t="s">
        <v>45</v>
      </c>
      <c r="D643" s="363" t="s">
        <v>46</v>
      </c>
      <c r="E643" s="270">
        <v>1.6</v>
      </c>
      <c r="F643" s="270">
        <f>F639*E643</f>
        <v>1.2480000000000002</v>
      </c>
      <c r="G643" s="422"/>
      <c r="H643" s="271"/>
      <c r="I643" s="271"/>
      <c r="J643" s="271"/>
      <c r="K643" s="271"/>
      <c r="L643" s="271"/>
      <c r="M643" s="271"/>
      <c r="N643"/>
    </row>
    <row r="644" spans="1:14" ht="15.75">
      <c r="A644" s="604"/>
      <c r="B644" s="360"/>
      <c r="C644" s="447" t="s">
        <v>429</v>
      </c>
      <c r="D644" s="360" t="s">
        <v>34</v>
      </c>
      <c r="E644" s="270">
        <v>1.83E-2</v>
      </c>
      <c r="F644" s="270">
        <f>F639*E644</f>
        <v>1.4274E-2</v>
      </c>
      <c r="G644" s="271"/>
      <c r="H644" s="271"/>
      <c r="I644" s="271"/>
      <c r="J644" s="271"/>
      <c r="K644" s="271"/>
      <c r="L644" s="271"/>
      <c r="M644" s="271"/>
      <c r="N644"/>
    </row>
    <row r="645" spans="1:14">
      <c r="A645" s="604"/>
      <c r="B645" s="363"/>
      <c r="C645" s="397" t="s">
        <v>56</v>
      </c>
      <c r="D645" s="363" t="s">
        <v>6</v>
      </c>
      <c r="E645" s="362">
        <v>0.4</v>
      </c>
      <c r="F645" s="362">
        <f>F639*E645</f>
        <v>0.31200000000000006</v>
      </c>
      <c r="G645" s="271"/>
      <c r="H645" s="271"/>
      <c r="I645" s="271"/>
      <c r="J645" s="271"/>
      <c r="K645" s="271"/>
      <c r="L645" s="271"/>
      <c r="M645" s="271"/>
      <c r="N645"/>
    </row>
    <row r="646" spans="1:14">
      <c r="A646" s="604"/>
      <c r="B646" s="366"/>
      <c r="C646" s="448" t="s">
        <v>496</v>
      </c>
      <c r="D646" s="363" t="s">
        <v>73</v>
      </c>
      <c r="E646" s="13"/>
      <c r="F646" s="458">
        <f>5*0.6*2*5*1.03*0.395/1000</f>
        <v>1.2205500000000001E-2</v>
      </c>
      <c r="G646" s="422"/>
      <c r="H646" s="271"/>
      <c r="I646" s="271"/>
      <c r="J646" s="271"/>
      <c r="K646" s="271"/>
      <c r="L646" s="271"/>
      <c r="M646" s="271"/>
      <c r="N646"/>
    </row>
    <row r="647" spans="1:14">
      <c r="A647" s="352"/>
      <c r="B647" s="366"/>
      <c r="C647" s="448" t="s">
        <v>450</v>
      </c>
      <c r="D647" s="363" t="s">
        <v>50</v>
      </c>
      <c r="E647" s="13"/>
      <c r="F647" s="458">
        <f>( (1.3+0.6)*5)*1.1</f>
        <v>10.450000000000001</v>
      </c>
      <c r="G647" s="271"/>
      <c r="H647" s="271"/>
      <c r="I647" s="271"/>
      <c r="J647" s="271"/>
      <c r="K647" s="271"/>
      <c r="L647" s="271"/>
      <c r="M647" s="271"/>
      <c r="N647"/>
    </row>
    <row r="648" spans="1:14">
      <c r="A648" s="607" t="s">
        <v>96</v>
      </c>
      <c r="B648" s="153" t="s">
        <v>85</v>
      </c>
      <c r="C648" s="424" t="s">
        <v>451</v>
      </c>
      <c r="D648" s="254" t="s">
        <v>54</v>
      </c>
      <c r="E648" s="1"/>
      <c r="F648" s="157">
        <f>((0.6+0.6)*2*0.3+(0.4+0.4)*2*0.3+(0.6*0.6-0.4*0.4) )*5</f>
        <v>7</v>
      </c>
      <c r="G648" s="61"/>
      <c r="H648" s="63"/>
      <c r="I648" s="61"/>
      <c r="J648" s="63"/>
      <c r="K648" s="61"/>
      <c r="L648" s="61"/>
      <c r="M648" s="61"/>
      <c r="N648"/>
    </row>
    <row r="649" spans="1:14" ht="27">
      <c r="A649" s="608"/>
      <c r="B649" s="153"/>
      <c r="C649" s="425" t="s">
        <v>42</v>
      </c>
      <c r="D649" s="254" t="s">
        <v>8</v>
      </c>
      <c r="E649" s="1">
        <v>0.33600000000000002</v>
      </c>
      <c r="F649" s="3">
        <f>F648*E649</f>
        <v>2.3520000000000003</v>
      </c>
      <c r="G649" s="63"/>
      <c r="H649" s="63"/>
      <c r="I649" s="63"/>
      <c r="J649" s="63"/>
      <c r="K649" s="63"/>
      <c r="L649" s="63"/>
      <c r="M649" s="61"/>
      <c r="N649"/>
    </row>
    <row r="650" spans="1:14">
      <c r="A650" s="608"/>
      <c r="B650" s="153"/>
      <c r="C650" s="425" t="s">
        <v>17</v>
      </c>
      <c r="D650" s="254" t="s">
        <v>6</v>
      </c>
      <c r="E650" s="1">
        <v>1.4999999999999999E-2</v>
      </c>
      <c r="F650" s="3">
        <f>F648*E650</f>
        <v>0.105</v>
      </c>
      <c r="G650" s="63"/>
      <c r="H650" s="63"/>
      <c r="I650" s="63"/>
      <c r="J650" s="63"/>
      <c r="K650" s="63"/>
      <c r="L650" s="63"/>
      <c r="M650" s="61"/>
      <c r="N650"/>
    </row>
    <row r="651" spans="1:14">
      <c r="A651" s="608"/>
      <c r="B651" s="153"/>
      <c r="C651" s="425" t="s">
        <v>452</v>
      </c>
      <c r="D651" s="254" t="s">
        <v>4</v>
      </c>
      <c r="E651" s="1">
        <v>2.4</v>
      </c>
      <c r="F651" s="3">
        <f>F648*E651</f>
        <v>16.8</v>
      </c>
      <c r="G651" s="63"/>
      <c r="H651" s="63"/>
      <c r="I651" s="63"/>
      <c r="J651" s="63"/>
      <c r="K651" s="63"/>
      <c r="L651" s="63"/>
      <c r="M651" s="61"/>
      <c r="N651"/>
    </row>
    <row r="652" spans="1:14">
      <c r="A652" s="609"/>
      <c r="B652" s="153"/>
      <c r="C652" s="425" t="s">
        <v>56</v>
      </c>
      <c r="D652" s="254" t="s">
        <v>6</v>
      </c>
      <c r="E652" s="1">
        <v>2.2800000000000001E-2</v>
      </c>
      <c r="F652" s="3">
        <f>F648*E652</f>
        <v>0.15960000000000002</v>
      </c>
      <c r="G652" s="63"/>
      <c r="H652" s="63"/>
      <c r="I652" s="63"/>
      <c r="J652" s="63"/>
      <c r="K652" s="63"/>
      <c r="L652" s="63"/>
      <c r="M652" s="61"/>
      <c r="N652"/>
    </row>
    <row r="653" spans="1:14">
      <c r="A653" s="607" t="s">
        <v>87</v>
      </c>
      <c r="B653" s="153" t="s">
        <v>71</v>
      </c>
      <c r="C653" s="459" t="s">
        <v>453</v>
      </c>
      <c r="D653" s="254" t="s">
        <v>43</v>
      </c>
      <c r="E653" s="460"/>
      <c r="F653" s="461">
        <f>(0.6*0.6*0.4-0.4*0.4*0.4)*32</f>
        <v>2.5599999999999992</v>
      </c>
      <c r="G653" s="63"/>
      <c r="H653" s="63"/>
      <c r="I653" s="63"/>
      <c r="J653" s="63"/>
      <c r="K653" s="63"/>
      <c r="L653" s="63"/>
      <c r="M653" s="61"/>
      <c r="N653"/>
    </row>
    <row r="654" spans="1:14" ht="27">
      <c r="A654" s="609"/>
      <c r="B654" s="153"/>
      <c r="C654" s="425" t="s">
        <v>42</v>
      </c>
      <c r="D654" s="254" t="s">
        <v>8</v>
      </c>
      <c r="E654" s="1">
        <v>1.21</v>
      </c>
      <c r="F654" s="1">
        <f>F653*E654</f>
        <v>3.097599999999999</v>
      </c>
      <c r="G654" s="63"/>
      <c r="H654" s="63"/>
      <c r="I654" s="63"/>
      <c r="J654" s="63"/>
      <c r="K654" s="63"/>
      <c r="L654" s="63"/>
      <c r="M654" s="61"/>
      <c r="N654"/>
    </row>
    <row r="655" spans="1:14" ht="27">
      <c r="A655" s="603" t="s">
        <v>49</v>
      </c>
      <c r="B655" s="325" t="s">
        <v>454</v>
      </c>
      <c r="C655" s="462" t="s">
        <v>455</v>
      </c>
      <c r="D655" s="326" t="s">
        <v>58</v>
      </c>
      <c r="E655" s="463"/>
      <c r="F655" s="7">
        <v>5</v>
      </c>
      <c r="G655" s="61"/>
      <c r="H655" s="61"/>
      <c r="I655" s="61"/>
      <c r="J655" s="61"/>
      <c r="K655" s="61"/>
      <c r="L655" s="61"/>
      <c r="M655" s="61"/>
      <c r="N655"/>
    </row>
    <row r="656" spans="1:14" ht="27">
      <c r="A656" s="604"/>
      <c r="B656" s="327"/>
      <c r="C656" s="464" t="s">
        <v>42</v>
      </c>
      <c r="D656" s="328" t="s">
        <v>8</v>
      </c>
      <c r="E656" s="465">
        <f>1720*0.01</f>
        <v>17.2</v>
      </c>
      <c r="F656" s="463">
        <f>F655*E656</f>
        <v>86</v>
      </c>
      <c r="G656" s="61"/>
      <c r="H656" s="61"/>
      <c r="I656" s="63"/>
      <c r="J656" s="61"/>
      <c r="K656" s="61"/>
      <c r="L656" s="61"/>
      <c r="M656" s="61"/>
      <c r="N656"/>
    </row>
    <row r="657" spans="1:14">
      <c r="A657" s="604"/>
      <c r="B657" s="325" t="s">
        <v>456</v>
      </c>
      <c r="C657" s="466" t="s">
        <v>457</v>
      </c>
      <c r="D657" s="328" t="s">
        <v>15</v>
      </c>
      <c r="E657" s="465">
        <f>91.3/100</f>
        <v>0.91299999999999992</v>
      </c>
      <c r="F657" s="465">
        <f>F655*E657</f>
        <v>4.5649999999999995</v>
      </c>
      <c r="G657" s="61"/>
      <c r="H657" s="61"/>
      <c r="I657" s="61"/>
      <c r="J657" s="61"/>
      <c r="K657" s="63"/>
      <c r="L657" s="61"/>
      <c r="M657" s="61"/>
      <c r="N657"/>
    </row>
    <row r="658" spans="1:14">
      <c r="A658" s="604"/>
      <c r="B658" s="325"/>
      <c r="C658" s="466" t="s">
        <v>7</v>
      </c>
      <c r="D658" s="328" t="s">
        <v>6</v>
      </c>
      <c r="E658" s="465">
        <f>70*0.01</f>
        <v>0.70000000000000007</v>
      </c>
      <c r="F658" s="465">
        <f>F655*E658</f>
        <v>3.5000000000000004</v>
      </c>
      <c r="G658" s="61"/>
      <c r="H658" s="61"/>
      <c r="I658" s="61"/>
      <c r="J658" s="61"/>
      <c r="K658" s="63"/>
      <c r="L658" s="61"/>
      <c r="M658" s="61"/>
      <c r="N658"/>
    </row>
    <row r="659" spans="1:14" ht="15.75">
      <c r="A659" s="604"/>
      <c r="B659" s="327"/>
      <c r="C659" s="464" t="s">
        <v>458</v>
      </c>
      <c r="D659" s="329" t="s">
        <v>46</v>
      </c>
      <c r="E659" s="465"/>
      <c r="F659" s="7">
        <f>4.5*1.3+1.5*1.3</f>
        <v>7.8000000000000007</v>
      </c>
      <c r="G659" s="63"/>
      <c r="H659" s="61"/>
      <c r="I659" s="61"/>
      <c r="J659" s="61"/>
      <c r="K659" s="61"/>
      <c r="L659" s="61"/>
      <c r="M659" s="61"/>
      <c r="N659"/>
    </row>
    <row r="660" spans="1:14" ht="15.75">
      <c r="A660" s="604"/>
      <c r="B660" s="325"/>
      <c r="C660" s="464" t="s">
        <v>461</v>
      </c>
      <c r="D660" s="329" t="s">
        <v>34</v>
      </c>
      <c r="E660" s="465">
        <f>29.7*0.01</f>
        <v>0.29699999999999999</v>
      </c>
      <c r="F660" s="465">
        <f>E660*F655</f>
        <v>1.4849999999999999</v>
      </c>
      <c r="G660" s="63"/>
      <c r="H660" s="61"/>
      <c r="I660" s="61"/>
      <c r="J660" s="61"/>
      <c r="K660" s="61"/>
      <c r="L660" s="61"/>
      <c r="M660" s="61"/>
      <c r="N660"/>
    </row>
    <row r="661" spans="1:14">
      <c r="A661" s="604"/>
      <c r="B661" s="327"/>
      <c r="C661" s="464" t="s">
        <v>459</v>
      </c>
      <c r="D661" s="329" t="s">
        <v>73</v>
      </c>
      <c r="E661" s="465">
        <f>0.16*0.01</f>
        <v>1.6000000000000001E-3</v>
      </c>
      <c r="F661" s="463">
        <f>E661*F655</f>
        <v>8.0000000000000002E-3</v>
      </c>
      <c r="G661" s="63"/>
      <c r="H661" s="61"/>
      <c r="I661" s="61"/>
      <c r="J661" s="61"/>
      <c r="K661" s="61"/>
      <c r="L661" s="61"/>
      <c r="M661" s="61"/>
      <c r="N661"/>
    </row>
    <row r="662" spans="1:14">
      <c r="A662" s="604"/>
      <c r="B662" s="327"/>
      <c r="C662" s="464" t="s">
        <v>460</v>
      </c>
      <c r="D662" s="329" t="s">
        <v>86</v>
      </c>
      <c r="E662" s="465">
        <v>0.2</v>
      </c>
      <c r="F662" s="463">
        <f>F655*E662</f>
        <v>1</v>
      </c>
      <c r="G662" s="63"/>
      <c r="H662" s="61"/>
      <c r="I662" s="61"/>
      <c r="J662" s="61"/>
      <c r="K662" s="61"/>
      <c r="L662" s="61"/>
      <c r="M662" s="61"/>
      <c r="N662"/>
    </row>
    <row r="663" spans="1:14">
      <c r="A663" s="605"/>
      <c r="B663" s="325"/>
      <c r="C663" s="466" t="s">
        <v>9</v>
      </c>
      <c r="D663" s="328" t="s">
        <v>6</v>
      </c>
      <c r="E663" s="465">
        <f>20*0.01</f>
        <v>0.2</v>
      </c>
      <c r="F663" s="362">
        <f>F655*E663</f>
        <v>1</v>
      </c>
      <c r="G663" s="63"/>
      <c r="H663" s="61"/>
      <c r="I663" s="61"/>
      <c r="J663" s="61"/>
      <c r="K663" s="61"/>
      <c r="L663" s="61"/>
      <c r="M663" s="61"/>
      <c r="N663"/>
    </row>
    <row r="664" spans="1:14" ht="27">
      <c r="A664" s="603" t="s">
        <v>55</v>
      </c>
      <c r="B664" s="81" t="s">
        <v>439</v>
      </c>
      <c r="C664" s="403" t="s">
        <v>440</v>
      </c>
      <c r="D664" s="81" t="s">
        <v>31</v>
      </c>
      <c r="E664" s="177"/>
      <c r="F664" s="176">
        <f>F659*2+(0.1+0.1)*2*F647/1.1</f>
        <v>19.400000000000002</v>
      </c>
      <c r="G664" s="271"/>
      <c r="H664" s="271"/>
      <c r="I664" s="271"/>
      <c r="J664" s="271"/>
      <c r="K664" s="271"/>
      <c r="L664" s="271"/>
      <c r="M664" s="271"/>
      <c r="N664"/>
    </row>
    <row r="665" spans="1:14" ht="27">
      <c r="A665" s="604"/>
      <c r="B665" s="364"/>
      <c r="C665" s="453" t="s">
        <v>42</v>
      </c>
      <c r="D665" s="454" t="s">
        <v>8</v>
      </c>
      <c r="E665" s="362">
        <f>68*0.01</f>
        <v>0.68</v>
      </c>
      <c r="F665" s="455">
        <f>F664*E665</f>
        <v>13.192000000000002</v>
      </c>
      <c r="G665" s="271"/>
      <c r="H665" s="271"/>
      <c r="I665" s="271"/>
      <c r="J665" s="271"/>
      <c r="K665" s="271"/>
      <c r="L665" s="271"/>
      <c r="M665" s="271"/>
      <c r="N665"/>
    </row>
    <row r="666" spans="1:14">
      <c r="A666" s="604"/>
      <c r="B666" s="366"/>
      <c r="C666" s="387" t="s">
        <v>7</v>
      </c>
      <c r="D666" s="366" t="s">
        <v>6</v>
      </c>
      <c r="E666" s="165">
        <f>0.03*0.01</f>
        <v>2.9999999999999997E-4</v>
      </c>
      <c r="F666" s="165">
        <f>F664*E666</f>
        <v>5.8200000000000005E-3</v>
      </c>
      <c r="G666" s="271"/>
      <c r="H666" s="271"/>
      <c r="I666" s="271"/>
      <c r="J666" s="271"/>
      <c r="K666" s="271"/>
      <c r="L666" s="271"/>
      <c r="M666" s="271"/>
      <c r="N666"/>
    </row>
    <row r="667" spans="1:14">
      <c r="A667" s="604"/>
      <c r="B667" s="366"/>
      <c r="C667" s="387" t="s">
        <v>441</v>
      </c>
      <c r="D667" s="364" t="s">
        <v>86</v>
      </c>
      <c r="E667" s="177">
        <v>0.35</v>
      </c>
      <c r="F667" s="177">
        <f>E667*F664</f>
        <v>6.79</v>
      </c>
      <c r="G667" s="271"/>
      <c r="H667" s="271"/>
      <c r="I667" s="271"/>
      <c r="J667" s="271"/>
      <c r="K667" s="271"/>
      <c r="L667" s="271"/>
      <c r="M667" s="271"/>
      <c r="N667"/>
    </row>
    <row r="668" spans="1:14">
      <c r="A668" s="604"/>
      <c r="B668" s="366"/>
      <c r="C668" s="387" t="s">
        <v>442</v>
      </c>
      <c r="D668" s="364" t="s">
        <v>86</v>
      </c>
      <c r="E668" s="177">
        <v>2.7E-2</v>
      </c>
      <c r="F668" s="177">
        <f>E668*F664</f>
        <v>0.52380000000000004</v>
      </c>
      <c r="G668" s="271"/>
      <c r="H668" s="271"/>
      <c r="I668" s="271"/>
      <c r="J668" s="271"/>
      <c r="K668" s="271"/>
      <c r="L668" s="271"/>
      <c r="M668" s="271"/>
      <c r="N668"/>
    </row>
    <row r="669" spans="1:14">
      <c r="A669" s="605"/>
      <c r="B669" s="366"/>
      <c r="C669" s="387" t="s">
        <v>9</v>
      </c>
      <c r="D669" s="366" t="s">
        <v>6</v>
      </c>
      <c r="E669" s="165">
        <v>1.9E-3</v>
      </c>
      <c r="F669" s="165">
        <f>F664*E669</f>
        <v>3.6860000000000004E-2</v>
      </c>
      <c r="G669" s="271"/>
      <c r="H669" s="271"/>
      <c r="I669" s="271"/>
      <c r="J669" s="271"/>
      <c r="K669" s="271"/>
      <c r="L669" s="271"/>
      <c r="M669" s="271"/>
      <c r="N669"/>
    </row>
    <row r="670" spans="1:14">
      <c r="A670" s="353"/>
      <c r="B670" s="366"/>
      <c r="C670" s="387"/>
      <c r="D670" s="366"/>
      <c r="E670" s="165"/>
      <c r="F670" s="165"/>
      <c r="G670" s="398"/>
      <c r="H670" s="271"/>
      <c r="I670" s="398"/>
      <c r="J670" s="271"/>
      <c r="K670" s="398"/>
      <c r="L670" s="271"/>
      <c r="M670" s="271"/>
      <c r="N670"/>
    </row>
    <row r="671" spans="1:14">
      <c r="A671" s="355"/>
      <c r="B671" s="187"/>
      <c r="C671" s="394"/>
      <c r="D671" s="189"/>
      <c r="E671" s="20"/>
      <c r="F671" s="20"/>
      <c r="G671" s="399"/>
      <c r="H671" s="385"/>
      <c r="I671" s="384"/>
      <c r="J671" s="385"/>
      <c r="K671" s="384"/>
      <c r="L671" s="385"/>
      <c r="M671" s="385"/>
      <c r="N671"/>
    </row>
    <row r="672" spans="1:14">
      <c r="A672" s="259" t="s">
        <v>158</v>
      </c>
      <c r="B672" s="55"/>
      <c r="C672" s="400" t="s">
        <v>159</v>
      </c>
      <c r="D672" s="55" t="s">
        <v>54</v>
      </c>
      <c r="E672" s="341"/>
      <c r="F672" s="341">
        <f>'7777'!G80</f>
        <v>2230</v>
      </c>
      <c r="G672" s="271"/>
      <c r="H672" s="271"/>
      <c r="I672" s="271"/>
      <c r="J672" s="271"/>
      <c r="K672" s="271"/>
      <c r="L672" s="271"/>
      <c r="M672" s="271"/>
      <c r="N672"/>
    </row>
    <row r="673" spans="1:14" ht="15.75">
      <c r="A673" s="593" t="s">
        <v>95</v>
      </c>
      <c r="B673" s="81" t="s">
        <v>160</v>
      </c>
      <c r="C673" s="403" t="s">
        <v>161</v>
      </c>
      <c r="D673" s="81" t="s">
        <v>31</v>
      </c>
      <c r="E673" s="176"/>
      <c r="F673" s="176">
        <f>F672</f>
        <v>2230</v>
      </c>
      <c r="G673" s="271"/>
      <c r="H673" s="271"/>
      <c r="I673" s="271"/>
      <c r="J673" s="271"/>
      <c r="K673" s="271"/>
      <c r="L673" s="271"/>
      <c r="M673" s="271"/>
      <c r="N673"/>
    </row>
    <row r="674" spans="1:14" ht="27">
      <c r="A674" s="594"/>
      <c r="B674" s="81"/>
      <c r="C674" s="387" t="s">
        <v>42</v>
      </c>
      <c r="D674" s="363" t="s">
        <v>8</v>
      </c>
      <c r="E674" s="177">
        <f>38.3*0.01</f>
        <v>0.38300000000000001</v>
      </c>
      <c r="F674" s="177">
        <f>F673*E674</f>
        <v>854.09</v>
      </c>
      <c r="G674" s="271"/>
      <c r="H674" s="271"/>
      <c r="I674" s="271"/>
      <c r="J674" s="271"/>
      <c r="K674" s="271"/>
      <c r="L674" s="271"/>
      <c r="M674" s="271"/>
      <c r="N674"/>
    </row>
    <row r="675" spans="1:14" ht="27">
      <c r="A675" s="595"/>
      <c r="B675" s="81" t="s">
        <v>18</v>
      </c>
      <c r="C675" s="387" t="s">
        <v>162</v>
      </c>
      <c r="D675" s="366" t="s">
        <v>86</v>
      </c>
      <c r="E675" s="177">
        <f>2*0.01</f>
        <v>0.02</v>
      </c>
      <c r="F675" s="177">
        <f>E675*F673</f>
        <v>44.6</v>
      </c>
      <c r="G675" s="271"/>
      <c r="H675" s="271"/>
      <c r="I675" s="271"/>
      <c r="J675" s="271"/>
      <c r="K675" s="271"/>
      <c r="L675" s="271"/>
      <c r="M675" s="271"/>
      <c r="N675"/>
    </row>
    <row r="676" spans="1:14" ht="27">
      <c r="A676" s="344" t="s">
        <v>96</v>
      </c>
      <c r="B676" s="154"/>
      <c r="C676" s="400" t="s">
        <v>163</v>
      </c>
      <c r="D676" s="154"/>
      <c r="E676" s="7"/>
      <c r="F676" s="7"/>
      <c r="G676" s="271"/>
      <c r="H676" s="271"/>
      <c r="I676" s="271"/>
      <c r="J676" s="271"/>
      <c r="K676" s="271"/>
      <c r="L676" s="271"/>
      <c r="M676" s="271"/>
      <c r="N676"/>
    </row>
    <row r="677" spans="1:14">
      <c r="A677" s="344"/>
      <c r="B677" s="56">
        <v>3</v>
      </c>
      <c r="C677" s="62" t="s">
        <v>492</v>
      </c>
      <c r="D677" s="154" t="s">
        <v>58</v>
      </c>
      <c r="E677" s="270"/>
      <c r="F677" s="7">
        <f>'7777'!G82</f>
        <v>15</v>
      </c>
      <c r="G677" s="271"/>
      <c r="H677" s="271"/>
      <c r="I677" s="271"/>
      <c r="J677" s="271"/>
      <c r="K677" s="271"/>
      <c r="L677" s="271"/>
      <c r="M677" s="271"/>
      <c r="N677"/>
    </row>
    <row r="678" spans="1:14">
      <c r="A678" s="350"/>
      <c r="B678" s="56"/>
      <c r="C678" s="62" t="s">
        <v>164</v>
      </c>
      <c r="D678" s="154" t="s">
        <v>58</v>
      </c>
      <c r="E678" s="270"/>
      <c r="F678" s="7">
        <f>'7777'!G83</f>
        <v>35</v>
      </c>
      <c r="G678" s="271"/>
      <c r="H678" s="271"/>
      <c r="I678" s="271"/>
      <c r="J678" s="271"/>
      <c r="K678" s="271"/>
      <c r="L678" s="271"/>
      <c r="M678" s="271"/>
      <c r="N678"/>
    </row>
    <row r="679" spans="1:14" ht="27">
      <c r="A679" s="591" t="s">
        <v>87</v>
      </c>
      <c r="B679" s="154" t="s">
        <v>165</v>
      </c>
      <c r="C679" s="62" t="s">
        <v>166</v>
      </c>
      <c r="D679" s="154" t="s">
        <v>58</v>
      </c>
      <c r="E679" s="270"/>
      <c r="F679" s="7">
        <f>F677+F678</f>
        <v>50</v>
      </c>
      <c r="G679" s="271"/>
      <c r="H679" s="271"/>
      <c r="I679" s="271"/>
      <c r="J679" s="271"/>
      <c r="K679" s="271"/>
      <c r="L679" s="271"/>
      <c r="M679" s="271"/>
      <c r="N679"/>
    </row>
    <row r="680" spans="1:14" ht="27">
      <c r="A680" s="592"/>
      <c r="B680" s="154"/>
      <c r="C680" s="66" t="s">
        <v>42</v>
      </c>
      <c r="D680" s="363" t="s">
        <v>8</v>
      </c>
      <c r="E680" s="270">
        <v>3.18</v>
      </c>
      <c r="F680" s="270">
        <f>F679*E680</f>
        <v>159</v>
      </c>
      <c r="G680" s="271"/>
      <c r="H680" s="271"/>
      <c r="I680" s="271"/>
      <c r="J680" s="271"/>
      <c r="K680" s="271"/>
      <c r="L680" s="271"/>
      <c r="M680" s="271"/>
      <c r="N680"/>
    </row>
    <row r="681" spans="1:14">
      <c r="A681" s="344" t="s">
        <v>49</v>
      </c>
      <c r="B681" s="154" t="s">
        <v>167</v>
      </c>
      <c r="C681" s="62" t="s">
        <v>168</v>
      </c>
      <c r="D681" s="154" t="s">
        <v>58</v>
      </c>
      <c r="E681" s="270"/>
      <c r="F681" s="7">
        <f>F679</f>
        <v>50</v>
      </c>
      <c r="G681" s="271"/>
      <c r="H681" s="271"/>
      <c r="I681" s="271"/>
      <c r="J681" s="271"/>
      <c r="K681" s="271"/>
      <c r="L681" s="271"/>
      <c r="M681" s="271"/>
      <c r="N681"/>
    </row>
    <row r="682" spans="1:14" ht="27">
      <c r="A682" s="350"/>
      <c r="B682" s="154"/>
      <c r="C682" s="66" t="s">
        <v>42</v>
      </c>
      <c r="D682" s="363" t="s">
        <v>8</v>
      </c>
      <c r="E682" s="270">
        <v>1.6</v>
      </c>
      <c r="F682" s="270">
        <f>F681*E682</f>
        <v>80</v>
      </c>
      <c r="G682" s="271"/>
      <c r="H682" s="271"/>
      <c r="I682" s="271"/>
      <c r="J682" s="271"/>
      <c r="K682" s="271"/>
      <c r="L682" s="271"/>
      <c r="M682" s="271"/>
      <c r="N682"/>
    </row>
    <row r="683" spans="1:14" ht="27">
      <c r="A683" s="350"/>
      <c r="B683" s="154" t="s">
        <v>33</v>
      </c>
      <c r="C683" s="66" t="s">
        <v>169</v>
      </c>
      <c r="D683" s="363" t="s">
        <v>51</v>
      </c>
      <c r="E683" s="270">
        <v>7.0999999999999994E-2</v>
      </c>
      <c r="F683" s="270">
        <f>F681*E683</f>
        <v>3.55</v>
      </c>
      <c r="G683" s="271"/>
      <c r="H683" s="271"/>
      <c r="I683" s="271"/>
      <c r="J683" s="271"/>
      <c r="K683" s="271"/>
      <c r="L683" s="271"/>
      <c r="M683" s="271"/>
      <c r="N683"/>
    </row>
    <row r="684" spans="1:14" ht="27">
      <c r="A684" s="350"/>
      <c r="B684" s="154" t="s">
        <v>92</v>
      </c>
      <c r="C684" s="66" t="s">
        <v>170</v>
      </c>
      <c r="D684" s="363" t="s">
        <v>51</v>
      </c>
      <c r="E684" s="270">
        <v>0.13400000000000001</v>
      </c>
      <c r="F684" s="270">
        <f>F681*E684</f>
        <v>6.7</v>
      </c>
      <c r="G684" s="271"/>
      <c r="H684" s="271"/>
      <c r="I684" s="271"/>
      <c r="J684" s="271"/>
      <c r="K684" s="271"/>
      <c r="L684" s="271"/>
      <c r="M684" s="271"/>
      <c r="N684"/>
    </row>
    <row r="685" spans="1:14">
      <c r="A685" s="350"/>
      <c r="B685" s="154"/>
      <c r="C685" s="62" t="s">
        <v>171</v>
      </c>
      <c r="D685" s="363"/>
      <c r="E685" s="270">
        <v>1</v>
      </c>
      <c r="F685" s="7">
        <f>F681*E685</f>
        <v>50</v>
      </c>
      <c r="G685" s="271"/>
      <c r="H685" s="271"/>
      <c r="I685" s="271"/>
      <c r="J685" s="271"/>
      <c r="K685" s="271"/>
      <c r="L685" s="271"/>
      <c r="M685" s="271"/>
      <c r="N685"/>
    </row>
    <row r="686" spans="1:14">
      <c r="A686" s="350"/>
      <c r="B686" s="154"/>
      <c r="C686" s="62" t="s">
        <v>492</v>
      </c>
      <c r="D686" s="154" t="s">
        <v>58</v>
      </c>
      <c r="E686" s="270"/>
      <c r="F686" s="270">
        <f>F677</f>
        <v>15</v>
      </c>
      <c r="G686" s="271"/>
      <c r="H686" s="271"/>
      <c r="I686" s="271"/>
      <c r="J686" s="271"/>
      <c r="K686" s="271"/>
      <c r="L686" s="271"/>
      <c r="M686" s="271"/>
      <c r="N686"/>
    </row>
    <row r="687" spans="1:14">
      <c r="A687" s="350"/>
      <c r="B687" s="154"/>
      <c r="C687" s="62" t="s">
        <v>164</v>
      </c>
      <c r="D687" s="154" t="s">
        <v>58</v>
      </c>
      <c r="E687" s="270"/>
      <c r="F687" s="270">
        <f>F678</f>
        <v>35</v>
      </c>
      <c r="G687" s="271"/>
      <c r="H687" s="271"/>
      <c r="I687" s="271"/>
      <c r="J687" s="271"/>
      <c r="K687" s="271"/>
      <c r="L687" s="271"/>
      <c r="M687" s="271"/>
      <c r="N687"/>
    </row>
    <row r="688" spans="1:14">
      <c r="A688" s="534"/>
      <c r="B688" s="154"/>
      <c r="C688" s="66" t="s">
        <v>112</v>
      </c>
      <c r="D688" s="535" t="s">
        <v>43</v>
      </c>
      <c r="E688" s="536">
        <v>0.26</v>
      </c>
      <c r="F688" s="536">
        <f>F681*E688</f>
        <v>13</v>
      </c>
      <c r="G688" s="537"/>
      <c r="H688" s="537"/>
      <c r="I688" s="537"/>
      <c r="J688" s="537"/>
      <c r="K688" s="537"/>
      <c r="L688" s="537"/>
      <c r="M688" s="537"/>
      <c r="N688"/>
    </row>
    <row r="689" spans="1:14">
      <c r="A689" s="534"/>
      <c r="B689" s="154"/>
      <c r="C689" s="66" t="s">
        <v>56</v>
      </c>
      <c r="D689" s="535" t="s">
        <v>6</v>
      </c>
      <c r="E689" s="536">
        <v>0.17899999999999999</v>
      </c>
      <c r="F689" s="536">
        <f>F681*E689</f>
        <v>8.9499999999999993</v>
      </c>
      <c r="G689" s="537"/>
      <c r="H689" s="537"/>
      <c r="I689" s="537"/>
      <c r="J689" s="537"/>
      <c r="K689" s="537"/>
      <c r="L689" s="537"/>
      <c r="M689" s="537"/>
      <c r="N689"/>
    </row>
    <row r="690" spans="1:14">
      <c r="A690" s="346"/>
      <c r="B690" s="154"/>
      <c r="C690" s="404"/>
      <c r="D690" s="154"/>
      <c r="E690" s="270"/>
      <c r="F690" s="270"/>
      <c r="G690" s="271"/>
      <c r="H690" s="271"/>
      <c r="I690" s="271"/>
      <c r="J690" s="271"/>
      <c r="K690" s="271"/>
      <c r="L690" s="271"/>
      <c r="M690" s="271"/>
      <c r="N690"/>
    </row>
    <row r="691" spans="1:14" ht="67.5">
      <c r="A691" s="590" t="s">
        <v>59</v>
      </c>
      <c r="B691" s="155" t="s">
        <v>137</v>
      </c>
      <c r="C691" s="62" t="s">
        <v>227</v>
      </c>
      <c r="D691" s="154" t="s">
        <v>11</v>
      </c>
      <c r="E691" s="270"/>
      <c r="F691" s="7">
        <v>5</v>
      </c>
      <c r="G691" s="271"/>
      <c r="H691" s="271"/>
      <c r="I691" s="271"/>
      <c r="J691" s="271"/>
      <c r="K691" s="271"/>
      <c r="L691" s="271"/>
      <c r="M691" s="271"/>
      <c r="N691"/>
    </row>
    <row r="692" spans="1:14" ht="27">
      <c r="A692" s="590"/>
      <c r="B692" s="154"/>
      <c r="C692" s="373" t="s">
        <v>60</v>
      </c>
      <c r="D692" s="28" t="s">
        <v>8</v>
      </c>
      <c r="E692" s="198">
        <v>0.6</v>
      </c>
      <c r="F692" s="374">
        <f>F691*E692</f>
        <v>3</v>
      </c>
      <c r="G692" s="375"/>
      <c r="H692" s="271"/>
      <c r="I692" s="375"/>
      <c r="J692" s="271"/>
      <c r="K692" s="271"/>
      <c r="L692" s="271"/>
      <c r="M692" s="271"/>
      <c r="N692"/>
    </row>
    <row r="693" spans="1:14" ht="27">
      <c r="A693" s="590"/>
      <c r="B693" s="53" t="s">
        <v>97</v>
      </c>
      <c r="C693" s="376" t="s">
        <v>61</v>
      </c>
      <c r="D693" s="154" t="s">
        <v>48</v>
      </c>
      <c r="E693" s="198"/>
      <c r="F693" s="377">
        <f>F691*1.65</f>
        <v>8.25</v>
      </c>
      <c r="G693" s="375"/>
      <c r="H693" s="271"/>
      <c r="I693" s="375"/>
      <c r="J693" s="271"/>
      <c r="K693" s="375"/>
      <c r="L693" s="271"/>
      <c r="M693" s="271"/>
      <c r="N693"/>
    </row>
    <row r="694" spans="1:14" ht="27">
      <c r="A694" s="590"/>
      <c r="B694" s="255"/>
      <c r="C694" s="378" t="s">
        <v>62</v>
      </c>
      <c r="D694" s="28" t="s">
        <v>8</v>
      </c>
      <c r="E694" s="198">
        <v>0.53</v>
      </c>
      <c r="F694" s="374">
        <f>F693*E694</f>
        <v>4.3725000000000005</v>
      </c>
      <c r="G694" s="375"/>
      <c r="H694" s="271"/>
      <c r="I694" s="375"/>
      <c r="J694" s="271"/>
      <c r="K694" s="375"/>
      <c r="L694" s="271"/>
      <c r="M694" s="271"/>
      <c r="N694"/>
    </row>
    <row r="695" spans="1:14">
      <c r="A695" s="590"/>
      <c r="B695" s="154" t="s">
        <v>138</v>
      </c>
      <c r="C695" s="379" t="s">
        <v>242</v>
      </c>
      <c r="D695" s="154" t="s">
        <v>48</v>
      </c>
      <c r="E695" s="198"/>
      <c r="F695" s="377">
        <f>F693</f>
        <v>8.25</v>
      </c>
      <c r="G695" s="375"/>
      <c r="H695" s="271"/>
      <c r="I695" s="375"/>
      <c r="J695" s="271"/>
      <c r="K695" s="65"/>
      <c r="L695" s="271"/>
      <c r="M695" s="271"/>
      <c r="N695"/>
    </row>
    <row r="696" spans="1:14">
      <c r="A696" s="346"/>
      <c r="B696" s="154"/>
      <c r="C696" s="62"/>
      <c r="D696" s="154"/>
      <c r="E696" s="270"/>
      <c r="F696" s="270"/>
      <c r="G696" s="271"/>
      <c r="H696" s="271"/>
      <c r="I696" s="271"/>
      <c r="J696" s="271"/>
      <c r="K696" s="271"/>
      <c r="L696" s="271"/>
      <c r="M696" s="271"/>
      <c r="N696"/>
    </row>
    <row r="697" spans="1:14">
      <c r="A697" s="346"/>
      <c r="B697" s="154"/>
      <c r="C697" s="62"/>
      <c r="D697" s="154"/>
      <c r="E697" s="270"/>
      <c r="F697" s="270"/>
      <c r="G697" s="271"/>
      <c r="H697" s="271"/>
      <c r="I697" s="271"/>
      <c r="J697" s="271"/>
      <c r="K697" s="271"/>
      <c r="L697" s="271"/>
      <c r="M697" s="271"/>
      <c r="N697"/>
    </row>
    <row r="698" spans="1:14">
      <c r="A698" s="292"/>
      <c r="B698" s="237"/>
      <c r="C698" s="237" t="s">
        <v>410</v>
      </c>
      <c r="D698" s="237"/>
      <c r="E698" s="238"/>
      <c r="F698" s="238"/>
      <c r="G698" s="405"/>
      <c r="H698" s="405"/>
      <c r="I698" s="405"/>
      <c r="J698" s="405"/>
      <c r="K698" s="405"/>
      <c r="L698" s="405"/>
      <c r="M698" s="405"/>
      <c r="N698" s="312">
        <f>H698+J698+L698</f>
        <v>0</v>
      </c>
    </row>
    <row r="699" spans="1:14">
      <c r="A699" s="293"/>
      <c r="B699" s="203"/>
      <c r="C699" s="253" t="s">
        <v>253</v>
      </c>
      <c r="D699" s="203"/>
      <c r="E699" s="205"/>
      <c r="F699" s="406" t="s">
        <v>554</v>
      </c>
      <c r="G699" s="407"/>
      <c r="H699" s="407"/>
      <c r="I699" s="407"/>
      <c r="J699" s="407"/>
      <c r="K699" s="407"/>
      <c r="L699" s="407"/>
      <c r="M699" s="408"/>
      <c r="N699"/>
    </row>
    <row r="700" spans="1:14">
      <c r="A700" s="293"/>
      <c r="B700" s="203"/>
      <c r="C700" s="409" t="s">
        <v>19</v>
      </c>
      <c r="D700" s="203"/>
      <c r="E700" s="205"/>
      <c r="F700" s="205"/>
      <c r="G700" s="407"/>
      <c r="H700" s="407"/>
      <c r="I700" s="407"/>
      <c r="J700" s="407"/>
      <c r="K700" s="407"/>
      <c r="L700" s="407"/>
      <c r="M700" s="408"/>
      <c r="N700"/>
    </row>
    <row r="701" spans="1:14">
      <c r="A701" s="294"/>
      <c r="B701" s="212"/>
      <c r="C701" s="214" t="s">
        <v>254</v>
      </c>
      <c r="D701" s="214"/>
      <c r="E701" s="215"/>
      <c r="F701" s="410" t="s">
        <v>554</v>
      </c>
      <c r="G701" s="411"/>
      <c r="H701" s="411"/>
      <c r="I701" s="411"/>
      <c r="J701" s="411"/>
      <c r="K701" s="411"/>
      <c r="L701" s="411"/>
      <c r="M701" s="411"/>
      <c r="N701"/>
    </row>
    <row r="702" spans="1:14">
      <c r="A702" s="295"/>
      <c r="B702" s="218"/>
      <c r="C702" s="409" t="s">
        <v>19</v>
      </c>
      <c r="D702" s="219"/>
      <c r="E702" s="220"/>
      <c r="F702" s="412"/>
      <c r="G702" s="413"/>
      <c r="H702" s="413"/>
      <c r="I702" s="413"/>
      <c r="J702" s="413"/>
      <c r="K702" s="413"/>
      <c r="L702" s="413"/>
      <c r="M702" s="413"/>
      <c r="N702"/>
    </row>
    <row r="703" spans="1:14">
      <c r="A703" s="295"/>
      <c r="B703" s="218"/>
      <c r="C703" s="219" t="s">
        <v>82</v>
      </c>
      <c r="D703" s="219"/>
      <c r="E703" s="220"/>
      <c r="F703" s="414" t="s">
        <v>554</v>
      </c>
      <c r="G703" s="413"/>
      <c r="H703" s="413"/>
      <c r="I703" s="413"/>
      <c r="J703" s="413"/>
      <c r="K703" s="413"/>
      <c r="L703" s="413"/>
      <c r="M703" s="413"/>
      <c r="N703"/>
    </row>
    <row r="704" spans="1:14">
      <c r="A704" s="296"/>
      <c r="B704" s="225"/>
      <c r="C704" s="237" t="s">
        <v>411</v>
      </c>
      <c r="D704" s="227"/>
      <c r="E704" s="228"/>
      <c r="F704" s="415"/>
      <c r="G704" s="416"/>
      <c r="H704" s="416"/>
      <c r="I704" s="416"/>
      <c r="J704" s="416"/>
      <c r="K704" s="416"/>
      <c r="L704" s="416"/>
      <c r="M704" s="417"/>
      <c r="N704"/>
    </row>
    <row r="705" spans="1:14">
      <c r="A705" s="305"/>
      <c r="B705" s="46"/>
      <c r="C705" s="467"/>
      <c r="D705" s="46"/>
      <c r="E705" s="468"/>
      <c r="F705" s="468"/>
      <c r="G705" s="469"/>
      <c r="H705" s="470"/>
      <c r="I705" s="470"/>
      <c r="J705" s="469"/>
      <c r="K705" s="469"/>
      <c r="L705" s="469"/>
      <c r="M705" s="469"/>
      <c r="N705"/>
    </row>
    <row r="706" spans="1:14" ht="40.5">
      <c r="A706" s="283" t="s">
        <v>523</v>
      </c>
      <c r="B706" s="283"/>
      <c r="C706" s="283" t="s">
        <v>553</v>
      </c>
      <c r="D706" s="283"/>
      <c r="E706" s="371"/>
      <c r="F706" s="286"/>
      <c r="G706" s="371"/>
      <c r="H706" s="286"/>
      <c r="I706" s="371"/>
      <c r="J706" s="286"/>
      <c r="K706" s="371"/>
      <c r="L706" s="286"/>
      <c r="M706" s="286"/>
      <c r="N706"/>
    </row>
    <row r="707" spans="1:14">
      <c r="A707" s="542"/>
      <c r="B707" s="154"/>
      <c r="C707" s="439"/>
      <c r="D707" s="154"/>
      <c r="E707" s="544"/>
      <c r="F707" s="544"/>
      <c r="G707" s="545"/>
      <c r="H707" s="440"/>
      <c r="I707" s="440"/>
      <c r="J707" s="545"/>
      <c r="K707" s="545"/>
      <c r="L707" s="545"/>
      <c r="M707" s="545"/>
      <c r="N707"/>
    </row>
    <row r="708" spans="1:14" ht="31.5">
      <c r="A708" s="583" t="s">
        <v>98</v>
      </c>
      <c r="B708" s="150" t="s">
        <v>524</v>
      </c>
      <c r="C708" s="38" t="s">
        <v>525</v>
      </c>
      <c r="D708" s="154" t="s">
        <v>54</v>
      </c>
      <c r="E708" s="544"/>
      <c r="F708" s="15">
        <v>600</v>
      </c>
      <c r="G708" s="5"/>
      <c r="H708" s="5"/>
      <c r="I708" s="5"/>
      <c r="J708" s="5"/>
      <c r="K708" s="5"/>
      <c r="L708" s="5"/>
      <c r="M708" s="5"/>
      <c r="N708"/>
    </row>
    <row r="709" spans="1:14" ht="15.75">
      <c r="A709" s="583"/>
      <c r="B709" s="150"/>
      <c r="C709" s="26" t="s">
        <v>44</v>
      </c>
      <c r="D709" s="200" t="s">
        <v>14</v>
      </c>
      <c r="E709" s="13">
        <v>0.45900000000000002</v>
      </c>
      <c r="F709" s="550">
        <f>E709*F708</f>
        <v>275.40000000000003</v>
      </c>
      <c r="G709" s="5"/>
      <c r="H709" s="5"/>
      <c r="I709" s="5"/>
      <c r="J709" s="5"/>
      <c r="K709" s="5"/>
      <c r="L709" s="5"/>
      <c r="M709" s="5"/>
      <c r="N709"/>
    </row>
    <row r="710" spans="1:14" ht="15.75">
      <c r="A710" s="583"/>
      <c r="B710" s="150"/>
      <c r="C710" s="51" t="s">
        <v>526</v>
      </c>
      <c r="D710" s="200" t="s">
        <v>6</v>
      </c>
      <c r="E710" s="13">
        <v>2.3E-3</v>
      </c>
      <c r="F710" s="550">
        <f>E710*F708</f>
        <v>1.38</v>
      </c>
      <c r="G710" s="5"/>
      <c r="H710" s="5"/>
      <c r="I710" s="5"/>
      <c r="J710" s="5"/>
      <c r="K710" s="5"/>
      <c r="L710" s="5"/>
      <c r="M710" s="5"/>
      <c r="N710"/>
    </row>
    <row r="711" spans="1:14" ht="15.75">
      <c r="A711" s="583"/>
      <c r="B711" s="150"/>
      <c r="C711" s="26" t="s">
        <v>527</v>
      </c>
      <c r="D711" s="200" t="s">
        <v>40</v>
      </c>
      <c r="E711" s="13">
        <v>3.5E-4</v>
      </c>
      <c r="F711" s="550">
        <f>E711*F708</f>
        <v>0.21</v>
      </c>
      <c r="G711" s="5"/>
      <c r="H711" s="5"/>
      <c r="I711" s="5"/>
      <c r="J711" s="5"/>
      <c r="K711" s="5"/>
      <c r="L711" s="5"/>
      <c r="M711" s="5"/>
      <c r="N711"/>
    </row>
    <row r="712" spans="1:14" ht="15.75">
      <c r="A712" s="583"/>
      <c r="B712" s="150"/>
      <c r="C712" s="26" t="s">
        <v>528</v>
      </c>
      <c r="D712" s="200" t="s">
        <v>43</v>
      </c>
      <c r="E712" s="13">
        <v>9.0000000000000006E-5</v>
      </c>
      <c r="F712" s="550">
        <f>E712*F708</f>
        <v>5.4000000000000006E-2</v>
      </c>
      <c r="G712" s="5"/>
      <c r="H712" s="5"/>
      <c r="I712" s="5"/>
      <c r="J712" s="5"/>
      <c r="K712" s="5"/>
      <c r="L712" s="5"/>
      <c r="M712" s="5"/>
      <c r="N712"/>
    </row>
    <row r="713" spans="1:14" ht="15.75">
      <c r="A713" s="583"/>
      <c r="B713" s="150"/>
      <c r="C713" s="26" t="s">
        <v>529</v>
      </c>
      <c r="D713" s="200" t="s">
        <v>54</v>
      </c>
      <c r="E713" s="13">
        <v>3.4000000000000002E-2</v>
      </c>
      <c r="F713" s="550">
        <f>E713*F708</f>
        <v>20.400000000000002</v>
      </c>
      <c r="G713" s="5"/>
      <c r="H713" s="5"/>
      <c r="I713" s="5"/>
      <c r="J713" s="5"/>
      <c r="K713" s="5"/>
      <c r="L713" s="5"/>
      <c r="M713" s="5"/>
      <c r="N713"/>
    </row>
    <row r="714" spans="1:14" ht="15.75">
      <c r="A714" s="584" t="s">
        <v>79</v>
      </c>
      <c r="B714" s="17" t="s">
        <v>530</v>
      </c>
      <c r="C714" s="199" t="s">
        <v>531</v>
      </c>
      <c r="D714" s="551" t="s">
        <v>54</v>
      </c>
      <c r="E714" s="552"/>
      <c r="F714" s="14">
        <v>380</v>
      </c>
      <c r="G714" s="546"/>
      <c r="H714" s="5"/>
      <c r="I714" s="546"/>
      <c r="J714" s="5"/>
      <c r="K714" s="546"/>
      <c r="L714" s="5"/>
      <c r="M714" s="5"/>
      <c r="N714"/>
    </row>
    <row r="715" spans="1:14" ht="27">
      <c r="A715" s="585"/>
      <c r="B715" s="197"/>
      <c r="C715" s="553" t="s">
        <v>60</v>
      </c>
      <c r="D715" s="31" t="s">
        <v>8</v>
      </c>
      <c r="E715" s="552">
        <v>0.186</v>
      </c>
      <c r="F715" s="554">
        <f>F714*E715</f>
        <v>70.679999999999993</v>
      </c>
      <c r="G715" s="5"/>
      <c r="H715" s="5"/>
      <c r="I715" s="5"/>
      <c r="J715" s="5"/>
      <c r="K715" s="5"/>
      <c r="L715" s="152"/>
      <c r="M715" s="152"/>
      <c r="N715"/>
    </row>
    <row r="716" spans="1:14" ht="15.75">
      <c r="A716" s="586"/>
      <c r="B716" s="197"/>
      <c r="C716" s="555" t="s">
        <v>7</v>
      </c>
      <c r="D716" s="556" t="s">
        <v>6</v>
      </c>
      <c r="E716" s="552">
        <v>1.6000000000000001E-3</v>
      </c>
      <c r="F716" s="554">
        <f>F714*E716</f>
        <v>0.60799999999999998</v>
      </c>
      <c r="G716" s="5"/>
      <c r="H716" s="5"/>
      <c r="I716" s="5"/>
      <c r="J716" s="5"/>
      <c r="K716" s="5"/>
      <c r="L716" s="152"/>
      <c r="M716" s="152"/>
      <c r="N716"/>
    </row>
    <row r="717" spans="1:14" ht="78.75">
      <c r="A717" s="587" t="s">
        <v>99</v>
      </c>
      <c r="B717" s="557" t="s">
        <v>137</v>
      </c>
      <c r="C717" s="16" t="s">
        <v>533</v>
      </c>
      <c r="D717" s="254" t="s">
        <v>43</v>
      </c>
      <c r="E717" s="549"/>
      <c r="F717" s="14">
        <f>F714*0.03+5</f>
        <v>16.399999999999999</v>
      </c>
      <c r="G717" s="5"/>
      <c r="H717" s="5"/>
      <c r="I717" s="5"/>
      <c r="J717" s="5"/>
      <c r="K717" s="5"/>
      <c r="L717" s="152"/>
      <c r="M717" s="152"/>
      <c r="N717"/>
    </row>
    <row r="718" spans="1:14" ht="27">
      <c r="A718" s="587"/>
      <c r="B718" s="153"/>
      <c r="C718" s="558" t="s">
        <v>60</v>
      </c>
      <c r="D718" s="28" t="s">
        <v>8</v>
      </c>
      <c r="E718" s="198">
        <v>0.6</v>
      </c>
      <c r="F718" s="554">
        <f>F717*E718</f>
        <v>9.8399999999999981</v>
      </c>
      <c r="G718" s="12"/>
      <c r="H718" s="5"/>
      <c r="I718" s="12"/>
      <c r="J718" s="5"/>
      <c r="K718" s="5"/>
      <c r="L718" s="152"/>
      <c r="M718" s="152"/>
      <c r="N718"/>
    </row>
    <row r="719" spans="1:14" ht="31.5">
      <c r="A719" s="587"/>
      <c r="B719" s="559" t="s">
        <v>97</v>
      </c>
      <c r="C719" s="560" t="s">
        <v>61</v>
      </c>
      <c r="D719" s="254" t="s">
        <v>48</v>
      </c>
      <c r="E719" s="198"/>
      <c r="F719" s="14">
        <f>F714*0.03*2.4+5*1.65+0.008</f>
        <v>35.618000000000002</v>
      </c>
      <c r="G719" s="12"/>
      <c r="H719" s="5"/>
      <c r="I719" s="12"/>
      <c r="J719" s="5"/>
      <c r="K719" s="12"/>
      <c r="L719" s="152"/>
      <c r="M719" s="152"/>
      <c r="N719"/>
    </row>
    <row r="720" spans="1:14" ht="27">
      <c r="A720" s="587"/>
      <c r="B720" s="255"/>
      <c r="C720" s="558" t="s">
        <v>62</v>
      </c>
      <c r="D720" s="28" t="s">
        <v>8</v>
      </c>
      <c r="E720" s="198">
        <v>0.53</v>
      </c>
      <c r="F720" s="554">
        <f>F719*E720</f>
        <v>18.877540000000003</v>
      </c>
      <c r="G720" s="12"/>
      <c r="H720" s="5"/>
      <c r="I720" s="12"/>
      <c r="J720" s="5"/>
      <c r="K720" s="12"/>
      <c r="L720" s="152"/>
      <c r="M720" s="152"/>
      <c r="N720"/>
    </row>
    <row r="721" spans="1:14" ht="27">
      <c r="A721" s="587"/>
      <c r="B721" s="153" t="s">
        <v>532</v>
      </c>
      <c r="C721" s="561" t="s">
        <v>242</v>
      </c>
      <c r="D721" s="254" t="s">
        <v>48</v>
      </c>
      <c r="E721" s="198"/>
      <c r="F721" s="14">
        <f>F719</f>
        <v>35.618000000000002</v>
      </c>
      <c r="G721" s="12"/>
      <c r="H721" s="5"/>
      <c r="I721" s="12"/>
      <c r="J721" s="5"/>
      <c r="K721" s="12"/>
      <c r="L721" s="152"/>
      <c r="M721" s="152"/>
      <c r="N721"/>
    </row>
    <row r="722" spans="1:14" ht="47.25">
      <c r="A722" s="583" t="s">
        <v>93</v>
      </c>
      <c r="B722" s="150" t="s">
        <v>534</v>
      </c>
      <c r="C722" s="38" t="s">
        <v>535</v>
      </c>
      <c r="D722" s="154" t="s">
        <v>50</v>
      </c>
      <c r="E722" s="544"/>
      <c r="F722" s="15">
        <v>220</v>
      </c>
      <c r="G722" s="5"/>
      <c r="H722" s="5"/>
      <c r="I722" s="5"/>
      <c r="J722" s="5"/>
      <c r="K722" s="5"/>
      <c r="L722" s="5"/>
      <c r="M722" s="5"/>
      <c r="N722"/>
    </row>
    <row r="723" spans="1:14" ht="15.75">
      <c r="A723" s="583"/>
      <c r="B723" s="150"/>
      <c r="C723" s="26" t="s">
        <v>44</v>
      </c>
      <c r="D723" s="200" t="s">
        <v>14</v>
      </c>
      <c r="E723" s="13">
        <v>0.49</v>
      </c>
      <c r="F723" s="550">
        <f>E723*F722</f>
        <v>107.8</v>
      </c>
      <c r="G723" s="5"/>
      <c r="H723" s="5"/>
      <c r="I723" s="5"/>
      <c r="J723" s="5"/>
      <c r="K723" s="5"/>
      <c r="L723" s="5"/>
      <c r="M723" s="5"/>
      <c r="N723"/>
    </row>
    <row r="724" spans="1:14" ht="15.75">
      <c r="A724" s="583"/>
      <c r="B724" s="150" t="s">
        <v>536</v>
      </c>
      <c r="C724" s="26" t="s">
        <v>537</v>
      </c>
      <c r="D724" s="200" t="s">
        <v>15</v>
      </c>
      <c r="E724" s="13">
        <v>0</v>
      </c>
      <c r="F724" s="550">
        <f>E724*F722</f>
        <v>0</v>
      </c>
      <c r="G724" s="5"/>
      <c r="H724" s="5"/>
      <c r="I724" s="5"/>
      <c r="J724" s="5"/>
      <c r="K724" s="5"/>
      <c r="L724" s="5"/>
      <c r="M724" s="5"/>
      <c r="N724"/>
    </row>
    <row r="725" spans="1:14" ht="15.75">
      <c r="A725" s="583"/>
      <c r="B725" s="150"/>
      <c r="C725" s="26" t="s">
        <v>7</v>
      </c>
      <c r="D725" s="200" t="s">
        <v>6</v>
      </c>
      <c r="E725" s="13">
        <v>1.7999999999999999E-2</v>
      </c>
      <c r="F725" s="550">
        <f>E725*F722</f>
        <v>3.9599999999999995</v>
      </c>
      <c r="G725" s="5"/>
      <c r="H725" s="5"/>
      <c r="I725" s="5"/>
      <c r="J725" s="5"/>
      <c r="K725" s="5"/>
      <c r="L725" s="5"/>
      <c r="M725" s="5"/>
      <c r="N725"/>
    </row>
    <row r="726" spans="1:14" ht="15.75">
      <c r="A726" s="583"/>
      <c r="B726" s="150"/>
      <c r="C726" s="26" t="s">
        <v>538</v>
      </c>
      <c r="D726" s="200" t="s">
        <v>43</v>
      </c>
      <c r="E726" s="13">
        <v>1.06E-2</v>
      </c>
      <c r="F726" s="550">
        <f>E726*F722</f>
        <v>2.3319999999999999</v>
      </c>
      <c r="G726" s="5"/>
      <c r="H726" s="5"/>
      <c r="I726" s="5"/>
      <c r="J726" s="5"/>
      <c r="K726" s="5"/>
      <c r="L726" s="5"/>
      <c r="M726" s="5"/>
      <c r="N726"/>
    </row>
    <row r="727" spans="1:14" ht="47.25">
      <c r="A727" s="583" t="s">
        <v>95</v>
      </c>
      <c r="B727" s="150" t="s">
        <v>539</v>
      </c>
      <c r="C727" s="38" t="s">
        <v>540</v>
      </c>
      <c r="D727" s="154" t="s">
        <v>54</v>
      </c>
      <c r="E727" s="562"/>
      <c r="F727" s="15">
        <v>380</v>
      </c>
      <c r="G727" s="5"/>
      <c r="H727" s="5"/>
      <c r="I727" s="5"/>
      <c r="J727" s="5"/>
      <c r="K727" s="5"/>
      <c r="L727" s="5"/>
      <c r="M727" s="5"/>
      <c r="N727"/>
    </row>
    <row r="728" spans="1:14" ht="15.75">
      <c r="A728" s="583"/>
      <c r="B728" s="150"/>
      <c r="C728" s="26" t="s">
        <v>44</v>
      </c>
      <c r="D728" s="200" t="s">
        <v>14</v>
      </c>
      <c r="E728" s="13">
        <v>0.93</v>
      </c>
      <c r="F728" s="550">
        <f>F727*E728</f>
        <v>353.40000000000003</v>
      </c>
      <c r="G728" s="5"/>
      <c r="H728" s="5"/>
      <c r="I728" s="5"/>
      <c r="J728" s="5"/>
      <c r="K728" s="5"/>
      <c r="L728" s="5"/>
      <c r="M728" s="5"/>
      <c r="N728"/>
    </row>
    <row r="729" spans="1:14" ht="15.75">
      <c r="A729" s="583"/>
      <c r="B729" s="150" t="s">
        <v>541</v>
      </c>
      <c r="C729" s="26" t="s">
        <v>542</v>
      </c>
      <c r="D729" s="200" t="s">
        <v>15</v>
      </c>
      <c r="E729" s="13">
        <v>2.4E-2</v>
      </c>
      <c r="F729" s="550">
        <f>F727*E729</f>
        <v>9.120000000000001</v>
      </c>
      <c r="G729" s="5"/>
      <c r="H729" s="5"/>
      <c r="I729" s="5"/>
      <c r="J729" s="5"/>
      <c r="K729" s="5"/>
      <c r="L729" s="5"/>
      <c r="M729" s="5"/>
      <c r="N729"/>
    </row>
    <row r="730" spans="1:14" ht="15.75">
      <c r="A730" s="583"/>
      <c r="B730" s="150"/>
      <c r="C730" s="26" t="s">
        <v>7</v>
      </c>
      <c r="D730" s="200" t="s">
        <v>6</v>
      </c>
      <c r="E730" s="13">
        <v>2.5999999999999999E-2</v>
      </c>
      <c r="F730" s="550">
        <f>F727*E730</f>
        <v>9.879999999999999</v>
      </c>
      <c r="G730" s="5"/>
      <c r="H730" s="5"/>
      <c r="I730" s="5"/>
      <c r="J730" s="5"/>
      <c r="K730" s="5"/>
      <c r="L730" s="5"/>
      <c r="M730" s="5"/>
      <c r="N730"/>
    </row>
    <row r="731" spans="1:14" ht="15.75">
      <c r="A731" s="583"/>
      <c r="B731" s="543"/>
      <c r="C731" s="26" t="s">
        <v>543</v>
      </c>
      <c r="D731" s="200" t="s">
        <v>54</v>
      </c>
      <c r="E731" s="13">
        <v>1.03</v>
      </c>
      <c r="F731" s="550">
        <f>F727*E731</f>
        <v>391.40000000000003</v>
      </c>
      <c r="G731" s="5"/>
      <c r="H731" s="5"/>
      <c r="I731" s="5"/>
      <c r="J731" s="5"/>
      <c r="K731" s="5"/>
      <c r="L731" s="5"/>
      <c r="M731" s="5"/>
      <c r="N731"/>
    </row>
    <row r="732" spans="1:14" ht="15.75">
      <c r="A732" s="583"/>
      <c r="B732" s="150"/>
      <c r="C732" s="26" t="s">
        <v>544</v>
      </c>
      <c r="D732" s="200" t="s">
        <v>43</v>
      </c>
      <c r="E732" s="13">
        <v>3.2899999999999999E-2</v>
      </c>
      <c r="F732" s="550">
        <f>F727*E732</f>
        <v>12.501999999999999</v>
      </c>
      <c r="G732" s="5"/>
      <c r="H732" s="5"/>
      <c r="I732" s="5"/>
      <c r="J732" s="5"/>
      <c r="K732" s="5"/>
      <c r="L732" s="5"/>
      <c r="M732" s="5"/>
      <c r="N732"/>
    </row>
    <row r="733" spans="1:14" ht="40.5">
      <c r="A733" s="588" t="s">
        <v>96</v>
      </c>
      <c r="B733" s="325" t="s">
        <v>545</v>
      </c>
      <c r="C733" s="563" t="s">
        <v>546</v>
      </c>
      <c r="D733" s="325" t="s">
        <v>31</v>
      </c>
      <c r="E733" s="564"/>
      <c r="F733" s="15">
        <v>380</v>
      </c>
      <c r="G733" s="5"/>
      <c r="H733" s="5"/>
      <c r="I733" s="5"/>
      <c r="J733" s="5"/>
      <c r="K733" s="5"/>
      <c r="L733" s="5"/>
      <c r="M733" s="5"/>
      <c r="N733"/>
    </row>
    <row r="734" spans="1:14" ht="27">
      <c r="A734" s="589"/>
      <c r="B734" s="565"/>
      <c r="C734" s="566" t="s">
        <v>42</v>
      </c>
      <c r="D734" s="565" t="s">
        <v>547</v>
      </c>
      <c r="E734" s="567">
        <f>231*0.01</f>
        <v>2.31</v>
      </c>
      <c r="F734" s="568">
        <f>F733*E734</f>
        <v>877.80000000000007</v>
      </c>
      <c r="G734" s="5"/>
      <c r="H734" s="5"/>
      <c r="I734" s="5"/>
      <c r="J734" s="5"/>
      <c r="K734" s="5"/>
      <c r="L734" s="5"/>
      <c r="M734" s="5"/>
      <c r="N734"/>
    </row>
    <row r="735" spans="1:14" ht="15.75">
      <c r="A735" s="589"/>
      <c r="B735" s="569"/>
      <c r="C735" s="570" t="s">
        <v>7</v>
      </c>
      <c r="D735" s="571" t="s">
        <v>6</v>
      </c>
      <c r="E735" s="564">
        <f>3.27*0.01</f>
        <v>3.27E-2</v>
      </c>
      <c r="F735" s="572">
        <f>F733*E735</f>
        <v>12.426</v>
      </c>
      <c r="G735" s="5"/>
      <c r="H735" s="5"/>
      <c r="I735" s="5"/>
      <c r="J735" s="5"/>
      <c r="K735" s="5"/>
      <c r="L735" s="5"/>
      <c r="M735" s="5"/>
      <c r="N735"/>
    </row>
    <row r="736" spans="1:14" ht="15.75">
      <c r="A736" s="589"/>
      <c r="B736" s="569"/>
      <c r="C736" s="570" t="s">
        <v>9</v>
      </c>
      <c r="D736" s="571" t="s">
        <v>6</v>
      </c>
      <c r="E736" s="564">
        <f>4.03/100</f>
        <v>4.0300000000000002E-2</v>
      </c>
      <c r="F736" s="547">
        <f>F733*E736</f>
        <v>15.314</v>
      </c>
      <c r="G736" s="5"/>
      <c r="H736" s="5"/>
      <c r="I736" s="5"/>
      <c r="J736" s="5"/>
      <c r="K736" s="5"/>
      <c r="L736" s="5"/>
      <c r="M736" s="5"/>
      <c r="N736"/>
    </row>
    <row r="737" spans="1:14" ht="31.5">
      <c r="A737" s="589"/>
      <c r="B737" s="565"/>
      <c r="C737" s="566" t="s">
        <v>548</v>
      </c>
      <c r="D737" s="565" t="s">
        <v>46</v>
      </c>
      <c r="E737" s="567">
        <v>1.03</v>
      </c>
      <c r="F737" s="573">
        <f>F733*E737</f>
        <v>391.40000000000003</v>
      </c>
      <c r="G737" s="5"/>
      <c r="H737" s="5"/>
      <c r="I737" s="5"/>
      <c r="J737" s="5"/>
      <c r="K737" s="5"/>
      <c r="L737" s="5"/>
      <c r="M737" s="5"/>
      <c r="N737"/>
    </row>
    <row r="738" spans="1:14" ht="15.75">
      <c r="A738" s="589"/>
      <c r="B738" s="565"/>
      <c r="C738" s="574" t="s">
        <v>549</v>
      </c>
      <c r="D738" s="575" t="s">
        <v>54</v>
      </c>
      <c r="E738" s="576">
        <v>1.03</v>
      </c>
      <c r="F738" s="577">
        <f>F733*E738</f>
        <v>391.40000000000003</v>
      </c>
      <c r="G738" s="152"/>
      <c r="H738" s="152"/>
      <c r="I738" s="152"/>
      <c r="J738" s="152"/>
      <c r="K738" s="152"/>
      <c r="L738" s="152"/>
      <c r="M738" s="152"/>
      <c r="N738"/>
    </row>
    <row r="739" spans="1:14" ht="15.75">
      <c r="A739" s="589"/>
      <c r="B739" s="565"/>
      <c r="C739" s="574" t="s">
        <v>550</v>
      </c>
      <c r="D739" s="575" t="s">
        <v>4</v>
      </c>
      <c r="E739" s="576">
        <v>5</v>
      </c>
      <c r="F739" s="577">
        <f>F733*E739</f>
        <v>1900</v>
      </c>
      <c r="G739" s="152"/>
      <c r="H739" s="152"/>
      <c r="I739" s="152"/>
      <c r="J739" s="152"/>
      <c r="K739" s="152"/>
      <c r="L739" s="152"/>
      <c r="M739" s="152"/>
      <c r="N739"/>
    </row>
    <row r="740" spans="1:14" ht="47.25">
      <c r="A740" s="578" t="s">
        <v>87</v>
      </c>
      <c r="B740" s="150" t="s">
        <v>551</v>
      </c>
      <c r="C740" s="548" t="s">
        <v>552</v>
      </c>
      <c r="D740" s="154" t="s">
        <v>46</v>
      </c>
      <c r="E740" s="550"/>
      <c r="F740" s="579">
        <f>F733</f>
        <v>380</v>
      </c>
      <c r="G740" s="580"/>
      <c r="H740" s="5"/>
      <c r="I740" s="5"/>
      <c r="J740" s="5"/>
      <c r="K740" s="5"/>
      <c r="L740" s="5"/>
      <c r="M740" s="5"/>
      <c r="N740"/>
    </row>
    <row r="741" spans="1:14">
      <c r="A741" s="542"/>
      <c r="B741" s="154"/>
      <c r="C741" s="439"/>
      <c r="D741" s="154"/>
      <c r="E741" s="544"/>
      <c r="F741" s="544"/>
      <c r="G741" s="545"/>
      <c r="H741" s="440"/>
      <c r="I741" s="440"/>
      <c r="J741" s="545"/>
      <c r="K741" s="545"/>
      <c r="L741" s="545"/>
      <c r="M741" s="545"/>
      <c r="N741"/>
    </row>
    <row r="742" spans="1:14" ht="67.5">
      <c r="A742" s="590" t="s">
        <v>59</v>
      </c>
      <c r="B742" s="155" t="s">
        <v>137</v>
      </c>
      <c r="C742" s="62" t="s">
        <v>227</v>
      </c>
      <c r="D742" s="154" t="s">
        <v>11</v>
      </c>
      <c r="E742" s="544"/>
      <c r="F742" s="7">
        <v>5</v>
      </c>
      <c r="G742" s="545"/>
      <c r="H742" s="545"/>
      <c r="I742" s="545"/>
      <c r="J742" s="545"/>
      <c r="K742" s="545"/>
      <c r="L742" s="545"/>
      <c r="M742" s="545"/>
      <c r="N742"/>
    </row>
    <row r="743" spans="1:14" ht="27">
      <c r="A743" s="590"/>
      <c r="B743" s="154"/>
      <c r="C743" s="373" t="s">
        <v>60</v>
      </c>
      <c r="D743" s="28" t="s">
        <v>8</v>
      </c>
      <c r="E743" s="198">
        <v>0.6</v>
      </c>
      <c r="F743" s="374">
        <f>F742*E743</f>
        <v>3</v>
      </c>
      <c r="G743" s="375"/>
      <c r="H743" s="545"/>
      <c r="I743" s="375"/>
      <c r="J743" s="545"/>
      <c r="K743" s="545"/>
      <c r="L743" s="545"/>
      <c r="M743" s="545"/>
      <c r="N743"/>
    </row>
    <row r="744" spans="1:14" ht="27">
      <c r="A744" s="590"/>
      <c r="B744" s="53" t="s">
        <v>97</v>
      </c>
      <c r="C744" s="376" t="s">
        <v>61</v>
      </c>
      <c r="D744" s="154" t="s">
        <v>48</v>
      </c>
      <c r="E744" s="198"/>
      <c r="F744" s="377">
        <f>F742*1.65</f>
        <v>8.25</v>
      </c>
      <c r="G744" s="375"/>
      <c r="H744" s="545"/>
      <c r="I744" s="375"/>
      <c r="J744" s="545"/>
      <c r="K744" s="375"/>
      <c r="L744" s="545"/>
      <c r="M744" s="545"/>
      <c r="N744"/>
    </row>
    <row r="745" spans="1:14" ht="27">
      <c r="A745" s="590"/>
      <c r="B745" s="255"/>
      <c r="C745" s="378" t="s">
        <v>62</v>
      </c>
      <c r="D745" s="28" t="s">
        <v>8</v>
      </c>
      <c r="E745" s="198">
        <v>0.53</v>
      </c>
      <c r="F745" s="374">
        <f>F744*E745</f>
        <v>4.3725000000000005</v>
      </c>
      <c r="G745" s="375"/>
      <c r="H745" s="545"/>
      <c r="I745" s="375"/>
      <c r="J745" s="545"/>
      <c r="K745" s="375"/>
      <c r="L745" s="545"/>
      <c r="M745" s="545"/>
      <c r="N745"/>
    </row>
    <row r="746" spans="1:14">
      <c r="A746" s="590"/>
      <c r="B746" s="154" t="s">
        <v>138</v>
      </c>
      <c r="C746" s="379" t="s">
        <v>242</v>
      </c>
      <c r="D746" s="154" t="s">
        <v>48</v>
      </c>
      <c r="E746" s="198"/>
      <c r="F746" s="377">
        <f>F744</f>
        <v>8.25</v>
      </c>
      <c r="G746" s="375"/>
      <c r="H746" s="545"/>
      <c r="I746" s="375"/>
      <c r="J746" s="545"/>
      <c r="K746" s="65"/>
      <c r="L746" s="545"/>
      <c r="M746" s="545"/>
      <c r="N746"/>
    </row>
    <row r="747" spans="1:14">
      <c r="A747" s="542"/>
      <c r="B747" s="154"/>
      <c r="C747" s="439"/>
      <c r="D747" s="154"/>
      <c r="E747" s="544"/>
      <c r="F747" s="544"/>
      <c r="G747" s="545"/>
      <c r="H747" s="440"/>
      <c r="I747" s="440"/>
      <c r="J747" s="545"/>
      <c r="K747" s="545"/>
      <c r="L747" s="545"/>
      <c r="M747" s="545"/>
      <c r="N747"/>
    </row>
    <row r="748" spans="1:14">
      <c r="A748" s="292"/>
      <c r="B748" s="237"/>
      <c r="C748" s="237" t="s">
        <v>410</v>
      </c>
      <c r="D748" s="237"/>
      <c r="E748" s="238"/>
      <c r="F748" s="238"/>
      <c r="G748" s="405"/>
      <c r="H748" s="405"/>
      <c r="I748" s="405"/>
      <c r="J748" s="405"/>
      <c r="K748" s="405"/>
      <c r="L748" s="405"/>
      <c r="M748" s="405"/>
      <c r="N748"/>
    </row>
    <row r="749" spans="1:14">
      <c r="A749" s="293"/>
      <c r="B749" s="203"/>
      <c r="C749" s="253" t="s">
        <v>253</v>
      </c>
      <c r="D749" s="203"/>
      <c r="E749" s="205"/>
      <c r="F749" s="406" t="s">
        <v>554</v>
      </c>
      <c r="G749" s="407"/>
      <c r="H749" s="407"/>
      <c r="I749" s="407"/>
      <c r="J749" s="407"/>
      <c r="K749" s="407"/>
      <c r="L749" s="407"/>
      <c r="M749" s="408"/>
      <c r="N749"/>
    </row>
    <row r="750" spans="1:14">
      <c r="A750" s="293"/>
      <c r="B750" s="203"/>
      <c r="C750" s="409" t="s">
        <v>19</v>
      </c>
      <c r="D750" s="203"/>
      <c r="E750" s="205"/>
      <c r="F750" s="205"/>
      <c r="G750" s="407"/>
      <c r="H750" s="407"/>
      <c r="I750" s="407"/>
      <c r="J750" s="407"/>
      <c r="K750" s="407"/>
      <c r="L750" s="407"/>
      <c r="M750" s="408"/>
      <c r="N750"/>
    </row>
    <row r="751" spans="1:14">
      <c r="A751" s="294"/>
      <c r="B751" s="212"/>
      <c r="C751" s="214" t="s">
        <v>254</v>
      </c>
      <c r="D751" s="214"/>
      <c r="E751" s="215"/>
      <c r="F751" s="410" t="s">
        <v>554</v>
      </c>
      <c r="G751" s="411"/>
      <c r="H751" s="411"/>
      <c r="I751" s="411"/>
      <c r="J751" s="411"/>
      <c r="K751" s="411"/>
      <c r="L751" s="411"/>
      <c r="M751" s="411"/>
      <c r="N751"/>
    </row>
    <row r="752" spans="1:14">
      <c r="A752" s="295"/>
      <c r="B752" s="218"/>
      <c r="C752" s="409" t="s">
        <v>19</v>
      </c>
      <c r="D752" s="219"/>
      <c r="E752" s="220"/>
      <c r="F752" s="412"/>
      <c r="G752" s="413"/>
      <c r="H752" s="413"/>
      <c r="I752" s="413"/>
      <c r="J752" s="413"/>
      <c r="K752" s="413"/>
      <c r="L752" s="413"/>
      <c r="M752" s="413"/>
      <c r="N752"/>
    </row>
    <row r="753" spans="1:14">
      <c r="A753" s="295"/>
      <c r="B753" s="218"/>
      <c r="C753" s="219" t="s">
        <v>82</v>
      </c>
      <c r="D753" s="219"/>
      <c r="E753" s="220"/>
      <c r="F753" s="414" t="s">
        <v>554</v>
      </c>
      <c r="G753" s="413"/>
      <c r="H753" s="413"/>
      <c r="I753" s="413"/>
      <c r="J753" s="413"/>
      <c r="K753" s="413"/>
      <c r="L753" s="413"/>
      <c r="M753" s="413"/>
      <c r="N753"/>
    </row>
    <row r="754" spans="1:14">
      <c r="A754" s="296"/>
      <c r="B754" s="225"/>
      <c r="C754" s="237" t="s">
        <v>411</v>
      </c>
      <c r="D754" s="227"/>
      <c r="E754" s="228"/>
      <c r="F754" s="415"/>
      <c r="G754" s="416"/>
      <c r="H754" s="416"/>
      <c r="I754" s="416"/>
      <c r="J754" s="416"/>
      <c r="K754" s="416"/>
      <c r="L754" s="416"/>
      <c r="M754" s="417"/>
      <c r="N754"/>
    </row>
    <row r="755" spans="1:14">
      <c r="A755" s="305"/>
      <c r="B755" s="46"/>
      <c r="C755" s="467"/>
      <c r="D755" s="46"/>
      <c r="E755" s="468"/>
      <c r="F755" s="468"/>
      <c r="G755" s="469"/>
      <c r="H755" s="470"/>
      <c r="I755" s="470"/>
      <c r="J755" s="469"/>
      <c r="K755" s="469"/>
      <c r="L755" s="469"/>
      <c r="M755" s="469"/>
      <c r="N755"/>
    </row>
    <row r="756" spans="1:14">
      <c r="A756" s="305"/>
      <c r="B756" s="46"/>
      <c r="C756" s="467"/>
      <c r="D756" s="46"/>
      <c r="E756" s="468"/>
      <c r="F756" s="468"/>
      <c r="G756" s="469"/>
      <c r="H756" s="470"/>
      <c r="I756" s="470"/>
      <c r="J756" s="469"/>
      <c r="K756" s="469"/>
      <c r="L756" s="469"/>
      <c r="M756" s="469"/>
      <c r="N756"/>
    </row>
    <row r="757" spans="1:14">
      <c r="A757" s="330"/>
      <c r="B757" s="283"/>
      <c r="C757" s="471" t="s">
        <v>463</v>
      </c>
      <c r="D757" s="283"/>
      <c r="E757" s="286"/>
      <c r="F757" s="286"/>
      <c r="G757" s="472"/>
      <c r="H757" s="473"/>
      <c r="I757" s="473"/>
      <c r="J757" s="472"/>
      <c r="K757" s="472"/>
      <c r="L757" s="472"/>
      <c r="M757" s="472"/>
      <c r="N757"/>
    </row>
    <row r="758" spans="1:14">
      <c r="A758" s="217"/>
      <c r="B758" s="218"/>
      <c r="C758" s="219" t="s">
        <v>2</v>
      </c>
      <c r="D758" s="219"/>
      <c r="E758" s="220"/>
      <c r="F758" s="477">
        <v>0.03</v>
      </c>
      <c r="G758" s="413"/>
      <c r="H758" s="413"/>
      <c r="I758" s="413"/>
      <c r="J758" s="413"/>
      <c r="K758" s="413"/>
      <c r="L758" s="413"/>
      <c r="M758" s="413"/>
      <c r="N758"/>
    </row>
    <row r="759" spans="1:14">
      <c r="A759" s="217"/>
      <c r="B759" s="218"/>
      <c r="C759" s="475" t="s">
        <v>19</v>
      </c>
      <c r="D759" s="219"/>
      <c r="E759" s="220"/>
      <c r="F759" s="476"/>
      <c r="G759" s="413"/>
      <c r="H759" s="413"/>
      <c r="I759" s="413"/>
      <c r="J759" s="413"/>
      <c r="K759" s="413"/>
      <c r="L759" s="413"/>
      <c r="M759" s="413"/>
      <c r="N759"/>
    </row>
    <row r="760" spans="1:14">
      <c r="A760" s="217"/>
      <c r="B760" s="218"/>
      <c r="C760" s="197" t="s">
        <v>255</v>
      </c>
      <c r="D760" s="219"/>
      <c r="E760" s="220"/>
      <c r="F760" s="477" t="s">
        <v>554</v>
      </c>
      <c r="G760" s="413"/>
      <c r="H760" s="413"/>
      <c r="I760" s="413"/>
      <c r="J760" s="413"/>
      <c r="K760" s="413"/>
      <c r="L760" s="413"/>
      <c r="M760" s="413"/>
      <c r="N760"/>
    </row>
    <row r="761" spans="1:14">
      <c r="A761" s="217"/>
      <c r="B761" s="218"/>
      <c r="C761" s="475" t="s">
        <v>19</v>
      </c>
      <c r="D761" s="219"/>
      <c r="E761" s="220"/>
      <c r="F761" s="476"/>
      <c r="G761" s="413"/>
      <c r="H761" s="413"/>
      <c r="I761" s="413"/>
      <c r="J761" s="413"/>
      <c r="K761" s="413"/>
      <c r="L761" s="413"/>
      <c r="M761" s="413"/>
      <c r="N761"/>
    </row>
    <row r="762" spans="1:14">
      <c r="A762" s="217"/>
      <c r="B762" s="218"/>
      <c r="C762" s="211" t="s">
        <v>256</v>
      </c>
      <c r="D762" s="219"/>
      <c r="E762" s="220"/>
      <c r="F762" s="474" t="s">
        <v>66</v>
      </c>
      <c r="G762" s="413"/>
      <c r="H762" s="413"/>
      <c r="I762" s="413"/>
      <c r="J762" s="413"/>
      <c r="K762" s="413"/>
      <c r="L762" s="413"/>
      <c r="M762" s="413"/>
      <c r="N762"/>
    </row>
    <row r="763" spans="1:14">
      <c r="A763" s="236"/>
      <c r="B763" s="237"/>
      <c r="C763" s="237" t="s">
        <v>464</v>
      </c>
      <c r="D763" s="237"/>
      <c r="E763" s="238"/>
      <c r="F763" s="238"/>
      <c r="G763" s="405"/>
      <c r="H763" s="405"/>
      <c r="I763" s="405"/>
      <c r="J763" s="405"/>
      <c r="K763" s="405"/>
      <c r="L763" s="405"/>
      <c r="M763" s="478"/>
      <c r="N763"/>
    </row>
    <row r="764" spans="1:14">
      <c r="A764" s="305"/>
      <c r="B764" s="46"/>
      <c r="C764" s="467"/>
      <c r="D764" s="46"/>
      <c r="E764" s="468"/>
      <c r="F764" s="468"/>
      <c r="G764" s="469"/>
      <c r="H764" s="470"/>
      <c r="I764" s="470"/>
      <c r="J764" s="469"/>
      <c r="K764" s="469"/>
      <c r="L764" s="469"/>
      <c r="M764" s="469"/>
      <c r="N764"/>
    </row>
    <row r="765" spans="1:14">
      <c r="A765" s="305"/>
      <c r="B765" s="46"/>
      <c r="C765" s="467"/>
      <c r="D765" s="46"/>
      <c r="E765" s="468"/>
      <c r="F765" s="468"/>
      <c r="G765" s="469"/>
      <c r="H765" s="470"/>
      <c r="I765" s="470"/>
      <c r="J765" s="469"/>
      <c r="K765" s="469"/>
      <c r="L765" s="469"/>
      <c r="M765" s="469"/>
      <c r="N765"/>
    </row>
    <row r="766" spans="1:14">
      <c r="A766" s="305"/>
      <c r="B766" s="46"/>
      <c r="C766" s="467"/>
      <c r="D766" s="46"/>
      <c r="E766" s="468"/>
      <c r="F766" s="468"/>
      <c r="G766" s="469"/>
      <c r="H766" s="470"/>
      <c r="I766" s="470"/>
      <c r="J766" s="469"/>
      <c r="K766" s="469"/>
      <c r="L766" s="469"/>
      <c r="M766" s="469"/>
      <c r="N766"/>
    </row>
    <row r="767" spans="1:14">
      <c r="A767" s="305"/>
      <c r="B767" s="46"/>
      <c r="C767" s="467"/>
      <c r="D767" s="46"/>
      <c r="E767" s="468"/>
      <c r="F767" s="468"/>
      <c r="G767" s="469"/>
      <c r="H767" s="470"/>
      <c r="I767" s="470"/>
      <c r="J767" s="469"/>
      <c r="K767" s="469"/>
      <c r="L767" s="469"/>
      <c r="M767" s="469"/>
      <c r="N767"/>
    </row>
    <row r="768" spans="1:14" ht="16.5">
      <c r="A768" s="305"/>
      <c r="B768" s="46"/>
      <c r="C768" s="45"/>
      <c r="D768" s="46"/>
      <c r="E768" s="113"/>
      <c r="F768" s="113"/>
      <c r="G768" s="57"/>
      <c r="H768" s="68"/>
      <c r="I768" s="68"/>
      <c r="J768" s="57"/>
      <c r="K768" s="57"/>
      <c r="L768" s="57"/>
      <c r="M768" s="57"/>
      <c r="N768"/>
    </row>
    <row r="769" spans="1:14" ht="16.5">
      <c r="A769" s="305"/>
      <c r="B769" s="46"/>
      <c r="C769" s="45"/>
      <c r="D769" s="46"/>
      <c r="E769" s="113"/>
      <c r="F769" s="113"/>
      <c r="G769" s="57"/>
      <c r="H769" s="68"/>
      <c r="I769" s="68"/>
      <c r="J769" s="57"/>
      <c r="K769" s="57"/>
      <c r="L769" s="57"/>
      <c r="M769" s="57"/>
      <c r="N769"/>
    </row>
    <row r="770" spans="1:14" ht="16.5">
      <c r="A770" s="305"/>
      <c r="B770" s="46"/>
      <c r="C770" s="45"/>
      <c r="D770" s="46"/>
      <c r="E770" s="113"/>
      <c r="F770" s="113"/>
      <c r="G770" s="57"/>
      <c r="H770" s="68"/>
      <c r="I770" s="68"/>
      <c r="J770" s="57"/>
      <c r="K770" s="57"/>
      <c r="L770" s="57"/>
      <c r="M770" s="57"/>
      <c r="N770"/>
    </row>
    <row r="771" spans="1:14" ht="16.5">
      <c r="A771" s="305"/>
      <c r="B771" s="46"/>
      <c r="C771" s="45"/>
      <c r="D771" s="46"/>
      <c r="E771" s="113"/>
      <c r="F771" s="113"/>
      <c r="G771" s="57"/>
      <c r="H771" s="68"/>
      <c r="I771" s="68"/>
      <c r="J771" s="57"/>
      <c r="K771" s="57"/>
      <c r="L771" s="57"/>
      <c r="M771" s="57"/>
      <c r="N771"/>
    </row>
    <row r="772" spans="1:14" ht="16.5">
      <c r="A772" s="305"/>
      <c r="B772" s="46"/>
      <c r="C772" s="45"/>
      <c r="D772" s="46"/>
      <c r="E772" s="113"/>
      <c r="F772" s="113"/>
      <c r="G772" s="57"/>
      <c r="H772" s="68"/>
      <c r="I772" s="68"/>
      <c r="J772" s="57"/>
      <c r="K772" s="57"/>
      <c r="L772" s="57"/>
      <c r="M772" s="57"/>
      <c r="N772"/>
    </row>
    <row r="773" spans="1:14" ht="16.5">
      <c r="A773" s="305"/>
      <c r="B773" s="46"/>
      <c r="C773" s="45"/>
      <c r="D773" s="46"/>
      <c r="E773" s="113"/>
      <c r="F773" s="113"/>
      <c r="G773" s="57"/>
      <c r="H773" s="68"/>
      <c r="I773" s="68"/>
      <c r="J773" s="57"/>
      <c r="K773" s="57"/>
      <c r="L773" s="57"/>
      <c r="M773" s="57"/>
      <c r="N773"/>
    </row>
    <row r="774" spans="1:14" ht="16.5">
      <c r="A774" s="305"/>
      <c r="B774" s="46"/>
      <c r="C774" s="45"/>
      <c r="D774" s="46"/>
      <c r="E774" s="113"/>
      <c r="F774" s="113"/>
      <c r="G774" s="57"/>
      <c r="H774" s="68"/>
      <c r="I774" s="68"/>
      <c r="J774" s="57"/>
      <c r="K774" s="57"/>
      <c r="L774" s="57"/>
      <c r="M774" s="57"/>
      <c r="N774"/>
    </row>
    <row r="775" spans="1:14" ht="16.5">
      <c r="A775" s="305"/>
      <c r="B775" s="46"/>
      <c r="C775" s="45"/>
      <c r="D775" s="46"/>
      <c r="E775" s="113"/>
      <c r="F775" s="113"/>
      <c r="G775" s="57"/>
      <c r="H775" s="68"/>
      <c r="I775" s="68"/>
      <c r="J775" s="57"/>
      <c r="K775" s="57"/>
      <c r="L775" s="57"/>
      <c r="M775" s="57"/>
      <c r="N775"/>
    </row>
    <row r="776" spans="1:14" ht="16.5">
      <c r="A776" s="305"/>
      <c r="B776" s="46"/>
      <c r="C776" s="45"/>
      <c r="D776" s="46"/>
      <c r="E776" s="113"/>
      <c r="F776" s="113"/>
      <c r="G776" s="57"/>
      <c r="H776" s="68"/>
      <c r="I776" s="68"/>
      <c r="J776" s="57"/>
      <c r="K776" s="57"/>
      <c r="L776" s="57"/>
      <c r="M776" s="57"/>
      <c r="N776"/>
    </row>
    <row r="777" spans="1:14" ht="16.5">
      <c r="A777" s="305"/>
      <c r="B777" s="46"/>
      <c r="C777" s="45"/>
      <c r="D777" s="46"/>
      <c r="E777" s="113"/>
      <c r="F777" s="113"/>
      <c r="G777" s="57"/>
      <c r="H777" s="68"/>
      <c r="I777" s="68"/>
      <c r="J777" s="57"/>
      <c r="K777" s="57"/>
      <c r="L777" s="57"/>
      <c r="M777" s="57"/>
      <c r="N777"/>
    </row>
    <row r="778" spans="1:14" ht="16.5">
      <c r="A778" s="305"/>
      <c r="B778" s="46"/>
      <c r="C778" s="45"/>
      <c r="D778" s="46"/>
      <c r="E778" s="113"/>
      <c r="F778" s="113"/>
      <c r="G778" s="57"/>
      <c r="H778" s="68"/>
      <c r="I778" s="68"/>
      <c r="J778" s="57"/>
      <c r="K778" s="57"/>
      <c r="L778" s="57"/>
      <c r="M778" s="57"/>
      <c r="N778"/>
    </row>
    <row r="779" spans="1:14" ht="16.5">
      <c r="A779" s="305"/>
      <c r="B779" s="46"/>
      <c r="C779" s="45"/>
      <c r="D779" s="46"/>
      <c r="E779" s="113"/>
      <c r="F779" s="113"/>
      <c r="G779" s="57"/>
      <c r="H779" s="68"/>
      <c r="I779" s="68"/>
      <c r="J779" s="57"/>
      <c r="K779" s="57"/>
      <c r="L779" s="57"/>
      <c r="M779" s="57"/>
      <c r="N779"/>
    </row>
    <row r="780" spans="1:14" ht="16.5">
      <c r="A780" s="305"/>
      <c r="B780" s="46"/>
      <c r="C780" s="45"/>
      <c r="D780" s="46"/>
      <c r="E780" s="113"/>
      <c r="F780" s="113"/>
      <c r="G780" s="57"/>
      <c r="H780" s="68"/>
      <c r="I780" s="68"/>
      <c r="J780" s="57"/>
      <c r="K780" s="57"/>
      <c r="L780" s="57"/>
      <c r="M780" s="57"/>
      <c r="N780"/>
    </row>
    <row r="781" spans="1:14" ht="16.5">
      <c r="A781" s="305"/>
      <c r="B781" s="46"/>
      <c r="C781" s="45"/>
      <c r="D781" s="46"/>
      <c r="E781" s="113"/>
      <c r="F781" s="113"/>
      <c r="G781" s="57"/>
      <c r="H781" s="68"/>
      <c r="I781" s="68"/>
      <c r="J781" s="57"/>
      <c r="K781" s="57"/>
      <c r="L781" s="57"/>
      <c r="M781" s="57"/>
      <c r="N781"/>
    </row>
    <row r="782" spans="1:14" ht="16.5">
      <c r="A782" s="305"/>
      <c r="B782" s="46"/>
      <c r="C782" s="45"/>
      <c r="D782" s="46"/>
      <c r="E782" s="113"/>
      <c r="F782" s="113"/>
      <c r="G782" s="57"/>
      <c r="H782" s="68"/>
      <c r="I782" s="68"/>
      <c r="J782" s="57"/>
      <c r="K782" s="57"/>
      <c r="L782" s="57"/>
      <c r="M782" s="57"/>
      <c r="N782"/>
    </row>
    <row r="783" spans="1:14" ht="16.5">
      <c r="A783" s="305"/>
      <c r="B783" s="46"/>
      <c r="C783" s="45"/>
      <c r="D783" s="46"/>
      <c r="E783" s="113"/>
      <c r="F783" s="113"/>
      <c r="G783" s="57"/>
      <c r="H783" s="68"/>
      <c r="I783" s="68"/>
      <c r="J783" s="57"/>
      <c r="K783" s="57"/>
      <c r="L783" s="57"/>
      <c r="M783" s="57"/>
      <c r="N783"/>
    </row>
    <row r="784" spans="1:14" ht="16.5">
      <c r="A784" s="305"/>
      <c r="B784" s="46"/>
      <c r="C784" s="45"/>
      <c r="D784" s="46"/>
      <c r="E784" s="113"/>
      <c r="F784" s="113"/>
      <c r="G784" s="57"/>
      <c r="H784" s="68"/>
      <c r="I784" s="68"/>
      <c r="J784" s="57"/>
      <c r="K784" s="57"/>
      <c r="L784" s="57"/>
      <c r="M784" s="57"/>
      <c r="N784"/>
    </row>
    <row r="785" spans="1:14" ht="16.5">
      <c r="A785" s="305"/>
      <c r="B785" s="46"/>
      <c r="C785" s="45"/>
      <c r="D785" s="46"/>
      <c r="E785" s="113"/>
      <c r="F785" s="113"/>
      <c r="G785" s="57"/>
      <c r="H785" s="68"/>
      <c r="I785" s="68"/>
      <c r="J785" s="57"/>
      <c r="K785" s="57"/>
      <c r="L785" s="57"/>
      <c r="M785" s="57"/>
      <c r="N785"/>
    </row>
    <row r="786" spans="1:14" ht="16.5">
      <c r="A786" s="305"/>
      <c r="B786" s="46"/>
      <c r="C786" s="45"/>
      <c r="D786" s="46"/>
      <c r="E786" s="113"/>
      <c r="F786" s="113"/>
      <c r="G786" s="57"/>
      <c r="H786" s="68"/>
      <c r="I786" s="68"/>
      <c r="J786" s="57"/>
      <c r="K786" s="57"/>
      <c r="L786" s="57"/>
      <c r="M786" s="57"/>
      <c r="N786"/>
    </row>
    <row r="787" spans="1:14" ht="16.5">
      <c r="A787" s="305"/>
      <c r="B787" s="46"/>
      <c r="C787" s="45"/>
      <c r="D787" s="46"/>
      <c r="E787" s="113"/>
      <c r="F787" s="113"/>
      <c r="G787" s="57"/>
      <c r="H787" s="68"/>
      <c r="I787" s="68"/>
      <c r="J787" s="57"/>
      <c r="K787" s="57"/>
      <c r="L787" s="57"/>
      <c r="M787" s="57"/>
      <c r="N787"/>
    </row>
    <row r="788" spans="1:14" ht="16.5">
      <c r="A788" s="305"/>
      <c r="B788" s="46"/>
      <c r="C788" s="45"/>
      <c r="D788" s="46"/>
      <c r="E788" s="113"/>
      <c r="F788" s="113"/>
      <c r="G788" s="57"/>
      <c r="H788" s="68"/>
      <c r="I788" s="68"/>
      <c r="J788" s="57"/>
      <c r="K788" s="57"/>
      <c r="L788" s="57"/>
      <c r="M788" s="57"/>
      <c r="N788"/>
    </row>
    <row r="789" spans="1:14" ht="16.5">
      <c r="A789" s="305"/>
      <c r="B789" s="46"/>
      <c r="C789" s="45"/>
      <c r="D789" s="46"/>
      <c r="E789" s="113"/>
      <c r="F789" s="113"/>
      <c r="G789" s="57"/>
      <c r="H789" s="68"/>
      <c r="I789" s="68"/>
      <c r="J789" s="57"/>
      <c r="K789" s="57"/>
      <c r="L789" s="57"/>
      <c r="M789" s="57"/>
      <c r="N789"/>
    </row>
    <row r="790" spans="1:14" ht="16.5">
      <c r="A790" s="305"/>
      <c r="B790" s="46"/>
      <c r="C790" s="45"/>
      <c r="D790" s="46"/>
      <c r="E790" s="113"/>
      <c r="F790" s="113"/>
      <c r="G790" s="57"/>
      <c r="H790" s="68"/>
      <c r="I790" s="68"/>
      <c r="J790" s="57"/>
      <c r="K790" s="57"/>
      <c r="L790" s="57"/>
      <c r="M790" s="57"/>
      <c r="N790"/>
    </row>
    <row r="791" spans="1:14" ht="16.5">
      <c r="A791" s="305"/>
      <c r="B791" s="46"/>
      <c r="C791" s="45"/>
      <c r="D791" s="46"/>
      <c r="E791" s="113"/>
      <c r="F791" s="113"/>
      <c r="G791" s="57"/>
      <c r="H791" s="68"/>
      <c r="I791" s="68"/>
      <c r="J791" s="57"/>
      <c r="K791" s="57"/>
      <c r="L791" s="57"/>
      <c r="M791" s="57"/>
      <c r="N791"/>
    </row>
    <row r="792" spans="1:14" ht="16.5">
      <c r="A792" s="305"/>
      <c r="B792" s="46"/>
      <c r="C792" s="45"/>
      <c r="D792" s="46"/>
      <c r="E792" s="113"/>
      <c r="F792" s="113"/>
      <c r="G792" s="57"/>
      <c r="H792" s="68"/>
      <c r="I792" s="68"/>
      <c r="J792" s="57"/>
      <c r="K792" s="57"/>
      <c r="L792" s="57"/>
      <c r="M792" s="57"/>
      <c r="N792"/>
    </row>
    <row r="793" spans="1:14" ht="16.5">
      <c r="A793" s="305"/>
      <c r="B793" s="46"/>
      <c r="C793" s="45"/>
      <c r="D793" s="46"/>
      <c r="E793" s="113"/>
      <c r="F793" s="113"/>
      <c r="G793" s="57"/>
      <c r="H793" s="68"/>
      <c r="I793" s="68"/>
      <c r="J793" s="57"/>
      <c r="K793" s="57"/>
      <c r="L793" s="57"/>
      <c r="M793" s="57"/>
      <c r="N793"/>
    </row>
    <row r="794" spans="1:14" ht="16.5">
      <c r="A794" s="305"/>
      <c r="B794" s="46"/>
      <c r="C794" s="45"/>
      <c r="D794" s="46"/>
      <c r="E794" s="113"/>
      <c r="F794" s="113"/>
      <c r="G794" s="57"/>
      <c r="H794" s="68"/>
      <c r="I794" s="68"/>
      <c r="J794" s="57"/>
      <c r="K794" s="57"/>
      <c r="L794" s="57"/>
      <c r="M794" s="57"/>
      <c r="N794"/>
    </row>
    <row r="795" spans="1:14" ht="16.5">
      <c r="A795" s="305"/>
      <c r="B795" s="46"/>
      <c r="C795" s="45"/>
      <c r="D795" s="46"/>
      <c r="E795" s="113"/>
      <c r="F795" s="113"/>
      <c r="G795" s="57"/>
      <c r="H795" s="68"/>
      <c r="I795" s="68"/>
      <c r="J795" s="57"/>
      <c r="K795" s="57"/>
      <c r="L795" s="57"/>
      <c r="M795" s="57"/>
      <c r="N795"/>
    </row>
    <row r="796" spans="1:14" ht="16.5">
      <c r="A796" s="305"/>
      <c r="B796" s="46"/>
      <c r="C796" s="45"/>
      <c r="D796" s="46"/>
      <c r="E796" s="113"/>
      <c r="F796" s="113"/>
      <c r="G796" s="57"/>
      <c r="H796" s="68"/>
      <c r="I796" s="68"/>
      <c r="J796" s="57"/>
      <c r="K796" s="57"/>
      <c r="L796" s="57"/>
      <c r="M796" s="57"/>
      <c r="N796"/>
    </row>
    <row r="797" spans="1:14" ht="16.5">
      <c r="A797" s="305"/>
      <c r="B797" s="46"/>
      <c r="C797" s="45"/>
      <c r="D797" s="46"/>
      <c r="E797" s="113"/>
      <c r="F797" s="113"/>
      <c r="G797" s="57"/>
      <c r="H797" s="68"/>
      <c r="I797" s="68"/>
      <c r="J797" s="57"/>
      <c r="K797" s="57"/>
      <c r="L797" s="57"/>
      <c r="M797" s="57"/>
      <c r="N797"/>
    </row>
    <row r="798" spans="1:14" ht="16.5">
      <c r="A798" s="305"/>
      <c r="B798" s="46"/>
      <c r="C798" s="45"/>
      <c r="D798" s="46"/>
      <c r="E798" s="113"/>
      <c r="F798" s="113"/>
      <c r="G798" s="57"/>
      <c r="H798" s="68"/>
      <c r="I798" s="68"/>
      <c r="J798" s="57"/>
      <c r="K798" s="57"/>
      <c r="L798" s="57"/>
      <c r="M798" s="57"/>
      <c r="N798"/>
    </row>
    <row r="799" spans="1:14" ht="16.5">
      <c r="A799" s="305"/>
      <c r="B799" s="46"/>
      <c r="C799" s="45"/>
      <c r="D799" s="46"/>
      <c r="E799" s="113"/>
      <c r="F799" s="113"/>
      <c r="G799" s="57"/>
      <c r="H799" s="68"/>
      <c r="I799" s="68"/>
      <c r="J799" s="57"/>
      <c r="K799" s="57"/>
      <c r="L799" s="57"/>
      <c r="M799" s="57"/>
      <c r="N799"/>
    </row>
    <row r="800" spans="1:14" ht="16.5">
      <c r="A800" s="305"/>
      <c r="B800" s="46"/>
      <c r="C800" s="45"/>
      <c r="D800" s="46"/>
      <c r="E800" s="113"/>
      <c r="F800" s="113"/>
      <c r="G800" s="57"/>
      <c r="H800" s="68"/>
      <c r="I800" s="68"/>
      <c r="J800" s="57"/>
      <c r="K800" s="57"/>
      <c r="L800" s="57"/>
      <c r="M800" s="57"/>
      <c r="N800"/>
    </row>
    <row r="801" spans="1:14" ht="16.5">
      <c r="A801" s="305"/>
      <c r="B801" s="46"/>
      <c r="C801" s="45"/>
      <c r="D801" s="46"/>
      <c r="E801" s="113"/>
      <c r="F801" s="113"/>
      <c r="G801" s="57"/>
      <c r="H801" s="68"/>
      <c r="I801" s="68"/>
      <c r="J801" s="57"/>
      <c r="K801" s="57"/>
      <c r="L801" s="57"/>
      <c r="M801" s="57"/>
      <c r="N801"/>
    </row>
    <row r="802" spans="1:14" ht="16.5">
      <c r="A802" s="305"/>
      <c r="B802" s="46"/>
      <c r="C802" s="45"/>
      <c r="D802" s="46"/>
      <c r="E802" s="113"/>
      <c r="F802" s="113"/>
      <c r="G802" s="57"/>
      <c r="H802" s="68"/>
      <c r="I802" s="68"/>
      <c r="J802" s="57"/>
      <c r="K802" s="57"/>
      <c r="L802" s="57"/>
      <c r="M802" s="57"/>
      <c r="N802"/>
    </row>
    <row r="803" spans="1:14" ht="16.5">
      <c r="A803" s="305"/>
      <c r="B803" s="46"/>
      <c r="C803" s="45"/>
      <c r="D803" s="46"/>
      <c r="E803" s="113"/>
      <c r="F803" s="113"/>
      <c r="G803" s="57"/>
      <c r="H803" s="68"/>
      <c r="I803" s="68"/>
      <c r="J803" s="57"/>
      <c r="K803" s="57"/>
      <c r="L803" s="57"/>
      <c r="M803" s="57"/>
      <c r="N803"/>
    </row>
    <row r="804" spans="1:14" ht="16.5">
      <c r="A804" s="305"/>
      <c r="B804" s="46"/>
      <c r="C804" s="45"/>
      <c r="D804" s="46"/>
      <c r="E804" s="113"/>
      <c r="F804" s="113"/>
      <c r="G804" s="57"/>
      <c r="H804" s="68"/>
      <c r="I804" s="68"/>
      <c r="J804" s="57"/>
      <c r="K804" s="57"/>
      <c r="L804" s="57"/>
      <c r="M804" s="57"/>
      <c r="N804"/>
    </row>
    <row r="805" spans="1:14" ht="16.5">
      <c r="A805" s="305"/>
      <c r="B805" s="46"/>
      <c r="C805" s="45"/>
      <c r="D805" s="46"/>
      <c r="E805" s="113"/>
      <c r="F805" s="113"/>
      <c r="G805" s="57"/>
      <c r="H805" s="68"/>
      <c r="I805" s="68"/>
      <c r="J805" s="57"/>
      <c r="K805" s="57"/>
      <c r="L805" s="57"/>
      <c r="M805" s="57"/>
      <c r="N805"/>
    </row>
    <row r="806" spans="1:14" ht="16.5">
      <c r="A806" s="305"/>
      <c r="B806" s="46"/>
      <c r="C806" s="45"/>
      <c r="D806" s="46"/>
      <c r="E806" s="113"/>
      <c r="F806" s="113"/>
      <c r="G806" s="57"/>
      <c r="H806" s="68"/>
      <c r="I806" s="68"/>
      <c r="J806" s="57"/>
      <c r="K806" s="57"/>
      <c r="L806" s="57"/>
      <c r="M806" s="57"/>
      <c r="N806"/>
    </row>
    <row r="807" spans="1:14" ht="16.5">
      <c r="A807" s="305"/>
      <c r="B807" s="46"/>
      <c r="C807" s="45"/>
      <c r="D807" s="46"/>
      <c r="E807" s="113"/>
      <c r="F807" s="113"/>
      <c r="G807" s="57"/>
      <c r="H807" s="68"/>
      <c r="I807" s="68"/>
      <c r="J807" s="57"/>
      <c r="K807" s="57"/>
      <c r="L807" s="57"/>
      <c r="M807" s="57"/>
      <c r="N807"/>
    </row>
    <row r="808" spans="1:14" ht="16.5">
      <c r="A808" s="305"/>
      <c r="B808" s="46"/>
      <c r="C808" s="45"/>
      <c r="D808" s="46"/>
      <c r="E808" s="113"/>
      <c r="F808" s="113"/>
      <c r="G808" s="57"/>
      <c r="H808" s="68"/>
      <c r="I808" s="68"/>
      <c r="J808" s="57"/>
      <c r="K808" s="57"/>
      <c r="L808" s="57"/>
      <c r="M808" s="57"/>
      <c r="N808"/>
    </row>
    <row r="809" spans="1:14" ht="16.5">
      <c r="A809" s="305"/>
      <c r="B809" s="46"/>
      <c r="C809" s="45"/>
      <c r="D809" s="46"/>
      <c r="E809" s="113"/>
      <c r="F809" s="113"/>
      <c r="G809" s="57"/>
      <c r="H809" s="68"/>
      <c r="I809" s="68"/>
      <c r="J809" s="57"/>
      <c r="K809" s="57"/>
      <c r="L809" s="57"/>
      <c r="M809" s="57"/>
      <c r="N809"/>
    </row>
    <row r="810" spans="1:14" ht="16.5">
      <c r="A810" s="305"/>
      <c r="B810" s="46"/>
      <c r="C810" s="45"/>
      <c r="D810" s="46"/>
      <c r="E810" s="113"/>
      <c r="F810" s="113"/>
      <c r="G810" s="57"/>
      <c r="H810" s="68"/>
      <c r="I810" s="68"/>
      <c r="J810" s="57"/>
      <c r="K810" s="57"/>
      <c r="L810" s="57"/>
      <c r="M810" s="57"/>
      <c r="N810"/>
    </row>
    <row r="811" spans="1:14" ht="16.5">
      <c r="A811" s="305"/>
      <c r="B811" s="46"/>
      <c r="C811" s="45"/>
      <c r="D811" s="46"/>
      <c r="E811" s="113"/>
      <c r="F811" s="113"/>
      <c r="G811" s="57"/>
      <c r="H811" s="68"/>
      <c r="I811" s="68"/>
      <c r="J811" s="57"/>
      <c r="K811" s="57"/>
      <c r="L811" s="57"/>
      <c r="M811" s="57"/>
      <c r="N811"/>
    </row>
    <row r="812" spans="1:14" ht="16.5">
      <c r="A812" s="305"/>
      <c r="B812" s="46"/>
      <c r="C812" s="45"/>
      <c r="D812" s="46"/>
      <c r="E812" s="113"/>
      <c r="F812" s="113"/>
      <c r="G812" s="57"/>
      <c r="H812" s="68"/>
      <c r="I812" s="68"/>
      <c r="J812" s="57"/>
      <c r="K812" s="57"/>
      <c r="L812" s="57"/>
      <c r="M812" s="57"/>
      <c r="N812"/>
    </row>
    <row r="813" spans="1:14" ht="16.5">
      <c r="A813" s="305"/>
      <c r="B813" s="46"/>
      <c r="C813" s="45"/>
      <c r="D813" s="46"/>
      <c r="E813" s="113"/>
      <c r="F813" s="113"/>
      <c r="G813" s="57"/>
      <c r="H813" s="68"/>
      <c r="I813" s="68"/>
      <c r="J813" s="57"/>
      <c r="K813" s="57"/>
      <c r="L813" s="57"/>
      <c r="M813" s="57"/>
      <c r="N813"/>
    </row>
    <row r="814" spans="1:14" ht="16.5">
      <c r="A814" s="305"/>
      <c r="B814" s="46"/>
      <c r="C814" s="45"/>
      <c r="D814" s="46"/>
      <c r="E814" s="113"/>
      <c r="F814" s="113"/>
      <c r="G814" s="57"/>
      <c r="H814" s="68"/>
      <c r="I814" s="68"/>
      <c r="J814" s="57"/>
      <c r="K814" s="57"/>
      <c r="L814" s="57"/>
      <c r="M814" s="57"/>
      <c r="N814"/>
    </row>
    <row r="815" spans="1:14" ht="16.5">
      <c r="A815" s="305"/>
      <c r="B815" s="46"/>
      <c r="C815" s="45"/>
      <c r="D815" s="46"/>
      <c r="E815" s="113"/>
      <c r="F815" s="113"/>
      <c r="G815" s="57"/>
      <c r="H815" s="68"/>
      <c r="I815" s="68"/>
      <c r="J815" s="57"/>
      <c r="K815" s="57"/>
      <c r="L815" s="57"/>
      <c r="M815" s="57"/>
      <c r="N815"/>
    </row>
    <row r="816" spans="1:14" ht="16.5">
      <c r="A816" s="305"/>
      <c r="B816" s="46"/>
      <c r="C816" s="45"/>
      <c r="D816" s="46"/>
      <c r="E816" s="113"/>
      <c r="F816" s="113"/>
      <c r="G816" s="57"/>
      <c r="H816" s="68"/>
      <c r="I816" s="68"/>
      <c r="J816" s="57"/>
      <c r="K816" s="57"/>
      <c r="L816" s="57"/>
      <c r="M816" s="57"/>
      <c r="N816"/>
    </row>
    <row r="817" spans="1:14" ht="16.5">
      <c r="A817" s="305"/>
      <c r="B817" s="46"/>
      <c r="C817" s="45"/>
      <c r="D817" s="46"/>
      <c r="E817" s="113"/>
      <c r="F817" s="113"/>
      <c r="G817" s="57"/>
      <c r="H817" s="68"/>
      <c r="I817" s="68"/>
      <c r="J817" s="57"/>
      <c r="K817" s="57"/>
      <c r="L817" s="57"/>
      <c r="M817" s="57"/>
      <c r="N817"/>
    </row>
    <row r="818" spans="1:14" ht="16.5">
      <c r="A818" s="305"/>
      <c r="B818" s="46"/>
      <c r="C818" s="45"/>
      <c r="D818" s="46"/>
      <c r="E818" s="113"/>
      <c r="F818" s="113"/>
      <c r="G818" s="57"/>
      <c r="H818" s="68"/>
      <c r="I818" s="68"/>
      <c r="J818" s="57"/>
      <c r="K818" s="57"/>
      <c r="L818" s="57"/>
      <c r="M818" s="57"/>
      <c r="N818"/>
    </row>
    <row r="819" spans="1:14" ht="16.5">
      <c r="A819" s="305"/>
      <c r="B819" s="46"/>
      <c r="C819" s="45"/>
      <c r="D819" s="46"/>
      <c r="E819" s="113"/>
      <c r="F819" s="113"/>
      <c r="G819" s="57"/>
      <c r="H819" s="68"/>
      <c r="I819" s="68"/>
      <c r="J819" s="57"/>
      <c r="K819" s="57"/>
      <c r="L819" s="57"/>
      <c r="M819" s="57"/>
      <c r="N819"/>
    </row>
    <row r="820" spans="1:14" ht="16.5">
      <c r="A820" s="305"/>
      <c r="B820" s="46"/>
      <c r="C820" s="45"/>
      <c r="D820" s="46"/>
      <c r="E820" s="113"/>
      <c r="F820" s="113"/>
      <c r="G820" s="57"/>
      <c r="H820" s="68"/>
      <c r="I820" s="68"/>
      <c r="J820" s="57"/>
      <c r="K820" s="57"/>
      <c r="L820" s="57"/>
      <c r="M820" s="57"/>
      <c r="N820"/>
    </row>
    <row r="821" spans="1:14" ht="16.5">
      <c r="A821" s="305"/>
      <c r="B821" s="46"/>
      <c r="C821" s="45"/>
      <c r="D821" s="46"/>
      <c r="E821" s="113"/>
      <c r="F821" s="113"/>
      <c r="G821" s="57"/>
      <c r="H821" s="68"/>
      <c r="I821" s="68"/>
      <c r="J821" s="57"/>
      <c r="K821" s="57"/>
      <c r="L821" s="57"/>
      <c r="M821" s="57"/>
      <c r="N821"/>
    </row>
    <row r="822" spans="1:14" ht="16.5">
      <c r="A822" s="305"/>
      <c r="B822" s="46"/>
      <c r="C822" s="45"/>
      <c r="D822" s="46"/>
      <c r="E822" s="113"/>
      <c r="F822" s="113"/>
      <c r="G822" s="57"/>
      <c r="H822" s="68"/>
      <c r="I822" s="68"/>
      <c r="J822" s="57"/>
      <c r="K822" s="57"/>
      <c r="L822" s="57"/>
      <c r="M822" s="57"/>
      <c r="N822"/>
    </row>
    <row r="823" spans="1:14" ht="16.5">
      <c r="A823" s="305"/>
      <c r="B823" s="46"/>
      <c r="C823" s="45"/>
      <c r="D823" s="46"/>
      <c r="E823" s="113"/>
      <c r="F823" s="113"/>
      <c r="G823" s="57"/>
      <c r="H823" s="68"/>
      <c r="I823" s="68"/>
      <c r="J823" s="57"/>
      <c r="K823" s="57"/>
      <c r="L823" s="57"/>
      <c r="M823" s="57"/>
      <c r="N823"/>
    </row>
    <row r="824" spans="1:14" ht="16.5">
      <c r="A824" s="305"/>
      <c r="B824" s="46"/>
      <c r="C824" s="45"/>
      <c r="D824" s="46"/>
      <c r="E824" s="113"/>
      <c r="F824" s="113"/>
      <c r="G824" s="57"/>
      <c r="H824" s="68"/>
      <c r="I824" s="68"/>
      <c r="J824" s="57"/>
      <c r="K824" s="57"/>
      <c r="L824" s="57"/>
      <c r="M824" s="57"/>
      <c r="N824"/>
    </row>
    <row r="825" spans="1:14" ht="16.5">
      <c r="A825" s="305"/>
      <c r="B825" s="46"/>
      <c r="C825" s="45"/>
      <c r="D825" s="46"/>
      <c r="E825" s="113"/>
      <c r="F825" s="113"/>
      <c r="G825" s="57"/>
      <c r="H825" s="68"/>
      <c r="I825" s="68"/>
      <c r="J825" s="57"/>
      <c r="K825" s="57"/>
      <c r="L825" s="57"/>
      <c r="M825" s="57"/>
      <c r="N825"/>
    </row>
    <row r="826" spans="1:14" ht="16.5">
      <c r="A826" s="305"/>
      <c r="B826" s="46"/>
      <c r="C826" s="45"/>
      <c r="D826" s="46"/>
      <c r="E826" s="113"/>
      <c r="F826" s="113"/>
      <c r="G826" s="57"/>
      <c r="H826" s="68"/>
      <c r="I826" s="68"/>
      <c r="J826" s="57"/>
      <c r="K826" s="57"/>
      <c r="L826" s="57"/>
      <c r="M826" s="57"/>
      <c r="N826"/>
    </row>
    <row r="827" spans="1:14" ht="16.5">
      <c r="A827" s="305"/>
      <c r="B827" s="46"/>
      <c r="C827" s="45"/>
      <c r="D827" s="46"/>
      <c r="E827" s="113"/>
      <c r="F827" s="113"/>
      <c r="G827" s="57"/>
      <c r="H827" s="68"/>
      <c r="I827" s="68"/>
      <c r="J827" s="57"/>
      <c r="K827" s="57"/>
      <c r="L827" s="57"/>
      <c r="M827" s="57"/>
      <c r="N827"/>
    </row>
    <row r="828" spans="1:14" ht="16.5">
      <c r="A828" s="305"/>
      <c r="B828" s="46"/>
      <c r="C828" s="45"/>
      <c r="D828" s="46"/>
      <c r="E828" s="113"/>
      <c r="F828" s="113"/>
      <c r="G828" s="57"/>
      <c r="H828" s="68"/>
      <c r="I828" s="68"/>
      <c r="J828" s="57"/>
      <c r="K828" s="57"/>
      <c r="L828" s="57"/>
      <c r="M828" s="57"/>
      <c r="N828"/>
    </row>
    <row r="829" spans="1:14" ht="16.5">
      <c r="A829" s="305"/>
      <c r="B829" s="46"/>
      <c r="C829" s="45"/>
      <c r="D829" s="46"/>
      <c r="E829" s="113"/>
      <c r="F829" s="113"/>
      <c r="G829" s="57"/>
      <c r="H829" s="68"/>
      <c r="I829" s="68"/>
      <c r="J829" s="57"/>
      <c r="K829" s="57"/>
      <c r="L829" s="57"/>
      <c r="M829" s="57"/>
      <c r="N829"/>
    </row>
    <row r="830" spans="1:14" ht="16.5">
      <c r="A830" s="305"/>
      <c r="B830" s="46"/>
      <c r="C830" s="45"/>
      <c r="D830" s="46"/>
      <c r="E830" s="113"/>
      <c r="F830" s="113"/>
      <c r="G830" s="57"/>
      <c r="H830" s="68"/>
      <c r="I830" s="68"/>
      <c r="J830" s="57"/>
      <c r="K830" s="57"/>
      <c r="L830" s="57"/>
      <c r="M830" s="57"/>
      <c r="N830"/>
    </row>
    <row r="831" spans="1:14" ht="16.5">
      <c r="A831" s="305"/>
      <c r="B831" s="46"/>
      <c r="C831" s="45"/>
      <c r="D831" s="46"/>
      <c r="E831" s="113"/>
      <c r="F831" s="113"/>
      <c r="G831" s="57"/>
      <c r="H831" s="68"/>
      <c r="I831" s="68"/>
      <c r="J831" s="57"/>
      <c r="K831" s="57"/>
      <c r="L831" s="57"/>
      <c r="M831" s="57"/>
      <c r="N831"/>
    </row>
    <row r="832" spans="1:14" ht="16.5">
      <c r="A832" s="305"/>
      <c r="B832" s="46"/>
      <c r="C832" s="45"/>
      <c r="D832" s="46"/>
      <c r="E832" s="113"/>
      <c r="F832" s="113"/>
      <c r="G832" s="57"/>
      <c r="H832" s="68"/>
      <c r="I832" s="68"/>
      <c r="J832" s="57"/>
      <c r="K832" s="57"/>
      <c r="L832" s="57"/>
      <c r="M832" s="57"/>
      <c r="N832"/>
    </row>
    <row r="833" spans="1:14" ht="16.5">
      <c r="A833" s="305"/>
      <c r="B833" s="46"/>
      <c r="C833" s="45"/>
      <c r="D833" s="46"/>
      <c r="E833" s="113"/>
      <c r="F833" s="113"/>
      <c r="G833" s="57"/>
      <c r="H833" s="68"/>
      <c r="I833" s="68"/>
      <c r="J833" s="57"/>
      <c r="K833" s="57"/>
      <c r="L833" s="57"/>
      <c r="M833" s="57"/>
      <c r="N833"/>
    </row>
    <row r="834" spans="1:14" ht="16.5">
      <c r="A834" s="305"/>
      <c r="B834" s="46"/>
      <c r="C834" s="45"/>
      <c r="D834" s="46"/>
      <c r="E834" s="113"/>
      <c r="F834" s="113"/>
      <c r="G834" s="57"/>
      <c r="H834" s="68"/>
      <c r="I834" s="68"/>
      <c r="J834" s="57"/>
      <c r="K834" s="57"/>
      <c r="L834" s="57"/>
      <c r="M834" s="57"/>
      <c r="N834"/>
    </row>
    <row r="835" spans="1:14" ht="16.5">
      <c r="A835" s="305"/>
      <c r="B835" s="46"/>
      <c r="C835" s="45"/>
      <c r="D835" s="46"/>
      <c r="E835" s="113"/>
      <c r="F835" s="113"/>
      <c r="G835" s="57"/>
      <c r="H835" s="68"/>
      <c r="I835" s="68"/>
      <c r="J835" s="57"/>
      <c r="K835" s="57"/>
      <c r="L835" s="57"/>
      <c r="M835" s="57"/>
      <c r="N835"/>
    </row>
    <row r="836" spans="1:14" ht="16.5">
      <c r="A836" s="305"/>
      <c r="B836" s="46"/>
      <c r="C836" s="45"/>
      <c r="D836" s="46"/>
      <c r="E836" s="113"/>
      <c r="F836" s="113"/>
      <c r="G836" s="57"/>
      <c r="H836" s="68"/>
      <c r="I836" s="68"/>
      <c r="J836" s="57"/>
      <c r="K836" s="57"/>
      <c r="L836" s="57"/>
      <c r="M836" s="57"/>
      <c r="N836"/>
    </row>
    <row r="837" spans="1:14" ht="16.5">
      <c r="A837" s="305"/>
      <c r="B837" s="46"/>
      <c r="C837" s="45"/>
      <c r="D837" s="46"/>
      <c r="E837" s="113"/>
      <c r="F837" s="113"/>
      <c r="G837" s="57"/>
      <c r="H837" s="68"/>
      <c r="I837" s="68"/>
      <c r="J837" s="57"/>
      <c r="K837" s="57"/>
      <c r="L837" s="57"/>
      <c r="M837" s="57"/>
      <c r="N837"/>
    </row>
    <row r="838" spans="1:14" ht="16.5">
      <c r="A838" s="305"/>
      <c r="B838" s="46"/>
      <c r="C838" s="45"/>
      <c r="D838" s="46"/>
      <c r="E838" s="113"/>
      <c r="F838" s="113"/>
      <c r="G838" s="57"/>
      <c r="H838" s="68"/>
      <c r="I838" s="68"/>
      <c r="J838" s="57"/>
      <c r="K838" s="57"/>
      <c r="L838" s="57"/>
      <c r="M838" s="57"/>
      <c r="N838"/>
    </row>
    <row r="839" spans="1:14" ht="16.5">
      <c r="A839" s="305"/>
      <c r="B839" s="46"/>
      <c r="C839" s="45"/>
      <c r="D839" s="46"/>
      <c r="E839" s="113"/>
      <c r="F839" s="113"/>
      <c r="G839" s="57"/>
      <c r="H839" s="68"/>
      <c r="I839" s="68"/>
      <c r="J839" s="57"/>
      <c r="K839" s="57"/>
      <c r="L839" s="57"/>
      <c r="M839" s="57"/>
      <c r="N839"/>
    </row>
    <row r="840" spans="1:14" ht="16.5">
      <c r="A840" s="305"/>
      <c r="B840" s="46"/>
      <c r="C840" s="45"/>
      <c r="D840" s="46"/>
      <c r="E840" s="113"/>
      <c r="F840" s="113"/>
      <c r="G840" s="57"/>
      <c r="H840" s="68"/>
      <c r="I840" s="68"/>
      <c r="J840" s="57"/>
      <c r="K840" s="57"/>
      <c r="L840" s="57"/>
      <c r="M840" s="57"/>
      <c r="N840"/>
    </row>
    <row r="841" spans="1:14" ht="16.5">
      <c r="A841" s="305"/>
      <c r="B841" s="46"/>
      <c r="C841" s="45"/>
      <c r="D841" s="46"/>
      <c r="E841" s="113"/>
      <c r="F841" s="113"/>
      <c r="G841" s="57"/>
      <c r="H841" s="68"/>
      <c r="I841" s="68"/>
      <c r="J841" s="57"/>
      <c r="K841" s="57"/>
      <c r="L841" s="57"/>
      <c r="M841" s="57"/>
      <c r="N841"/>
    </row>
    <row r="842" spans="1:14" ht="16.5">
      <c r="A842" s="305"/>
      <c r="B842" s="46"/>
      <c r="C842" s="45"/>
      <c r="D842" s="46"/>
      <c r="E842" s="113"/>
      <c r="F842" s="113"/>
      <c r="G842" s="57"/>
      <c r="H842" s="68"/>
      <c r="I842" s="68"/>
      <c r="J842" s="57"/>
      <c r="K842" s="57"/>
      <c r="L842" s="57"/>
      <c r="M842" s="57"/>
      <c r="N842"/>
    </row>
    <row r="843" spans="1:14" ht="16.5">
      <c r="A843" s="305"/>
      <c r="B843" s="46"/>
      <c r="C843" s="45"/>
      <c r="D843" s="46"/>
      <c r="E843" s="113"/>
      <c r="F843" s="113"/>
      <c r="G843" s="57"/>
      <c r="H843" s="68"/>
      <c r="I843" s="68"/>
      <c r="J843" s="57"/>
      <c r="K843" s="57"/>
      <c r="L843" s="57"/>
      <c r="M843" s="57"/>
      <c r="N843"/>
    </row>
    <row r="844" spans="1:14" ht="16.5">
      <c r="A844" s="305"/>
      <c r="B844" s="46"/>
      <c r="C844" s="45"/>
      <c r="D844" s="46"/>
      <c r="E844" s="113"/>
      <c r="F844" s="113"/>
      <c r="G844" s="57"/>
      <c r="H844" s="68"/>
      <c r="I844" s="68"/>
      <c r="J844" s="57"/>
      <c r="K844" s="57"/>
      <c r="L844" s="57"/>
      <c r="M844" s="57"/>
      <c r="N844"/>
    </row>
    <row r="845" spans="1:14" ht="16.5">
      <c r="A845" s="305"/>
      <c r="B845" s="46"/>
      <c r="C845" s="45"/>
      <c r="D845" s="46"/>
      <c r="E845" s="113"/>
      <c r="F845" s="113"/>
      <c r="G845" s="57"/>
      <c r="H845" s="68"/>
      <c r="I845" s="68"/>
      <c r="J845" s="57"/>
      <c r="K845" s="57"/>
      <c r="L845" s="57"/>
      <c r="M845" s="57"/>
      <c r="N845"/>
    </row>
    <row r="846" spans="1:14" ht="16.5">
      <c r="A846" s="305"/>
      <c r="B846" s="46"/>
      <c r="C846" s="45"/>
      <c r="D846" s="46"/>
      <c r="E846" s="113"/>
      <c r="F846" s="113"/>
      <c r="G846" s="57"/>
      <c r="H846" s="68"/>
      <c r="I846" s="68"/>
      <c r="J846" s="57"/>
      <c r="K846" s="57"/>
      <c r="L846" s="57"/>
      <c r="M846" s="57"/>
      <c r="N846"/>
    </row>
    <row r="847" spans="1:14" ht="16.5">
      <c r="A847" s="305"/>
      <c r="B847" s="46"/>
      <c r="C847" s="45"/>
      <c r="D847" s="46"/>
      <c r="E847" s="113"/>
      <c r="F847" s="113"/>
      <c r="G847" s="57"/>
      <c r="H847" s="68"/>
      <c r="I847" s="68"/>
      <c r="J847" s="57"/>
      <c r="K847" s="57"/>
      <c r="L847" s="57"/>
      <c r="M847" s="57"/>
      <c r="N847"/>
    </row>
    <row r="848" spans="1:14" ht="16.5">
      <c r="A848" s="305"/>
      <c r="B848" s="46"/>
      <c r="C848" s="45"/>
      <c r="D848" s="46"/>
      <c r="E848" s="113"/>
      <c r="F848" s="113"/>
      <c r="G848" s="57"/>
      <c r="H848" s="68"/>
      <c r="I848" s="68"/>
      <c r="J848" s="57"/>
      <c r="K848" s="57"/>
      <c r="L848" s="57"/>
      <c r="M848" s="57"/>
      <c r="N848"/>
    </row>
    <row r="849" spans="1:14" ht="16.5">
      <c r="A849" s="305"/>
      <c r="B849" s="46"/>
      <c r="C849" s="45"/>
      <c r="D849" s="46"/>
      <c r="E849" s="113"/>
      <c r="F849" s="113"/>
      <c r="G849" s="57"/>
      <c r="H849" s="68"/>
      <c r="I849" s="68"/>
      <c r="J849" s="57"/>
      <c r="K849" s="57"/>
      <c r="L849" s="57"/>
      <c r="M849" s="57"/>
      <c r="N849"/>
    </row>
    <row r="850" spans="1:14" ht="16.5">
      <c r="A850" s="305"/>
      <c r="B850" s="46"/>
      <c r="C850" s="45"/>
      <c r="D850" s="46"/>
      <c r="E850" s="113"/>
      <c r="F850" s="113"/>
      <c r="G850" s="57"/>
      <c r="H850" s="68"/>
      <c r="I850" s="68"/>
      <c r="J850" s="57"/>
      <c r="K850" s="57"/>
      <c r="L850" s="57"/>
      <c r="M850" s="57"/>
      <c r="N850"/>
    </row>
    <row r="851" spans="1:14" ht="16.5">
      <c r="A851" s="305"/>
      <c r="B851" s="46"/>
      <c r="C851" s="45"/>
      <c r="D851" s="46"/>
      <c r="E851" s="113"/>
      <c r="F851" s="113"/>
      <c r="G851" s="57"/>
      <c r="H851" s="68"/>
      <c r="I851" s="68"/>
      <c r="J851" s="57"/>
      <c r="K851" s="57"/>
      <c r="L851" s="57"/>
      <c r="M851" s="57"/>
      <c r="N851"/>
    </row>
    <row r="852" spans="1:14" ht="16.5">
      <c r="A852" s="305"/>
      <c r="B852" s="46"/>
      <c r="C852" s="45"/>
      <c r="D852" s="46"/>
      <c r="E852" s="113"/>
      <c r="F852" s="113"/>
      <c r="G852" s="57"/>
      <c r="H852" s="68"/>
      <c r="I852" s="68"/>
      <c r="J852" s="57"/>
      <c r="K852" s="57"/>
      <c r="L852" s="57"/>
      <c r="M852" s="57"/>
      <c r="N852"/>
    </row>
    <row r="853" spans="1:14" ht="16.5">
      <c r="A853" s="305"/>
      <c r="B853" s="46"/>
      <c r="C853" s="45"/>
      <c r="D853" s="46"/>
      <c r="E853" s="113"/>
      <c r="F853" s="113"/>
      <c r="G853" s="57"/>
      <c r="H853" s="68"/>
      <c r="I853" s="68"/>
      <c r="J853" s="57"/>
      <c r="K853" s="57"/>
      <c r="L853" s="57"/>
      <c r="M853" s="57"/>
      <c r="N853"/>
    </row>
    <row r="854" spans="1:14" ht="16.5">
      <c r="A854" s="305"/>
      <c r="B854" s="46"/>
      <c r="C854" s="45"/>
      <c r="D854" s="46"/>
      <c r="E854" s="113"/>
      <c r="F854" s="113"/>
      <c r="G854" s="57"/>
      <c r="H854" s="68"/>
      <c r="I854" s="68"/>
      <c r="J854" s="57"/>
      <c r="K854" s="57"/>
      <c r="L854" s="57"/>
      <c r="M854" s="57"/>
      <c r="N854"/>
    </row>
    <row r="855" spans="1:14" ht="16.5">
      <c r="A855" s="305"/>
      <c r="B855" s="46"/>
      <c r="C855" s="45"/>
      <c r="D855" s="46"/>
      <c r="E855" s="113"/>
      <c r="F855" s="113"/>
      <c r="G855" s="57"/>
      <c r="H855" s="68"/>
      <c r="I855" s="68"/>
      <c r="J855" s="57"/>
      <c r="K855" s="57"/>
      <c r="L855" s="57"/>
      <c r="M855" s="57"/>
      <c r="N855"/>
    </row>
    <row r="856" spans="1:14" ht="16.5">
      <c r="A856" s="305"/>
      <c r="B856" s="46"/>
      <c r="C856" s="45"/>
      <c r="D856" s="46"/>
      <c r="E856" s="113"/>
      <c r="F856" s="113"/>
      <c r="G856" s="57"/>
      <c r="H856" s="68"/>
      <c r="I856" s="68"/>
      <c r="J856" s="57"/>
      <c r="K856" s="57"/>
      <c r="L856" s="57"/>
      <c r="M856" s="57"/>
      <c r="N856"/>
    </row>
    <row r="857" spans="1:14" ht="16.5">
      <c r="A857" s="305"/>
      <c r="B857" s="46"/>
      <c r="C857" s="45"/>
      <c r="D857" s="46"/>
      <c r="E857" s="113"/>
      <c r="F857" s="113"/>
      <c r="G857" s="57"/>
      <c r="H857" s="68"/>
      <c r="I857" s="68"/>
      <c r="J857" s="57"/>
      <c r="K857" s="57"/>
      <c r="L857" s="57"/>
      <c r="M857" s="57"/>
      <c r="N857"/>
    </row>
    <row r="858" spans="1:14" ht="16.5">
      <c r="A858" s="305"/>
      <c r="B858" s="46"/>
      <c r="C858" s="45"/>
      <c r="D858" s="46"/>
      <c r="E858" s="113"/>
      <c r="F858" s="113"/>
      <c r="G858" s="57"/>
      <c r="H858" s="68"/>
      <c r="I858" s="68"/>
      <c r="J858" s="57"/>
      <c r="K858" s="57"/>
      <c r="L858" s="57"/>
      <c r="M858" s="57"/>
      <c r="N858"/>
    </row>
    <row r="859" spans="1:14" ht="16.5">
      <c r="A859" s="305"/>
      <c r="B859" s="46"/>
      <c r="C859" s="45"/>
      <c r="D859" s="46"/>
      <c r="E859" s="113"/>
      <c r="F859" s="113"/>
      <c r="G859" s="57"/>
      <c r="H859" s="68"/>
      <c r="I859" s="68"/>
      <c r="J859" s="57"/>
      <c r="K859" s="57"/>
      <c r="L859" s="57"/>
      <c r="M859" s="57"/>
      <c r="N859"/>
    </row>
    <row r="860" spans="1:14" ht="16.5">
      <c r="A860" s="305"/>
      <c r="B860" s="46"/>
      <c r="C860" s="45"/>
      <c r="D860" s="46"/>
      <c r="E860" s="113"/>
      <c r="F860" s="113"/>
      <c r="G860" s="57"/>
      <c r="H860" s="68"/>
      <c r="I860" s="68"/>
      <c r="J860" s="57"/>
      <c r="K860" s="57"/>
      <c r="L860" s="57"/>
      <c r="M860" s="57"/>
      <c r="N860"/>
    </row>
    <row r="861" spans="1:14" ht="16.5">
      <c r="A861" s="305"/>
      <c r="B861" s="46"/>
      <c r="C861" s="45"/>
      <c r="D861" s="46"/>
      <c r="E861" s="113"/>
      <c r="F861" s="113"/>
      <c r="G861" s="57"/>
      <c r="H861" s="68"/>
      <c r="I861" s="68"/>
      <c r="J861" s="57"/>
      <c r="K861" s="57"/>
      <c r="L861" s="57"/>
      <c r="M861" s="57"/>
      <c r="N861"/>
    </row>
    <row r="862" spans="1:14" ht="16.5">
      <c r="A862" s="305"/>
      <c r="B862" s="46"/>
      <c r="C862" s="45"/>
      <c r="D862" s="46"/>
      <c r="E862" s="113"/>
      <c r="F862" s="113"/>
      <c r="G862" s="57"/>
      <c r="H862" s="68"/>
      <c r="I862" s="68"/>
      <c r="J862" s="57"/>
      <c r="K862" s="57"/>
      <c r="L862" s="57"/>
      <c r="M862" s="57"/>
      <c r="N862"/>
    </row>
    <row r="863" spans="1:14" ht="16.5">
      <c r="A863" s="305"/>
      <c r="B863" s="46"/>
      <c r="C863" s="45"/>
      <c r="D863" s="46"/>
      <c r="E863" s="113"/>
      <c r="F863" s="113"/>
      <c r="G863" s="57"/>
      <c r="H863" s="68"/>
      <c r="I863" s="68"/>
      <c r="J863" s="57"/>
      <c r="K863" s="57"/>
      <c r="L863" s="57"/>
      <c r="M863" s="57"/>
      <c r="N863"/>
    </row>
    <row r="864" spans="1:14" ht="16.5">
      <c r="A864" s="305"/>
      <c r="B864" s="46"/>
      <c r="C864" s="45"/>
      <c r="D864" s="46"/>
      <c r="E864" s="113"/>
      <c r="F864" s="113"/>
      <c r="G864" s="57"/>
      <c r="H864" s="68"/>
      <c r="I864" s="68"/>
      <c r="J864" s="57"/>
      <c r="K864" s="57"/>
      <c r="L864" s="57"/>
      <c r="M864" s="57"/>
      <c r="N864"/>
    </row>
    <row r="865" spans="1:14" ht="16.5">
      <c r="A865" s="305"/>
      <c r="B865" s="46"/>
      <c r="C865" s="45"/>
      <c r="D865" s="46"/>
      <c r="E865" s="113"/>
      <c r="F865" s="113"/>
      <c r="G865" s="57"/>
      <c r="H865" s="68"/>
      <c r="I865" s="68"/>
      <c r="J865" s="57"/>
      <c r="K865" s="57"/>
      <c r="L865" s="57"/>
      <c r="M865" s="57"/>
      <c r="N865"/>
    </row>
    <row r="866" spans="1:14" ht="16.5">
      <c r="A866" s="305"/>
      <c r="B866" s="46"/>
      <c r="C866" s="45"/>
      <c r="D866" s="46"/>
      <c r="E866" s="113"/>
      <c r="F866" s="113"/>
      <c r="G866" s="57"/>
      <c r="H866" s="68"/>
      <c r="I866" s="68"/>
      <c r="J866" s="57"/>
      <c r="K866" s="57"/>
      <c r="L866" s="57"/>
      <c r="M866" s="57"/>
      <c r="N866"/>
    </row>
    <row r="867" spans="1:14" ht="16.5">
      <c r="A867" s="305"/>
      <c r="B867" s="46"/>
      <c r="C867" s="45"/>
      <c r="D867" s="46"/>
      <c r="E867" s="113"/>
      <c r="F867" s="113"/>
      <c r="G867" s="57"/>
      <c r="H867" s="68"/>
      <c r="I867" s="68"/>
      <c r="J867" s="57"/>
      <c r="K867" s="57"/>
      <c r="L867" s="57"/>
      <c r="M867" s="57"/>
      <c r="N867"/>
    </row>
    <row r="868" spans="1:14" ht="16.5">
      <c r="A868" s="305"/>
      <c r="B868" s="46"/>
      <c r="C868" s="45"/>
      <c r="D868" s="46"/>
      <c r="E868" s="113"/>
      <c r="F868" s="113"/>
      <c r="G868" s="57"/>
      <c r="H868" s="68"/>
      <c r="I868" s="68"/>
      <c r="J868" s="57"/>
      <c r="K868" s="57"/>
      <c r="L868" s="57"/>
      <c r="M868" s="57"/>
      <c r="N868"/>
    </row>
    <row r="869" spans="1:14" ht="16.5">
      <c r="A869" s="305"/>
      <c r="B869" s="46"/>
      <c r="C869" s="45"/>
      <c r="D869" s="46"/>
      <c r="E869" s="113"/>
      <c r="F869" s="113"/>
      <c r="G869" s="57"/>
      <c r="H869" s="68"/>
      <c r="I869" s="68"/>
      <c r="J869" s="57"/>
      <c r="K869" s="57"/>
      <c r="L869" s="57"/>
      <c r="M869" s="57"/>
      <c r="N869"/>
    </row>
    <row r="870" spans="1:14" ht="16.5">
      <c r="A870" s="305"/>
      <c r="B870" s="46"/>
      <c r="C870" s="45"/>
      <c r="D870" s="46"/>
      <c r="E870" s="113"/>
      <c r="F870" s="113"/>
      <c r="G870" s="57"/>
      <c r="H870" s="68"/>
      <c r="I870" s="68"/>
      <c r="J870" s="57"/>
      <c r="K870" s="57"/>
      <c r="L870" s="57"/>
      <c r="M870" s="57"/>
      <c r="N870"/>
    </row>
    <row r="871" spans="1:14" ht="16.5">
      <c r="A871" s="305"/>
      <c r="B871" s="46"/>
      <c r="C871" s="45"/>
      <c r="D871" s="46"/>
      <c r="E871" s="113"/>
      <c r="F871" s="113"/>
      <c r="G871" s="57"/>
      <c r="H871" s="68"/>
      <c r="I871" s="68"/>
      <c r="J871" s="57"/>
      <c r="K871" s="57"/>
      <c r="L871" s="57"/>
      <c r="M871" s="57"/>
      <c r="N871"/>
    </row>
    <row r="872" spans="1:14" ht="16.5">
      <c r="A872" s="305"/>
      <c r="B872" s="46"/>
      <c r="C872" s="45"/>
      <c r="D872" s="46"/>
      <c r="E872" s="113"/>
      <c r="F872" s="113"/>
      <c r="G872" s="57"/>
      <c r="H872" s="68"/>
      <c r="I872" s="68"/>
      <c r="J872" s="57"/>
      <c r="K872" s="57"/>
      <c r="L872" s="57"/>
      <c r="M872" s="57"/>
      <c r="N872"/>
    </row>
    <row r="873" spans="1:14" ht="16.5">
      <c r="A873" s="305"/>
      <c r="B873" s="46"/>
      <c r="C873" s="45"/>
      <c r="D873" s="46"/>
      <c r="E873" s="113"/>
      <c r="F873" s="113"/>
      <c r="G873" s="57"/>
      <c r="H873" s="68"/>
      <c r="I873" s="68"/>
      <c r="J873" s="57"/>
      <c r="K873" s="57"/>
      <c r="L873" s="57"/>
      <c r="M873" s="57"/>
      <c r="N873"/>
    </row>
    <row r="874" spans="1:14" ht="16.5">
      <c r="A874" s="305"/>
      <c r="B874" s="46"/>
      <c r="C874" s="45"/>
      <c r="D874" s="46"/>
      <c r="E874" s="113"/>
      <c r="F874" s="113"/>
      <c r="G874" s="57"/>
      <c r="H874" s="68"/>
      <c r="I874" s="68"/>
      <c r="J874" s="57"/>
      <c r="K874" s="57"/>
      <c r="L874" s="57"/>
      <c r="M874" s="57"/>
      <c r="N874"/>
    </row>
    <row r="875" spans="1:14" ht="16.5">
      <c r="A875" s="305"/>
      <c r="B875" s="46"/>
      <c r="C875" s="45"/>
      <c r="D875" s="46"/>
      <c r="E875" s="113"/>
      <c r="F875" s="113"/>
      <c r="G875" s="57"/>
      <c r="H875" s="68"/>
      <c r="I875" s="68"/>
      <c r="J875" s="57"/>
      <c r="K875" s="57"/>
      <c r="L875" s="57"/>
      <c r="M875" s="57"/>
      <c r="N875"/>
    </row>
    <row r="876" spans="1:14" ht="16.5">
      <c r="A876" s="305"/>
      <c r="B876" s="46"/>
      <c r="C876" s="45"/>
      <c r="D876" s="46"/>
      <c r="E876" s="113"/>
      <c r="F876" s="113"/>
      <c r="G876" s="57"/>
      <c r="H876" s="68"/>
      <c r="I876" s="68"/>
      <c r="J876" s="57"/>
      <c r="K876" s="57"/>
      <c r="L876" s="57"/>
      <c r="M876" s="57"/>
      <c r="N876"/>
    </row>
    <row r="877" spans="1:14" ht="16.5">
      <c r="A877" s="305"/>
      <c r="B877" s="46"/>
      <c r="C877" s="45"/>
      <c r="D877" s="46"/>
      <c r="E877" s="113"/>
      <c r="F877" s="113"/>
      <c r="G877" s="57"/>
      <c r="H877" s="68"/>
      <c r="I877" s="68"/>
      <c r="J877" s="57"/>
      <c r="K877" s="57"/>
      <c r="L877" s="57"/>
      <c r="M877" s="57"/>
      <c r="N877"/>
    </row>
    <row r="878" spans="1:14" ht="16.5">
      <c r="A878" s="305"/>
      <c r="B878" s="46"/>
      <c r="C878" s="45"/>
      <c r="D878" s="46"/>
      <c r="E878" s="113"/>
      <c r="F878" s="113"/>
      <c r="G878" s="57"/>
      <c r="H878" s="68"/>
      <c r="I878" s="68"/>
      <c r="J878" s="57"/>
      <c r="K878" s="57"/>
      <c r="L878" s="57"/>
      <c r="M878" s="57"/>
      <c r="N878"/>
    </row>
    <row r="879" spans="1:14" ht="16.5">
      <c r="A879" s="305"/>
      <c r="B879" s="46"/>
      <c r="C879" s="45"/>
      <c r="D879" s="46"/>
      <c r="E879" s="113"/>
      <c r="F879" s="113"/>
      <c r="G879" s="57"/>
      <c r="H879" s="68"/>
      <c r="I879" s="68"/>
      <c r="J879" s="57"/>
      <c r="K879" s="57"/>
      <c r="L879" s="57"/>
      <c r="M879" s="57"/>
      <c r="N879"/>
    </row>
    <row r="880" spans="1:14" ht="16.5">
      <c r="A880" s="305"/>
      <c r="B880" s="46"/>
      <c r="C880" s="45"/>
      <c r="D880" s="46"/>
      <c r="E880" s="113"/>
      <c r="F880" s="113"/>
      <c r="G880" s="57"/>
      <c r="H880" s="68"/>
      <c r="I880" s="68"/>
      <c r="J880" s="57"/>
      <c r="K880" s="57"/>
      <c r="L880" s="57"/>
      <c r="M880" s="57"/>
      <c r="N880"/>
    </row>
    <row r="881" spans="1:14" ht="16.5">
      <c r="A881" s="305"/>
      <c r="B881" s="46"/>
      <c r="C881" s="45"/>
      <c r="D881" s="46"/>
      <c r="E881" s="113"/>
      <c r="F881" s="113"/>
      <c r="G881" s="57"/>
      <c r="H881" s="68"/>
      <c r="I881" s="68"/>
      <c r="J881" s="57"/>
      <c r="K881" s="57"/>
      <c r="L881" s="57"/>
      <c r="M881" s="57"/>
      <c r="N881"/>
    </row>
    <row r="882" spans="1:14" ht="16.5">
      <c r="A882" s="305"/>
      <c r="B882" s="46"/>
      <c r="C882" s="45"/>
      <c r="D882" s="46"/>
      <c r="E882" s="113"/>
      <c r="F882" s="113"/>
      <c r="G882" s="57"/>
      <c r="H882" s="68"/>
      <c r="I882" s="68"/>
      <c r="J882" s="57"/>
      <c r="K882" s="57"/>
      <c r="L882" s="57"/>
      <c r="M882" s="57"/>
      <c r="N882"/>
    </row>
    <row r="883" spans="1:14" ht="16.5">
      <c r="A883" s="305"/>
      <c r="B883" s="46"/>
      <c r="C883" s="45"/>
      <c r="D883" s="46"/>
      <c r="E883" s="113"/>
      <c r="F883" s="113"/>
      <c r="G883" s="57"/>
      <c r="H883" s="68"/>
      <c r="I883" s="68"/>
      <c r="J883" s="57"/>
      <c r="K883" s="57"/>
      <c r="L883" s="57"/>
      <c r="M883" s="57"/>
      <c r="N883"/>
    </row>
    <row r="884" spans="1:14" ht="16.5">
      <c r="A884" s="305"/>
      <c r="B884" s="46"/>
      <c r="C884" s="45"/>
      <c r="D884" s="46"/>
      <c r="E884" s="113"/>
      <c r="F884" s="113"/>
      <c r="G884" s="57"/>
      <c r="H884" s="68"/>
      <c r="I884" s="68"/>
      <c r="J884" s="57"/>
      <c r="K884" s="57"/>
      <c r="L884" s="57"/>
      <c r="M884" s="57"/>
      <c r="N884"/>
    </row>
    <row r="885" spans="1:14" ht="16.5">
      <c r="A885" s="305"/>
      <c r="B885" s="46"/>
      <c r="C885" s="45"/>
      <c r="D885" s="46"/>
      <c r="E885" s="113"/>
      <c r="F885" s="113"/>
      <c r="G885" s="57"/>
      <c r="H885" s="68"/>
      <c r="I885" s="68"/>
      <c r="J885" s="57"/>
      <c r="K885" s="57"/>
      <c r="L885" s="57"/>
      <c r="M885" s="57"/>
      <c r="N885"/>
    </row>
    <row r="886" spans="1:14" ht="16.5">
      <c r="A886" s="305"/>
      <c r="B886" s="46"/>
      <c r="C886" s="45"/>
      <c r="D886" s="46"/>
      <c r="E886" s="113"/>
      <c r="F886" s="113"/>
      <c r="G886" s="57"/>
      <c r="H886" s="68"/>
      <c r="I886" s="68"/>
      <c r="J886" s="57"/>
      <c r="K886" s="57"/>
      <c r="L886" s="57"/>
      <c r="M886" s="57"/>
      <c r="N886"/>
    </row>
    <row r="887" spans="1:14" ht="16.5">
      <c r="A887" s="305"/>
      <c r="B887" s="46"/>
      <c r="C887" s="45"/>
      <c r="D887" s="46"/>
      <c r="E887" s="113"/>
      <c r="F887" s="113"/>
      <c r="G887" s="57"/>
      <c r="H887" s="68"/>
      <c r="I887" s="68"/>
      <c r="J887" s="57"/>
      <c r="K887" s="57"/>
      <c r="L887" s="57"/>
      <c r="M887" s="57"/>
      <c r="N887"/>
    </row>
    <row r="888" spans="1:14" ht="16.5">
      <c r="A888" s="305"/>
      <c r="B888" s="46"/>
      <c r="C888" s="45"/>
      <c r="D888" s="46"/>
      <c r="E888" s="113"/>
      <c r="F888" s="113"/>
      <c r="G888" s="57"/>
      <c r="H888" s="68"/>
      <c r="I888" s="68"/>
      <c r="J888" s="57"/>
      <c r="K888" s="57"/>
      <c r="L888" s="57"/>
      <c r="M888" s="57"/>
      <c r="N888"/>
    </row>
    <row r="889" spans="1:14" ht="16.5">
      <c r="A889" s="305"/>
      <c r="B889" s="46"/>
      <c r="C889" s="45"/>
      <c r="D889" s="46"/>
      <c r="E889" s="113"/>
      <c r="F889" s="113"/>
      <c r="G889" s="57"/>
      <c r="H889" s="68"/>
      <c r="I889" s="68"/>
      <c r="J889" s="57"/>
      <c r="K889" s="57"/>
      <c r="L889" s="57"/>
      <c r="M889" s="57"/>
      <c r="N889"/>
    </row>
    <row r="890" spans="1:14" ht="16.5">
      <c r="A890" s="305"/>
      <c r="B890" s="46"/>
      <c r="C890" s="45"/>
      <c r="D890" s="46"/>
      <c r="E890" s="113"/>
      <c r="F890" s="113"/>
      <c r="G890" s="57"/>
      <c r="H890" s="68"/>
      <c r="I890" s="68"/>
      <c r="J890" s="57"/>
      <c r="K890" s="57"/>
      <c r="L890" s="57"/>
      <c r="M890" s="57"/>
      <c r="N890"/>
    </row>
    <row r="891" spans="1:14" ht="16.5">
      <c r="A891" s="305"/>
      <c r="B891" s="46"/>
      <c r="C891" s="45"/>
      <c r="D891" s="46"/>
      <c r="E891" s="113"/>
      <c r="F891" s="113"/>
      <c r="G891" s="57"/>
      <c r="H891" s="68"/>
      <c r="I891" s="68"/>
      <c r="J891" s="57"/>
      <c r="K891" s="57"/>
      <c r="L891" s="57"/>
      <c r="M891" s="57"/>
      <c r="N891"/>
    </row>
    <row r="892" spans="1:14" ht="16.5">
      <c r="A892" s="305"/>
      <c r="B892" s="46"/>
      <c r="C892" s="45"/>
      <c r="D892" s="46"/>
      <c r="E892" s="113"/>
      <c r="F892" s="113"/>
      <c r="G892" s="57"/>
      <c r="H892" s="68"/>
      <c r="I892" s="68"/>
      <c r="J892" s="57"/>
      <c r="K892" s="57"/>
      <c r="L892" s="57"/>
      <c r="M892" s="57"/>
      <c r="N892"/>
    </row>
    <row r="893" spans="1:14" ht="16.5">
      <c r="A893" s="305"/>
      <c r="B893" s="46"/>
      <c r="C893" s="45"/>
      <c r="D893" s="46"/>
      <c r="E893" s="113"/>
      <c r="F893" s="113"/>
      <c r="G893" s="57"/>
      <c r="H893" s="68"/>
      <c r="I893" s="68"/>
      <c r="J893" s="57"/>
      <c r="K893" s="57"/>
      <c r="L893" s="57"/>
      <c r="M893" s="57"/>
      <c r="N893"/>
    </row>
    <row r="894" spans="1:14" ht="16.5">
      <c r="A894" s="305"/>
      <c r="B894" s="46"/>
      <c r="C894" s="45"/>
      <c r="D894" s="46"/>
      <c r="E894" s="113"/>
      <c r="F894" s="113"/>
      <c r="G894" s="57"/>
      <c r="H894" s="68"/>
      <c r="I894" s="68"/>
      <c r="J894" s="57"/>
      <c r="K894" s="57"/>
      <c r="L894" s="57"/>
      <c r="M894" s="57"/>
      <c r="N894"/>
    </row>
    <row r="895" spans="1:14" ht="16.5">
      <c r="A895" s="305"/>
      <c r="B895" s="46"/>
      <c r="C895" s="45"/>
      <c r="D895" s="46"/>
      <c r="E895" s="113"/>
      <c r="F895" s="113"/>
      <c r="G895" s="57"/>
      <c r="H895" s="68"/>
      <c r="I895" s="68"/>
      <c r="J895" s="57"/>
      <c r="K895" s="57"/>
      <c r="L895" s="57"/>
      <c r="M895" s="57"/>
      <c r="N895"/>
    </row>
    <row r="896" spans="1:14" ht="16.5">
      <c r="A896" s="305"/>
      <c r="B896" s="46"/>
      <c r="C896" s="45"/>
      <c r="D896" s="46"/>
      <c r="E896" s="113"/>
      <c r="F896" s="113"/>
      <c r="G896" s="57"/>
      <c r="H896" s="68"/>
      <c r="I896" s="68"/>
      <c r="J896" s="57"/>
      <c r="K896" s="57"/>
      <c r="L896" s="57"/>
      <c r="M896" s="57"/>
      <c r="N896"/>
    </row>
    <row r="897" spans="1:14" ht="16.5">
      <c r="A897" s="305"/>
      <c r="B897" s="46"/>
      <c r="C897" s="45"/>
      <c r="D897" s="46"/>
      <c r="E897" s="113"/>
      <c r="F897" s="113"/>
      <c r="G897" s="57"/>
      <c r="H897" s="68"/>
      <c r="I897" s="68"/>
      <c r="J897" s="57"/>
      <c r="K897" s="57"/>
      <c r="L897" s="57"/>
      <c r="M897" s="57"/>
      <c r="N897"/>
    </row>
    <row r="898" spans="1:14" ht="16.5">
      <c r="A898" s="305"/>
      <c r="B898" s="46"/>
      <c r="C898" s="45"/>
      <c r="D898" s="46"/>
      <c r="E898" s="113"/>
      <c r="F898" s="113"/>
      <c r="G898" s="57"/>
      <c r="H898" s="68"/>
      <c r="I898" s="68"/>
      <c r="J898" s="57"/>
      <c r="K898" s="57"/>
      <c r="L898" s="57"/>
      <c r="M898" s="57"/>
      <c r="N898"/>
    </row>
    <row r="899" spans="1:14" ht="16.5">
      <c r="A899" s="305"/>
      <c r="B899" s="46"/>
      <c r="C899" s="45"/>
      <c r="D899" s="46"/>
      <c r="E899" s="113"/>
      <c r="F899" s="113"/>
      <c r="G899" s="57"/>
      <c r="H899" s="68"/>
      <c r="I899" s="68"/>
      <c r="J899" s="57"/>
      <c r="K899" s="57"/>
      <c r="L899" s="57"/>
      <c r="M899" s="57"/>
      <c r="N899"/>
    </row>
    <row r="900" spans="1:14" ht="16.5">
      <c r="A900" s="305"/>
      <c r="B900" s="46"/>
      <c r="C900" s="45"/>
      <c r="D900" s="46"/>
      <c r="E900" s="113"/>
      <c r="F900" s="113"/>
      <c r="G900" s="57"/>
      <c r="H900" s="68"/>
      <c r="I900" s="68"/>
      <c r="J900" s="57"/>
      <c r="K900" s="57"/>
      <c r="L900" s="57"/>
      <c r="M900" s="57"/>
      <c r="N900"/>
    </row>
    <row r="901" spans="1:14" ht="16.5">
      <c r="A901" s="305"/>
      <c r="B901" s="46"/>
      <c r="C901" s="45"/>
      <c r="D901" s="46"/>
      <c r="E901" s="113"/>
      <c r="F901" s="113"/>
      <c r="G901" s="57"/>
      <c r="H901" s="68"/>
      <c r="I901" s="68"/>
      <c r="J901" s="57"/>
      <c r="K901" s="57"/>
      <c r="L901" s="57"/>
      <c r="M901" s="57"/>
      <c r="N901"/>
    </row>
    <row r="902" spans="1:14" ht="16.5">
      <c r="A902" s="305"/>
      <c r="B902" s="46"/>
      <c r="C902" s="45"/>
      <c r="D902" s="46"/>
      <c r="E902" s="113"/>
      <c r="F902" s="113"/>
      <c r="G902" s="57"/>
      <c r="H902" s="68"/>
      <c r="I902" s="68"/>
      <c r="J902" s="57"/>
      <c r="K902" s="57"/>
      <c r="L902" s="57"/>
      <c r="M902" s="57"/>
      <c r="N902"/>
    </row>
    <row r="903" spans="1:14" ht="16.5">
      <c r="A903" s="305"/>
      <c r="B903" s="46"/>
      <c r="C903" s="45"/>
      <c r="D903" s="46"/>
      <c r="E903" s="113"/>
      <c r="F903" s="113"/>
      <c r="G903" s="57"/>
      <c r="H903" s="68"/>
      <c r="I903" s="68"/>
      <c r="J903" s="57"/>
      <c r="K903" s="57"/>
      <c r="L903" s="57"/>
      <c r="M903" s="57"/>
      <c r="N903"/>
    </row>
    <row r="904" spans="1:14" ht="16.5">
      <c r="A904" s="305"/>
      <c r="B904" s="46"/>
      <c r="C904" s="45"/>
      <c r="D904" s="46"/>
      <c r="E904" s="113"/>
      <c r="F904" s="113"/>
      <c r="G904" s="57"/>
      <c r="H904" s="68"/>
      <c r="I904" s="68"/>
      <c r="J904" s="57"/>
      <c r="K904" s="57"/>
      <c r="L904" s="57"/>
      <c r="M904" s="57"/>
      <c r="N904"/>
    </row>
    <row r="905" spans="1:14" ht="16.5">
      <c r="A905" s="305"/>
      <c r="B905" s="46"/>
      <c r="C905" s="45"/>
      <c r="D905" s="46"/>
      <c r="E905" s="113"/>
      <c r="F905" s="113"/>
      <c r="G905" s="57"/>
      <c r="H905" s="68"/>
      <c r="I905" s="68"/>
      <c r="J905" s="57"/>
      <c r="K905" s="57"/>
      <c r="L905" s="57"/>
      <c r="M905" s="57"/>
      <c r="N905"/>
    </row>
    <row r="906" spans="1:14" ht="15.75">
      <c r="A906" s="305"/>
      <c r="B906" s="46"/>
      <c r="C906" s="88" t="s">
        <v>174</v>
      </c>
      <c r="D906" s="114"/>
      <c r="E906" s="115"/>
      <c r="F906" s="113"/>
      <c r="G906" s="57"/>
      <c r="H906" s="57"/>
      <c r="I906" s="57"/>
      <c r="J906" s="57"/>
      <c r="K906" s="57"/>
      <c r="L906" s="57"/>
      <c r="M906" s="57"/>
      <c r="N906"/>
    </row>
  </sheetData>
  <mergeCells count="156">
    <mergeCell ref="A523:A525"/>
    <mergeCell ref="A477:A479"/>
    <mergeCell ref="A495:A499"/>
    <mergeCell ref="A372:A377"/>
    <mergeCell ref="A378:A383"/>
    <mergeCell ref="A399:A400"/>
    <mergeCell ref="A512:A513"/>
    <mergeCell ref="A514:A516"/>
    <mergeCell ref="A517:A519"/>
    <mergeCell ref="A520:A522"/>
    <mergeCell ref="A384:A390"/>
    <mergeCell ref="B384:B385"/>
    <mergeCell ref="A391:A397"/>
    <mergeCell ref="B391:B392"/>
    <mergeCell ref="A347:A349"/>
    <mergeCell ref="A459:A463"/>
    <mergeCell ref="A464:A471"/>
    <mergeCell ref="A472:A474"/>
    <mergeCell ref="A433:A438"/>
    <mergeCell ref="A439:A444"/>
    <mergeCell ref="A446:A450"/>
    <mergeCell ref="A451:A455"/>
    <mergeCell ref="C303:C304"/>
    <mergeCell ref="A309:A314"/>
    <mergeCell ref="A274:A275"/>
    <mergeCell ref="A276:A277"/>
    <mergeCell ref="A279:A283"/>
    <mergeCell ref="A284:A290"/>
    <mergeCell ref="A483:A484"/>
    <mergeCell ref="A401:A403"/>
    <mergeCell ref="A404:A408"/>
    <mergeCell ref="A409:A415"/>
    <mergeCell ref="A417:A418"/>
    <mergeCell ref="A419:A421"/>
    <mergeCell ref="A422:A426"/>
    <mergeCell ref="A427:A432"/>
    <mergeCell ref="B427:B428"/>
    <mergeCell ref="C427:C428"/>
    <mergeCell ref="A333:A334"/>
    <mergeCell ref="A335:A337"/>
    <mergeCell ref="A338:A340"/>
    <mergeCell ref="A341:A343"/>
    <mergeCell ref="A344:A346"/>
    <mergeCell ref="A353:A357"/>
    <mergeCell ref="A360:A365"/>
    <mergeCell ref="A366:A371"/>
    <mergeCell ref="A216:A221"/>
    <mergeCell ref="A223:A227"/>
    <mergeCell ref="A228:A232"/>
    <mergeCell ref="A236:A238"/>
    <mergeCell ref="A243:A244"/>
    <mergeCell ref="A316:A320"/>
    <mergeCell ref="A256:A258"/>
    <mergeCell ref="A259:A261"/>
    <mergeCell ref="A262:A266"/>
    <mergeCell ref="A267:A272"/>
    <mergeCell ref="A293:A294"/>
    <mergeCell ref="A295:A296"/>
    <mergeCell ref="A298:A302"/>
    <mergeCell ref="A303:A308"/>
    <mergeCell ref="A180:A186"/>
    <mergeCell ref="A188:A189"/>
    <mergeCell ref="A190:A192"/>
    <mergeCell ref="A193:A197"/>
    <mergeCell ref="A198:A203"/>
    <mergeCell ref="B198:B199"/>
    <mergeCell ref="C198:C199"/>
    <mergeCell ref="A204:A209"/>
    <mergeCell ref="A210:A215"/>
    <mergeCell ref="A139:A141"/>
    <mergeCell ref="A142:A144"/>
    <mergeCell ref="A145:A147"/>
    <mergeCell ref="A150:A154"/>
    <mergeCell ref="A157:A162"/>
    <mergeCell ref="A163:A168"/>
    <mergeCell ref="A170:A171"/>
    <mergeCell ref="A172:A174"/>
    <mergeCell ref="A175:A179"/>
    <mergeCell ref="A82:A87"/>
    <mergeCell ref="A92:A93"/>
    <mergeCell ref="A95:A96"/>
    <mergeCell ref="A97:A99"/>
    <mergeCell ref="A104:A105"/>
    <mergeCell ref="A117:A121"/>
    <mergeCell ref="A134:A135"/>
    <mergeCell ref="A136:A138"/>
    <mergeCell ref="A47:A51"/>
    <mergeCell ref="A52:A58"/>
    <mergeCell ref="A60:A61"/>
    <mergeCell ref="A62:A64"/>
    <mergeCell ref="A65:A69"/>
    <mergeCell ref="A70:A75"/>
    <mergeCell ref="B70:B71"/>
    <mergeCell ref="C70:C71"/>
    <mergeCell ref="A76:A81"/>
    <mergeCell ref="A12:A13"/>
    <mergeCell ref="A14:A16"/>
    <mergeCell ref="A17:A19"/>
    <mergeCell ref="A20:A22"/>
    <mergeCell ref="A23:A25"/>
    <mergeCell ref="A28:A32"/>
    <mergeCell ref="A35:A40"/>
    <mergeCell ref="A42:A43"/>
    <mergeCell ref="A44:A46"/>
    <mergeCell ref="A1:M1"/>
    <mergeCell ref="A2:M2"/>
    <mergeCell ref="A3:M3"/>
    <mergeCell ref="A5:M5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A531:A535"/>
    <mergeCell ref="A526:A528"/>
    <mergeCell ref="B574:B575"/>
    <mergeCell ref="C574:C575"/>
    <mergeCell ref="A580:A585"/>
    <mergeCell ref="A586:A591"/>
    <mergeCell ref="A538:A544"/>
    <mergeCell ref="B538:B539"/>
    <mergeCell ref="A546:A547"/>
    <mergeCell ref="A548:A550"/>
    <mergeCell ref="A551:A555"/>
    <mergeCell ref="A673:A675"/>
    <mergeCell ref="A556:A562"/>
    <mergeCell ref="A564:A565"/>
    <mergeCell ref="A566:A568"/>
    <mergeCell ref="A569:A573"/>
    <mergeCell ref="A574:A579"/>
    <mergeCell ref="A655:A663"/>
    <mergeCell ref="A664:A669"/>
    <mergeCell ref="A594:A603"/>
    <mergeCell ref="A604:A609"/>
    <mergeCell ref="A610:A616"/>
    <mergeCell ref="A617:A621"/>
    <mergeCell ref="A622:A627"/>
    <mergeCell ref="A629:A630"/>
    <mergeCell ref="A631:A632"/>
    <mergeCell ref="A634:A638"/>
    <mergeCell ref="A639:A646"/>
    <mergeCell ref="A648:A652"/>
    <mergeCell ref="A653:A654"/>
    <mergeCell ref="A708:A713"/>
    <mergeCell ref="A714:A716"/>
    <mergeCell ref="A717:A721"/>
    <mergeCell ref="A722:A726"/>
    <mergeCell ref="A727:A732"/>
    <mergeCell ref="A733:A739"/>
    <mergeCell ref="A742:A746"/>
    <mergeCell ref="A679:A680"/>
    <mergeCell ref="A691:A695"/>
  </mergeCells>
  <conditionalFormatting sqref="C445:D458 C592:D592 C671:D671 C222:D233">
    <cfRule type="cellIs" dxfId="19" priority="16" stopIfTrue="1" operator="equal">
      <formula>8223.307275</formula>
    </cfRule>
  </conditionalFormatting>
  <conditionalFormatting sqref="C89:D89">
    <cfRule type="cellIs" dxfId="18" priority="28" stopIfTrue="1" operator="equal">
      <formula>8223.307275</formula>
    </cfRule>
  </conditionalFormatting>
  <conditionalFormatting sqref="C88:D88">
    <cfRule type="cellIs" dxfId="17" priority="27" stopIfTrue="1" operator="equal">
      <formula>8223.307275</formula>
    </cfRule>
  </conditionalFormatting>
  <conditionalFormatting sqref="C67:D69">
    <cfRule type="cellIs" dxfId="16" priority="26" stopIfTrue="1" operator="equal">
      <formula>8223.307275</formula>
    </cfRule>
  </conditionalFormatting>
  <conditionalFormatting sqref="C35:D35">
    <cfRule type="cellIs" dxfId="15" priority="25" stopIfTrue="1" operator="equal">
      <formula>8223.307275</formula>
    </cfRule>
  </conditionalFormatting>
  <conditionalFormatting sqref="C195:D197">
    <cfRule type="cellIs" dxfId="14" priority="24" stopIfTrue="1" operator="equal">
      <formula>8223.307275</formula>
    </cfRule>
  </conditionalFormatting>
  <conditionalFormatting sqref="C157:D157">
    <cfRule type="cellIs" dxfId="13" priority="23" stopIfTrue="1" operator="equal">
      <formula>8223.307275</formula>
    </cfRule>
  </conditionalFormatting>
  <conditionalFormatting sqref="C163:D163">
    <cfRule type="cellIs" dxfId="12" priority="22" stopIfTrue="1" operator="equal">
      <formula>8223.307275</formula>
    </cfRule>
  </conditionalFormatting>
  <conditionalFormatting sqref="C216:D216">
    <cfRule type="cellIs" dxfId="11" priority="21" stopIfTrue="1" operator="equal">
      <formula>8223.307275</formula>
    </cfRule>
  </conditionalFormatting>
  <conditionalFormatting sqref="C472:D475">
    <cfRule type="cellIs" dxfId="10" priority="20" stopIfTrue="1" operator="equal">
      <formula>8223.307275</formula>
    </cfRule>
  </conditionalFormatting>
  <conditionalFormatting sqref="C424:D426">
    <cfRule type="cellIs" dxfId="9" priority="19" stopIfTrue="1" operator="equal">
      <formula>8223.307275</formula>
    </cfRule>
  </conditionalFormatting>
  <conditionalFormatting sqref="C360:D360">
    <cfRule type="cellIs" dxfId="8" priority="18" stopIfTrue="1" operator="equal">
      <formula>8223.307275</formula>
    </cfRule>
  </conditionalFormatting>
  <conditionalFormatting sqref="C366:D366">
    <cfRule type="cellIs" dxfId="7" priority="17" stopIfTrue="1" operator="equal">
      <formula>8223.307275</formula>
    </cfRule>
  </conditionalFormatting>
  <conditionalFormatting sqref="C372:D372">
    <cfRule type="cellIs" dxfId="6" priority="15" stopIfTrue="1" operator="equal">
      <formula>8223.307275</formula>
    </cfRule>
  </conditionalFormatting>
  <conditionalFormatting sqref="C378:D378">
    <cfRule type="cellIs" dxfId="5" priority="14" stopIfTrue="1" operator="equal">
      <formula>8223.307275</formula>
    </cfRule>
  </conditionalFormatting>
  <conditionalFormatting sqref="C464:D464">
    <cfRule type="cellIs" dxfId="4" priority="13" stopIfTrue="1" operator="equal">
      <formula>8223.307275</formula>
    </cfRule>
  </conditionalFormatting>
  <conditionalFormatting sqref="B472">
    <cfRule type="cellIs" dxfId="3" priority="12" stopIfTrue="1" operator="equal">
      <formula>8223.307275</formula>
    </cfRule>
  </conditionalFormatting>
  <conditionalFormatting sqref="C571:D573">
    <cfRule type="cellIs" dxfId="2" priority="10" stopIfTrue="1" operator="equal">
      <formula>8223.307275</formula>
    </cfRule>
  </conditionalFormatting>
  <conditionalFormatting sqref="C638:D638">
    <cfRule type="cellIs" dxfId="1" priority="2" stopIfTrue="1" operator="equal">
      <formula>8223.307275</formula>
    </cfRule>
  </conditionalFormatting>
  <conditionalFormatting sqref="C302:D302">
    <cfRule type="cellIs" dxfId="0" priority="1" stopIfTrue="1" operator="equal">
      <formula>8223.307275</formula>
    </cfRule>
  </conditionalFormatting>
  <pageMargins left="0.62992125984252001" right="0.118110236220472" top="0.44" bottom="0.511811023622047" header="0.23622047244094499" footer="0.27559055118110198"/>
  <pageSetup paperSize="9" scale="85" orientation="landscape" horizontalDpi="1200" verticalDpi="1200" r:id="rId1"/>
  <headerFooter>
    <oddHeader>&amp;R&amp;P--&amp;N</oddHeader>
    <oddFooter>&amp;R&amp;P--&amp;N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26"/>
  <sheetViews>
    <sheetView topLeftCell="A295" zoomScale="80" zoomScaleNormal="80" workbookViewId="0">
      <selection activeCell="K50" sqref="K50"/>
    </sheetView>
  </sheetViews>
  <sheetFormatPr defaultRowHeight="15"/>
  <cols>
    <col min="1" max="1" width="5.5703125" customWidth="1"/>
    <col min="3" max="3" width="41.85546875" customWidth="1"/>
    <col min="4" max="4" width="7.7109375" customWidth="1"/>
    <col min="5" max="5" width="9.140625" style="168"/>
    <col min="6" max="6" width="10.5703125" style="168" bestFit="1" customWidth="1"/>
    <col min="7" max="7" width="9.140625" style="170"/>
    <col min="8" max="8" width="12" style="170" customWidth="1"/>
    <col min="9" max="9" width="6.85546875" style="170" customWidth="1"/>
    <col min="10" max="10" width="9.140625" style="170"/>
    <col min="11" max="11" width="6.85546875" style="170" customWidth="1"/>
    <col min="12" max="12" width="9.140625" style="170"/>
    <col min="13" max="13" width="11.85546875" style="170" customWidth="1"/>
    <col min="14" max="14" width="33.85546875" style="540" customWidth="1"/>
    <col min="15" max="15" width="31" customWidth="1"/>
  </cols>
  <sheetData>
    <row r="1" spans="1:14" s="49" customFormat="1" ht="38.25" customHeight="1">
      <c r="A1" s="623" t="str">
        <f>krebsiti!A3</f>
        <v>q.dmanisSi wm.ninos quCaze municipalitetis meriis mimdebare teritoriaze skverebis  reabilitaciis samuSaoebi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467"/>
    </row>
    <row r="2" spans="1:14" s="49" customFormat="1" ht="21" customHeight="1">
      <c r="A2" s="624" t="s">
        <v>392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467"/>
    </row>
    <row r="3" spans="1:14" s="49" customFormat="1" ht="0.75" customHeight="1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467"/>
    </row>
    <row r="4" spans="1:14" s="49" customFormat="1" ht="15.75">
      <c r="A4" s="368"/>
      <c r="B4" s="368"/>
      <c r="C4" s="368"/>
      <c r="D4" s="368"/>
      <c r="E4" s="368"/>
      <c r="F4" s="368"/>
      <c r="G4" s="369"/>
      <c r="H4" s="369"/>
      <c r="I4" s="369"/>
      <c r="J4" s="369"/>
      <c r="K4" s="369"/>
      <c r="L4" s="369"/>
      <c r="M4" s="369"/>
      <c r="N4" s="467"/>
    </row>
    <row r="5" spans="1:14" s="49" customFormat="1" ht="15.75">
      <c r="A5" s="623" t="s">
        <v>382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467"/>
    </row>
    <row r="6" spans="1:14" s="49" customFormat="1" ht="15.75">
      <c r="A6" s="58"/>
      <c r="B6" s="58"/>
      <c r="C6" s="58"/>
      <c r="D6" s="479"/>
      <c r="E6" s="480"/>
      <c r="F6" s="480"/>
      <c r="G6" s="481"/>
      <c r="H6" s="481"/>
      <c r="I6" s="481"/>
      <c r="J6" s="481"/>
      <c r="K6" s="481"/>
      <c r="L6" s="481"/>
      <c r="M6" s="481"/>
      <c r="N6" s="467"/>
    </row>
    <row r="7" spans="1:14" s="49" customFormat="1" ht="46.5" customHeight="1">
      <c r="A7" s="590" t="s">
        <v>0</v>
      </c>
      <c r="B7" s="625" t="s">
        <v>377</v>
      </c>
      <c r="C7" s="626" t="s">
        <v>1</v>
      </c>
      <c r="D7" s="625" t="s">
        <v>376</v>
      </c>
      <c r="E7" s="628" t="s">
        <v>24</v>
      </c>
      <c r="F7" s="628"/>
      <c r="G7" s="629" t="s">
        <v>25</v>
      </c>
      <c r="H7" s="629"/>
      <c r="I7" s="629" t="s">
        <v>26</v>
      </c>
      <c r="J7" s="629"/>
      <c r="K7" s="630" t="s">
        <v>27</v>
      </c>
      <c r="L7" s="631"/>
      <c r="M7" s="629" t="s">
        <v>28</v>
      </c>
      <c r="N7" s="467"/>
    </row>
    <row r="8" spans="1:14" s="49" customFormat="1" ht="45.75" customHeight="1">
      <c r="A8" s="590"/>
      <c r="B8" s="625"/>
      <c r="C8" s="627"/>
      <c r="D8" s="625"/>
      <c r="E8" s="270" t="s">
        <v>12</v>
      </c>
      <c r="F8" s="270" t="s">
        <v>5</v>
      </c>
      <c r="G8" s="271" t="s">
        <v>29</v>
      </c>
      <c r="H8" s="271" t="s">
        <v>30</v>
      </c>
      <c r="I8" s="271" t="s">
        <v>29</v>
      </c>
      <c r="J8" s="271" t="s">
        <v>30</v>
      </c>
      <c r="K8" s="271" t="s">
        <v>29</v>
      </c>
      <c r="L8" s="271" t="s">
        <v>30</v>
      </c>
      <c r="M8" s="629"/>
      <c r="N8" s="467"/>
    </row>
    <row r="9" spans="1:14" s="45" customFormat="1" ht="16.5">
      <c r="A9" s="363">
        <v>1</v>
      </c>
      <c r="B9" s="363">
        <v>2</v>
      </c>
      <c r="C9" s="363">
        <v>3</v>
      </c>
      <c r="D9" s="363">
        <v>4</v>
      </c>
      <c r="E9" s="270">
        <v>5</v>
      </c>
      <c r="F9" s="270">
        <v>6</v>
      </c>
      <c r="G9" s="270">
        <v>7</v>
      </c>
      <c r="H9" s="270">
        <v>8</v>
      </c>
      <c r="I9" s="270">
        <v>9</v>
      </c>
      <c r="J9" s="270">
        <v>10</v>
      </c>
      <c r="K9" s="270">
        <v>11</v>
      </c>
      <c r="L9" s="270">
        <v>12</v>
      </c>
      <c r="M9" s="270">
        <v>13</v>
      </c>
      <c r="N9" s="467"/>
    </row>
    <row r="10" spans="1:14" s="45" customFormat="1" ht="16.5">
      <c r="A10" s="90"/>
      <c r="B10" s="90"/>
      <c r="C10" s="92" t="s">
        <v>131</v>
      </c>
      <c r="D10" s="90"/>
      <c r="E10" s="166"/>
      <c r="F10" s="166"/>
      <c r="G10" s="482"/>
      <c r="H10" s="482"/>
      <c r="I10" s="482"/>
      <c r="J10" s="482"/>
      <c r="K10" s="482"/>
      <c r="L10" s="482"/>
      <c r="M10" s="482"/>
      <c r="N10" s="467"/>
    </row>
    <row r="11" spans="1:14" s="45" customFormat="1" ht="27">
      <c r="A11" s="483" t="s">
        <v>465</v>
      </c>
      <c r="B11" s="484"/>
      <c r="C11" s="483" t="s">
        <v>388</v>
      </c>
      <c r="D11" s="484"/>
      <c r="E11" s="484"/>
      <c r="F11" s="484"/>
      <c r="G11" s="485"/>
      <c r="H11" s="485"/>
      <c r="I11" s="485"/>
      <c r="J11" s="485"/>
      <c r="K11" s="485"/>
      <c r="L11" s="485"/>
      <c r="M11" s="485"/>
      <c r="N11" s="467"/>
    </row>
    <row r="12" spans="1:14" s="45" customFormat="1" ht="54">
      <c r="A12" s="283" t="s">
        <v>310</v>
      </c>
      <c r="B12" s="283"/>
      <c r="C12" s="283" t="s">
        <v>311</v>
      </c>
      <c r="D12" s="283"/>
      <c r="E12" s="371"/>
      <c r="F12" s="286"/>
      <c r="G12" s="371"/>
      <c r="H12" s="286"/>
      <c r="I12" s="371"/>
      <c r="J12" s="286"/>
      <c r="K12" s="371"/>
      <c r="L12" s="286"/>
      <c r="M12" s="371"/>
      <c r="N12" s="467"/>
    </row>
    <row r="13" spans="1:14" s="45" customFormat="1" ht="16.5">
      <c r="A13" s="121"/>
      <c r="B13" s="121"/>
      <c r="C13" s="122" t="s">
        <v>175</v>
      </c>
      <c r="D13" s="122"/>
      <c r="E13" s="486"/>
      <c r="F13" s="486"/>
      <c r="G13" s="64"/>
      <c r="H13" s="271"/>
      <c r="I13" s="64"/>
      <c r="J13" s="271"/>
      <c r="K13" s="65"/>
      <c r="L13" s="271"/>
      <c r="M13" s="271"/>
      <c r="N13" s="467"/>
    </row>
    <row r="14" spans="1:14" s="45" customFormat="1" ht="27">
      <c r="A14" s="626"/>
      <c r="B14" s="626"/>
      <c r="C14" s="154" t="s">
        <v>249</v>
      </c>
      <c r="D14" s="154" t="s">
        <v>75</v>
      </c>
      <c r="E14" s="270"/>
      <c r="F14" s="7">
        <f>F15</f>
        <v>5</v>
      </c>
      <c r="G14" s="655"/>
      <c r="H14" s="655"/>
      <c r="I14" s="655"/>
      <c r="J14" s="655"/>
      <c r="K14" s="655"/>
      <c r="L14" s="655"/>
      <c r="M14" s="655"/>
      <c r="N14" s="467"/>
    </row>
    <row r="15" spans="1:14" s="45" customFormat="1" ht="16.5">
      <c r="A15" s="636"/>
      <c r="B15" s="636"/>
      <c r="C15" s="487" t="s">
        <v>310</v>
      </c>
      <c r="D15" s="154" t="s">
        <v>75</v>
      </c>
      <c r="E15" s="270"/>
      <c r="F15" s="7">
        <f>'7777'!G16</f>
        <v>5</v>
      </c>
      <c r="G15" s="656"/>
      <c r="H15" s="656"/>
      <c r="I15" s="656"/>
      <c r="J15" s="656"/>
      <c r="K15" s="656"/>
      <c r="L15" s="656"/>
      <c r="M15" s="656"/>
      <c r="N15" s="467"/>
    </row>
    <row r="16" spans="1:14" s="45" customFormat="1" ht="16.5">
      <c r="A16" s="657">
        <v>1</v>
      </c>
      <c r="B16" s="124" t="s">
        <v>228</v>
      </c>
      <c r="C16" s="402" t="s">
        <v>229</v>
      </c>
      <c r="D16" s="124" t="s">
        <v>88</v>
      </c>
      <c r="E16" s="171"/>
      <c r="F16" s="488">
        <f>100*0.25*0.7</f>
        <v>17.5</v>
      </c>
      <c r="G16" s="64"/>
      <c r="H16" s="271"/>
      <c r="I16" s="64"/>
      <c r="J16" s="271"/>
      <c r="K16" s="65"/>
      <c r="L16" s="271"/>
      <c r="M16" s="271"/>
      <c r="N16" s="467"/>
    </row>
    <row r="17" spans="1:14" s="45" customFormat="1" ht="16.5">
      <c r="A17" s="658"/>
      <c r="B17" s="125"/>
      <c r="C17" s="380" t="s">
        <v>76</v>
      </c>
      <c r="D17" s="125" t="s">
        <v>77</v>
      </c>
      <c r="E17" s="171">
        <v>2.06</v>
      </c>
      <c r="F17" s="171">
        <f>F16*E17</f>
        <v>36.050000000000004</v>
      </c>
      <c r="G17" s="64"/>
      <c r="H17" s="271"/>
      <c r="I17" s="64"/>
      <c r="J17" s="271"/>
      <c r="K17" s="65"/>
      <c r="L17" s="271"/>
      <c r="M17" s="271"/>
      <c r="N17" s="467"/>
    </row>
    <row r="18" spans="1:14" s="45" customFormat="1" ht="40.5">
      <c r="A18" s="674">
        <v>2</v>
      </c>
      <c r="B18" s="106" t="s">
        <v>36</v>
      </c>
      <c r="C18" s="489" t="s">
        <v>176</v>
      </c>
      <c r="D18" s="124" t="s">
        <v>88</v>
      </c>
      <c r="E18" s="103"/>
      <c r="F18" s="102">
        <f>0.4*0.4*0.8*F14</f>
        <v>0.64000000000000012</v>
      </c>
      <c r="G18" s="64"/>
      <c r="H18" s="271"/>
      <c r="I18" s="64"/>
      <c r="J18" s="271"/>
      <c r="K18" s="65"/>
      <c r="L18" s="271"/>
      <c r="M18" s="271"/>
      <c r="N18" s="467"/>
    </row>
    <row r="19" spans="1:14" s="45" customFormat="1" ht="16.5">
      <c r="A19" s="675"/>
      <c r="B19" s="105"/>
      <c r="C19" s="380" t="s">
        <v>76</v>
      </c>
      <c r="D19" s="105" t="s">
        <v>77</v>
      </c>
      <c r="E19" s="103">
        <v>3.88</v>
      </c>
      <c r="F19" s="103">
        <f>F18*E19</f>
        <v>2.4832000000000005</v>
      </c>
      <c r="G19" s="64"/>
      <c r="H19" s="271"/>
      <c r="I19" s="64"/>
      <c r="J19" s="271"/>
      <c r="K19" s="65"/>
      <c r="L19" s="271"/>
      <c r="M19" s="271"/>
      <c r="N19" s="467"/>
    </row>
    <row r="20" spans="1:14" s="45" customFormat="1" ht="27">
      <c r="A20" s="665">
        <v>4</v>
      </c>
      <c r="B20" s="126" t="s">
        <v>68</v>
      </c>
      <c r="C20" s="490" t="s">
        <v>177</v>
      </c>
      <c r="D20" s="126" t="s">
        <v>178</v>
      </c>
      <c r="E20" s="491"/>
      <c r="F20" s="492">
        <f>100*0.25*0.25</f>
        <v>6.25</v>
      </c>
      <c r="G20" s="64"/>
      <c r="H20" s="271"/>
      <c r="I20" s="64"/>
      <c r="J20" s="271"/>
      <c r="K20" s="65"/>
      <c r="L20" s="271"/>
      <c r="M20" s="271"/>
      <c r="N20" s="467"/>
    </row>
    <row r="21" spans="1:14" s="45" customFormat="1" ht="16.5">
      <c r="A21" s="666"/>
      <c r="B21" s="127"/>
      <c r="C21" s="493" t="s">
        <v>76</v>
      </c>
      <c r="D21" s="127" t="s">
        <v>77</v>
      </c>
      <c r="E21" s="491">
        <v>1.8</v>
      </c>
      <c r="F21" s="491">
        <f>F20*E21</f>
        <v>11.25</v>
      </c>
      <c r="G21" s="64"/>
      <c r="H21" s="271"/>
      <c r="I21" s="64"/>
      <c r="J21" s="271"/>
      <c r="K21" s="65"/>
      <c r="L21" s="271"/>
      <c r="M21" s="271"/>
      <c r="N21" s="467"/>
    </row>
    <row r="22" spans="1:14" s="45" customFormat="1" ht="16.5">
      <c r="A22" s="667"/>
      <c r="B22" s="127"/>
      <c r="C22" s="493" t="s">
        <v>261</v>
      </c>
      <c r="D22" s="127" t="s">
        <v>178</v>
      </c>
      <c r="E22" s="491">
        <v>1.1000000000000001</v>
      </c>
      <c r="F22" s="491">
        <f>F20*E22</f>
        <v>6.8750000000000009</v>
      </c>
      <c r="G22" s="64"/>
      <c r="H22" s="271"/>
      <c r="I22" s="64"/>
      <c r="J22" s="271"/>
      <c r="K22" s="65"/>
      <c r="L22" s="271"/>
      <c r="M22" s="271"/>
      <c r="N22" s="467"/>
    </row>
    <row r="23" spans="1:14" s="45" customFormat="1" ht="26.25">
      <c r="A23" s="657">
        <v>5</v>
      </c>
      <c r="B23" s="124" t="s">
        <v>69</v>
      </c>
      <c r="C23" s="494" t="s">
        <v>510</v>
      </c>
      <c r="D23" s="124" t="s">
        <v>179</v>
      </c>
      <c r="E23" s="171"/>
      <c r="F23" s="488">
        <f>100</f>
        <v>100</v>
      </c>
      <c r="G23" s="64"/>
      <c r="H23" s="271"/>
      <c r="I23" s="64"/>
      <c r="J23" s="271"/>
      <c r="K23" s="65"/>
      <c r="L23" s="271"/>
      <c r="M23" s="271"/>
      <c r="N23" s="467"/>
    </row>
    <row r="24" spans="1:14" s="45" customFormat="1" ht="16.5">
      <c r="A24" s="658"/>
      <c r="B24" s="125"/>
      <c r="C24" s="380" t="s">
        <v>76</v>
      </c>
      <c r="D24" s="125" t="s">
        <v>77</v>
      </c>
      <c r="E24" s="171">
        <v>0.105</v>
      </c>
      <c r="F24" s="171">
        <f>F23*E24</f>
        <v>10.5</v>
      </c>
      <c r="G24" s="64"/>
      <c r="H24" s="271"/>
      <c r="I24" s="64"/>
      <c r="J24" s="271"/>
      <c r="K24" s="65"/>
      <c r="L24" s="271"/>
      <c r="M24" s="271"/>
      <c r="N24" s="467"/>
    </row>
    <row r="25" spans="1:14" s="45" customFormat="1" ht="16.5">
      <c r="A25" s="658"/>
      <c r="B25" s="125"/>
      <c r="C25" s="380" t="s">
        <v>180</v>
      </c>
      <c r="D25" s="125" t="s">
        <v>21</v>
      </c>
      <c r="E25" s="171">
        <v>5.3800000000000001E-2</v>
      </c>
      <c r="F25" s="171">
        <f>F23*E25</f>
        <v>5.38</v>
      </c>
      <c r="G25" s="64"/>
      <c r="H25" s="271"/>
      <c r="I25" s="64"/>
      <c r="J25" s="271"/>
      <c r="K25" s="65"/>
      <c r="L25" s="271"/>
      <c r="M25" s="271"/>
      <c r="N25" s="467"/>
    </row>
    <row r="26" spans="1:14" s="45" customFormat="1" ht="16.5">
      <c r="A26" s="658"/>
      <c r="B26" s="125"/>
      <c r="C26" s="495" t="s">
        <v>508</v>
      </c>
      <c r="D26" s="125" t="s">
        <v>179</v>
      </c>
      <c r="E26" s="171">
        <v>1.01</v>
      </c>
      <c r="F26" s="171">
        <f>F23*E26</f>
        <v>101</v>
      </c>
      <c r="G26" s="64"/>
      <c r="H26" s="271"/>
      <c r="I26" s="64"/>
      <c r="J26" s="271"/>
      <c r="K26" s="65"/>
      <c r="L26" s="271"/>
      <c r="M26" s="271"/>
      <c r="N26" s="467"/>
    </row>
    <row r="27" spans="1:14" s="45" customFormat="1" ht="16.5">
      <c r="A27" s="668"/>
      <c r="B27" s="125"/>
      <c r="C27" s="380" t="s">
        <v>108</v>
      </c>
      <c r="D27" s="125" t="s">
        <v>21</v>
      </c>
      <c r="E27" s="171">
        <v>1.1999999999999999E-3</v>
      </c>
      <c r="F27" s="171">
        <f>F23*E27</f>
        <v>0.12</v>
      </c>
      <c r="G27" s="64"/>
      <c r="H27" s="271"/>
      <c r="I27" s="64"/>
      <c r="J27" s="271"/>
      <c r="K27" s="65"/>
      <c r="L27" s="271"/>
      <c r="M27" s="271"/>
      <c r="N27" s="467"/>
    </row>
    <row r="28" spans="1:14" s="45" customFormat="1" ht="27">
      <c r="A28" s="669">
        <v>6</v>
      </c>
      <c r="B28" s="81" t="s">
        <v>181</v>
      </c>
      <c r="C28" s="403" t="s">
        <v>182</v>
      </c>
      <c r="D28" s="81" t="s">
        <v>179</v>
      </c>
      <c r="E28" s="176"/>
      <c r="F28" s="176">
        <f>100</f>
        <v>100</v>
      </c>
      <c r="G28" s="64"/>
      <c r="H28" s="271"/>
      <c r="I28" s="64"/>
      <c r="J28" s="271"/>
      <c r="K28" s="65"/>
      <c r="L28" s="271"/>
      <c r="M28" s="271"/>
      <c r="N28" s="467"/>
    </row>
    <row r="29" spans="1:14" s="45" customFormat="1" ht="16.5">
      <c r="A29" s="670"/>
      <c r="B29" s="366"/>
      <c r="C29" s="387" t="s">
        <v>76</v>
      </c>
      <c r="D29" s="125" t="s">
        <v>77</v>
      </c>
      <c r="E29" s="177">
        <f>11/1000</f>
        <v>1.0999999999999999E-2</v>
      </c>
      <c r="F29" s="177">
        <f>F28*E29</f>
        <v>1.0999999999999999</v>
      </c>
      <c r="G29" s="64"/>
      <c r="H29" s="271"/>
      <c r="I29" s="64"/>
      <c r="J29" s="271"/>
      <c r="K29" s="65"/>
      <c r="L29" s="271"/>
      <c r="M29" s="271"/>
      <c r="N29" s="467"/>
    </row>
    <row r="30" spans="1:14" s="45" customFormat="1" ht="16.5">
      <c r="A30" s="671"/>
      <c r="B30" s="128"/>
      <c r="C30" s="496" t="s">
        <v>183</v>
      </c>
      <c r="D30" s="129" t="s">
        <v>179</v>
      </c>
      <c r="E30" s="497"/>
      <c r="F30" s="497">
        <f>F28</f>
        <v>100</v>
      </c>
      <c r="G30" s="64"/>
      <c r="H30" s="271"/>
      <c r="I30" s="64"/>
      <c r="J30" s="271"/>
      <c r="K30" s="65"/>
      <c r="L30" s="271"/>
      <c r="M30" s="271"/>
      <c r="N30" s="467"/>
    </row>
    <row r="31" spans="1:14" s="45" customFormat="1" ht="27">
      <c r="A31" s="672">
        <v>7</v>
      </c>
      <c r="B31" s="130" t="s">
        <v>71</v>
      </c>
      <c r="C31" s="498" t="s">
        <v>184</v>
      </c>
      <c r="D31" s="130" t="s">
        <v>178</v>
      </c>
      <c r="E31" s="172"/>
      <c r="F31" s="499">
        <f>100*0.25*(0.7-0.25)</f>
        <v>11.249999999999998</v>
      </c>
      <c r="G31" s="64"/>
      <c r="H31" s="271"/>
      <c r="I31" s="64"/>
      <c r="J31" s="271"/>
      <c r="K31" s="65"/>
      <c r="L31" s="271"/>
      <c r="M31" s="271"/>
      <c r="N31" s="467"/>
    </row>
    <row r="32" spans="1:14" s="45" customFormat="1" ht="16.5">
      <c r="A32" s="673"/>
      <c r="B32" s="36"/>
      <c r="C32" s="500" t="s">
        <v>76</v>
      </c>
      <c r="D32" s="36" t="s">
        <v>77</v>
      </c>
      <c r="E32" s="172">
        <v>1.21</v>
      </c>
      <c r="F32" s="172">
        <f>F31*E32</f>
        <v>13.612499999999997</v>
      </c>
      <c r="G32" s="64"/>
      <c r="H32" s="271"/>
      <c r="I32" s="64"/>
      <c r="J32" s="271"/>
      <c r="K32" s="65"/>
      <c r="L32" s="271"/>
      <c r="M32" s="271"/>
      <c r="N32" s="467"/>
    </row>
    <row r="33" spans="1:14" s="45" customFormat="1" ht="27">
      <c r="A33" s="657">
        <v>8</v>
      </c>
      <c r="B33" s="124" t="s">
        <v>72</v>
      </c>
      <c r="C33" s="402" t="s">
        <v>185</v>
      </c>
      <c r="D33" s="124" t="s">
        <v>178</v>
      </c>
      <c r="E33" s="171"/>
      <c r="F33" s="488">
        <f>0.4*0.4*(0.8)*F14</f>
        <v>0.64000000000000012</v>
      </c>
      <c r="G33" s="64"/>
      <c r="H33" s="271"/>
      <c r="I33" s="64"/>
      <c r="J33" s="271"/>
      <c r="K33" s="65"/>
      <c r="L33" s="271"/>
      <c r="M33" s="271"/>
      <c r="N33" s="467"/>
    </row>
    <row r="34" spans="1:14" s="45" customFormat="1" ht="16.5">
      <c r="A34" s="658"/>
      <c r="B34" s="125"/>
      <c r="C34" s="380" t="s">
        <v>76</v>
      </c>
      <c r="D34" s="125" t="s">
        <v>77</v>
      </c>
      <c r="E34" s="171">
        <v>1.37</v>
      </c>
      <c r="F34" s="171">
        <f>F33*E34</f>
        <v>0.87680000000000025</v>
      </c>
      <c r="G34" s="64"/>
      <c r="H34" s="271"/>
      <c r="I34" s="64"/>
      <c r="J34" s="271"/>
      <c r="K34" s="65"/>
      <c r="L34" s="271"/>
      <c r="M34" s="271"/>
      <c r="N34" s="467"/>
    </row>
    <row r="35" spans="1:14" s="45" customFormat="1" ht="16.5">
      <c r="A35" s="658"/>
      <c r="B35" s="125"/>
      <c r="C35" s="380" t="s">
        <v>180</v>
      </c>
      <c r="D35" s="125" t="s">
        <v>21</v>
      </c>
      <c r="E35" s="171">
        <v>0.28299999999999997</v>
      </c>
      <c r="F35" s="171">
        <f>F33*E35</f>
        <v>0.18112000000000003</v>
      </c>
      <c r="G35" s="64"/>
      <c r="H35" s="271"/>
      <c r="I35" s="64"/>
      <c r="J35" s="271"/>
      <c r="K35" s="65"/>
      <c r="L35" s="271"/>
      <c r="M35" s="271"/>
      <c r="N35" s="467"/>
    </row>
    <row r="36" spans="1:14" s="45" customFormat="1" ht="16.5">
      <c r="A36" s="658"/>
      <c r="B36" s="125"/>
      <c r="C36" s="380" t="s">
        <v>186</v>
      </c>
      <c r="D36" s="125" t="s">
        <v>178</v>
      </c>
      <c r="E36" s="171">
        <v>1.02</v>
      </c>
      <c r="F36" s="171">
        <f>F33*E36</f>
        <v>0.65280000000000016</v>
      </c>
      <c r="G36" s="64"/>
      <c r="H36" s="271"/>
      <c r="I36" s="64"/>
      <c r="J36" s="271"/>
      <c r="K36" s="65"/>
      <c r="L36" s="271"/>
      <c r="M36" s="271"/>
      <c r="N36" s="467"/>
    </row>
    <row r="37" spans="1:14" s="45" customFormat="1" ht="16.5">
      <c r="A37" s="658"/>
      <c r="B37" s="363"/>
      <c r="C37" s="66" t="s">
        <v>187</v>
      </c>
      <c r="D37" s="363" t="s">
        <v>188</v>
      </c>
      <c r="E37" s="171">
        <v>1.03</v>
      </c>
      <c r="F37" s="171">
        <f>0.4*4*2*1.03*0.395/1000*F14</f>
        <v>6.5096000000000008E-3</v>
      </c>
      <c r="G37" s="64"/>
      <c r="H37" s="271"/>
      <c r="I37" s="64"/>
      <c r="J37" s="271"/>
      <c r="K37" s="65"/>
      <c r="L37" s="271"/>
      <c r="M37" s="271"/>
      <c r="N37" s="467"/>
    </row>
    <row r="38" spans="1:14" s="45" customFormat="1" ht="16.5">
      <c r="A38" s="658"/>
      <c r="B38" s="365"/>
      <c r="C38" s="500" t="s">
        <v>189</v>
      </c>
      <c r="D38" s="131" t="s">
        <v>21</v>
      </c>
      <c r="E38" s="172">
        <v>0.62</v>
      </c>
      <c r="F38" s="172">
        <f>F33*E38</f>
        <v>0.3968000000000001</v>
      </c>
      <c r="G38" s="64"/>
      <c r="H38" s="271"/>
      <c r="I38" s="271"/>
      <c r="J38" s="271"/>
      <c r="K38" s="65"/>
      <c r="L38" s="271"/>
      <c r="M38" s="271"/>
      <c r="N38" s="467"/>
    </row>
    <row r="39" spans="1:14" s="45" customFormat="1" ht="16.5">
      <c r="A39" s="55"/>
      <c r="B39" s="55"/>
      <c r="C39" s="55" t="s">
        <v>172</v>
      </c>
      <c r="D39" s="132"/>
      <c r="E39" s="501"/>
      <c r="F39" s="341"/>
      <c r="G39" s="502"/>
      <c r="H39" s="503"/>
      <c r="I39" s="502"/>
      <c r="J39" s="503"/>
      <c r="K39" s="504"/>
      <c r="L39" s="503"/>
      <c r="M39" s="503"/>
      <c r="N39" s="541">
        <f>H39+J39+L39</f>
        <v>0</v>
      </c>
    </row>
    <row r="40" spans="1:14" s="45" customFormat="1" ht="40.5">
      <c r="A40" s="363"/>
      <c r="B40" s="21"/>
      <c r="C40" s="21" t="s">
        <v>173</v>
      </c>
      <c r="D40" s="56"/>
      <c r="E40" s="505"/>
      <c r="F40" s="406" t="s">
        <v>554</v>
      </c>
      <c r="G40" s="506"/>
      <c r="H40" s="506"/>
      <c r="I40" s="506"/>
      <c r="J40" s="506"/>
      <c r="K40" s="506"/>
      <c r="L40" s="506"/>
      <c r="M40" s="507"/>
      <c r="N40" s="467"/>
    </row>
    <row r="41" spans="1:14" s="45" customFormat="1" ht="16.5">
      <c r="A41" s="363"/>
      <c r="B41" s="21"/>
      <c r="C41" s="409" t="s">
        <v>19</v>
      </c>
      <c r="D41" s="56"/>
      <c r="E41" s="505"/>
      <c r="F41" s="505"/>
      <c r="G41" s="506"/>
      <c r="H41" s="506"/>
      <c r="I41" s="506"/>
      <c r="J41" s="506"/>
      <c r="K41" s="506"/>
      <c r="L41" s="506"/>
      <c r="M41" s="507"/>
      <c r="N41" s="467"/>
    </row>
    <row r="42" spans="1:14" s="45" customFormat="1" ht="16.5">
      <c r="A42" s="154"/>
      <c r="B42" s="56"/>
      <c r="C42" s="21" t="s">
        <v>190</v>
      </c>
      <c r="D42" s="56"/>
      <c r="E42" s="505"/>
      <c r="F42" s="410" t="s">
        <v>554</v>
      </c>
      <c r="G42" s="506"/>
      <c r="H42" s="506"/>
      <c r="I42" s="506"/>
      <c r="J42" s="506"/>
      <c r="K42" s="506"/>
      <c r="L42" s="506"/>
      <c r="M42" s="507"/>
      <c r="N42" s="467"/>
    </row>
    <row r="43" spans="1:14" s="45" customFormat="1" ht="16.5">
      <c r="A43" s="133"/>
      <c r="B43" s="134"/>
      <c r="C43" s="134" t="s">
        <v>191</v>
      </c>
      <c r="D43" s="134"/>
      <c r="E43" s="508"/>
      <c r="F43" s="508"/>
      <c r="G43" s="509"/>
      <c r="H43" s="509"/>
      <c r="I43" s="509"/>
      <c r="J43" s="509"/>
      <c r="K43" s="509"/>
      <c r="L43" s="509"/>
      <c r="M43" s="509"/>
      <c r="N43" s="467"/>
    </row>
    <row r="44" spans="1:14" s="45" customFormat="1" ht="16.5">
      <c r="A44" s="135"/>
      <c r="B44" s="135"/>
      <c r="C44" s="136" t="s">
        <v>192</v>
      </c>
      <c r="D44" s="136"/>
      <c r="E44" s="510"/>
      <c r="F44" s="510"/>
      <c r="G44" s="511"/>
      <c r="H44" s="512"/>
      <c r="I44" s="511"/>
      <c r="J44" s="512"/>
      <c r="K44" s="513"/>
      <c r="L44" s="512"/>
      <c r="M44" s="512"/>
      <c r="N44" s="467"/>
    </row>
    <row r="45" spans="1:14" s="45" customFormat="1" ht="27">
      <c r="A45" s="625" t="s">
        <v>57</v>
      </c>
      <c r="B45" s="34" t="s">
        <v>74</v>
      </c>
      <c r="C45" s="154" t="s">
        <v>193</v>
      </c>
      <c r="D45" s="363" t="s">
        <v>75</v>
      </c>
      <c r="E45" s="270"/>
      <c r="F45" s="7">
        <f>F48</f>
        <v>5</v>
      </c>
      <c r="G45" s="271"/>
      <c r="H45" s="271"/>
      <c r="I45" s="271"/>
      <c r="J45" s="271"/>
      <c r="K45" s="271"/>
      <c r="L45" s="271"/>
      <c r="M45" s="271"/>
      <c r="N45" s="467"/>
    </row>
    <row r="46" spans="1:14" s="45" customFormat="1" ht="16.5">
      <c r="A46" s="625"/>
      <c r="B46" s="36"/>
      <c r="C46" s="514" t="s">
        <v>76</v>
      </c>
      <c r="D46" s="36" t="s">
        <v>77</v>
      </c>
      <c r="E46" s="172">
        <v>1</v>
      </c>
      <c r="F46" s="172">
        <f>F45*E46</f>
        <v>5</v>
      </c>
      <c r="G46" s="64"/>
      <c r="H46" s="271"/>
      <c r="I46" s="64"/>
      <c r="J46" s="271"/>
      <c r="K46" s="65"/>
      <c r="L46" s="271"/>
      <c r="M46" s="271"/>
      <c r="N46" s="467"/>
    </row>
    <row r="47" spans="1:14" s="45" customFormat="1" ht="16.5">
      <c r="A47" s="625"/>
      <c r="B47" s="36"/>
      <c r="C47" s="514" t="s">
        <v>7</v>
      </c>
      <c r="D47" s="36" t="s">
        <v>6</v>
      </c>
      <c r="E47" s="172">
        <v>1.1599999999999999</v>
      </c>
      <c r="F47" s="172">
        <f>F45*E47</f>
        <v>5.8</v>
      </c>
      <c r="G47" s="64"/>
      <c r="H47" s="271"/>
      <c r="I47" s="64"/>
      <c r="J47" s="271"/>
      <c r="K47" s="65"/>
      <c r="L47" s="271"/>
      <c r="M47" s="271"/>
      <c r="N47" s="467"/>
    </row>
    <row r="48" spans="1:14" s="45" customFormat="1" ht="40.5">
      <c r="A48" s="625"/>
      <c r="B48" s="363"/>
      <c r="C48" s="66" t="s">
        <v>500</v>
      </c>
      <c r="D48" s="363" t="s">
        <v>78</v>
      </c>
      <c r="E48" s="270"/>
      <c r="F48" s="270">
        <f>F15</f>
        <v>5</v>
      </c>
      <c r="G48" s="271"/>
      <c r="H48" s="271"/>
      <c r="I48" s="64"/>
      <c r="J48" s="271"/>
      <c r="K48" s="271"/>
      <c r="L48" s="271"/>
      <c r="M48" s="271"/>
      <c r="N48" s="467"/>
    </row>
    <row r="49" spans="1:14" s="45" customFormat="1" ht="16.5">
      <c r="A49" s="625"/>
      <c r="B49" s="363"/>
      <c r="C49" s="66" t="s">
        <v>56</v>
      </c>
      <c r="D49" s="363" t="s">
        <v>6</v>
      </c>
      <c r="E49" s="270">
        <v>0.05</v>
      </c>
      <c r="F49" s="270">
        <f>F45*E49</f>
        <v>0.25</v>
      </c>
      <c r="G49" s="271"/>
      <c r="H49" s="271"/>
      <c r="I49" s="64"/>
      <c r="J49" s="271"/>
      <c r="K49" s="271"/>
      <c r="L49" s="271"/>
      <c r="M49" s="271"/>
      <c r="N49" s="467"/>
    </row>
    <row r="50" spans="1:14" s="45" customFormat="1" ht="16.5">
      <c r="A50" s="626" t="s">
        <v>91</v>
      </c>
      <c r="B50" s="154" t="s">
        <v>100</v>
      </c>
      <c r="C50" s="515" t="s">
        <v>194</v>
      </c>
      <c r="D50" s="363" t="s">
        <v>101</v>
      </c>
      <c r="E50" s="270"/>
      <c r="F50" s="7">
        <f>F52+F53</f>
        <v>120</v>
      </c>
      <c r="G50" s="516"/>
      <c r="H50" s="63"/>
      <c r="I50" s="516"/>
      <c r="J50" s="271"/>
      <c r="K50" s="271"/>
      <c r="L50" s="271"/>
      <c r="M50" s="271"/>
      <c r="N50" s="467"/>
    </row>
    <row r="51" spans="1:14" s="45" customFormat="1" ht="16.5">
      <c r="A51" s="636"/>
      <c r="B51" s="363"/>
      <c r="C51" s="66" t="s">
        <v>62</v>
      </c>
      <c r="D51" s="363" t="s">
        <v>20</v>
      </c>
      <c r="E51" s="270">
        <v>0.13900000000000001</v>
      </c>
      <c r="F51" s="270">
        <f>F50*E51</f>
        <v>16.68</v>
      </c>
      <c r="G51" s="271"/>
      <c r="H51" s="63"/>
      <c r="I51" s="271"/>
      <c r="J51" s="271"/>
      <c r="K51" s="271"/>
      <c r="L51" s="271"/>
      <c r="M51" s="271"/>
      <c r="N51" s="467"/>
    </row>
    <row r="52" spans="1:14" s="45" customFormat="1" ht="16.5">
      <c r="A52" s="636"/>
      <c r="B52" s="363"/>
      <c r="C52" s="66" t="s">
        <v>501</v>
      </c>
      <c r="D52" s="363" t="s">
        <v>50</v>
      </c>
      <c r="E52" s="270"/>
      <c r="F52" s="270">
        <v>100</v>
      </c>
      <c r="G52" s="271"/>
      <c r="H52" s="271"/>
      <c r="I52" s="64"/>
      <c r="J52" s="271"/>
      <c r="K52" s="271"/>
      <c r="L52" s="271"/>
      <c r="M52" s="271"/>
      <c r="N52" s="467"/>
    </row>
    <row r="53" spans="1:14" s="45" customFormat="1" ht="16.5">
      <c r="A53" s="636"/>
      <c r="B53" s="363"/>
      <c r="C53" s="66" t="s">
        <v>502</v>
      </c>
      <c r="D53" s="363" t="s">
        <v>50</v>
      </c>
      <c r="E53" s="270"/>
      <c r="F53" s="270">
        <v>20</v>
      </c>
      <c r="G53" s="271"/>
      <c r="H53" s="271"/>
      <c r="I53" s="64"/>
      <c r="J53" s="271"/>
      <c r="K53" s="271"/>
      <c r="L53" s="271"/>
      <c r="M53" s="271"/>
      <c r="N53" s="467"/>
    </row>
    <row r="54" spans="1:14" s="45" customFormat="1" ht="16.5">
      <c r="A54" s="627"/>
      <c r="B54" s="363"/>
      <c r="C54" s="66" t="s">
        <v>102</v>
      </c>
      <c r="D54" s="363" t="s">
        <v>21</v>
      </c>
      <c r="E54" s="270">
        <v>9.7000000000000003E-3</v>
      </c>
      <c r="F54" s="172">
        <f>F50*E54</f>
        <v>1.1640000000000001</v>
      </c>
      <c r="G54" s="271"/>
      <c r="H54" s="63"/>
      <c r="I54" s="64"/>
      <c r="J54" s="271"/>
      <c r="K54" s="271"/>
      <c r="L54" s="271"/>
      <c r="M54" s="271"/>
      <c r="N54" s="467"/>
    </row>
    <row r="55" spans="1:14" s="45" customFormat="1" ht="16.5">
      <c r="A55" s="363"/>
      <c r="B55" s="363"/>
      <c r="C55" s="66"/>
      <c r="D55" s="363"/>
      <c r="E55" s="270"/>
      <c r="F55" s="270"/>
      <c r="G55" s="271"/>
      <c r="H55" s="271"/>
      <c r="I55" s="64"/>
      <c r="J55" s="271"/>
      <c r="K55" s="271"/>
      <c r="L55" s="271"/>
      <c r="M55" s="271"/>
      <c r="N55" s="467"/>
    </row>
    <row r="56" spans="1:14" s="45" customFormat="1" ht="16.5">
      <c r="A56" s="662" t="s">
        <v>79</v>
      </c>
      <c r="B56" s="154" t="s">
        <v>195</v>
      </c>
      <c r="C56" s="50" t="s">
        <v>196</v>
      </c>
      <c r="D56" s="363"/>
      <c r="E56" s="270"/>
      <c r="F56" s="172" t="s">
        <v>98</v>
      </c>
      <c r="G56" s="271"/>
      <c r="H56" s="63"/>
      <c r="I56" s="64"/>
      <c r="J56" s="271"/>
      <c r="K56" s="271"/>
      <c r="L56" s="271"/>
      <c r="M56" s="271"/>
      <c r="N56" s="467"/>
    </row>
    <row r="57" spans="1:14" s="45" customFormat="1" ht="16.5">
      <c r="A57" s="663"/>
      <c r="B57" s="363"/>
      <c r="C57" s="66" t="s">
        <v>62</v>
      </c>
      <c r="D57" s="363" t="s">
        <v>20</v>
      </c>
      <c r="E57" s="270">
        <v>7.05</v>
      </c>
      <c r="F57" s="270">
        <f>F56*E57</f>
        <v>7.05</v>
      </c>
      <c r="G57" s="271"/>
      <c r="H57" s="63"/>
      <c r="I57" s="271"/>
      <c r="J57" s="63"/>
      <c r="K57" s="271"/>
      <c r="L57" s="63"/>
      <c r="M57" s="271"/>
      <c r="N57" s="467"/>
    </row>
    <row r="58" spans="1:14" s="45" customFormat="1" ht="26.25">
      <c r="A58" s="663"/>
      <c r="B58" s="439"/>
      <c r="C58" s="66" t="s">
        <v>250</v>
      </c>
      <c r="D58" s="363" t="s">
        <v>58</v>
      </c>
      <c r="E58" s="270"/>
      <c r="F58" s="172" t="s">
        <v>98</v>
      </c>
      <c r="G58" s="271"/>
      <c r="H58" s="271"/>
      <c r="I58" s="64"/>
      <c r="J58" s="271"/>
      <c r="K58" s="271"/>
      <c r="L58" s="271"/>
      <c r="M58" s="271"/>
      <c r="N58" s="467"/>
    </row>
    <row r="59" spans="1:14" s="45" customFormat="1" ht="16.5">
      <c r="A59" s="663"/>
      <c r="B59" s="439"/>
      <c r="C59" s="66" t="s">
        <v>252</v>
      </c>
      <c r="D59" s="363" t="s">
        <v>58</v>
      </c>
      <c r="E59" s="270"/>
      <c r="F59" s="172">
        <v>5</v>
      </c>
      <c r="G59" s="271"/>
      <c r="H59" s="271"/>
      <c r="I59" s="64"/>
      <c r="J59" s="271"/>
      <c r="K59" s="271"/>
      <c r="L59" s="271"/>
      <c r="M59" s="271"/>
      <c r="N59" s="467"/>
    </row>
    <row r="60" spans="1:14" s="45" customFormat="1" ht="27">
      <c r="A60" s="663"/>
      <c r="B60" s="363"/>
      <c r="C60" s="66" t="s">
        <v>516</v>
      </c>
      <c r="D60" s="363" t="s">
        <v>58</v>
      </c>
      <c r="E60" s="270"/>
      <c r="F60" s="172">
        <v>1</v>
      </c>
      <c r="G60" s="271"/>
      <c r="H60" s="271"/>
      <c r="I60" s="64"/>
      <c r="J60" s="271"/>
      <c r="K60" s="271"/>
      <c r="L60" s="271"/>
      <c r="M60" s="271"/>
      <c r="N60" s="467"/>
    </row>
    <row r="61" spans="1:14" s="45" customFormat="1" ht="27">
      <c r="A61" s="663"/>
      <c r="B61" s="363"/>
      <c r="C61" s="66" t="s">
        <v>517</v>
      </c>
      <c r="D61" s="363" t="s">
        <v>58</v>
      </c>
      <c r="E61" s="270"/>
      <c r="F61" s="172">
        <v>5</v>
      </c>
      <c r="G61" s="271"/>
      <c r="H61" s="271"/>
      <c r="I61" s="64"/>
      <c r="J61" s="271"/>
      <c r="K61" s="271"/>
      <c r="L61" s="271"/>
      <c r="M61" s="271"/>
      <c r="N61" s="467"/>
    </row>
    <row r="62" spans="1:14" s="45" customFormat="1" ht="16.5">
      <c r="A62" s="663"/>
      <c r="B62" s="363"/>
      <c r="C62" s="66" t="s">
        <v>518</v>
      </c>
      <c r="D62" s="363" t="s">
        <v>58</v>
      </c>
      <c r="E62" s="270"/>
      <c r="F62" s="172">
        <v>1</v>
      </c>
      <c r="G62" s="271"/>
      <c r="H62" s="271"/>
      <c r="I62" s="64"/>
      <c r="J62" s="271"/>
      <c r="K62" s="271"/>
      <c r="L62" s="271"/>
      <c r="M62" s="271"/>
      <c r="N62" s="467"/>
    </row>
    <row r="63" spans="1:14" s="45" customFormat="1" ht="16.5">
      <c r="A63" s="663"/>
      <c r="B63" s="363"/>
      <c r="C63" s="66" t="s">
        <v>251</v>
      </c>
      <c r="D63" s="363" t="s">
        <v>58</v>
      </c>
      <c r="E63" s="270"/>
      <c r="F63" s="172">
        <v>1</v>
      </c>
      <c r="G63" s="271"/>
      <c r="H63" s="271"/>
      <c r="I63" s="64"/>
      <c r="J63" s="271"/>
      <c r="K63" s="271"/>
      <c r="L63" s="271"/>
      <c r="M63" s="271"/>
      <c r="N63" s="467"/>
    </row>
    <row r="64" spans="1:14" s="45" customFormat="1" ht="16.5">
      <c r="A64" s="663"/>
      <c r="B64" s="363"/>
      <c r="C64" s="66" t="s">
        <v>197</v>
      </c>
      <c r="D64" s="363" t="s">
        <v>58</v>
      </c>
      <c r="E64" s="270"/>
      <c r="F64" s="172">
        <v>1</v>
      </c>
      <c r="G64" s="271"/>
      <c r="H64" s="271"/>
      <c r="I64" s="64"/>
      <c r="J64" s="271"/>
      <c r="K64" s="271"/>
      <c r="L64" s="271"/>
      <c r="M64" s="271"/>
      <c r="N64" s="467"/>
    </row>
    <row r="65" spans="1:14" s="45" customFormat="1" ht="16.5">
      <c r="A65" s="664"/>
      <c r="B65" s="363"/>
      <c r="C65" s="66" t="s">
        <v>230</v>
      </c>
      <c r="D65" s="363" t="s">
        <v>58</v>
      </c>
      <c r="E65" s="270"/>
      <c r="F65" s="172">
        <v>1</v>
      </c>
      <c r="G65" s="271"/>
      <c r="H65" s="271"/>
      <c r="I65" s="64"/>
      <c r="J65" s="271"/>
      <c r="K65" s="271"/>
      <c r="L65" s="271"/>
      <c r="M65" s="271"/>
      <c r="N65" s="467"/>
    </row>
    <row r="66" spans="1:14" s="45" customFormat="1" ht="16.5">
      <c r="A66" s="363" t="s">
        <v>93</v>
      </c>
      <c r="B66" s="363"/>
      <c r="C66" s="55" t="s">
        <v>80</v>
      </c>
      <c r="D66" s="363"/>
      <c r="E66" s="517"/>
      <c r="F66" s="517"/>
      <c r="G66" s="518"/>
      <c r="H66" s="518"/>
      <c r="I66" s="519"/>
      <c r="J66" s="518"/>
      <c r="K66" s="518"/>
      <c r="L66" s="518"/>
      <c r="M66" s="271"/>
      <c r="N66" s="467"/>
    </row>
    <row r="67" spans="1:14" s="45" customFormat="1" ht="40.5">
      <c r="A67" s="659" t="s">
        <v>144</v>
      </c>
      <c r="B67" s="22" t="s">
        <v>81</v>
      </c>
      <c r="C67" s="431" t="s">
        <v>233</v>
      </c>
      <c r="D67" s="39" t="s">
        <v>58</v>
      </c>
      <c r="E67" s="173"/>
      <c r="F67" s="391">
        <f>F70</f>
        <v>5</v>
      </c>
      <c r="G67" s="385"/>
      <c r="H67" s="520"/>
      <c r="I67" s="520"/>
      <c r="J67" s="520"/>
      <c r="K67" s="520"/>
      <c r="L67" s="520"/>
      <c r="M67" s="271"/>
      <c r="N67" s="467"/>
    </row>
    <row r="68" spans="1:14" s="45" customFormat="1" ht="16.5">
      <c r="A68" s="660"/>
      <c r="B68" s="189"/>
      <c r="C68" s="108" t="s">
        <v>42</v>
      </c>
      <c r="D68" s="39" t="s">
        <v>8</v>
      </c>
      <c r="E68" s="174">
        <v>0.9</v>
      </c>
      <c r="F68" s="24">
        <f>E68*F67</f>
        <v>4.5</v>
      </c>
      <c r="G68" s="385"/>
      <c r="H68" s="520"/>
      <c r="I68" s="520"/>
      <c r="J68" s="520"/>
      <c r="K68" s="520"/>
      <c r="L68" s="520"/>
      <c r="M68" s="271"/>
      <c r="N68" s="467"/>
    </row>
    <row r="69" spans="1:14" s="45" customFormat="1" ht="16.5">
      <c r="A69" s="660"/>
      <c r="B69" s="189"/>
      <c r="C69" s="137" t="s">
        <v>7</v>
      </c>
      <c r="D69" s="39" t="s">
        <v>6</v>
      </c>
      <c r="E69" s="174">
        <v>7.0000000000000007E-2</v>
      </c>
      <c r="F69" s="174">
        <f>E69*F67</f>
        <v>0.35000000000000003</v>
      </c>
      <c r="G69" s="385"/>
      <c r="H69" s="520"/>
      <c r="I69" s="520"/>
      <c r="J69" s="520"/>
      <c r="K69" s="520"/>
      <c r="L69" s="520"/>
      <c r="M69" s="271"/>
      <c r="N69" s="467"/>
    </row>
    <row r="70" spans="1:14" s="45" customFormat="1" ht="26.25">
      <c r="A70" s="660"/>
      <c r="B70" s="40"/>
      <c r="C70" s="137" t="s">
        <v>503</v>
      </c>
      <c r="D70" s="41" t="s">
        <v>58</v>
      </c>
      <c r="E70" s="175"/>
      <c r="F70" s="24">
        <v>5</v>
      </c>
      <c r="G70" s="385"/>
      <c r="H70" s="520"/>
      <c r="I70" s="520"/>
      <c r="J70" s="520"/>
      <c r="K70" s="520"/>
      <c r="L70" s="520"/>
      <c r="M70" s="271"/>
      <c r="N70" s="467"/>
    </row>
    <row r="71" spans="1:14" s="45" customFormat="1" ht="16.5">
      <c r="A71" s="661"/>
      <c r="B71" s="189"/>
      <c r="C71" s="108" t="s">
        <v>9</v>
      </c>
      <c r="D71" s="39" t="s">
        <v>6</v>
      </c>
      <c r="E71" s="174">
        <v>0.14000000000000001</v>
      </c>
      <c r="F71" s="24">
        <f>E71*F67</f>
        <v>0.70000000000000007</v>
      </c>
      <c r="G71" s="385"/>
      <c r="H71" s="520"/>
      <c r="I71" s="385"/>
      <c r="J71" s="520"/>
      <c r="K71" s="385"/>
      <c r="L71" s="520"/>
      <c r="M71" s="271"/>
      <c r="N71" s="467"/>
    </row>
    <row r="72" spans="1:14" s="45" customFormat="1" ht="40.5">
      <c r="A72" s="659" t="s">
        <v>146</v>
      </c>
      <c r="B72" s="22" t="s">
        <v>231</v>
      </c>
      <c r="C72" s="431" t="s">
        <v>232</v>
      </c>
      <c r="D72" s="41" t="s">
        <v>50</v>
      </c>
      <c r="E72" s="173"/>
      <c r="F72" s="391">
        <f>F75</f>
        <v>10</v>
      </c>
      <c r="G72" s="385"/>
      <c r="H72" s="520"/>
      <c r="I72" s="520"/>
      <c r="J72" s="520"/>
      <c r="K72" s="520"/>
      <c r="L72" s="520"/>
      <c r="M72" s="271"/>
      <c r="N72" s="467"/>
    </row>
    <row r="73" spans="1:14" s="45" customFormat="1" ht="16.5">
      <c r="A73" s="660"/>
      <c r="B73" s="189"/>
      <c r="C73" s="108" t="s">
        <v>42</v>
      </c>
      <c r="D73" s="39" t="s">
        <v>8</v>
      </c>
      <c r="E73" s="174">
        <v>0.26</v>
      </c>
      <c r="F73" s="24">
        <f>E73*F72</f>
        <v>2.6</v>
      </c>
      <c r="G73" s="385"/>
      <c r="H73" s="520"/>
      <c r="I73" s="520"/>
      <c r="J73" s="520"/>
      <c r="K73" s="520"/>
      <c r="L73" s="520"/>
      <c r="M73" s="271"/>
      <c r="N73" s="467"/>
    </row>
    <row r="74" spans="1:14" s="45" customFormat="1" ht="16.5">
      <c r="A74" s="660"/>
      <c r="B74" s="189"/>
      <c r="C74" s="137" t="s">
        <v>7</v>
      </c>
      <c r="D74" s="39" t="s">
        <v>6</v>
      </c>
      <c r="E74" s="174">
        <v>1.6E-2</v>
      </c>
      <c r="F74" s="174">
        <f>E74*F72</f>
        <v>0.16</v>
      </c>
      <c r="G74" s="385"/>
      <c r="H74" s="520"/>
      <c r="I74" s="520"/>
      <c r="J74" s="520"/>
      <c r="K74" s="520"/>
      <c r="L74" s="520"/>
      <c r="M74" s="271"/>
      <c r="N74" s="467"/>
    </row>
    <row r="75" spans="1:14" s="45" customFormat="1" ht="16.5">
      <c r="A75" s="660"/>
      <c r="B75" s="40"/>
      <c r="C75" s="137" t="s">
        <v>504</v>
      </c>
      <c r="D75" s="41" t="s">
        <v>50</v>
      </c>
      <c r="E75" s="175"/>
      <c r="F75" s="391">
        <v>10</v>
      </c>
      <c r="G75" s="385"/>
      <c r="H75" s="520"/>
      <c r="I75" s="520"/>
      <c r="J75" s="520"/>
      <c r="K75" s="520"/>
      <c r="L75" s="520"/>
      <c r="M75" s="271"/>
      <c r="N75" s="467"/>
    </row>
    <row r="76" spans="1:14" s="45" customFormat="1" ht="16.5">
      <c r="A76" s="661"/>
      <c r="B76" s="189"/>
      <c r="C76" s="108" t="s">
        <v>9</v>
      </c>
      <c r="D76" s="39" t="s">
        <v>6</v>
      </c>
      <c r="E76" s="174">
        <v>0.35299999999999998</v>
      </c>
      <c r="F76" s="24">
        <f>E76*F72</f>
        <v>3.53</v>
      </c>
      <c r="G76" s="385"/>
      <c r="H76" s="520"/>
      <c r="I76" s="385"/>
      <c r="J76" s="520"/>
      <c r="K76" s="385"/>
      <c r="L76" s="520"/>
      <c r="M76" s="271"/>
      <c r="N76" s="467"/>
    </row>
    <row r="77" spans="1:14" s="45" customFormat="1" ht="16.5">
      <c r="A77" s="137"/>
      <c r="B77" s="40"/>
      <c r="C77" s="137"/>
      <c r="D77" s="41"/>
      <c r="E77" s="175"/>
      <c r="F77" s="24"/>
      <c r="G77" s="385"/>
      <c r="H77" s="520"/>
      <c r="I77" s="520"/>
      <c r="J77" s="520"/>
      <c r="K77" s="520"/>
      <c r="L77" s="520"/>
      <c r="M77" s="520"/>
      <c r="N77" s="467"/>
    </row>
    <row r="78" spans="1:14" s="45" customFormat="1" ht="16.5">
      <c r="A78" s="55"/>
      <c r="B78" s="55"/>
      <c r="C78" s="55" t="s">
        <v>172</v>
      </c>
      <c r="D78" s="55"/>
      <c r="E78" s="341"/>
      <c r="F78" s="341"/>
      <c r="G78" s="503"/>
      <c r="H78" s="503"/>
      <c r="I78" s="503"/>
      <c r="J78" s="503"/>
      <c r="K78" s="503"/>
      <c r="L78" s="503"/>
      <c r="M78" s="503"/>
      <c r="N78" s="541">
        <f>H78+J78+L78</f>
        <v>0</v>
      </c>
    </row>
    <row r="79" spans="1:14" s="45" customFormat="1" ht="40.5">
      <c r="A79" s="363"/>
      <c r="B79" s="21"/>
      <c r="C79" s="21" t="s">
        <v>173</v>
      </c>
      <c r="D79" s="56"/>
      <c r="E79" s="505"/>
      <c r="F79" s="406" t="s">
        <v>554</v>
      </c>
      <c r="G79" s="506"/>
      <c r="H79" s="506"/>
      <c r="I79" s="506"/>
      <c r="J79" s="506"/>
      <c r="K79" s="506"/>
      <c r="L79" s="506"/>
      <c r="M79" s="507"/>
      <c r="N79" s="467"/>
    </row>
    <row r="80" spans="1:14" s="45" customFormat="1" ht="16.5">
      <c r="A80" s="363"/>
      <c r="B80" s="21"/>
      <c r="C80" s="409" t="s">
        <v>19</v>
      </c>
      <c r="D80" s="56"/>
      <c r="E80" s="505"/>
      <c r="F80" s="505"/>
      <c r="G80" s="506"/>
      <c r="H80" s="506"/>
      <c r="I80" s="506"/>
      <c r="J80" s="506"/>
      <c r="K80" s="506"/>
      <c r="L80" s="506"/>
      <c r="M80" s="506"/>
      <c r="N80" s="467"/>
    </row>
    <row r="81" spans="1:14" s="45" customFormat="1" ht="40.5">
      <c r="A81" s="363"/>
      <c r="B81" s="363"/>
      <c r="C81" s="363" t="s">
        <v>198</v>
      </c>
      <c r="D81" s="154"/>
      <c r="E81" s="270"/>
      <c r="F81" s="521" t="s">
        <v>554</v>
      </c>
      <c r="G81" s="271"/>
      <c r="H81" s="271"/>
      <c r="I81" s="271"/>
      <c r="J81" s="271"/>
      <c r="K81" s="271"/>
      <c r="L81" s="271"/>
      <c r="M81" s="271"/>
      <c r="N81" s="467"/>
    </row>
    <row r="82" spans="1:14" s="45" customFormat="1" ht="16.5">
      <c r="A82" s="55"/>
      <c r="B82" s="55"/>
      <c r="C82" s="55" t="s">
        <v>199</v>
      </c>
      <c r="D82" s="55"/>
      <c r="E82" s="341"/>
      <c r="F82" s="341"/>
      <c r="G82" s="503"/>
      <c r="H82" s="503"/>
      <c r="I82" s="503"/>
      <c r="J82" s="503"/>
      <c r="K82" s="503"/>
      <c r="L82" s="503"/>
      <c r="M82" s="503"/>
      <c r="N82" s="467"/>
    </row>
    <row r="83" spans="1:14" s="45" customFormat="1" ht="16.5">
      <c r="A83" s="236"/>
      <c r="B83" s="237"/>
      <c r="C83" s="237" t="s">
        <v>200</v>
      </c>
      <c r="D83" s="237"/>
      <c r="E83" s="238"/>
      <c r="F83" s="238"/>
      <c r="G83" s="405"/>
      <c r="H83" s="405"/>
      <c r="I83" s="405"/>
      <c r="J83" s="405"/>
      <c r="K83" s="405"/>
      <c r="L83" s="405"/>
      <c r="M83" s="405"/>
      <c r="N83" s="469"/>
    </row>
    <row r="84" spans="1:14" s="45" customFormat="1" ht="27">
      <c r="A84" s="363"/>
      <c r="B84" s="363"/>
      <c r="C84" s="363" t="s">
        <v>257</v>
      </c>
      <c r="D84" s="154"/>
      <c r="E84" s="270"/>
      <c r="F84" s="521" t="s">
        <v>554</v>
      </c>
      <c r="G84" s="271"/>
      <c r="H84" s="271"/>
      <c r="I84" s="271"/>
      <c r="J84" s="271"/>
      <c r="K84" s="271"/>
      <c r="L84" s="271"/>
      <c r="M84" s="271"/>
      <c r="N84" s="467"/>
    </row>
    <row r="85" spans="1:14" s="45" customFormat="1" ht="16.5">
      <c r="A85" s="236"/>
      <c r="B85" s="237"/>
      <c r="C85" s="237" t="s">
        <v>468</v>
      </c>
      <c r="D85" s="237"/>
      <c r="E85" s="238"/>
      <c r="F85" s="238"/>
      <c r="G85" s="405"/>
      <c r="H85" s="405"/>
      <c r="I85" s="405"/>
      <c r="J85" s="405"/>
      <c r="K85" s="405"/>
      <c r="L85" s="405"/>
      <c r="M85" s="417"/>
      <c r="N85" s="467"/>
    </row>
    <row r="86" spans="1:14" s="45" customFormat="1" ht="16.5">
      <c r="A86" s="197"/>
      <c r="B86" s="17"/>
      <c r="C86" s="17"/>
      <c r="D86" s="17"/>
      <c r="E86" s="157"/>
      <c r="F86" s="157"/>
      <c r="G86" s="522"/>
      <c r="H86" s="522"/>
      <c r="I86" s="522"/>
      <c r="J86" s="522"/>
      <c r="K86" s="522"/>
      <c r="L86" s="522"/>
      <c r="M86" s="420"/>
      <c r="N86" s="467"/>
    </row>
    <row r="87" spans="1:14" s="45" customFormat="1" ht="67.5">
      <c r="A87" s="283" t="s">
        <v>323</v>
      </c>
      <c r="B87" s="283"/>
      <c r="C87" s="283" t="s">
        <v>324</v>
      </c>
      <c r="D87" s="283"/>
      <c r="E87" s="371"/>
      <c r="F87" s="286"/>
      <c r="G87" s="371"/>
      <c r="H87" s="286"/>
      <c r="I87" s="371"/>
      <c r="J87" s="286"/>
      <c r="K87" s="371"/>
      <c r="L87" s="286"/>
      <c r="M87" s="371"/>
      <c r="N87" s="467"/>
    </row>
    <row r="88" spans="1:14" s="45" customFormat="1" ht="16.5">
      <c r="A88" s="121"/>
      <c r="B88" s="121"/>
      <c r="C88" s="122" t="s">
        <v>175</v>
      </c>
      <c r="D88" s="122"/>
      <c r="E88" s="486"/>
      <c r="F88" s="486"/>
      <c r="G88" s="64"/>
      <c r="H88" s="271"/>
      <c r="I88" s="64"/>
      <c r="J88" s="271"/>
      <c r="K88" s="65"/>
      <c r="L88" s="271"/>
      <c r="M88" s="271"/>
      <c r="N88" s="467"/>
    </row>
    <row r="89" spans="1:14" s="45" customFormat="1" ht="27">
      <c r="A89" s="626"/>
      <c r="B89" s="626"/>
      <c r="C89" s="154" t="s">
        <v>249</v>
      </c>
      <c r="D89" s="154" t="s">
        <v>75</v>
      </c>
      <c r="E89" s="270"/>
      <c r="F89" s="7">
        <f>F90</f>
        <v>6</v>
      </c>
      <c r="G89" s="655"/>
      <c r="H89" s="655"/>
      <c r="I89" s="655"/>
      <c r="J89" s="655"/>
      <c r="K89" s="655"/>
      <c r="L89" s="655"/>
      <c r="M89" s="655"/>
      <c r="N89" s="467"/>
    </row>
    <row r="90" spans="1:14" s="45" customFormat="1" ht="16.5">
      <c r="A90" s="636"/>
      <c r="B90" s="636"/>
      <c r="C90" s="487" t="s">
        <v>310</v>
      </c>
      <c r="D90" s="154" t="s">
        <v>75</v>
      </c>
      <c r="E90" s="270"/>
      <c r="F90" s="7">
        <f>'7777'!G33</f>
        <v>6</v>
      </c>
      <c r="G90" s="656"/>
      <c r="H90" s="656"/>
      <c r="I90" s="656"/>
      <c r="J90" s="656"/>
      <c r="K90" s="656"/>
      <c r="L90" s="656"/>
      <c r="M90" s="656"/>
      <c r="N90" s="467"/>
    </row>
    <row r="91" spans="1:14" s="45" customFormat="1" ht="16.5">
      <c r="A91" s="657">
        <v>1</v>
      </c>
      <c r="B91" s="124" t="s">
        <v>228</v>
      </c>
      <c r="C91" s="402" t="s">
        <v>229</v>
      </c>
      <c r="D91" s="124" t="s">
        <v>88</v>
      </c>
      <c r="E91" s="171"/>
      <c r="F91" s="488">
        <f>120*0.25*0.7</f>
        <v>21</v>
      </c>
      <c r="G91" s="64"/>
      <c r="H91" s="271"/>
      <c r="I91" s="64"/>
      <c r="J91" s="271"/>
      <c r="K91" s="65"/>
      <c r="L91" s="271"/>
      <c r="M91" s="271"/>
      <c r="N91" s="467"/>
    </row>
    <row r="92" spans="1:14" s="45" customFormat="1" ht="16.5">
      <c r="A92" s="658"/>
      <c r="B92" s="125"/>
      <c r="C92" s="380" t="s">
        <v>76</v>
      </c>
      <c r="D92" s="125" t="s">
        <v>77</v>
      </c>
      <c r="E92" s="171">
        <v>2.06</v>
      </c>
      <c r="F92" s="171">
        <f>F91*E92</f>
        <v>43.26</v>
      </c>
      <c r="G92" s="64"/>
      <c r="H92" s="271"/>
      <c r="I92" s="64"/>
      <c r="J92" s="271"/>
      <c r="K92" s="65"/>
      <c r="L92" s="271"/>
      <c r="M92" s="271"/>
      <c r="N92" s="467"/>
    </row>
    <row r="93" spans="1:14" s="45" customFormat="1" ht="40.5">
      <c r="A93" s="674">
        <v>2</v>
      </c>
      <c r="B93" s="106" t="s">
        <v>36</v>
      </c>
      <c r="C93" s="489" t="s">
        <v>176</v>
      </c>
      <c r="D93" s="124" t="s">
        <v>88</v>
      </c>
      <c r="E93" s="103"/>
      <c r="F93" s="102">
        <f>0.4*0.4*0.8*F89</f>
        <v>0.76800000000000024</v>
      </c>
      <c r="G93" s="64"/>
      <c r="H93" s="271"/>
      <c r="I93" s="64"/>
      <c r="J93" s="271"/>
      <c r="K93" s="65"/>
      <c r="L93" s="271"/>
      <c r="M93" s="271"/>
      <c r="N93" s="467"/>
    </row>
    <row r="94" spans="1:14" s="45" customFormat="1" ht="16.5">
      <c r="A94" s="675"/>
      <c r="B94" s="105"/>
      <c r="C94" s="380" t="s">
        <v>76</v>
      </c>
      <c r="D94" s="105" t="s">
        <v>77</v>
      </c>
      <c r="E94" s="103">
        <v>3.88</v>
      </c>
      <c r="F94" s="103">
        <f>F93*E94</f>
        <v>2.9798400000000007</v>
      </c>
      <c r="G94" s="64"/>
      <c r="H94" s="271"/>
      <c r="I94" s="64"/>
      <c r="J94" s="271"/>
      <c r="K94" s="65"/>
      <c r="L94" s="271"/>
      <c r="M94" s="271"/>
      <c r="N94" s="467"/>
    </row>
    <row r="95" spans="1:14" s="45" customFormat="1" ht="27">
      <c r="A95" s="665">
        <v>4</v>
      </c>
      <c r="B95" s="126" t="s">
        <v>68</v>
      </c>
      <c r="C95" s="490" t="s">
        <v>177</v>
      </c>
      <c r="D95" s="126" t="s">
        <v>178</v>
      </c>
      <c r="E95" s="491"/>
      <c r="F95" s="492">
        <f>120*0.25*0.25</f>
        <v>7.5</v>
      </c>
      <c r="G95" s="64"/>
      <c r="H95" s="271"/>
      <c r="I95" s="64"/>
      <c r="J95" s="271"/>
      <c r="K95" s="65"/>
      <c r="L95" s="271"/>
      <c r="M95" s="271"/>
      <c r="N95" s="467"/>
    </row>
    <row r="96" spans="1:14" s="45" customFormat="1" ht="16.5">
      <c r="A96" s="666"/>
      <c r="B96" s="127"/>
      <c r="C96" s="493" t="s">
        <v>76</v>
      </c>
      <c r="D96" s="127" t="s">
        <v>77</v>
      </c>
      <c r="E96" s="491">
        <v>1.8</v>
      </c>
      <c r="F96" s="491">
        <f>F95*E96</f>
        <v>13.5</v>
      </c>
      <c r="G96" s="64"/>
      <c r="H96" s="271"/>
      <c r="I96" s="64"/>
      <c r="J96" s="271"/>
      <c r="K96" s="65"/>
      <c r="L96" s="271"/>
      <c r="M96" s="271"/>
      <c r="N96" s="467"/>
    </row>
    <row r="97" spans="1:14" s="45" customFormat="1" ht="16.5">
      <c r="A97" s="667"/>
      <c r="B97" s="127"/>
      <c r="C97" s="493" t="s">
        <v>261</v>
      </c>
      <c r="D97" s="127" t="s">
        <v>178</v>
      </c>
      <c r="E97" s="491">
        <v>1.1000000000000001</v>
      </c>
      <c r="F97" s="491">
        <f>F95*E97</f>
        <v>8.25</v>
      </c>
      <c r="G97" s="64"/>
      <c r="H97" s="271"/>
      <c r="I97" s="64"/>
      <c r="J97" s="271"/>
      <c r="K97" s="65"/>
      <c r="L97" s="271"/>
      <c r="M97" s="271"/>
      <c r="N97" s="467"/>
    </row>
    <row r="98" spans="1:14" s="45" customFormat="1" ht="27">
      <c r="A98" s="657">
        <v>5</v>
      </c>
      <c r="B98" s="124" t="s">
        <v>69</v>
      </c>
      <c r="C98" s="494" t="s">
        <v>511</v>
      </c>
      <c r="D98" s="124" t="s">
        <v>179</v>
      </c>
      <c r="E98" s="171"/>
      <c r="F98" s="488">
        <f>120</f>
        <v>120</v>
      </c>
      <c r="G98" s="64"/>
      <c r="H98" s="271"/>
      <c r="I98" s="64"/>
      <c r="J98" s="271"/>
      <c r="K98" s="65"/>
      <c r="L98" s="271"/>
      <c r="M98" s="271"/>
      <c r="N98" s="467"/>
    </row>
    <row r="99" spans="1:14" s="45" customFormat="1" ht="16.5">
      <c r="A99" s="658"/>
      <c r="B99" s="125"/>
      <c r="C99" s="380" t="s">
        <v>76</v>
      </c>
      <c r="D99" s="125" t="s">
        <v>77</v>
      </c>
      <c r="E99" s="171">
        <v>0.105</v>
      </c>
      <c r="F99" s="171">
        <f>F98*E99</f>
        <v>12.6</v>
      </c>
      <c r="G99" s="64"/>
      <c r="H99" s="271"/>
      <c r="I99" s="64"/>
      <c r="J99" s="271"/>
      <c r="K99" s="65"/>
      <c r="L99" s="271"/>
      <c r="M99" s="271"/>
      <c r="N99" s="467"/>
    </row>
    <row r="100" spans="1:14" s="45" customFormat="1" ht="16.5">
      <c r="A100" s="658"/>
      <c r="B100" s="125"/>
      <c r="C100" s="380" t="s">
        <v>180</v>
      </c>
      <c r="D100" s="125" t="s">
        <v>21</v>
      </c>
      <c r="E100" s="171">
        <v>5.3800000000000001E-2</v>
      </c>
      <c r="F100" s="171">
        <f>F98*E100</f>
        <v>6.4560000000000004</v>
      </c>
      <c r="G100" s="64"/>
      <c r="H100" s="271"/>
      <c r="I100" s="64"/>
      <c r="J100" s="271"/>
      <c r="K100" s="65"/>
      <c r="L100" s="271"/>
      <c r="M100" s="271"/>
      <c r="N100" s="467"/>
    </row>
    <row r="101" spans="1:14" s="45" customFormat="1" ht="16.5">
      <c r="A101" s="658"/>
      <c r="B101" s="125"/>
      <c r="C101" s="495" t="s">
        <v>508</v>
      </c>
      <c r="D101" s="125" t="s">
        <v>179</v>
      </c>
      <c r="E101" s="171">
        <v>1.01</v>
      </c>
      <c r="F101" s="171">
        <f>F98*E101</f>
        <v>121.2</v>
      </c>
      <c r="G101" s="64"/>
      <c r="H101" s="271"/>
      <c r="I101" s="64"/>
      <c r="J101" s="271"/>
      <c r="K101" s="65"/>
      <c r="L101" s="271"/>
      <c r="M101" s="271"/>
      <c r="N101" s="467"/>
    </row>
    <row r="102" spans="1:14" s="45" customFormat="1" ht="16.5">
      <c r="A102" s="668"/>
      <c r="B102" s="125"/>
      <c r="C102" s="380" t="s">
        <v>108</v>
      </c>
      <c r="D102" s="125" t="s">
        <v>21</v>
      </c>
      <c r="E102" s="171">
        <v>1.1999999999999999E-3</v>
      </c>
      <c r="F102" s="171">
        <f>F98*E102</f>
        <v>0.14399999999999999</v>
      </c>
      <c r="G102" s="64"/>
      <c r="H102" s="271"/>
      <c r="I102" s="64"/>
      <c r="J102" s="271"/>
      <c r="K102" s="65"/>
      <c r="L102" s="271"/>
      <c r="M102" s="271"/>
      <c r="N102" s="467"/>
    </row>
    <row r="103" spans="1:14" s="45" customFormat="1" ht="27">
      <c r="A103" s="669">
        <v>6</v>
      </c>
      <c r="B103" s="81" t="s">
        <v>181</v>
      </c>
      <c r="C103" s="403" t="s">
        <v>182</v>
      </c>
      <c r="D103" s="81" t="s">
        <v>179</v>
      </c>
      <c r="E103" s="176"/>
      <c r="F103" s="176">
        <f>120</f>
        <v>120</v>
      </c>
      <c r="G103" s="64"/>
      <c r="H103" s="271"/>
      <c r="I103" s="64"/>
      <c r="J103" s="271"/>
      <c r="K103" s="65"/>
      <c r="L103" s="271"/>
      <c r="M103" s="271"/>
      <c r="N103" s="467"/>
    </row>
    <row r="104" spans="1:14" s="45" customFormat="1" ht="16.5">
      <c r="A104" s="670"/>
      <c r="B104" s="366"/>
      <c r="C104" s="387" t="s">
        <v>76</v>
      </c>
      <c r="D104" s="125" t="s">
        <v>77</v>
      </c>
      <c r="E104" s="177">
        <f>11/1000</f>
        <v>1.0999999999999999E-2</v>
      </c>
      <c r="F104" s="177">
        <f>F103*E104</f>
        <v>1.3199999999999998</v>
      </c>
      <c r="G104" s="64"/>
      <c r="H104" s="271"/>
      <c r="I104" s="64"/>
      <c r="J104" s="271"/>
      <c r="K104" s="65"/>
      <c r="L104" s="271"/>
      <c r="M104" s="271"/>
      <c r="N104" s="467"/>
    </row>
    <row r="105" spans="1:14" s="45" customFormat="1" ht="16.5">
      <c r="A105" s="671"/>
      <c r="B105" s="128"/>
      <c r="C105" s="496" t="s">
        <v>183</v>
      </c>
      <c r="D105" s="129" t="s">
        <v>179</v>
      </c>
      <c r="E105" s="497"/>
      <c r="F105" s="497">
        <f>F103</f>
        <v>120</v>
      </c>
      <c r="G105" s="64"/>
      <c r="H105" s="271"/>
      <c r="I105" s="64"/>
      <c r="J105" s="271"/>
      <c r="K105" s="65"/>
      <c r="L105" s="271"/>
      <c r="M105" s="271"/>
      <c r="N105" s="467"/>
    </row>
    <row r="106" spans="1:14" s="45" customFormat="1" ht="27">
      <c r="A106" s="672">
        <v>7</v>
      </c>
      <c r="B106" s="130" t="s">
        <v>71</v>
      </c>
      <c r="C106" s="498" t="s">
        <v>184</v>
      </c>
      <c r="D106" s="130" t="s">
        <v>178</v>
      </c>
      <c r="E106" s="172"/>
      <c r="F106" s="499">
        <f>120*0.25*(0.7-0.25)</f>
        <v>13.499999999999998</v>
      </c>
      <c r="G106" s="64"/>
      <c r="H106" s="271"/>
      <c r="I106" s="64"/>
      <c r="J106" s="271"/>
      <c r="K106" s="65"/>
      <c r="L106" s="271"/>
      <c r="M106" s="271"/>
      <c r="N106" s="467"/>
    </row>
    <row r="107" spans="1:14" s="45" customFormat="1" ht="16.5">
      <c r="A107" s="673"/>
      <c r="B107" s="36"/>
      <c r="C107" s="500" t="s">
        <v>76</v>
      </c>
      <c r="D107" s="36" t="s">
        <v>77</v>
      </c>
      <c r="E107" s="172">
        <v>1.21</v>
      </c>
      <c r="F107" s="172">
        <f>F106*E107</f>
        <v>16.334999999999997</v>
      </c>
      <c r="G107" s="64"/>
      <c r="H107" s="271"/>
      <c r="I107" s="64"/>
      <c r="J107" s="271"/>
      <c r="K107" s="65"/>
      <c r="L107" s="271"/>
      <c r="M107" s="271"/>
      <c r="N107" s="467"/>
    </row>
    <row r="108" spans="1:14" s="45" customFormat="1" ht="27">
      <c r="A108" s="657">
        <v>8</v>
      </c>
      <c r="B108" s="124" t="s">
        <v>72</v>
      </c>
      <c r="C108" s="402" t="s">
        <v>185</v>
      </c>
      <c r="D108" s="124" t="s">
        <v>178</v>
      </c>
      <c r="E108" s="171"/>
      <c r="F108" s="488">
        <f>0.4*0.4*(0.8)*F89</f>
        <v>0.76800000000000024</v>
      </c>
      <c r="G108" s="64"/>
      <c r="H108" s="271"/>
      <c r="I108" s="64"/>
      <c r="J108" s="271"/>
      <c r="K108" s="65"/>
      <c r="L108" s="271"/>
      <c r="M108" s="271"/>
      <c r="N108" s="467"/>
    </row>
    <row r="109" spans="1:14" s="45" customFormat="1" ht="16.5">
      <c r="A109" s="658"/>
      <c r="B109" s="125"/>
      <c r="C109" s="380" t="s">
        <v>76</v>
      </c>
      <c r="D109" s="125" t="s">
        <v>77</v>
      </c>
      <c r="E109" s="171">
        <v>1.37</v>
      </c>
      <c r="F109" s="171">
        <f>F108*E109</f>
        <v>1.0521600000000004</v>
      </c>
      <c r="G109" s="64"/>
      <c r="H109" s="271"/>
      <c r="I109" s="64"/>
      <c r="J109" s="271"/>
      <c r="K109" s="65"/>
      <c r="L109" s="271"/>
      <c r="M109" s="271"/>
      <c r="N109" s="467"/>
    </row>
    <row r="110" spans="1:14" s="45" customFormat="1" ht="16.5">
      <c r="A110" s="658"/>
      <c r="B110" s="125"/>
      <c r="C110" s="380" t="s">
        <v>180</v>
      </c>
      <c r="D110" s="125" t="s">
        <v>21</v>
      </c>
      <c r="E110" s="171">
        <v>0.28299999999999997</v>
      </c>
      <c r="F110" s="171">
        <f>F108*E110</f>
        <v>0.21734400000000004</v>
      </c>
      <c r="G110" s="64"/>
      <c r="H110" s="271"/>
      <c r="I110" s="64"/>
      <c r="J110" s="271"/>
      <c r="K110" s="65"/>
      <c r="L110" s="271"/>
      <c r="M110" s="271"/>
      <c r="N110" s="467"/>
    </row>
    <row r="111" spans="1:14" s="45" customFormat="1" ht="16.5">
      <c r="A111" s="658"/>
      <c r="B111" s="125"/>
      <c r="C111" s="380" t="s">
        <v>186</v>
      </c>
      <c r="D111" s="125" t="s">
        <v>178</v>
      </c>
      <c r="E111" s="171">
        <v>1.02</v>
      </c>
      <c r="F111" s="171">
        <f>F108*E111</f>
        <v>0.78336000000000028</v>
      </c>
      <c r="G111" s="64"/>
      <c r="H111" s="271"/>
      <c r="I111" s="64"/>
      <c r="J111" s="271"/>
      <c r="K111" s="65"/>
      <c r="L111" s="271"/>
      <c r="M111" s="271"/>
      <c r="N111" s="467"/>
    </row>
    <row r="112" spans="1:14" s="45" customFormat="1" ht="16.5">
      <c r="A112" s="658"/>
      <c r="B112" s="363"/>
      <c r="C112" s="66" t="s">
        <v>187</v>
      </c>
      <c r="D112" s="363" t="s">
        <v>188</v>
      </c>
      <c r="E112" s="171">
        <v>1.03</v>
      </c>
      <c r="F112" s="171">
        <f>0.4*4*2*1.03*0.395/1000*F89</f>
        <v>7.8115200000000015E-3</v>
      </c>
      <c r="G112" s="64"/>
      <c r="H112" s="271"/>
      <c r="I112" s="64"/>
      <c r="J112" s="271"/>
      <c r="K112" s="65"/>
      <c r="L112" s="271"/>
      <c r="M112" s="271"/>
      <c r="N112" s="467"/>
    </row>
    <row r="113" spans="1:14" s="45" customFormat="1" ht="16.5">
      <c r="A113" s="658"/>
      <c r="B113" s="365"/>
      <c r="C113" s="500" t="s">
        <v>189</v>
      </c>
      <c r="D113" s="131" t="s">
        <v>21</v>
      </c>
      <c r="E113" s="172">
        <v>0.62</v>
      </c>
      <c r="F113" s="172">
        <f>F108*E113</f>
        <v>0.47616000000000014</v>
      </c>
      <c r="G113" s="64"/>
      <c r="H113" s="271"/>
      <c r="I113" s="271"/>
      <c r="J113" s="271"/>
      <c r="K113" s="65"/>
      <c r="L113" s="271"/>
      <c r="M113" s="271"/>
      <c r="N113" s="467"/>
    </row>
    <row r="114" spans="1:14" s="45" customFormat="1" ht="24" customHeight="1">
      <c r="A114" s="55"/>
      <c r="B114" s="55"/>
      <c r="C114" s="55" t="s">
        <v>172</v>
      </c>
      <c r="D114" s="132"/>
      <c r="E114" s="501"/>
      <c r="F114" s="341"/>
      <c r="G114" s="502"/>
      <c r="H114" s="503"/>
      <c r="I114" s="502"/>
      <c r="J114" s="503"/>
      <c r="K114" s="504"/>
      <c r="L114" s="503"/>
      <c r="M114" s="503"/>
      <c r="N114" s="541">
        <f>H114+J114+L114</f>
        <v>0</v>
      </c>
    </row>
    <row r="115" spans="1:14" s="45" customFormat="1" ht="40.5">
      <c r="A115" s="363"/>
      <c r="B115" s="21"/>
      <c r="C115" s="21" t="s">
        <v>173</v>
      </c>
      <c r="D115" s="56"/>
      <c r="E115" s="505"/>
      <c r="F115" s="406" t="s">
        <v>554</v>
      </c>
      <c r="G115" s="506"/>
      <c r="H115" s="506"/>
      <c r="I115" s="506"/>
      <c r="J115" s="506"/>
      <c r="K115" s="506"/>
      <c r="L115" s="506"/>
      <c r="M115" s="507"/>
      <c r="N115" s="467"/>
    </row>
    <row r="116" spans="1:14" s="45" customFormat="1" ht="16.5">
      <c r="A116" s="363"/>
      <c r="B116" s="21"/>
      <c r="C116" s="409" t="s">
        <v>19</v>
      </c>
      <c r="D116" s="56"/>
      <c r="E116" s="505"/>
      <c r="F116" s="505"/>
      <c r="G116" s="506"/>
      <c r="H116" s="506"/>
      <c r="I116" s="506"/>
      <c r="J116" s="506"/>
      <c r="K116" s="506"/>
      <c r="L116" s="506"/>
      <c r="M116" s="507"/>
      <c r="N116" s="467"/>
    </row>
    <row r="117" spans="1:14" s="45" customFormat="1" ht="16.5">
      <c r="A117" s="154"/>
      <c r="B117" s="56"/>
      <c r="C117" s="21" t="s">
        <v>190</v>
      </c>
      <c r="D117" s="56"/>
      <c r="E117" s="505"/>
      <c r="F117" s="410" t="s">
        <v>554</v>
      </c>
      <c r="G117" s="506"/>
      <c r="H117" s="506"/>
      <c r="I117" s="506"/>
      <c r="J117" s="506"/>
      <c r="K117" s="506"/>
      <c r="L117" s="506"/>
      <c r="M117" s="507"/>
      <c r="N117" s="467"/>
    </row>
    <row r="118" spans="1:14" s="45" customFormat="1" ht="16.5">
      <c r="A118" s="133"/>
      <c r="B118" s="134"/>
      <c r="C118" s="134" t="s">
        <v>191</v>
      </c>
      <c r="D118" s="134"/>
      <c r="E118" s="508"/>
      <c r="F118" s="508"/>
      <c r="G118" s="509"/>
      <c r="H118" s="509"/>
      <c r="I118" s="509"/>
      <c r="J118" s="509"/>
      <c r="K118" s="509"/>
      <c r="L118" s="509"/>
      <c r="M118" s="509"/>
      <c r="N118" s="467"/>
    </row>
    <row r="119" spans="1:14" s="45" customFormat="1" ht="16.5">
      <c r="A119" s="135"/>
      <c r="B119" s="135"/>
      <c r="C119" s="136" t="s">
        <v>192</v>
      </c>
      <c r="D119" s="136"/>
      <c r="E119" s="510"/>
      <c r="F119" s="510"/>
      <c r="G119" s="511"/>
      <c r="H119" s="512"/>
      <c r="I119" s="511"/>
      <c r="J119" s="512"/>
      <c r="K119" s="513"/>
      <c r="L119" s="512"/>
      <c r="M119" s="512"/>
      <c r="N119" s="467"/>
    </row>
    <row r="120" spans="1:14" s="45" customFormat="1" ht="27">
      <c r="A120" s="625" t="s">
        <v>57</v>
      </c>
      <c r="B120" s="34" t="s">
        <v>74</v>
      </c>
      <c r="C120" s="154" t="s">
        <v>193</v>
      </c>
      <c r="D120" s="363" t="s">
        <v>75</v>
      </c>
      <c r="E120" s="270"/>
      <c r="F120" s="7">
        <f>F123</f>
        <v>6</v>
      </c>
      <c r="G120" s="271"/>
      <c r="H120" s="271"/>
      <c r="I120" s="271"/>
      <c r="J120" s="271"/>
      <c r="K120" s="271"/>
      <c r="L120" s="271"/>
      <c r="M120" s="271"/>
      <c r="N120" s="467"/>
    </row>
    <row r="121" spans="1:14" s="45" customFormat="1" ht="16.5">
      <c r="A121" s="625"/>
      <c r="B121" s="36"/>
      <c r="C121" s="514" t="s">
        <v>76</v>
      </c>
      <c r="D121" s="36" t="s">
        <v>77</v>
      </c>
      <c r="E121" s="172">
        <v>1</v>
      </c>
      <c r="F121" s="172">
        <f>F120*E121</f>
        <v>6</v>
      </c>
      <c r="G121" s="64"/>
      <c r="H121" s="271"/>
      <c r="I121" s="64"/>
      <c r="J121" s="271"/>
      <c r="K121" s="65"/>
      <c r="L121" s="271"/>
      <c r="M121" s="271"/>
      <c r="N121" s="467"/>
    </row>
    <row r="122" spans="1:14" s="45" customFormat="1" ht="16.5">
      <c r="A122" s="625"/>
      <c r="B122" s="36"/>
      <c r="C122" s="514" t="s">
        <v>7</v>
      </c>
      <c r="D122" s="36" t="s">
        <v>6</v>
      </c>
      <c r="E122" s="172">
        <v>1.1599999999999999</v>
      </c>
      <c r="F122" s="172">
        <f>F120*E122</f>
        <v>6.9599999999999991</v>
      </c>
      <c r="G122" s="64"/>
      <c r="H122" s="271"/>
      <c r="I122" s="64"/>
      <c r="J122" s="271"/>
      <c r="K122" s="65"/>
      <c r="L122" s="271"/>
      <c r="M122" s="271"/>
      <c r="N122" s="467"/>
    </row>
    <row r="123" spans="1:14" s="45" customFormat="1" ht="40.5">
      <c r="A123" s="625"/>
      <c r="B123" s="363"/>
      <c r="C123" s="66" t="s">
        <v>500</v>
      </c>
      <c r="D123" s="363" t="s">
        <v>78</v>
      </c>
      <c r="E123" s="270"/>
      <c r="F123" s="270">
        <f>F90</f>
        <v>6</v>
      </c>
      <c r="G123" s="271"/>
      <c r="H123" s="271"/>
      <c r="I123" s="64"/>
      <c r="J123" s="271"/>
      <c r="K123" s="271"/>
      <c r="L123" s="271"/>
      <c r="M123" s="271"/>
      <c r="N123" s="539" t="s">
        <v>469</v>
      </c>
    </row>
    <row r="124" spans="1:14" s="45" customFormat="1" ht="16.5">
      <c r="A124" s="625"/>
      <c r="B124" s="363"/>
      <c r="C124" s="66" t="s">
        <v>56</v>
      </c>
      <c r="D124" s="363" t="s">
        <v>6</v>
      </c>
      <c r="E124" s="270">
        <v>0.05</v>
      </c>
      <c r="F124" s="270">
        <f>F120*E124</f>
        <v>0.30000000000000004</v>
      </c>
      <c r="G124" s="271"/>
      <c r="H124" s="271"/>
      <c r="I124" s="64"/>
      <c r="J124" s="271"/>
      <c r="K124" s="271"/>
      <c r="L124" s="271"/>
      <c r="M124" s="271"/>
      <c r="N124" s="467"/>
    </row>
    <row r="125" spans="1:14" s="45" customFormat="1" ht="16.5">
      <c r="A125" s="626" t="s">
        <v>91</v>
      </c>
      <c r="B125" s="154" t="s">
        <v>100</v>
      </c>
      <c r="C125" s="515" t="s">
        <v>194</v>
      </c>
      <c r="D125" s="363" t="s">
        <v>101</v>
      </c>
      <c r="E125" s="270"/>
      <c r="F125" s="7">
        <f>F127+F128</f>
        <v>140</v>
      </c>
      <c r="G125" s="516"/>
      <c r="H125" s="63"/>
      <c r="I125" s="516"/>
      <c r="J125" s="271"/>
      <c r="K125" s="271"/>
      <c r="L125" s="271"/>
      <c r="M125" s="271"/>
      <c r="N125" s="467"/>
    </row>
    <row r="126" spans="1:14" s="45" customFormat="1" ht="16.5">
      <c r="A126" s="636"/>
      <c r="B126" s="363"/>
      <c r="C126" s="66" t="s">
        <v>62</v>
      </c>
      <c r="D126" s="363" t="s">
        <v>20</v>
      </c>
      <c r="E126" s="270">
        <v>0.13900000000000001</v>
      </c>
      <c r="F126" s="270">
        <f>F125*E126</f>
        <v>19.46</v>
      </c>
      <c r="G126" s="271"/>
      <c r="H126" s="63"/>
      <c r="I126" s="271"/>
      <c r="J126" s="271"/>
      <c r="K126" s="271"/>
      <c r="L126" s="271"/>
      <c r="M126" s="271"/>
      <c r="N126" s="467"/>
    </row>
    <row r="127" spans="1:14" s="45" customFormat="1" ht="16.5">
      <c r="A127" s="636"/>
      <c r="B127" s="363"/>
      <c r="C127" s="66" t="s">
        <v>501</v>
      </c>
      <c r="D127" s="363" t="s">
        <v>50</v>
      </c>
      <c r="E127" s="270"/>
      <c r="F127" s="270">
        <v>120</v>
      </c>
      <c r="G127" s="271"/>
      <c r="H127" s="271"/>
      <c r="I127" s="64"/>
      <c r="J127" s="271"/>
      <c r="K127" s="271"/>
      <c r="L127" s="271"/>
      <c r="M127" s="271"/>
      <c r="N127" s="467"/>
    </row>
    <row r="128" spans="1:14" s="45" customFormat="1" ht="16.5">
      <c r="A128" s="636"/>
      <c r="B128" s="363"/>
      <c r="C128" s="66" t="s">
        <v>502</v>
      </c>
      <c r="D128" s="363" t="s">
        <v>50</v>
      </c>
      <c r="E128" s="270"/>
      <c r="F128" s="270">
        <v>20</v>
      </c>
      <c r="G128" s="271"/>
      <c r="H128" s="271"/>
      <c r="I128" s="64"/>
      <c r="J128" s="271"/>
      <c r="K128" s="271"/>
      <c r="L128" s="271"/>
      <c r="M128" s="271"/>
      <c r="N128" s="467"/>
    </row>
    <row r="129" spans="1:14" s="45" customFormat="1" ht="16.5">
      <c r="A129" s="627"/>
      <c r="B129" s="363"/>
      <c r="C129" s="66" t="s">
        <v>102</v>
      </c>
      <c r="D129" s="363" t="s">
        <v>21</v>
      </c>
      <c r="E129" s="270">
        <v>9.7000000000000003E-3</v>
      </c>
      <c r="F129" s="172">
        <f>F125*E129</f>
        <v>1.3580000000000001</v>
      </c>
      <c r="G129" s="271"/>
      <c r="H129" s="63"/>
      <c r="I129" s="64"/>
      <c r="J129" s="271"/>
      <c r="K129" s="271"/>
      <c r="L129" s="271"/>
      <c r="M129" s="271"/>
      <c r="N129" s="467"/>
    </row>
    <row r="130" spans="1:14" s="45" customFormat="1" ht="16.5">
      <c r="A130" s="363"/>
      <c r="B130" s="363"/>
      <c r="C130" s="66"/>
      <c r="D130" s="363"/>
      <c r="E130" s="270"/>
      <c r="F130" s="270"/>
      <c r="G130" s="271"/>
      <c r="H130" s="271"/>
      <c r="I130" s="64"/>
      <c r="J130" s="271"/>
      <c r="K130" s="271"/>
      <c r="L130" s="271"/>
      <c r="M130" s="271"/>
      <c r="N130" s="467"/>
    </row>
    <row r="131" spans="1:14" s="45" customFormat="1" ht="16.5">
      <c r="A131" s="662" t="s">
        <v>79</v>
      </c>
      <c r="B131" s="154" t="s">
        <v>195</v>
      </c>
      <c r="C131" s="50" t="s">
        <v>196</v>
      </c>
      <c r="D131" s="363"/>
      <c r="E131" s="270"/>
      <c r="F131" s="172" t="s">
        <v>98</v>
      </c>
      <c r="G131" s="271"/>
      <c r="H131" s="63"/>
      <c r="I131" s="64"/>
      <c r="J131" s="271"/>
      <c r="K131" s="271"/>
      <c r="L131" s="271"/>
      <c r="M131" s="271"/>
      <c r="N131" s="467"/>
    </row>
    <row r="132" spans="1:14" s="45" customFormat="1" ht="16.5">
      <c r="A132" s="663"/>
      <c r="B132" s="363"/>
      <c r="C132" s="66" t="s">
        <v>62</v>
      </c>
      <c r="D132" s="363" t="s">
        <v>20</v>
      </c>
      <c r="E132" s="270">
        <v>7.05</v>
      </c>
      <c r="F132" s="270">
        <f>F131*E132</f>
        <v>7.05</v>
      </c>
      <c r="G132" s="271"/>
      <c r="H132" s="63"/>
      <c r="I132" s="271"/>
      <c r="J132" s="63"/>
      <c r="K132" s="271"/>
      <c r="L132" s="63"/>
      <c r="M132" s="271"/>
      <c r="N132" s="467"/>
    </row>
    <row r="133" spans="1:14" s="45" customFormat="1" ht="26.25">
      <c r="A133" s="663"/>
      <c r="B133" s="439"/>
      <c r="C133" s="66" t="s">
        <v>250</v>
      </c>
      <c r="D133" s="363" t="s">
        <v>58</v>
      </c>
      <c r="E133" s="270"/>
      <c r="F133" s="172" t="s">
        <v>98</v>
      </c>
      <c r="G133" s="271"/>
      <c r="H133" s="271"/>
      <c r="I133" s="64"/>
      <c r="J133" s="271"/>
      <c r="K133" s="271"/>
      <c r="L133" s="271"/>
      <c r="M133" s="271"/>
      <c r="N133" s="467"/>
    </row>
    <row r="134" spans="1:14" s="45" customFormat="1" ht="16.5">
      <c r="A134" s="663"/>
      <c r="B134" s="439"/>
      <c r="C134" s="66" t="s">
        <v>252</v>
      </c>
      <c r="D134" s="363" t="s">
        <v>58</v>
      </c>
      <c r="E134" s="270"/>
      <c r="F134" s="172">
        <v>6</v>
      </c>
      <c r="G134" s="271"/>
      <c r="H134" s="271"/>
      <c r="I134" s="64"/>
      <c r="J134" s="271"/>
      <c r="K134" s="271"/>
      <c r="L134" s="271"/>
      <c r="M134" s="271"/>
      <c r="N134" s="467"/>
    </row>
    <row r="135" spans="1:14" s="45" customFormat="1" ht="27">
      <c r="A135" s="663"/>
      <c r="B135" s="363"/>
      <c r="C135" s="66" t="s">
        <v>520</v>
      </c>
      <c r="D135" s="363" t="s">
        <v>58</v>
      </c>
      <c r="E135" s="270"/>
      <c r="F135" s="172">
        <v>1</v>
      </c>
      <c r="G135" s="271"/>
      <c r="H135" s="271"/>
      <c r="I135" s="64"/>
      <c r="J135" s="271"/>
      <c r="K135" s="271"/>
      <c r="L135" s="271"/>
      <c r="M135" s="271"/>
      <c r="N135" s="467"/>
    </row>
    <row r="136" spans="1:14" s="45" customFormat="1" ht="27">
      <c r="A136" s="663"/>
      <c r="B136" s="363"/>
      <c r="C136" s="66" t="s">
        <v>519</v>
      </c>
      <c r="D136" s="363" t="s">
        <v>58</v>
      </c>
      <c r="E136" s="270"/>
      <c r="F136" s="172">
        <v>6</v>
      </c>
      <c r="G136" s="271"/>
      <c r="H136" s="271"/>
      <c r="I136" s="64"/>
      <c r="J136" s="271"/>
      <c r="K136" s="271"/>
      <c r="L136" s="271"/>
      <c r="M136" s="271"/>
      <c r="N136" s="467"/>
    </row>
    <row r="137" spans="1:14" s="45" customFormat="1" ht="16.5">
      <c r="A137" s="663"/>
      <c r="B137" s="363"/>
      <c r="C137" s="66" t="s">
        <v>518</v>
      </c>
      <c r="D137" s="363" t="s">
        <v>58</v>
      </c>
      <c r="E137" s="270"/>
      <c r="F137" s="172">
        <v>1</v>
      </c>
      <c r="G137" s="271"/>
      <c r="H137" s="271"/>
      <c r="I137" s="64"/>
      <c r="J137" s="271"/>
      <c r="K137" s="271"/>
      <c r="L137" s="271"/>
      <c r="M137" s="271"/>
      <c r="N137" s="467"/>
    </row>
    <row r="138" spans="1:14" s="45" customFormat="1" ht="16.5">
      <c r="A138" s="663"/>
      <c r="B138" s="363"/>
      <c r="C138" s="66" t="s">
        <v>251</v>
      </c>
      <c r="D138" s="363" t="s">
        <v>58</v>
      </c>
      <c r="E138" s="270"/>
      <c r="F138" s="172">
        <v>1</v>
      </c>
      <c r="G138" s="271"/>
      <c r="H138" s="271"/>
      <c r="I138" s="64"/>
      <c r="J138" s="271"/>
      <c r="K138" s="271"/>
      <c r="L138" s="271"/>
      <c r="M138" s="271"/>
      <c r="N138" s="467"/>
    </row>
    <row r="139" spans="1:14" s="45" customFormat="1" ht="16.5">
      <c r="A139" s="663"/>
      <c r="B139" s="363"/>
      <c r="C139" s="66" t="s">
        <v>197</v>
      </c>
      <c r="D139" s="363" t="s">
        <v>58</v>
      </c>
      <c r="E139" s="270"/>
      <c r="F139" s="172">
        <v>1</v>
      </c>
      <c r="G139" s="271"/>
      <c r="H139" s="271"/>
      <c r="I139" s="64"/>
      <c r="J139" s="271"/>
      <c r="K139" s="271"/>
      <c r="L139" s="271"/>
      <c r="M139" s="271"/>
      <c r="N139" s="467"/>
    </row>
    <row r="140" spans="1:14" s="45" customFormat="1" ht="16.5">
      <c r="A140" s="664"/>
      <c r="B140" s="363"/>
      <c r="C140" s="66" t="s">
        <v>230</v>
      </c>
      <c r="D140" s="363" t="s">
        <v>58</v>
      </c>
      <c r="E140" s="270"/>
      <c r="F140" s="172">
        <v>1</v>
      </c>
      <c r="G140" s="271"/>
      <c r="H140" s="271"/>
      <c r="I140" s="64"/>
      <c r="J140" s="271"/>
      <c r="K140" s="271"/>
      <c r="L140" s="271"/>
      <c r="M140" s="271"/>
      <c r="N140" s="467"/>
    </row>
    <row r="141" spans="1:14" s="45" customFormat="1" ht="16.5">
      <c r="A141" s="363" t="s">
        <v>93</v>
      </c>
      <c r="B141" s="363"/>
      <c r="C141" s="55" t="s">
        <v>80</v>
      </c>
      <c r="D141" s="363"/>
      <c r="E141" s="517"/>
      <c r="F141" s="517"/>
      <c r="G141" s="518"/>
      <c r="H141" s="518"/>
      <c r="I141" s="519"/>
      <c r="J141" s="518"/>
      <c r="K141" s="518"/>
      <c r="L141" s="518"/>
      <c r="M141" s="271"/>
      <c r="N141" s="467"/>
    </row>
    <row r="142" spans="1:14" s="45" customFormat="1" ht="40.5">
      <c r="A142" s="659" t="s">
        <v>144</v>
      </c>
      <c r="B142" s="22" t="s">
        <v>81</v>
      </c>
      <c r="C142" s="431" t="s">
        <v>233</v>
      </c>
      <c r="D142" s="39" t="s">
        <v>58</v>
      </c>
      <c r="E142" s="173"/>
      <c r="F142" s="391">
        <f>F145</f>
        <v>6</v>
      </c>
      <c r="G142" s="385"/>
      <c r="H142" s="520"/>
      <c r="I142" s="520"/>
      <c r="J142" s="520"/>
      <c r="K142" s="520"/>
      <c r="L142" s="520"/>
      <c r="M142" s="271"/>
      <c r="N142" s="467"/>
    </row>
    <row r="143" spans="1:14" s="45" customFormat="1" ht="16.5">
      <c r="A143" s="660"/>
      <c r="B143" s="189"/>
      <c r="C143" s="108" t="s">
        <v>42</v>
      </c>
      <c r="D143" s="39" t="s">
        <v>8</v>
      </c>
      <c r="E143" s="174">
        <v>0.9</v>
      </c>
      <c r="F143" s="24">
        <f>E143*F142</f>
        <v>5.4</v>
      </c>
      <c r="G143" s="385"/>
      <c r="H143" s="520"/>
      <c r="I143" s="520"/>
      <c r="J143" s="520"/>
      <c r="K143" s="520"/>
      <c r="L143" s="520"/>
      <c r="M143" s="271"/>
      <c r="N143" s="467"/>
    </row>
    <row r="144" spans="1:14" s="45" customFormat="1" ht="16.5">
      <c r="A144" s="660"/>
      <c r="B144" s="189"/>
      <c r="C144" s="137" t="s">
        <v>7</v>
      </c>
      <c r="D144" s="39" t="s">
        <v>6</v>
      </c>
      <c r="E144" s="174">
        <v>7.0000000000000007E-2</v>
      </c>
      <c r="F144" s="174">
        <f>E144*F142</f>
        <v>0.42000000000000004</v>
      </c>
      <c r="G144" s="385"/>
      <c r="H144" s="520"/>
      <c r="I144" s="520"/>
      <c r="J144" s="520"/>
      <c r="K144" s="520"/>
      <c r="L144" s="520"/>
      <c r="M144" s="271"/>
      <c r="N144" s="467"/>
    </row>
    <row r="145" spans="1:14" s="45" customFormat="1" ht="26.25">
      <c r="A145" s="660"/>
      <c r="B145" s="40"/>
      <c r="C145" s="137" t="s">
        <v>503</v>
      </c>
      <c r="D145" s="41" t="s">
        <v>58</v>
      </c>
      <c r="E145" s="175"/>
      <c r="F145" s="24">
        <v>6</v>
      </c>
      <c r="G145" s="385"/>
      <c r="H145" s="520"/>
      <c r="I145" s="520"/>
      <c r="J145" s="520"/>
      <c r="K145" s="520"/>
      <c r="L145" s="520"/>
      <c r="M145" s="271"/>
      <c r="N145" s="467"/>
    </row>
    <row r="146" spans="1:14" s="45" customFormat="1" ht="16.5">
      <c r="A146" s="661"/>
      <c r="B146" s="189"/>
      <c r="C146" s="108" t="s">
        <v>9</v>
      </c>
      <c r="D146" s="39" t="s">
        <v>6</v>
      </c>
      <c r="E146" s="174">
        <v>0.14000000000000001</v>
      </c>
      <c r="F146" s="24">
        <f>E146*F142</f>
        <v>0.84000000000000008</v>
      </c>
      <c r="G146" s="385"/>
      <c r="H146" s="520"/>
      <c r="I146" s="385"/>
      <c r="J146" s="520"/>
      <c r="K146" s="385"/>
      <c r="L146" s="520"/>
      <c r="M146" s="271"/>
      <c r="N146" s="467"/>
    </row>
    <row r="147" spans="1:14" s="45" customFormat="1" ht="40.5">
      <c r="A147" s="659" t="s">
        <v>146</v>
      </c>
      <c r="B147" s="22" t="s">
        <v>231</v>
      </c>
      <c r="C147" s="431" t="s">
        <v>232</v>
      </c>
      <c r="D147" s="41" t="s">
        <v>50</v>
      </c>
      <c r="E147" s="173"/>
      <c r="F147" s="391">
        <f>F150</f>
        <v>10</v>
      </c>
      <c r="G147" s="385"/>
      <c r="H147" s="520"/>
      <c r="I147" s="520"/>
      <c r="J147" s="520"/>
      <c r="K147" s="520"/>
      <c r="L147" s="520"/>
      <c r="M147" s="271"/>
      <c r="N147" s="467"/>
    </row>
    <row r="148" spans="1:14" s="45" customFormat="1" ht="16.5">
      <c r="A148" s="660"/>
      <c r="B148" s="189"/>
      <c r="C148" s="108" t="s">
        <v>42</v>
      </c>
      <c r="D148" s="39" t="s">
        <v>8</v>
      </c>
      <c r="E148" s="174">
        <v>0.26</v>
      </c>
      <c r="F148" s="24">
        <f>E148*F147</f>
        <v>2.6</v>
      </c>
      <c r="G148" s="385"/>
      <c r="H148" s="520"/>
      <c r="I148" s="520"/>
      <c r="J148" s="520"/>
      <c r="K148" s="520"/>
      <c r="L148" s="520"/>
      <c r="M148" s="271"/>
      <c r="N148" s="467"/>
    </row>
    <row r="149" spans="1:14" s="45" customFormat="1" ht="16.5">
      <c r="A149" s="660"/>
      <c r="B149" s="189"/>
      <c r="C149" s="137" t="s">
        <v>7</v>
      </c>
      <c r="D149" s="39" t="s">
        <v>6</v>
      </c>
      <c r="E149" s="174">
        <v>1.6E-2</v>
      </c>
      <c r="F149" s="174">
        <f>E149*F147</f>
        <v>0.16</v>
      </c>
      <c r="G149" s="385"/>
      <c r="H149" s="520"/>
      <c r="I149" s="520"/>
      <c r="J149" s="520"/>
      <c r="K149" s="520"/>
      <c r="L149" s="520"/>
      <c r="M149" s="271"/>
      <c r="N149" s="467"/>
    </row>
    <row r="150" spans="1:14" s="45" customFormat="1" ht="16.5">
      <c r="A150" s="660"/>
      <c r="B150" s="40"/>
      <c r="C150" s="137" t="s">
        <v>504</v>
      </c>
      <c r="D150" s="41" t="s">
        <v>50</v>
      </c>
      <c r="E150" s="175"/>
      <c r="F150" s="391">
        <v>10</v>
      </c>
      <c r="G150" s="385"/>
      <c r="H150" s="520"/>
      <c r="I150" s="520"/>
      <c r="J150" s="520"/>
      <c r="K150" s="520"/>
      <c r="L150" s="520"/>
      <c r="M150" s="271"/>
      <c r="N150" s="467"/>
    </row>
    <row r="151" spans="1:14" s="45" customFormat="1" ht="16.5">
      <c r="A151" s="661"/>
      <c r="B151" s="189"/>
      <c r="C151" s="108" t="s">
        <v>9</v>
      </c>
      <c r="D151" s="39" t="s">
        <v>6</v>
      </c>
      <c r="E151" s="174">
        <v>0.35299999999999998</v>
      </c>
      <c r="F151" s="24">
        <f>E151*F147</f>
        <v>3.53</v>
      </c>
      <c r="G151" s="385"/>
      <c r="H151" s="520"/>
      <c r="I151" s="385"/>
      <c r="J151" s="520"/>
      <c r="K151" s="385"/>
      <c r="L151" s="520"/>
      <c r="M151" s="271"/>
      <c r="N151" s="467"/>
    </row>
    <row r="152" spans="1:14" s="45" customFormat="1" ht="16.5">
      <c r="A152" s="189"/>
      <c r="B152" s="189"/>
      <c r="C152" s="108"/>
      <c r="D152" s="39"/>
      <c r="E152" s="174"/>
      <c r="F152" s="24"/>
      <c r="G152" s="385"/>
      <c r="H152" s="520"/>
      <c r="I152" s="385"/>
      <c r="J152" s="520"/>
      <c r="K152" s="385"/>
      <c r="L152" s="520"/>
      <c r="M152" s="520"/>
      <c r="N152" s="467"/>
    </row>
    <row r="153" spans="1:14" s="45" customFormat="1" ht="16.5">
      <c r="A153" s="137"/>
      <c r="B153" s="40"/>
      <c r="C153" s="137"/>
      <c r="D153" s="41"/>
      <c r="E153" s="175"/>
      <c r="F153" s="24"/>
      <c r="G153" s="385"/>
      <c r="H153" s="520"/>
      <c r="I153" s="520"/>
      <c r="J153" s="520"/>
      <c r="K153" s="520"/>
      <c r="L153" s="520"/>
      <c r="M153" s="520"/>
      <c r="N153" s="467"/>
    </row>
    <row r="154" spans="1:14" s="45" customFormat="1" ht="16.5">
      <c r="A154" s="55"/>
      <c r="B154" s="55"/>
      <c r="C154" s="55" t="s">
        <v>467</v>
      </c>
      <c r="D154" s="55"/>
      <c r="E154" s="341"/>
      <c r="F154" s="341"/>
      <c r="G154" s="503"/>
      <c r="H154" s="503"/>
      <c r="I154" s="503"/>
      <c r="J154" s="503"/>
      <c r="K154" s="503"/>
      <c r="L154" s="503"/>
      <c r="M154" s="503"/>
      <c r="N154" s="541">
        <f>H154+J154+L154</f>
        <v>0</v>
      </c>
    </row>
    <row r="155" spans="1:14" s="45" customFormat="1" ht="40.5">
      <c r="A155" s="363"/>
      <c r="B155" s="21"/>
      <c r="C155" s="21" t="s">
        <v>173</v>
      </c>
      <c r="D155" s="56"/>
      <c r="E155" s="505"/>
      <c r="F155" s="406" t="s">
        <v>554</v>
      </c>
      <c r="G155" s="506"/>
      <c r="H155" s="506"/>
      <c r="I155" s="506"/>
      <c r="J155" s="506"/>
      <c r="K155" s="506"/>
      <c r="L155" s="506"/>
      <c r="M155" s="507"/>
      <c r="N155" s="467"/>
    </row>
    <row r="156" spans="1:14" s="45" customFormat="1" ht="16.5">
      <c r="A156" s="363"/>
      <c r="B156" s="21"/>
      <c r="C156" s="409" t="s">
        <v>19</v>
      </c>
      <c r="D156" s="56"/>
      <c r="E156" s="505"/>
      <c r="F156" s="505"/>
      <c r="G156" s="506"/>
      <c r="H156" s="506"/>
      <c r="I156" s="506"/>
      <c r="J156" s="506"/>
      <c r="K156" s="506"/>
      <c r="L156" s="506"/>
      <c r="M156" s="506"/>
      <c r="N156" s="467"/>
    </row>
    <row r="157" spans="1:14" s="45" customFormat="1" ht="40.5">
      <c r="A157" s="363"/>
      <c r="B157" s="363"/>
      <c r="C157" s="363" t="s">
        <v>198</v>
      </c>
      <c r="D157" s="154"/>
      <c r="E157" s="270"/>
      <c r="F157" s="521" t="s">
        <v>554</v>
      </c>
      <c r="G157" s="271"/>
      <c r="H157" s="271"/>
      <c r="I157" s="271"/>
      <c r="J157" s="271"/>
      <c r="K157" s="271"/>
      <c r="L157" s="271"/>
      <c r="M157" s="271"/>
      <c r="N157" s="467"/>
    </row>
    <row r="158" spans="1:14" s="45" customFormat="1" ht="16.5">
      <c r="A158" s="55"/>
      <c r="B158" s="55"/>
      <c r="C158" s="55" t="s">
        <v>199</v>
      </c>
      <c r="D158" s="55"/>
      <c r="E158" s="341"/>
      <c r="F158" s="341"/>
      <c r="G158" s="503"/>
      <c r="H158" s="503"/>
      <c r="I158" s="503"/>
      <c r="J158" s="503"/>
      <c r="K158" s="503"/>
      <c r="L158" s="503"/>
      <c r="M158" s="503"/>
      <c r="N158" s="467"/>
    </row>
    <row r="159" spans="1:14" s="45" customFormat="1" ht="16.5">
      <c r="A159" s="236"/>
      <c r="B159" s="237"/>
      <c r="C159" s="237" t="s">
        <v>200</v>
      </c>
      <c r="D159" s="237"/>
      <c r="E159" s="238"/>
      <c r="F159" s="238"/>
      <c r="G159" s="405"/>
      <c r="H159" s="405"/>
      <c r="I159" s="405"/>
      <c r="J159" s="405"/>
      <c r="K159" s="405"/>
      <c r="L159" s="405"/>
      <c r="M159" s="405"/>
      <c r="N159" s="467"/>
    </row>
    <row r="160" spans="1:14" s="45" customFormat="1" ht="27">
      <c r="A160" s="363"/>
      <c r="B160" s="363"/>
      <c r="C160" s="363" t="s">
        <v>257</v>
      </c>
      <c r="D160" s="154"/>
      <c r="E160" s="270"/>
      <c r="F160" s="521" t="s">
        <v>554</v>
      </c>
      <c r="G160" s="271"/>
      <c r="H160" s="271"/>
      <c r="I160" s="271"/>
      <c r="J160" s="271"/>
      <c r="K160" s="271"/>
      <c r="L160" s="271"/>
      <c r="M160" s="271"/>
      <c r="N160" s="467"/>
    </row>
    <row r="161" spans="1:14" s="45" customFormat="1" ht="16.5">
      <c r="A161" s="236"/>
      <c r="B161" s="237"/>
      <c r="C161" s="237" t="s">
        <v>466</v>
      </c>
      <c r="D161" s="237"/>
      <c r="E161" s="238"/>
      <c r="F161" s="238"/>
      <c r="G161" s="405"/>
      <c r="H161" s="405"/>
      <c r="I161" s="405"/>
      <c r="J161" s="405" t="s">
        <v>30</v>
      </c>
      <c r="K161" s="405"/>
      <c r="L161" s="405"/>
      <c r="M161" s="417"/>
      <c r="N161" s="467"/>
    </row>
    <row r="162" spans="1:14" s="45" customFormat="1" ht="16.5">
      <c r="A162" s="197"/>
      <c r="B162" s="17"/>
      <c r="C162" s="17"/>
      <c r="D162" s="17"/>
      <c r="E162" s="157"/>
      <c r="F162" s="157"/>
      <c r="G162" s="522"/>
      <c r="H162" s="522"/>
      <c r="I162" s="522"/>
      <c r="J162" s="522"/>
      <c r="K162" s="522"/>
      <c r="L162" s="522"/>
      <c r="M162" s="420"/>
      <c r="N162" s="467"/>
    </row>
    <row r="163" spans="1:14" s="45" customFormat="1" ht="54">
      <c r="A163" s="283" t="s">
        <v>337</v>
      </c>
      <c r="B163" s="283"/>
      <c r="C163" s="283" t="s">
        <v>338</v>
      </c>
      <c r="D163" s="283"/>
      <c r="E163" s="371"/>
      <c r="F163" s="286"/>
      <c r="G163" s="371"/>
      <c r="H163" s="286"/>
      <c r="I163" s="371"/>
      <c r="J163" s="286"/>
      <c r="K163" s="371"/>
      <c r="L163" s="286"/>
      <c r="M163" s="371"/>
      <c r="N163" s="467"/>
    </row>
    <row r="164" spans="1:14" s="45" customFormat="1" ht="16.5">
      <c r="A164" s="121"/>
      <c r="B164" s="121"/>
      <c r="C164" s="122" t="s">
        <v>175</v>
      </c>
      <c r="D164" s="122"/>
      <c r="E164" s="486"/>
      <c r="F164" s="486"/>
      <c r="G164" s="64"/>
      <c r="H164" s="271"/>
      <c r="I164" s="64"/>
      <c r="J164" s="271"/>
      <c r="K164" s="65"/>
      <c r="L164" s="271"/>
      <c r="M164" s="271"/>
      <c r="N164" s="467"/>
    </row>
    <row r="165" spans="1:14" s="45" customFormat="1" ht="27">
      <c r="A165" s="626"/>
      <c r="B165" s="626"/>
      <c r="C165" s="154" t="s">
        <v>249</v>
      </c>
      <c r="D165" s="154" t="s">
        <v>75</v>
      </c>
      <c r="E165" s="270"/>
      <c r="F165" s="7">
        <f>F166</f>
        <v>10</v>
      </c>
      <c r="G165" s="655"/>
      <c r="H165" s="655"/>
      <c r="I165" s="655"/>
      <c r="J165" s="655"/>
      <c r="K165" s="655"/>
      <c r="L165" s="655"/>
      <c r="M165" s="655"/>
      <c r="N165" s="467"/>
    </row>
    <row r="166" spans="1:14" s="45" customFormat="1" ht="16.5">
      <c r="A166" s="636"/>
      <c r="B166" s="636"/>
      <c r="C166" s="487" t="s">
        <v>310</v>
      </c>
      <c r="D166" s="154" t="s">
        <v>75</v>
      </c>
      <c r="E166" s="270"/>
      <c r="F166" s="7">
        <f>'7777'!G55</f>
        <v>10</v>
      </c>
      <c r="G166" s="656"/>
      <c r="H166" s="656"/>
      <c r="I166" s="656"/>
      <c r="J166" s="656"/>
      <c r="K166" s="656"/>
      <c r="L166" s="656"/>
      <c r="M166" s="656"/>
      <c r="N166" s="467"/>
    </row>
    <row r="167" spans="1:14" s="45" customFormat="1" ht="16.5">
      <c r="A167" s="657">
        <v>1</v>
      </c>
      <c r="B167" s="124" t="s">
        <v>228</v>
      </c>
      <c r="C167" s="402" t="s">
        <v>229</v>
      </c>
      <c r="D167" s="124" t="s">
        <v>88</v>
      </c>
      <c r="E167" s="171"/>
      <c r="F167" s="488">
        <f>170*0.25*0.7</f>
        <v>29.749999999999996</v>
      </c>
      <c r="G167" s="64"/>
      <c r="H167" s="271"/>
      <c r="I167" s="64"/>
      <c r="J167" s="271"/>
      <c r="K167" s="65"/>
      <c r="L167" s="271"/>
      <c r="M167" s="271"/>
      <c r="N167" s="467"/>
    </row>
    <row r="168" spans="1:14" s="45" customFormat="1" ht="16.5">
      <c r="A168" s="658"/>
      <c r="B168" s="125"/>
      <c r="C168" s="380" t="s">
        <v>76</v>
      </c>
      <c r="D168" s="125" t="s">
        <v>77</v>
      </c>
      <c r="E168" s="171">
        <v>2.06</v>
      </c>
      <c r="F168" s="171">
        <f>F167*E168</f>
        <v>61.284999999999997</v>
      </c>
      <c r="G168" s="64"/>
      <c r="H168" s="271"/>
      <c r="I168" s="64"/>
      <c r="J168" s="271"/>
      <c r="K168" s="65"/>
      <c r="L168" s="271"/>
      <c r="M168" s="271"/>
      <c r="N168" s="467"/>
    </row>
    <row r="169" spans="1:14" s="45" customFormat="1" ht="40.5">
      <c r="A169" s="674">
        <v>2</v>
      </c>
      <c r="B169" s="106" t="s">
        <v>36</v>
      </c>
      <c r="C169" s="489" t="s">
        <v>176</v>
      </c>
      <c r="D169" s="124" t="s">
        <v>88</v>
      </c>
      <c r="E169" s="103"/>
      <c r="F169" s="102">
        <f>0.4*0.4*0.8*F165</f>
        <v>1.2800000000000002</v>
      </c>
      <c r="G169" s="64"/>
      <c r="H169" s="271"/>
      <c r="I169" s="64"/>
      <c r="J169" s="271"/>
      <c r="K169" s="65"/>
      <c r="L169" s="271"/>
      <c r="M169" s="271"/>
      <c r="N169" s="467"/>
    </row>
    <row r="170" spans="1:14" s="45" customFormat="1" ht="16.5">
      <c r="A170" s="675"/>
      <c r="B170" s="105"/>
      <c r="C170" s="380" t="s">
        <v>76</v>
      </c>
      <c r="D170" s="105" t="s">
        <v>77</v>
      </c>
      <c r="E170" s="103">
        <v>3.88</v>
      </c>
      <c r="F170" s="103">
        <f>F169*E170</f>
        <v>4.966400000000001</v>
      </c>
      <c r="G170" s="64"/>
      <c r="H170" s="271"/>
      <c r="I170" s="64"/>
      <c r="J170" s="271"/>
      <c r="K170" s="65"/>
      <c r="L170" s="271"/>
      <c r="M170" s="271"/>
      <c r="N170" s="467"/>
    </row>
    <row r="171" spans="1:14" s="45" customFormat="1" ht="27">
      <c r="A171" s="665">
        <v>4</v>
      </c>
      <c r="B171" s="126" t="s">
        <v>68</v>
      </c>
      <c r="C171" s="490" t="s">
        <v>177</v>
      </c>
      <c r="D171" s="126" t="s">
        <v>178</v>
      </c>
      <c r="E171" s="491"/>
      <c r="F171" s="492">
        <f>170*0.25*0.25</f>
        <v>10.625</v>
      </c>
      <c r="G171" s="64"/>
      <c r="H171" s="271"/>
      <c r="I171" s="64"/>
      <c r="J171" s="271"/>
      <c r="K171" s="65"/>
      <c r="L171" s="271"/>
      <c r="M171" s="271"/>
      <c r="N171" s="467"/>
    </row>
    <row r="172" spans="1:14" s="45" customFormat="1" ht="16.5">
      <c r="A172" s="666"/>
      <c r="B172" s="127"/>
      <c r="C172" s="493" t="s">
        <v>76</v>
      </c>
      <c r="D172" s="127" t="s">
        <v>77</v>
      </c>
      <c r="E172" s="491">
        <v>1.8</v>
      </c>
      <c r="F172" s="491">
        <f>F171*E172</f>
        <v>19.125</v>
      </c>
      <c r="G172" s="64"/>
      <c r="H172" s="271"/>
      <c r="I172" s="64"/>
      <c r="J172" s="271"/>
      <c r="K172" s="65"/>
      <c r="L172" s="271"/>
      <c r="M172" s="271"/>
      <c r="N172" s="467"/>
    </row>
    <row r="173" spans="1:14" s="45" customFormat="1" ht="16.5">
      <c r="A173" s="667"/>
      <c r="B173" s="127"/>
      <c r="C173" s="493" t="s">
        <v>261</v>
      </c>
      <c r="D173" s="127" t="s">
        <v>178</v>
      </c>
      <c r="E173" s="491">
        <v>1.1000000000000001</v>
      </c>
      <c r="F173" s="491">
        <f>F171*E173</f>
        <v>11.687500000000002</v>
      </c>
      <c r="G173" s="64"/>
      <c r="H173" s="271"/>
      <c r="I173" s="64"/>
      <c r="J173" s="271"/>
      <c r="K173" s="65"/>
      <c r="L173" s="271"/>
      <c r="M173" s="271"/>
      <c r="N173" s="467"/>
    </row>
    <row r="174" spans="1:14" s="45" customFormat="1" ht="27">
      <c r="A174" s="657">
        <v>5</v>
      </c>
      <c r="B174" s="124" t="s">
        <v>69</v>
      </c>
      <c r="C174" s="494" t="s">
        <v>511</v>
      </c>
      <c r="D174" s="124" t="s">
        <v>179</v>
      </c>
      <c r="E174" s="171"/>
      <c r="F174" s="488">
        <f>170</f>
        <v>170</v>
      </c>
      <c r="G174" s="64"/>
      <c r="H174" s="271"/>
      <c r="I174" s="64"/>
      <c r="J174" s="271"/>
      <c r="K174" s="65"/>
      <c r="L174" s="271"/>
      <c r="M174" s="271"/>
      <c r="N174" s="467"/>
    </row>
    <row r="175" spans="1:14" s="45" customFormat="1" ht="16.5">
      <c r="A175" s="658"/>
      <c r="B175" s="125"/>
      <c r="C175" s="380" t="s">
        <v>76</v>
      </c>
      <c r="D175" s="125" t="s">
        <v>77</v>
      </c>
      <c r="E175" s="171">
        <v>0.105</v>
      </c>
      <c r="F175" s="171">
        <f>F174*E175</f>
        <v>17.849999999999998</v>
      </c>
      <c r="G175" s="64"/>
      <c r="H175" s="271"/>
      <c r="I175" s="64"/>
      <c r="J175" s="271"/>
      <c r="K175" s="65"/>
      <c r="L175" s="271"/>
      <c r="M175" s="271"/>
      <c r="N175" s="467"/>
    </row>
    <row r="176" spans="1:14" s="45" customFormat="1" ht="16.5">
      <c r="A176" s="658"/>
      <c r="B176" s="125"/>
      <c r="C176" s="380" t="s">
        <v>180</v>
      </c>
      <c r="D176" s="125" t="s">
        <v>21</v>
      </c>
      <c r="E176" s="171">
        <v>5.3800000000000001E-2</v>
      </c>
      <c r="F176" s="171">
        <f>F174*E176</f>
        <v>9.1460000000000008</v>
      </c>
      <c r="G176" s="64"/>
      <c r="H176" s="271"/>
      <c r="I176" s="64"/>
      <c r="J176" s="271"/>
      <c r="K176" s="65"/>
      <c r="L176" s="271"/>
      <c r="M176" s="271"/>
      <c r="N176" s="467"/>
    </row>
    <row r="177" spans="1:14" s="45" customFormat="1" ht="16.5">
      <c r="A177" s="658"/>
      <c r="B177" s="125"/>
      <c r="C177" s="495" t="s">
        <v>508</v>
      </c>
      <c r="D177" s="125" t="s">
        <v>179</v>
      </c>
      <c r="E177" s="171">
        <v>1.01</v>
      </c>
      <c r="F177" s="171">
        <f>F174*E177</f>
        <v>171.7</v>
      </c>
      <c r="G177" s="64"/>
      <c r="H177" s="271"/>
      <c r="I177" s="64"/>
      <c r="J177" s="271"/>
      <c r="K177" s="65"/>
      <c r="L177" s="271"/>
      <c r="M177" s="271"/>
      <c r="N177" s="467"/>
    </row>
    <row r="178" spans="1:14" s="45" customFormat="1" ht="16.5">
      <c r="A178" s="668"/>
      <c r="B178" s="125"/>
      <c r="C178" s="380" t="s">
        <v>108</v>
      </c>
      <c r="D178" s="125" t="s">
        <v>21</v>
      </c>
      <c r="E178" s="171">
        <v>1.1999999999999999E-3</v>
      </c>
      <c r="F178" s="171">
        <f>F174*E178</f>
        <v>0.20399999999999999</v>
      </c>
      <c r="G178" s="64"/>
      <c r="H178" s="271"/>
      <c r="I178" s="64"/>
      <c r="J178" s="271"/>
      <c r="K178" s="65"/>
      <c r="L178" s="271"/>
      <c r="M178" s="271"/>
      <c r="N178" s="467"/>
    </row>
    <row r="179" spans="1:14" s="45" customFormat="1" ht="27">
      <c r="A179" s="669">
        <v>6</v>
      </c>
      <c r="B179" s="81" t="s">
        <v>181</v>
      </c>
      <c r="C179" s="403" t="s">
        <v>182</v>
      </c>
      <c r="D179" s="81" t="s">
        <v>179</v>
      </c>
      <c r="E179" s="176"/>
      <c r="F179" s="176">
        <f>170</f>
        <v>170</v>
      </c>
      <c r="G179" s="64"/>
      <c r="H179" s="271"/>
      <c r="I179" s="64"/>
      <c r="J179" s="271"/>
      <c r="K179" s="65"/>
      <c r="L179" s="271"/>
      <c r="M179" s="271"/>
      <c r="N179" s="467"/>
    </row>
    <row r="180" spans="1:14" s="45" customFormat="1" ht="16.5">
      <c r="A180" s="670"/>
      <c r="B180" s="366"/>
      <c r="C180" s="387" t="s">
        <v>76</v>
      </c>
      <c r="D180" s="125" t="s">
        <v>77</v>
      </c>
      <c r="E180" s="177">
        <f>11/1000</f>
        <v>1.0999999999999999E-2</v>
      </c>
      <c r="F180" s="177">
        <f>F179*E180</f>
        <v>1.8699999999999999</v>
      </c>
      <c r="G180" s="64"/>
      <c r="H180" s="271"/>
      <c r="I180" s="64"/>
      <c r="J180" s="271"/>
      <c r="K180" s="65"/>
      <c r="L180" s="271"/>
      <c r="M180" s="271"/>
      <c r="N180" s="467"/>
    </row>
    <row r="181" spans="1:14" s="45" customFormat="1" ht="16.5">
      <c r="A181" s="671"/>
      <c r="B181" s="128"/>
      <c r="C181" s="496" t="s">
        <v>183</v>
      </c>
      <c r="D181" s="129" t="s">
        <v>179</v>
      </c>
      <c r="E181" s="497"/>
      <c r="F181" s="497">
        <f>F179</f>
        <v>170</v>
      </c>
      <c r="G181" s="64"/>
      <c r="H181" s="271"/>
      <c r="I181" s="64"/>
      <c r="J181" s="271"/>
      <c r="K181" s="65"/>
      <c r="L181" s="271"/>
      <c r="M181" s="271"/>
      <c r="N181" s="467"/>
    </row>
    <row r="182" spans="1:14" s="45" customFormat="1" ht="27">
      <c r="A182" s="672">
        <v>7</v>
      </c>
      <c r="B182" s="130" t="s">
        <v>71</v>
      </c>
      <c r="C182" s="498" t="s">
        <v>184</v>
      </c>
      <c r="D182" s="130" t="s">
        <v>178</v>
      </c>
      <c r="E182" s="172"/>
      <c r="F182" s="499">
        <f>170*0.25*(0.7-0.25)</f>
        <v>19.124999999999996</v>
      </c>
      <c r="G182" s="64"/>
      <c r="H182" s="271"/>
      <c r="I182" s="64"/>
      <c r="J182" s="271"/>
      <c r="K182" s="65"/>
      <c r="L182" s="271"/>
      <c r="M182" s="271"/>
      <c r="N182" s="467"/>
    </row>
    <row r="183" spans="1:14" s="45" customFormat="1" ht="16.5">
      <c r="A183" s="673"/>
      <c r="B183" s="36"/>
      <c r="C183" s="500" t="s">
        <v>76</v>
      </c>
      <c r="D183" s="36" t="s">
        <v>77</v>
      </c>
      <c r="E183" s="172">
        <v>1.21</v>
      </c>
      <c r="F183" s="172">
        <f>F182*E183</f>
        <v>23.141249999999996</v>
      </c>
      <c r="G183" s="64"/>
      <c r="H183" s="271"/>
      <c r="I183" s="64"/>
      <c r="J183" s="271"/>
      <c r="K183" s="65"/>
      <c r="L183" s="271"/>
      <c r="M183" s="271"/>
      <c r="N183" s="467"/>
    </row>
    <row r="184" spans="1:14" s="45" customFormat="1" ht="27">
      <c r="A184" s="657">
        <v>8</v>
      </c>
      <c r="B184" s="124" t="s">
        <v>72</v>
      </c>
      <c r="C184" s="402" t="s">
        <v>185</v>
      </c>
      <c r="D184" s="124" t="s">
        <v>178</v>
      </c>
      <c r="E184" s="171"/>
      <c r="F184" s="488">
        <f>0.4*0.4*(0.8)*F165</f>
        <v>1.2800000000000002</v>
      </c>
      <c r="G184" s="64"/>
      <c r="H184" s="271"/>
      <c r="I184" s="64"/>
      <c r="J184" s="271"/>
      <c r="K184" s="65"/>
      <c r="L184" s="271"/>
      <c r="M184" s="271"/>
      <c r="N184" s="467"/>
    </row>
    <row r="185" spans="1:14" s="45" customFormat="1" ht="16.5">
      <c r="A185" s="658"/>
      <c r="B185" s="125"/>
      <c r="C185" s="380" t="s">
        <v>76</v>
      </c>
      <c r="D185" s="125" t="s">
        <v>77</v>
      </c>
      <c r="E185" s="171">
        <v>1.37</v>
      </c>
      <c r="F185" s="171">
        <f>F184*E185</f>
        <v>1.7536000000000005</v>
      </c>
      <c r="G185" s="64"/>
      <c r="H185" s="271"/>
      <c r="I185" s="64"/>
      <c r="J185" s="271"/>
      <c r="K185" s="65"/>
      <c r="L185" s="271"/>
      <c r="M185" s="271"/>
      <c r="N185" s="467"/>
    </row>
    <row r="186" spans="1:14" s="45" customFormat="1" ht="16.5">
      <c r="A186" s="658"/>
      <c r="B186" s="125"/>
      <c r="C186" s="380" t="s">
        <v>180</v>
      </c>
      <c r="D186" s="125" t="s">
        <v>21</v>
      </c>
      <c r="E186" s="171">
        <v>0.28299999999999997</v>
      </c>
      <c r="F186" s="171">
        <f>F184*E186</f>
        <v>0.36224000000000006</v>
      </c>
      <c r="G186" s="64"/>
      <c r="H186" s="271"/>
      <c r="I186" s="64"/>
      <c r="J186" s="271"/>
      <c r="K186" s="65"/>
      <c r="L186" s="271"/>
      <c r="M186" s="271"/>
      <c r="N186" s="467"/>
    </row>
    <row r="187" spans="1:14" s="45" customFormat="1" ht="16.5">
      <c r="A187" s="658"/>
      <c r="B187" s="125"/>
      <c r="C187" s="380" t="s">
        <v>186</v>
      </c>
      <c r="D187" s="125" t="s">
        <v>178</v>
      </c>
      <c r="E187" s="171">
        <v>1.02</v>
      </c>
      <c r="F187" s="171">
        <f>F184*E187</f>
        <v>1.3056000000000003</v>
      </c>
      <c r="G187" s="64"/>
      <c r="H187" s="271"/>
      <c r="I187" s="64"/>
      <c r="J187" s="271"/>
      <c r="K187" s="65"/>
      <c r="L187" s="271"/>
      <c r="M187" s="271"/>
      <c r="N187" s="467"/>
    </row>
    <row r="188" spans="1:14" s="45" customFormat="1" ht="16.5">
      <c r="A188" s="658"/>
      <c r="B188" s="363"/>
      <c r="C188" s="66" t="s">
        <v>187</v>
      </c>
      <c r="D188" s="363" t="s">
        <v>188</v>
      </c>
      <c r="E188" s="171">
        <v>1.03</v>
      </c>
      <c r="F188" s="171">
        <f>0.4*4*2*1.03*0.395/1000*F165</f>
        <v>1.3019200000000002E-2</v>
      </c>
      <c r="G188" s="64"/>
      <c r="H188" s="271"/>
      <c r="I188" s="64"/>
      <c r="J188" s="271"/>
      <c r="K188" s="65"/>
      <c r="L188" s="271"/>
      <c r="M188" s="271"/>
      <c r="N188" s="467"/>
    </row>
    <row r="189" spans="1:14" s="45" customFormat="1" ht="16.5">
      <c r="A189" s="658"/>
      <c r="B189" s="365"/>
      <c r="C189" s="500" t="s">
        <v>189</v>
      </c>
      <c r="D189" s="131" t="s">
        <v>21</v>
      </c>
      <c r="E189" s="172">
        <v>0.62</v>
      </c>
      <c r="F189" s="172">
        <f>F184*E189</f>
        <v>0.79360000000000019</v>
      </c>
      <c r="G189" s="64"/>
      <c r="H189" s="271"/>
      <c r="I189" s="271"/>
      <c r="J189" s="271"/>
      <c r="K189" s="65"/>
      <c r="L189" s="271"/>
      <c r="M189" s="271"/>
      <c r="N189" s="467"/>
    </row>
    <row r="190" spans="1:14" s="45" customFormat="1" ht="16.5">
      <c r="A190" s="55"/>
      <c r="B190" s="55"/>
      <c r="C190" s="55" t="s">
        <v>172</v>
      </c>
      <c r="D190" s="132"/>
      <c r="E190" s="501"/>
      <c r="F190" s="341"/>
      <c r="G190" s="502"/>
      <c r="H190" s="503"/>
      <c r="I190" s="502"/>
      <c r="J190" s="503"/>
      <c r="K190" s="504"/>
      <c r="L190" s="503"/>
      <c r="M190" s="503"/>
      <c r="N190" s="541">
        <f>H190+J190+L190</f>
        <v>0</v>
      </c>
    </row>
    <row r="191" spans="1:14" s="45" customFormat="1" ht="40.5">
      <c r="A191" s="363"/>
      <c r="B191" s="21"/>
      <c r="C191" s="21" t="s">
        <v>173</v>
      </c>
      <c r="D191" s="56"/>
      <c r="E191" s="505"/>
      <c r="F191" s="406" t="s">
        <v>554</v>
      </c>
      <c r="G191" s="506"/>
      <c r="H191" s="506"/>
      <c r="I191" s="506"/>
      <c r="J191" s="506"/>
      <c r="K191" s="506"/>
      <c r="L191" s="506"/>
      <c r="M191" s="507"/>
      <c r="N191" s="467"/>
    </row>
    <row r="192" spans="1:14" s="45" customFormat="1" ht="16.5">
      <c r="A192" s="363"/>
      <c r="B192" s="21"/>
      <c r="C192" s="409" t="s">
        <v>19</v>
      </c>
      <c r="D192" s="56"/>
      <c r="E192" s="505"/>
      <c r="F192" s="505"/>
      <c r="G192" s="506"/>
      <c r="H192" s="506"/>
      <c r="I192" s="506"/>
      <c r="J192" s="506"/>
      <c r="K192" s="506"/>
      <c r="L192" s="506"/>
      <c r="M192" s="507"/>
      <c r="N192" s="467"/>
    </row>
    <row r="193" spans="1:14" s="45" customFormat="1" ht="16.5">
      <c r="A193" s="154"/>
      <c r="B193" s="56"/>
      <c r="C193" s="21" t="s">
        <v>190</v>
      </c>
      <c r="D193" s="56"/>
      <c r="E193" s="505"/>
      <c r="F193" s="410" t="s">
        <v>554</v>
      </c>
      <c r="G193" s="506"/>
      <c r="H193" s="506"/>
      <c r="I193" s="506"/>
      <c r="J193" s="506"/>
      <c r="K193" s="506"/>
      <c r="L193" s="506"/>
      <c r="M193" s="507"/>
      <c r="N193" s="467"/>
    </row>
    <row r="194" spans="1:14" s="45" customFormat="1" ht="16.5">
      <c r="A194" s="133"/>
      <c r="B194" s="134"/>
      <c r="C194" s="134" t="s">
        <v>191</v>
      </c>
      <c r="D194" s="134"/>
      <c r="E194" s="508"/>
      <c r="F194" s="508"/>
      <c r="G194" s="509"/>
      <c r="H194" s="509"/>
      <c r="I194" s="509"/>
      <c r="J194" s="509"/>
      <c r="K194" s="509"/>
      <c r="L194" s="509"/>
      <c r="M194" s="509"/>
      <c r="N194" s="467"/>
    </row>
    <row r="195" spans="1:14" s="45" customFormat="1" ht="16.5">
      <c r="A195" s="135"/>
      <c r="B195" s="135"/>
      <c r="C195" s="136" t="s">
        <v>192</v>
      </c>
      <c r="D195" s="136"/>
      <c r="E195" s="510"/>
      <c r="F195" s="510"/>
      <c r="G195" s="511"/>
      <c r="H195" s="512"/>
      <c r="I195" s="511"/>
      <c r="J195" s="512"/>
      <c r="K195" s="513"/>
      <c r="L195" s="512"/>
      <c r="M195" s="512"/>
      <c r="N195" s="467"/>
    </row>
    <row r="196" spans="1:14" s="45" customFormat="1" ht="27">
      <c r="A196" s="625" t="s">
        <v>57</v>
      </c>
      <c r="B196" s="34" t="s">
        <v>74</v>
      </c>
      <c r="C196" s="154" t="s">
        <v>193</v>
      </c>
      <c r="D196" s="363" t="s">
        <v>75</v>
      </c>
      <c r="E196" s="270"/>
      <c r="F196" s="7">
        <f>F199</f>
        <v>10</v>
      </c>
      <c r="G196" s="271"/>
      <c r="H196" s="271"/>
      <c r="I196" s="271"/>
      <c r="J196" s="271"/>
      <c r="K196" s="271"/>
      <c r="L196" s="271"/>
      <c r="M196" s="271"/>
      <c r="N196" s="467"/>
    </row>
    <row r="197" spans="1:14" s="45" customFormat="1" ht="16.5">
      <c r="A197" s="625"/>
      <c r="B197" s="36"/>
      <c r="C197" s="514" t="s">
        <v>76</v>
      </c>
      <c r="D197" s="36" t="s">
        <v>77</v>
      </c>
      <c r="E197" s="172">
        <v>1</v>
      </c>
      <c r="F197" s="172">
        <f>F196*E197</f>
        <v>10</v>
      </c>
      <c r="G197" s="64"/>
      <c r="H197" s="271"/>
      <c r="I197" s="64"/>
      <c r="J197" s="271"/>
      <c r="K197" s="65"/>
      <c r="L197" s="271"/>
      <c r="M197" s="271"/>
      <c r="N197" s="467"/>
    </row>
    <row r="198" spans="1:14" s="45" customFormat="1" ht="16.5">
      <c r="A198" s="625"/>
      <c r="B198" s="36"/>
      <c r="C198" s="514" t="s">
        <v>7</v>
      </c>
      <c r="D198" s="36" t="s">
        <v>6</v>
      </c>
      <c r="E198" s="172">
        <v>1.1599999999999999</v>
      </c>
      <c r="F198" s="172">
        <f>F196*E198</f>
        <v>11.6</v>
      </c>
      <c r="G198" s="64"/>
      <c r="H198" s="271"/>
      <c r="I198" s="64"/>
      <c r="J198" s="271"/>
      <c r="K198" s="65"/>
      <c r="L198" s="271"/>
      <c r="M198" s="271"/>
      <c r="N198" s="467"/>
    </row>
    <row r="199" spans="1:14" s="45" customFormat="1" ht="40.5">
      <c r="A199" s="625"/>
      <c r="B199" s="363"/>
      <c r="C199" s="66" t="s">
        <v>500</v>
      </c>
      <c r="D199" s="363" t="s">
        <v>78</v>
      </c>
      <c r="E199" s="270"/>
      <c r="F199" s="270">
        <f>F166</f>
        <v>10</v>
      </c>
      <c r="G199" s="271"/>
      <c r="H199" s="271"/>
      <c r="I199" s="64"/>
      <c r="J199" s="271"/>
      <c r="K199" s="271"/>
      <c r="L199" s="271"/>
      <c r="M199" s="271"/>
      <c r="N199" s="467"/>
    </row>
    <row r="200" spans="1:14" s="45" customFormat="1" ht="16.5">
      <c r="A200" s="625"/>
      <c r="B200" s="363"/>
      <c r="C200" s="66" t="s">
        <v>56</v>
      </c>
      <c r="D200" s="363" t="s">
        <v>6</v>
      </c>
      <c r="E200" s="270">
        <v>0.05</v>
      </c>
      <c r="F200" s="270">
        <f>F196*E200</f>
        <v>0.5</v>
      </c>
      <c r="G200" s="271"/>
      <c r="H200" s="271"/>
      <c r="I200" s="64"/>
      <c r="J200" s="271"/>
      <c r="K200" s="271"/>
      <c r="L200" s="271"/>
      <c r="M200" s="271"/>
      <c r="N200" s="467"/>
    </row>
    <row r="201" spans="1:14" s="45" customFormat="1" ht="16.5">
      <c r="A201" s="626" t="s">
        <v>91</v>
      </c>
      <c r="B201" s="154" t="s">
        <v>100</v>
      </c>
      <c r="C201" s="515" t="s">
        <v>194</v>
      </c>
      <c r="D201" s="363" t="s">
        <v>101</v>
      </c>
      <c r="E201" s="270"/>
      <c r="F201" s="7">
        <f>F203+F204</f>
        <v>200</v>
      </c>
      <c r="G201" s="516"/>
      <c r="H201" s="63"/>
      <c r="I201" s="516"/>
      <c r="J201" s="271"/>
      <c r="K201" s="271"/>
      <c r="L201" s="271"/>
      <c r="M201" s="271"/>
      <c r="N201" s="467"/>
    </row>
    <row r="202" spans="1:14" s="45" customFormat="1" ht="16.5">
      <c r="A202" s="636"/>
      <c r="B202" s="363"/>
      <c r="C202" s="66" t="s">
        <v>62</v>
      </c>
      <c r="D202" s="363" t="s">
        <v>20</v>
      </c>
      <c r="E202" s="270">
        <v>0.13900000000000001</v>
      </c>
      <c r="F202" s="270">
        <f>F201*E202</f>
        <v>27.800000000000004</v>
      </c>
      <c r="G202" s="271"/>
      <c r="H202" s="63"/>
      <c r="I202" s="271"/>
      <c r="J202" s="271"/>
      <c r="K202" s="271"/>
      <c r="L202" s="271"/>
      <c r="M202" s="271"/>
      <c r="N202" s="467"/>
    </row>
    <row r="203" spans="1:14" s="45" customFormat="1" ht="16.5">
      <c r="A203" s="636"/>
      <c r="B203" s="363"/>
      <c r="C203" s="66" t="s">
        <v>501</v>
      </c>
      <c r="D203" s="363" t="s">
        <v>50</v>
      </c>
      <c r="E203" s="270"/>
      <c r="F203" s="270">
        <v>170</v>
      </c>
      <c r="G203" s="271"/>
      <c r="H203" s="271"/>
      <c r="I203" s="64"/>
      <c r="J203" s="271"/>
      <c r="K203" s="271"/>
      <c r="L203" s="271"/>
      <c r="M203" s="271"/>
      <c r="N203" s="467"/>
    </row>
    <row r="204" spans="1:14" s="45" customFormat="1" ht="16.5">
      <c r="A204" s="636"/>
      <c r="B204" s="363"/>
      <c r="C204" s="66" t="s">
        <v>502</v>
      </c>
      <c r="D204" s="363" t="s">
        <v>50</v>
      </c>
      <c r="E204" s="270"/>
      <c r="F204" s="270">
        <v>30</v>
      </c>
      <c r="G204" s="271"/>
      <c r="H204" s="271"/>
      <c r="I204" s="64"/>
      <c r="J204" s="271"/>
      <c r="K204" s="271"/>
      <c r="L204" s="271"/>
      <c r="M204" s="271"/>
      <c r="N204" s="467"/>
    </row>
    <row r="205" spans="1:14" s="45" customFormat="1" ht="16.5">
      <c r="A205" s="627"/>
      <c r="B205" s="363"/>
      <c r="C205" s="66" t="s">
        <v>102</v>
      </c>
      <c r="D205" s="363" t="s">
        <v>21</v>
      </c>
      <c r="E205" s="270">
        <v>9.7000000000000003E-3</v>
      </c>
      <c r="F205" s="172">
        <f>F201*E205</f>
        <v>1.94</v>
      </c>
      <c r="G205" s="271"/>
      <c r="H205" s="63"/>
      <c r="I205" s="64"/>
      <c r="J205" s="271"/>
      <c r="K205" s="271"/>
      <c r="L205" s="271"/>
      <c r="M205" s="271"/>
      <c r="N205" s="467"/>
    </row>
    <row r="206" spans="1:14" s="45" customFormat="1" ht="16.5">
      <c r="A206" s="363"/>
      <c r="B206" s="363"/>
      <c r="C206" s="66"/>
      <c r="D206" s="363"/>
      <c r="E206" s="270"/>
      <c r="F206" s="270"/>
      <c r="G206" s="271"/>
      <c r="H206" s="271"/>
      <c r="I206" s="64"/>
      <c r="J206" s="271"/>
      <c r="K206" s="271"/>
      <c r="L206" s="271"/>
      <c r="M206" s="271"/>
      <c r="N206" s="467"/>
    </row>
    <row r="207" spans="1:14" s="45" customFormat="1" ht="16.5">
      <c r="A207" s="662" t="s">
        <v>79</v>
      </c>
      <c r="B207" s="154" t="s">
        <v>195</v>
      </c>
      <c r="C207" s="50" t="s">
        <v>196</v>
      </c>
      <c r="D207" s="363"/>
      <c r="E207" s="270"/>
      <c r="F207" s="172" t="s">
        <v>98</v>
      </c>
      <c r="G207" s="271"/>
      <c r="H207" s="63"/>
      <c r="I207" s="64"/>
      <c r="J207" s="271"/>
      <c r="K207" s="271"/>
      <c r="L207" s="271"/>
      <c r="M207" s="271"/>
      <c r="N207" s="467"/>
    </row>
    <row r="208" spans="1:14" s="45" customFormat="1" ht="16.5">
      <c r="A208" s="663"/>
      <c r="B208" s="363"/>
      <c r="C208" s="66" t="s">
        <v>62</v>
      </c>
      <c r="D208" s="363" t="s">
        <v>20</v>
      </c>
      <c r="E208" s="270">
        <v>7.05</v>
      </c>
      <c r="F208" s="270">
        <f>F207*E208</f>
        <v>7.05</v>
      </c>
      <c r="G208" s="271"/>
      <c r="H208" s="63"/>
      <c r="I208" s="271"/>
      <c r="J208" s="63"/>
      <c r="K208" s="271"/>
      <c r="L208" s="63"/>
      <c r="M208" s="271"/>
      <c r="N208" s="467"/>
    </row>
    <row r="209" spans="1:14" s="45" customFormat="1" ht="26.25">
      <c r="A209" s="663"/>
      <c r="B209" s="439"/>
      <c r="C209" s="66" t="s">
        <v>470</v>
      </c>
      <c r="D209" s="363" t="s">
        <v>58</v>
      </c>
      <c r="E209" s="270"/>
      <c r="F209" s="172" t="s">
        <v>98</v>
      </c>
      <c r="G209" s="271"/>
      <c r="H209" s="271"/>
      <c r="I209" s="64"/>
      <c r="J209" s="271"/>
      <c r="K209" s="271"/>
      <c r="L209" s="271"/>
      <c r="M209" s="271"/>
      <c r="N209" s="467"/>
    </row>
    <row r="210" spans="1:14" s="45" customFormat="1" ht="16.5">
      <c r="A210" s="663"/>
      <c r="B210" s="439"/>
      <c r="C210" s="66" t="s">
        <v>252</v>
      </c>
      <c r="D210" s="363" t="s">
        <v>58</v>
      </c>
      <c r="E210" s="270"/>
      <c r="F210" s="172">
        <v>10</v>
      </c>
      <c r="G210" s="271"/>
      <c r="H210" s="271"/>
      <c r="I210" s="64"/>
      <c r="J210" s="271"/>
      <c r="K210" s="271"/>
      <c r="L210" s="271"/>
      <c r="M210" s="271"/>
      <c r="N210" s="467"/>
    </row>
    <row r="211" spans="1:14" s="45" customFormat="1" ht="27">
      <c r="A211" s="663"/>
      <c r="B211" s="363"/>
      <c r="C211" s="66" t="s">
        <v>514</v>
      </c>
      <c r="D211" s="363" t="s">
        <v>58</v>
      </c>
      <c r="E211" s="270"/>
      <c r="F211" s="172">
        <v>1</v>
      </c>
      <c r="G211" s="271"/>
      <c r="H211" s="271"/>
      <c r="I211" s="64"/>
      <c r="J211" s="271"/>
      <c r="K211" s="271"/>
      <c r="L211" s="271"/>
      <c r="M211" s="271"/>
      <c r="N211" s="467"/>
    </row>
    <row r="212" spans="1:14" s="45" customFormat="1" ht="27">
      <c r="A212" s="663"/>
      <c r="B212" s="363"/>
      <c r="C212" s="66" t="s">
        <v>515</v>
      </c>
      <c r="D212" s="363" t="s">
        <v>58</v>
      </c>
      <c r="E212" s="270"/>
      <c r="F212" s="172">
        <v>10</v>
      </c>
      <c r="G212" s="271"/>
      <c r="H212" s="271"/>
      <c r="I212" s="64"/>
      <c r="J212" s="271"/>
      <c r="K212" s="271"/>
      <c r="L212" s="271"/>
      <c r="M212" s="271"/>
      <c r="N212" s="467"/>
    </row>
    <row r="213" spans="1:14" s="45" customFormat="1" ht="16.5">
      <c r="A213" s="663"/>
      <c r="B213" s="363"/>
      <c r="C213" s="66" t="s">
        <v>518</v>
      </c>
      <c r="D213" s="363" t="s">
        <v>58</v>
      </c>
      <c r="E213" s="270"/>
      <c r="F213" s="172">
        <v>1</v>
      </c>
      <c r="G213" s="271"/>
      <c r="H213" s="271"/>
      <c r="I213" s="64"/>
      <c r="J213" s="271"/>
      <c r="K213" s="271"/>
      <c r="L213" s="271"/>
      <c r="M213" s="271"/>
      <c r="N213" s="467"/>
    </row>
    <row r="214" spans="1:14" s="45" customFormat="1" ht="16.5">
      <c r="A214" s="663"/>
      <c r="B214" s="363"/>
      <c r="C214" s="66" t="s">
        <v>251</v>
      </c>
      <c r="D214" s="363" t="s">
        <v>58</v>
      </c>
      <c r="E214" s="270"/>
      <c r="F214" s="172">
        <v>1</v>
      </c>
      <c r="G214" s="271"/>
      <c r="H214" s="271"/>
      <c r="I214" s="64"/>
      <c r="J214" s="271"/>
      <c r="K214" s="271"/>
      <c r="L214" s="271"/>
      <c r="M214" s="271"/>
      <c r="N214" s="467"/>
    </row>
    <row r="215" spans="1:14" s="45" customFormat="1" ht="16.5">
      <c r="A215" s="663"/>
      <c r="B215" s="363"/>
      <c r="C215" s="66" t="s">
        <v>197</v>
      </c>
      <c r="D215" s="363" t="s">
        <v>58</v>
      </c>
      <c r="E215" s="270"/>
      <c r="F215" s="172">
        <v>1</v>
      </c>
      <c r="G215" s="271"/>
      <c r="H215" s="271"/>
      <c r="I215" s="64"/>
      <c r="J215" s="271"/>
      <c r="K215" s="271"/>
      <c r="L215" s="271"/>
      <c r="M215" s="271"/>
      <c r="N215" s="467"/>
    </row>
    <row r="216" spans="1:14" s="45" customFormat="1" ht="16.5">
      <c r="A216" s="664"/>
      <c r="B216" s="363"/>
      <c r="C216" s="66" t="s">
        <v>230</v>
      </c>
      <c r="D216" s="363" t="s">
        <v>58</v>
      </c>
      <c r="E216" s="270"/>
      <c r="F216" s="172">
        <v>1</v>
      </c>
      <c r="G216" s="271"/>
      <c r="H216" s="271"/>
      <c r="I216" s="64"/>
      <c r="J216" s="271"/>
      <c r="K216" s="271"/>
      <c r="L216" s="271"/>
      <c r="M216" s="271"/>
      <c r="N216" s="467"/>
    </row>
    <row r="217" spans="1:14" s="45" customFormat="1" ht="16.5">
      <c r="A217" s="363" t="s">
        <v>93</v>
      </c>
      <c r="B217" s="363"/>
      <c r="C217" s="55" t="s">
        <v>80</v>
      </c>
      <c r="D217" s="363"/>
      <c r="E217" s="517"/>
      <c r="F217" s="517"/>
      <c r="G217" s="518"/>
      <c r="H217" s="518"/>
      <c r="I217" s="519"/>
      <c r="J217" s="518"/>
      <c r="K217" s="518"/>
      <c r="L217" s="518"/>
      <c r="M217" s="271"/>
      <c r="N217" s="467"/>
    </row>
    <row r="218" spans="1:14" s="45" customFormat="1" ht="40.5">
      <c r="A218" s="659" t="s">
        <v>144</v>
      </c>
      <c r="B218" s="22" t="s">
        <v>81</v>
      </c>
      <c r="C218" s="431" t="s">
        <v>233</v>
      </c>
      <c r="D218" s="39" t="s">
        <v>58</v>
      </c>
      <c r="E218" s="173"/>
      <c r="F218" s="391">
        <f>F221</f>
        <v>10</v>
      </c>
      <c r="G218" s="385"/>
      <c r="H218" s="520"/>
      <c r="I218" s="520"/>
      <c r="J218" s="520"/>
      <c r="K218" s="520"/>
      <c r="L218" s="520"/>
      <c r="M218" s="271"/>
      <c r="N218" s="467"/>
    </row>
    <row r="219" spans="1:14" s="45" customFormat="1" ht="16.5">
      <c r="A219" s="660"/>
      <c r="B219" s="189"/>
      <c r="C219" s="108" t="s">
        <v>42</v>
      </c>
      <c r="D219" s="39" t="s">
        <v>8</v>
      </c>
      <c r="E219" s="174">
        <v>0.9</v>
      </c>
      <c r="F219" s="24">
        <f>E219*F218</f>
        <v>9</v>
      </c>
      <c r="G219" s="385"/>
      <c r="H219" s="520"/>
      <c r="I219" s="520"/>
      <c r="J219" s="520"/>
      <c r="K219" s="520"/>
      <c r="L219" s="520"/>
      <c r="M219" s="271"/>
      <c r="N219" s="467"/>
    </row>
    <row r="220" spans="1:14" s="45" customFormat="1" ht="16.5">
      <c r="A220" s="660"/>
      <c r="B220" s="189"/>
      <c r="C220" s="137" t="s">
        <v>7</v>
      </c>
      <c r="D220" s="39" t="s">
        <v>6</v>
      </c>
      <c r="E220" s="174">
        <v>7.0000000000000007E-2</v>
      </c>
      <c r="F220" s="174">
        <f>E220*F218</f>
        <v>0.70000000000000007</v>
      </c>
      <c r="G220" s="385"/>
      <c r="H220" s="520"/>
      <c r="I220" s="520"/>
      <c r="J220" s="520"/>
      <c r="K220" s="520"/>
      <c r="L220" s="520"/>
      <c r="M220" s="271"/>
      <c r="N220" s="467"/>
    </row>
    <row r="221" spans="1:14" s="45" customFormat="1" ht="26.25">
      <c r="A221" s="660"/>
      <c r="B221" s="40"/>
      <c r="C221" s="137" t="s">
        <v>503</v>
      </c>
      <c r="D221" s="41" t="s">
        <v>58</v>
      </c>
      <c r="E221" s="175"/>
      <c r="F221" s="24">
        <v>10</v>
      </c>
      <c r="G221" s="385"/>
      <c r="H221" s="520"/>
      <c r="I221" s="520"/>
      <c r="J221" s="520"/>
      <c r="K221" s="520"/>
      <c r="L221" s="520"/>
      <c r="M221" s="271"/>
      <c r="N221" s="467"/>
    </row>
    <row r="222" spans="1:14" s="45" customFormat="1" ht="16.5">
      <c r="A222" s="661"/>
      <c r="B222" s="189"/>
      <c r="C222" s="108" t="s">
        <v>9</v>
      </c>
      <c r="D222" s="39" t="s">
        <v>6</v>
      </c>
      <c r="E222" s="174">
        <v>0.14000000000000001</v>
      </c>
      <c r="F222" s="24">
        <f>E222*F218</f>
        <v>1.4000000000000001</v>
      </c>
      <c r="G222" s="385"/>
      <c r="H222" s="520"/>
      <c r="I222" s="385"/>
      <c r="J222" s="520"/>
      <c r="K222" s="385"/>
      <c r="L222" s="520"/>
      <c r="M222" s="271"/>
      <c r="N222" s="467"/>
    </row>
    <row r="223" spans="1:14" s="45" customFormat="1" ht="40.5">
      <c r="A223" s="659" t="s">
        <v>146</v>
      </c>
      <c r="B223" s="22" t="s">
        <v>231</v>
      </c>
      <c r="C223" s="431" t="s">
        <v>232</v>
      </c>
      <c r="D223" s="41" t="s">
        <v>50</v>
      </c>
      <c r="E223" s="173"/>
      <c r="F223" s="391">
        <f>F226</f>
        <v>12</v>
      </c>
      <c r="G223" s="385"/>
      <c r="H223" s="520"/>
      <c r="I223" s="520"/>
      <c r="J223" s="520"/>
      <c r="K223" s="520"/>
      <c r="L223" s="520"/>
      <c r="M223" s="271"/>
      <c r="N223" s="467"/>
    </row>
    <row r="224" spans="1:14" s="45" customFormat="1" ht="16.5">
      <c r="A224" s="660"/>
      <c r="B224" s="189"/>
      <c r="C224" s="108" t="s">
        <v>42</v>
      </c>
      <c r="D224" s="39" t="s">
        <v>8</v>
      </c>
      <c r="E224" s="174">
        <v>0.26</v>
      </c>
      <c r="F224" s="24">
        <f>E224*F223</f>
        <v>3.12</v>
      </c>
      <c r="G224" s="385"/>
      <c r="H224" s="520"/>
      <c r="I224" s="520"/>
      <c r="J224" s="520"/>
      <c r="K224" s="520"/>
      <c r="L224" s="520"/>
      <c r="M224" s="271"/>
      <c r="N224" s="467"/>
    </row>
    <row r="225" spans="1:14" s="45" customFormat="1" ht="16.5">
      <c r="A225" s="660"/>
      <c r="B225" s="189"/>
      <c r="C225" s="137" t="s">
        <v>7</v>
      </c>
      <c r="D225" s="39" t="s">
        <v>6</v>
      </c>
      <c r="E225" s="174">
        <v>1.6E-2</v>
      </c>
      <c r="F225" s="174">
        <f>E225*F223</f>
        <v>0.192</v>
      </c>
      <c r="G225" s="385"/>
      <c r="H225" s="520"/>
      <c r="I225" s="520"/>
      <c r="J225" s="520"/>
      <c r="K225" s="520"/>
      <c r="L225" s="520"/>
      <c r="M225" s="271"/>
      <c r="N225" s="467"/>
    </row>
    <row r="226" spans="1:14" s="45" customFormat="1" ht="16.5">
      <c r="A226" s="660"/>
      <c r="B226" s="40"/>
      <c r="C226" s="137" t="s">
        <v>504</v>
      </c>
      <c r="D226" s="41" t="s">
        <v>50</v>
      </c>
      <c r="E226" s="175"/>
      <c r="F226" s="391">
        <v>12</v>
      </c>
      <c r="G226" s="385"/>
      <c r="H226" s="520"/>
      <c r="I226" s="520"/>
      <c r="J226" s="520"/>
      <c r="K226" s="520"/>
      <c r="L226" s="520"/>
      <c r="M226" s="271"/>
      <c r="N226" s="467"/>
    </row>
    <row r="227" spans="1:14" s="45" customFormat="1" ht="16.5">
      <c r="A227" s="661"/>
      <c r="B227" s="189"/>
      <c r="C227" s="108" t="s">
        <v>9</v>
      </c>
      <c r="D227" s="39" t="s">
        <v>6</v>
      </c>
      <c r="E227" s="174">
        <v>0.35299999999999998</v>
      </c>
      <c r="F227" s="24">
        <f>E227*F223</f>
        <v>4.2359999999999998</v>
      </c>
      <c r="G227" s="385"/>
      <c r="H227" s="520"/>
      <c r="I227" s="385"/>
      <c r="J227" s="520"/>
      <c r="K227" s="385"/>
      <c r="L227" s="520"/>
      <c r="M227" s="271"/>
      <c r="N227" s="467"/>
    </row>
    <row r="228" spans="1:14" s="45" customFormat="1" ht="16.5">
      <c r="A228" s="189"/>
      <c r="B228" s="189"/>
      <c r="C228" s="108"/>
      <c r="D228" s="39"/>
      <c r="E228" s="174"/>
      <c r="F228" s="24"/>
      <c r="G228" s="385"/>
      <c r="H228" s="520"/>
      <c r="I228" s="385"/>
      <c r="J228" s="520"/>
      <c r="K228" s="385"/>
      <c r="L228" s="520"/>
      <c r="M228" s="520"/>
      <c r="N228" s="467"/>
    </row>
    <row r="229" spans="1:14" s="45" customFormat="1" ht="16.5">
      <c r="A229" s="137"/>
      <c r="B229" s="40"/>
      <c r="C229" s="137"/>
      <c r="D229" s="41"/>
      <c r="E229" s="175"/>
      <c r="F229" s="24"/>
      <c r="G229" s="385"/>
      <c r="H229" s="520"/>
      <c r="I229" s="520"/>
      <c r="J229" s="520"/>
      <c r="K229" s="520"/>
      <c r="L229" s="520"/>
      <c r="M229" s="520"/>
      <c r="N229" s="467"/>
    </row>
    <row r="230" spans="1:14" s="45" customFormat="1" ht="16.5">
      <c r="A230" s="55"/>
      <c r="B230" s="55"/>
      <c r="C230" s="55" t="s">
        <v>172</v>
      </c>
      <c r="D230" s="55"/>
      <c r="E230" s="341"/>
      <c r="F230" s="341"/>
      <c r="G230" s="503"/>
      <c r="H230" s="503"/>
      <c r="I230" s="503"/>
      <c r="J230" s="503"/>
      <c r="K230" s="503"/>
      <c r="L230" s="503"/>
      <c r="M230" s="503"/>
      <c r="N230" s="541">
        <f>H230+J230+L230</f>
        <v>0</v>
      </c>
    </row>
    <row r="231" spans="1:14" s="45" customFormat="1" ht="40.5">
      <c r="A231" s="363"/>
      <c r="B231" s="21"/>
      <c r="C231" s="21" t="s">
        <v>173</v>
      </c>
      <c r="D231" s="56"/>
      <c r="E231" s="505"/>
      <c r="F231" s="406" t="s">
        <v>554</v>
      </c>
      <c r="G231" s="506"/>
      <c r="H231" s="506"/>
      <c r="I231" s="506"/>
      <c r="J231" s="506"/>
      <c r="K231" s="506"/>
      <c r="L231" s="506"/>
      <c r="M231" s="507"/>
      <c r="N231" s="467"/>
    </row>
    <row r="232" spans="1:14" s="45" customFormat="1" ht="16.5">
      <c r="A232" s="363"/>
      <c r="B232" s="21"/>
      <c r="C232" s="409" t="s">
        <v>19</v>
      </c>
      <c r="D232" s="56"/>
      <c r="E232" s="505"/>
      <c r="F232" s="505"/>
      <c r="G232" s="506"/>
      <c r="H232" s="506"/>
      <c r="I232" s="506"/>
      <c r="J232" s="506"/>
      <c r="K232" s="506"/>
      <c r="L232" s="506"/>
      <c r="M232" s="506"/>
      <c r="N232" s="467"/>
    </row>
    <row r="233" spans="1:14" s="45" customFormat="1" ht="40.5">
      <c r="A233" s="363"/>
      <c r="B233" s="363"/>
      <c r="C233" s="363" t="s">
        <v>198</v>
      </c>
      <c r="D233" s="154"/>
      <c r="E233" s="270"/>
      <c r="F233" s="521" t="s">
        <v>554</v>
      </c>
      <c r="G233" s="271"/>
      <c r="H233" s="271"/>
      <c r="I233" s="271"/>
      <c r="J233" s="271"/>
      <c r="K233" s="271"/>
      <c r="L233" s="271"/>
      <c r="M233" s="271"/>
      <c r="N233" s="467"/>
    </row>
    <row r="234" spans="1:14" s="45" customFormat="1" ht="16.5">
      <c r="A234" s="55"/>
      <c r="B234" s="55"/>
      <c r="C234" s="55" t="s">
        <v>199</v>
      </c>
      <c r="D234" s="55"/>
      <c r="E234" s="341"/>
      <c r="F234" s="341"/>
      <c r="G234" s="503"/>
      <c r="H234" s="503"/>
      <c r="I234" s="503"/>
      <c r="J234" s="503"/>
      <c r="K234" s="503"/>
      <c r="L234" s="503"/>
      <c r="M234" s="503"/>
      <c r="N234" s="467"/>
    </row>
    <row r="235" spans="1:14" s="45" customFormat="1" ht="16.5">
      <c r="A235" s="236"/>
      <c r="B235" s="237"/>
      <c r="C235" s="237" t="s">
        <v>200</v>
      </c>
      <c r="D235" s="237"/>
      <c r="E235" s="238"/>
      <c r="F235" s="238"/>
      <c r="G235" s="405"/>
      <c r="H235" s="405"/>
      <c r="I235" s="405"/>
      <c r="J235" s="405"/>
      <c r="K235" s="405"/>
      <c r="L235" s="405"/>
      <c r="M235" s="405"/>
      <c r="N235" s="467"/>
    </row>
    <row r="236" spans="1:14" s="45" customFormat="1" ht="27">
      <c r="A236" s="363"/>
      <c r="B236" s="363"/>
      <c r="C236" s="363" t="s">
        <v>257</v>
      </c>
      <c r="D236" s="154"/>
      <c r="E236" s="270"/>
      <c r="F236" s="521" t="s">
        <v>554</v>
      </c>
      <c r="G236" s="271"/>
      <c r="H236" s="271"/>
      <c r="I236" s="271"/>
      <c r="J236" s="271"/>
      <c r="K236" s="271"/>
      <c r="L236" s="271"/>
      <c r="M236" s="271"/>
      <c r="N236" s="467"/>
    </row>
    <row r="237" spans="1:14" s="45" customFormat="1" ht="16.5">
      <c r="A237" s="236"/>
      <c r="B237" s="237"/>
      <c r="C237" s="237" t="s">
        <v>380</v>
      </c>
      <c r="D237" s="237"/>
      <c r="E237" s="238"/>
      <c r="F237" s="238"/>
      <c r="G237" s="405"/>
      <c r="H237" s="405"/>
      <c r="I237" s="405"/>
      <c r="J237" s="405" t="s">
        <v>30</v>
      </c>
      <c r="K237" s="405"/>
      <c r="L237" s="405"/>
      <c r="M237" s="417"/>
      <c r="N237" s="467"/>
    </row>
    <row r="238" spans="1:14" s="45" customFormat="1" ht="16.5">
      <c r="A238" s="197"/>
      <c r="B238" s="17"/>
      <c r="C238" s="17"/>
      <c r="D238" s="17"/>
      <c r="E238" s="157"/>
      <c r="F238" s="157"/>
      <c r="G238" s="522"/>
      <c r="H238" s="522"/>
      <c r="I238" s="522"/>
      <c r="J238" s="522"/>
      <c r="K238" s="522"/>
      <c r="L238" s="522"/>
      <c r="M238" s="420"/>
      <c r="N238" s="467"/>
    </row>
    <row r="239" spans="1:14" s="45" customFormat="1" ht="54">
      <c r="A239" s="283" t="s">
        <v>409</v>
      </c>
      <c r="B239" s="283"/>
      <c r="C239" s="283" t="s">
        <v>473</v>
      </c>
      <c r="D239" s="283"/>
      <c r="E239" s="371"/>
      <c r="F239" s="286"/>
      <c r="G239" s="371"/>
      <c r="H239" s="286"/>
      <c r="I239" s="371"/>
      <c r="J239" s="286"/>
      <c r="K239" s="371"/>
      <c r="L239" s="286"/>
      <c r="M239" s="371"/>
      <c r="N239" s="467"/>
    </row>
    <row r="240" spans="1:14" s="45" customFormat="1" ht="16.5">
      <c r="A240" s="121"/>
      <c r="B240" s="121"/>
      <c r="C240" s="122" t="s">
        <v>175</v>
      </c>
      <c r="D240" s="122"/>
      <c r="E240" s="486"/>
      <c r="F240" s="486"/>
      <c r="G240" s="64"/>
      <c r="H240" s="271"/>
      <c r="I240" s="64"/>
      <c r="J240" s="271"/>
      <c r="K240" s="65"/>
      <c r="L240" s="271"/>
      <c r="M240" s="271"/>
      <c r="N240" s="467"/>
    </row>
    <row r="241" spans="1:14" s="45" customFormat="1" ht="27">
      <c r="A241" s="626"/>
      <c r="B241" s="626"/>
      <c r="C241" s="154" t="s">
        <v>249</v>
      </c>
      <c r="D241" s="154" t="s">
        <v>75</v>
      </c>
      <c r="E241" s="270"/>
      <c r="F241" s="7">
        <f>F242</f>
        <v>30</v>
      </c>
      <c r="G241" s="655"/>
      <c r="H241" s="655"/>
      <c r="I241" s="655"/>
      <c r="J241" s="655"/>
      <c r="K241" s="655"/>
      <c r="L241" s="655"/>
      <c r="M241" s="655"/>
      <c r="N241" s="467"/>
    </row>
    <row r="242" spans="1:14" s="45" customFormat="1" ht="16.5">
      <c r="A242" s="636"/>
      <c r="B242" s="636"/>
      <c r="C242" s="487" t="s">
        <v>310</v>
      </c>
      <c r="D242" s="154" t="s">
        <v>75</v>
      </c>
      <c r="E242" s="270"/>
      <c r="F242" s="7">
        <f>'7777'!G85</f>
        <v>30</v>
      </c>
      <c r="G242" s="656"/>
      <c r="H242" s="656"/>
      <c r="I242" s="656"/>
      <c r="J242" s="656"/>
      <c r="K242" s="656"/>
      <c r="L242" s="656"/>
      <c r="M242" s="656"/>
      <c r="N242" s="467"/>
    </row>
    <row r="243" spans="1:14" s="45" customFormat="1" ht="16.5">
      <c r="A243" s="657">
        <v>1</v>
      </c>
      <c r="B243" s="124" t="s">
        <v>228</v>
      </c>
      <c r="C243" s="402" t="s">
        <v>229</v>
      </c>
      <c r="D243" s="124" t="s">
        <v>88</v>
      </c>
      <c r="E243" s="171"/>
      <c r="F243" s="488">
        <f>600*0.25*0.7</f>
        <v>105</v>
      </c>
      <c r="G243" s="64"/>
      <c r="H243" s="271"/>
      <c r="I243" s="64"/>
      <c r="J243" s="271"/>
      <c r="K243" s="65"/>
      <c r="L243" s="271"/>
      <c r="M243" s="271"/>
      <c r="N243" s="467"/>
    </row>
    <row r="244" spans="1:14" s="45" customFormat="1" ht="16.5">
      <c r="A244" s="658"/>
      <c r="B244" s="125"/>
      <c r="C244" s="380" t="s">
        <v>76</v>
      </c>
      <c r="D244" s="125" t="s">
        <v>77</v>
      </c>
      <c r="E244" s="171">
        <v>2.06</v>
      </c>
      <c r="F244" s="171">
        <f>F243*E244</f>
        <v>216.3</v>
      </c>
      <c r="G244" s="64"/>
      <c r="H244" s="271"/>
      <c r="I244" s="64"/>
      <c r="J244" s="271"/>
      <c r="K244" s="65"/>
      <c r="L244" s="271"/>
      <c r="M244" s="271"/>
      <c r="N244" s="467"/>
    </row>
    <row r="245" spans="1:14" s="45" customFormat="1" ht="40.5">
      <c r="A245" s="674">
        <v>2</v>
      </c>
      <c r="B245" s="106" t="s">
        <v>36</v>
      </c>
      <c r="C245" s="489" t="s">
        <v>176</v>
      </c>
      <c r="D245" s="124" t="s">
        <v>88</v>
      </c>
      <c r="E245" s="103"/>
      <c r="F245" s="102">
        <f>0.4*0.4*0.8*F241</f>
        <v>3.8400000000000007</v>
      </c>
      <c r="G245" s="64"/>
      <c r="H245" s="271"/>
      <c r="I245" s="64"/>
      <c r="J245" s="271"/>
      <c r="K245" s="65"/>
      <c r="L245" s="271"/>
      <c r="M245" s="271"/>
      <c r="N245" s="467"/>
    </row>
    <row r="246" spans="1:14" s="45" customFormat="1" ht="16.5">
      <c r="A246" s="675"/>
      <c r="B246" s="105"/>
      <c r="C246" s="380" t="s">
        <v>76</v>
      </c>
      <c r="D246" s="105" t="s">
        <v>77</v>
      </c>
      <c r="E246" s="103">
        <v>3.88</v>
      </c>
      <c r="F246" s="103">
        <f>F245*E246</f>
        <v>14.899200000000002</v>
      </c>
      <c r="G246" s="64"/>
      <c r="H246" s="271"/>
      <c r="I246" s="64"/>
      <c r="J246" s="271"/>
      <c r="K246" s="65"/>
      <c r="L246" s="271"/>
      <c r="M246" s="271"/>
      <c r="N246" s="467"/>
    </row>
    <row r="247" spans="1:14" s="45" customFormat="1" ht="27">
      <c r="A247" s="665">
        <v>4</v>
      </c>
      <c r="B247" s="126" t="s">
        <v>68</v>
      </c>
      <c r="C247" s="490" t="s">
        <v>177</v>
      </c>
      <c r="D247" s="126" t="s">
        <v>178</v>
      </c>
      <c r="E247" s="491"/>
      <c r="F247" s="492">
        <f>600*0.25*0.25</f>
        <v>37.5</v>
      </c>
      <c r="G247" s="64"/>
      <c r="H247" s="271"/>
      <c r="I247" s="64"/>
      <c r="J247" s="271"/>
      <c r="K247" s="65"/>
      <c r="L247" s="271"/>
      <c r="M247" s="271"/>
      <c r="N247" s="467"/>
    </row>
    <row r="248" spans="1:14" s="45" customFormat="1" ht="16.5">
      <c r="A248" s="666"/>
      <c r="B248" s="127"/>
      <c r="C248" s="493" t="s">
        <v>76</v>
      </c>
      <c r="D248" s="127" t="s">
        <v>77</v>
      </c>
      <c r="E248" s="491">
        <v>1.8</v>
      </c>
      <c r="F248" s="491">
        <f>F247*E248</f>
        <v>67.5</v>
      </c>
      <c r="G248" s="64"/>
      <c r="H248" s="271"/>
      <c r="I248" s="64"/>
      <c r="J248" s="271"/>
      <c r="K248" s="65"/>
      <c r="L248" s="271"/>
      <c r="M248" s="271"/>
      <c r="N248" s="467"/>
    </row>
    <row r="249" spans="1:14" s="45" customFormat="1" ht="16.5">
      <c r="A249" s="667"/>
      <c r="B249" s="127"/>
      <c r="C249" s="493" t="s">
        <v>261</v>
      </c>
      <c r="D249" s="127" t="s">
        <v>178</v>
      </c>
      <c r="E249" s="491">
        <v>1.1000000000000001</v>
      </c>
      <c r="F249" s="491">
        <f>F247*E249</f>
        <v>41.25</v>
      </c>
      <c r="G249" s="64"/>
      <c r="H249" s="271"/>
      <c r="I249" s="64"/>
      <c r="J249" s="271"/>
      <c r="K249" s="65"/>
      <c r="L249" s="271"/>
      <c r="M249" s="271"/>
      <c r="N249" s="467"/>
    </row>
    <row r="250" spans="1:14" s="45" customFormat="1" ht="27">
      <c r="A250" s="657">
        <v>5</v>
      </c>
      <c r="B250" s="124" t="s">
        <v>69</v>
      </c>
      <c r="C250" s="494" t="s">
        <v>511</v>
      </c>
      <c r="D250" s="124" t="s">
        <v>179</v>
      </c>
      <c r="E250" s="171"/>
      <c r="F250" s="488">
        <f>600</f>
        <v>600</v>
      </c>
      <c r="G250" s="64"/>
      <c r="H250" s="271"/>
      <c r="I250" s="64"/>
      <c r="J250" s="271"/>
      <c r="K250" s="65"/>
      <c r="L250" s="271"/>
      <c r="M250" s="271"/>
      <c r="N250" s="467"/>
    </row>
    <row r="251" spans="1:14" s="45" customFormat="1" ht="16.5">
      <c r="A251" s="658"/>
      <c r="B251" s="125"/>
      <c r="C251" s="380" t="s">
        <v>76</v>
      </c>
      <c r="D251" s="125" t="s">
        <v>77</v>
      </c>
      <c r="E251" s="171">
        <v>0.105</v>
      </c>
      <c r="F251" s="171">
        <f>F250*E251</f>
        <v>63</v>
      </c>
      <c r="G251" s="64"/>
      <c r="H251" s="271"/>
      <c r="I251" s="64"/>
      <c r="J251" s="271"/>
      <c r="K251" s="65"/>
      <c r="L251" s="271"/>
      <c r="M251" s="271"/>
      <c r="N251" s="467"/>
    </row>
    <row r="252" spans="1:14" s="45" customFormat="1" ht="16.5">
      <c r="A252" s="658"/>
      <c r="B252" s="125"/>
      <c r="C252" s="380" t="s">
        <v>180</v>
      </c>
      <c r="D252" s="125" t="s">
        <v>21</v>
      </c>
      <c r="E252" s="171">
        <v>5.3800000000000001E-2</v>
      </c>
      <c r="F252" s="171">
        <f>F250*E252</f>
        <v>32.28</v>
      </c>
      <c r="G252" s="64"/>
      <c r="H252" s="271"/>
      <c r="I252" s="64"/>
      <c r="J252" s="271"/>
      <c r="K252" s="65"/>
      <c r="L252" s="271"/>
      <c r="M252" s="271"/>
      <c r="N252" s="467"/>
    </row>
    <row r="253" spans="1:14" s="45" customFormat="1" ht="16.5">
      <c r="A253" s="658"/>
      <c r="B253" s="125"/>
      <c r="C253" s="495" t="s">
        <v>508</v>
      </c>
      <c r="D253" s="125" t="s">
        <v>179</v>
      </c>
      <c r="E253" s="171">
        <v>1.01</v>
      </c>
      <c r="F253" s="171">
        <f>F250*E253</f>
        <v>606</v>
      </c>
      <c r="G253" s="64"/>
      <c r="H253" s="271"/>
      <c r="I253" s="64"/>
      <c r="J253" s="271"/>
      <c r="K253" s="65"/>
      <c r="L253" s="271"/>
      <c r="M253" s="271"/>
      <c r="N253" s="467"/>
    </row>
    <row r="254" spans="1:14" s="45" customFormat="1" ht="16.5">
      <c r="A254" s="668"/>
      <c r="B254" s="125"/>
      <c r="C254" s="380" t="s">
        <v>108</v>
      </c>
      <c r="D254" s="125" t="s">
        <v>21</v>
      </c>
      <c r="E254" s="171">
        <v>1.1999999999999999E-3</v>
      </c>
      <c r="F254" s="171">
        <f>F250*E254</f>
        <v>0.72</v>
      </c>
      <c r="G254" s="64"/>
      <c r="H254" s="271"/>
      <c r="I254" s="64"/>
      <c r="J254" s="271"/>
      <c r="K254" s="65"/>
      <c r="L254" s="271"/>
      <c r="M254" s="271"/>
      <c r="N254" s="467"/>
    </row>
    <row r="255" spans="1:14" s="45" customFormat="1" ht="27">
      <c r="A255" s="669">
        <v>6</v>
      </c>
      <c r="B255" s="81" t="s">
        <v>181</v>
      </c>
      <c r="C255" s="403" t="s">
        <v>182</v>
      </c>
      <c r="D255" s="81" t="s">
        <v>179</v>
      </c>
      <c r="E255" s="176"/>
      <c r="F255" s="176">
        <f>600</f>
        <v>600</v>
      </c>
      <c r="G255" s="64"/>
      <c r="H255" s="271"/>
      <c r="I255" s="64"/>
      <c r="J255" s="271"/>
      <c r="K255" s="65"/>
      <c r="L255" s="271"/>
      <c r="M255" s="271"/>
      <c r="N255" s="467"/>
    </row>
    <row r="256" spans="1:14" s="45" customFormat="1" ht="16.5">
      <c r="A256" s="670"/>
      <c r="B256" s="366"/>
      <c r="C256" s="387" t="s">
        <v>76</v>
      </c>
      <c r="D256" s="125" t="s">
        <v>77</v>
      </c>
      <c r="E256" s="177">
        <f>11/1000</f>
        <v>1.0999999999999999E-2</v>
      </c>
      <c r="F256" s="177">
        <f>F255*E256</f>
        <v>6.6</v>
      </c>
      <c r="G256" s="64"/>
      <c r="H256" s="271"/>
      <c r="I256" s="64"/>
      <c r="J256" s="271"/>
      <c r="K256" s="65"/>
      <c r="L256" s="271"/>
      <c r="M256" s="271"/>
      <c r="N256" s="467"/>
    </row>
    <row r="257" spans="1:14" s="45" customFormat="1" ht="16.5">
      <c r="A257" s="671"/>
      <c r="B257" s="128"/>
      <c r="C257" s="496" t="s">
        <v>183</v>
      </c>
      <c r="D257" s="129" t="s">
        <v>179</v>
      </c>
      <c r="E257" s="497"/>
      <c r="F257" s="497">
        <f>F255</f>
        <v>600</v>
      </c>
      <c r="G257" s="64"/>
      <c r="H257" s="271"/>
      <c r="I257" s="64"/>
      <c r="J257" s="271"/>
      <c r="K257" s="65"/>
      <c r="L257" s="271"/>
      <c r="M257" s="271"/>
      <c r="N257" s="467"/>
    </row>
    <row r="258" spans="1:14" s="45" customFormat="1" ht="27">
      <c r="A258" s="672">
        <v>7</v>
      </c>
      <c r="B258" s="130" t="s">
        <v>71</v>
      </c>
      <c r="C258" s="498" t="s">
        <v>184</v>
      </c>
      <c r="D258" s="130" t="s">
        <v>178</v>
      </c>
      <c r="E258" s="172"/>
      <c r="F258" s="499">
        <f>600*0.25*(0.7-0.25)</f>
        <v>67.5</v>
      </c>
      <c r="G258" s="64"/>
      <c r="H258" s="271"/>
      <c r="I258" s="64"/>
      <c r="J258" s="271"/>
      <c r="K258" s="65"/>
      <c r="L258" s="271"/>
      <c r="M258" s="271"/>
      <c r="N258" s="467"/>
    </row>
    <row r="259" spans="1:14" s="45" customFormat="1" ht="16.5">
      <c r="A259" s="673"/>
      <c r="B259" s="36"/>
      <c r="C259" s="500" t="s">
        <v>76</v>
      </c>
      <c r="D259" s="36" t="s">
        <v>77</v>
      </c>
      <c r="E259" s="172">
        <v>1.21</v>
      </c>
      <c r="F259" s="172">
        <f>F258*E259</f>
        <v>81.674999999999997</v>
      </c>
      <c r="G259" s="64"/>
      <c r="H259" s="271"/>
      <c r="I259" s="64"/>
      <c r="J259" s="271"/>
      <c r="K259" s="65"/>
      <c r="L259" s="271"/>
      <c r="M259" s="271"/>
      <c r="N259" s="467"/>
    </row>
    <row r="260" spans="1:14" s="45" customFormat="1" ht="27">
      <c r="A260" s="657">
        <v>8</v>
      </c>
      <c r="B260" s="124" t="s">
        <v>72</v>
      </c>
      <c r="C260" s="402" t="s">
        <v>185</v>
      </c>
      <c r="D260" s="124" t="s">
        <v>178</v>
      </c>
      <c r="E260" s="171"/>
      <c r="F260" s="488">
        <f>0.4*0.4*(0.8)*F241</f>
        <v>3.8400000000000007</v>
      </c>
      <c r="G260" s="64"/>
      <c r="H260" s="271"/>
      <c r="I260" s="64"/>
      <c r="J260" s="271"/>
      <c r="K260" s="65"/>
      <c r="L260" s="271"/>
      <c r="M260" s="271"/>
      <c r="N260" s="467"/>
    </row>
    <row r="261" spans="1:14" s="45" customFormat="1" ht="16.5">
      <c r="A261" s="658"/>
      <c r="B261" s="125"/>
      <c r="C261" s="380" t="s">
        <v>76</v>
      </c>
      <c r="D261" s="125" t="s">
        <v>77</v>
      </c>
      <c r="E261" s="171">
        <v>1.37</v>
      </c>
      <c r="F261" s="171">
        <f>F260*E261</f>
        <v>5.2608000000000015</v>
      </c>
      <c r="G261" s="64"/>
      <c r="H261" s="271"/>
      <c r="I261" s="64"/>
      <c r="J261" s="271"/>
      <c r="K261" s="65"/>
      <c r="L261" s="271"/>
      <c r="M261" s="271"/>
      <c r="N261" s="467"/>
    </row>
    <row r="262" spans="1:14" s="45" customFormat="1" ht="16.5">
      <c r="A262" s="658"/>
      <c r="B262" s="125"/>
      <c r="C262" s="380" t="s">
        <v>180</v>
      </c>
      <c r="D262" s="125" t="s">
        <v>21</v>
      </c>
      <c r="E262" s="171">
        <v>0.28299999999999997</v>
      </c>
      <c r="F262" s="171">
        <f>F260*E262</f>
        <v>1.0867200000000001</v>
      </c>
      <c r="G262" s="64"/>
      <c r="H262" s="271"/>
      <c r="I262" s="64"/>
      <c r="J262" s="271"/>
      <c r="K262" s="65"/>
      <c r="L262" s="271"/>
      <c r="M262" s="271"/>
      <c r="N262" s="467"/>
    </row>
    <row r="263" spans="1:14" s="45" customFormat="1" ht="16.5">
      <c r="A263" s="658"/>
      <c r="B263" s="125"/>
      <c r="C263" s="380" t="s">
        <v>186</v>
      </c>
      <c r="D263" s="125" t="s">
        <v>178</v>
      </c>
      <c r="E263" s="171">
        <v>1.02</v>
      </c>
      <c r="F263" s="171">
        <f>F260*E263</f>
        <v>3.9168000000000007</v>
      </c>
      <c r="G263" s="64"/>
      <c r="H263" s="271"/>
      <c r="I263" s="64"/>
      <c r="J263" s="271"/>
      <c r="K263" s="65"/>
      <c r="L263" s="271"/>
      <c r="M263" s="271"/>
      <c r="N263" s="467"/>
    </row>
    <row r="264" spans="1:14" s="45" customFormat="1" ht="16.5">
      <c r="A264" s="658"/>
      <c r="B264" s="363"/>
      <c r="C264" s="66" t="s">
        <v>187</v>
      </c>
      <c r="D264" s="363" t="s">
        <v>188</v>
      </c>
      <c r="E264" s="171">
        <v>1.03</v>
      </c>
      <c r="F264" s="171">
        <f>0.4*4*2*1.03*0.395/1000*F241</f>
        <v>3.9057600000000005E-2</v>
      </c>
      <c r="G264" s="64"/>
      <c r="H264" s="271"/>
      <c r="I264" s="64"/>
      <c r="J264" s="271"/>
      <c r="K264" s="65"/>
      <c r="L264" s="271"/>
      <c r="M264" s="271"/>
      <c r="N264" s="467"/>
    </row>
    <row r="265" spans="1:14" s="45" customFormat="1" ht="16.5">
      <c r="A265" s="658"/>
      <c r="B265" s="365"/>
      <c r="C265" s="500" t="s">
        <v>189</v>
      </c>
      <c r="D265" s="131" t="s">
        <v>21</v>
      </c>
      <c r="E265" s="172">
        <v>0.62</v>
      </c>
      <c r="F265" s="172">
        <f>F260*E265</f>
        <v>2.3808000000000002</v>
      </c>
      <c r="G265" s="64"/>
      <c r="H265" s="271"/>
      <c r="I265" s="271"/>
      <c r="J265" s="271"/>
      <c r="K265" s="65"/>
      <c r="L265" s="271"/>
      <c r="M265" s="271"/>
      <c r="N265" s="467"/>
    </row>
    <row r="266" spans="1:14" s="45" customFormat="1" ht="16.5">
      <c r="A266" s="55"/>
      <c r="B266" s="55"/>
      <c r="C266" s="55" t="s">
        <v>172</v>
      </c>
      <c r="D266" s="132"/>
      <c r="E266" s="501"/>
      <c r="F266" s="341"/>
      <c r="G266" s="502"/>
      <c r="H266" s="503"/>
      <c r="I266" s="502"/>
      <c r="J266" s="503"/>
      <c r="K266" s="504"/>
      <c r="L266" s="503"/>
      <c r="M266" s="503"/>
      <c r="N266" s="541">
        <f>H266+J266+L266</f>
        <v>0</v>
      </c>
    </row>
    <row r="267" spans="1:14" s="45" customFormat="1" ht="40.5">
      <c r="A267" s="363"/>
      <c r="B267" s="21"/>
      <c r="C267" s="21" t="s">
        <v>173</v>
      </c>
      <c r="D267" s="56"/>
      <c r="E267" s="505"/>
      <c r="F267" s="406" t="s">
        <v>554</v>
      </c>
      <c r="G267" s="506"/>
      <c r="H267" s="506"/>
      <c r="I267" s="506"/>
      <c r="J267" s="506"/>
      <c r="K267" s="506"/>
      <c r="L267" s="506"/>
      <c r="M267" s="507"/>
      <c r="N267" s="467"/>
    </row>
    <row r="268" spans="1:14" s="45" customFormat="1" ht="16.5">
      <c r="A268" s="363"/>
      <c r="B268" s="21"/>
      <c r="C268" s="409" t="s">
        <v>19</v>
      </c>
      <c r="D268" s="56"/>
      <c r="E268" s="505"/>
      <c r="F268" s="505"/>
      <c r="G268" s="506"/>
      <c r="H268" s="506"/>
      <c r="I268" s="506"/>
      <c r="J268" s="506"/>
      <c r="K268" s="506"/>
      <c r="L268" s="506"/>
      <c r="M268" s="507"/>
      <c r="N268" s="467"/>
    </row>
    <row r="269" spans="1:14" s="45" customFormat="1" ht="16.5">
      <c r="A269" s="154"/>
      <c r="B269" s="56"/>
      <c r="C269" s="21" t="s">
        <v>190</v>
      </c>
      <c r="D269" s="56"/>
      <c r="E269" s="505"/>
      <c r="F269" s="410" t="s">
        <v>554</v>
      </c>
      <c r="G269" s="506"/>
      <c r="H269" s="506"/>
      <c r="I269" s="506"/>
      <c r="J269" s="506"/>
      <c r="K269" s="506"/>
      <c r="L269" s="506"/>
      <c r="M269" s="507"/>
      <c r="N269" s="467"/>
    </row>
    <row r="270" spans="1:14" s="45" customFormat="1" ht="16.5">
      <c r="A270" s="133"/>
      <c r="B270" s="134"/>
      <c r="C270" s="134" t="s">
        <v>191</v>
      </c>
      <c r="D270" s="134"/>
      <c r="E270" s="508"/>
      <c r="F270" s="508"/>
      <c r="G270" s="509"/>
      <c r="H270" s="509"/>
      <c r="I270" s="509"/>
      <c r="J270" s="509"/>
      <c r="K270" s="509"/>
      <c r="L270" s="509"/>
      <c r="M270" s="509"/>
      <c r="N270" s="467"/>
    </row>
    <row r="271" spans="1:14" s="45" customFormat="1" ht="16.5">
      <c r="A271" s="135"/>
      <c r="B271" s="135"/>
      <c r="C271" s="136" t="s">
        <v>192</v>
      </c>
      <c r="D271" s="136"/>
      <c r="E271" s="510"/>
      <c r="F271" s="510"/>
      <c r="G271" s="511"/>
      <c r="H271" s="512"/>
      <c r="I271" s="511"/>
      <c r="J271" s="512"/>
      <c r="K271" s="513"/>
      <c r="L271" s="512"/>
      <c r="M271" s="512"/>
      <c r="N271" s="467"/>
    </row>
    <row r="272" spans="1:14" s="45" customFormat="1" ht="27">
      <c r="A272" s="625" t="s">
        <v>57</v>
      </c>
      <c r="B272" s="34" t="s">
        <v>74</v>
      </c>
      <c r="C272" s="154" t="s">
        <v>193</v>
      </c>
      <c r="D272" s="363" t="s">
        <v>75</v>
      </c>
      <c r="E272" s="270"/>
      <c r="F272" s="7">
        <f>F275</f>
        <v>30</v>
      </c>
      <c r="G272" s="271"/>
      <c r="H272" s="271"/>
      <c r="I272" s="271"/>
      <c r="J272" s="271"/>
      <c r="K272" s="271"/>
      <c r="L272" s="271"/>
      <c r="M272" s="271"/>
      <c r="N272" s="467"/>
    </row>
    <row r="273" spans="1:14" s="45" customFormat="1" ht="16.5">
      <c r="A273" s="625"/>
      <c r="B273" s="36"/>
      <c r="C273" s="514" t="s">
        <v>76</v>
      </c>
      <c r="D273" s="36" t="s">
        <v>77</v>
      </c>
      <c r="E273" s="172">
        <v>1</v>
      </c>
      <c r="F273" s="172">
        <f>F272*E273</f>
        <v>30</v>
      </c>
      <c r="G273" s="64"/>
      <c r="H273" s="271"/>
      <c r="I273" s="64"/>
      <c r="J273" s="271"/>
      <c r="K273" s="65"/>
      <c r="L273" s="271"/>
      <c r="M273" s="271"/>
      <c r="N273" s="467"/>
    </row>
    <row r="274" spans="1:14" s="45" customFormat="1" ht="16.5">
      <c r="A274" s="625"/>
      <c r="B274" s="36"/>
      <c r="C274" s="514" t="s">
        <v>7</v>
      </c>
      <c r="D274" s="36" t="s">
        <v>6</v>
      </c>
      <c r="E274" s="172">
        <v>1.1599999999999999</v>
      </c>
      <c r="F274" s="172">
        <f>F272*E274</f>
        <v>34.799999999999997</v>
      </c>
      <c r="G274" s="64"/>
      <c r="H274" s="271"/>
      <c r="I274" s="64"/>
      <c r="J274" s="271"/>
      <c r="K274" s="65"/>
      <c r="L274" s="271"/>
      <c r="M274" s="271"/>
      <c r="N274" s="467"/>
    </row>
    <row r="275" spans="1:14" s="45" customFormat="1" ht="40.5">
      <c r="A275" s="625"/>
      <c r="B275" s="363"/>
      <c r="C275" s="66" t="s">
        <v>500</v>
      </c>
      <c r="D275" s="363" t="s">
        <v>78</v>
      </c>
      <c r="E275" s="270"/>
      <c r="F275" s="270">
        <f>F242</f>
        <v>30</v>
      </c>
      <c r="G275" s="271"/>
      <c r="H275" s="271"/>
      <c r="I275" s="64"/>
      <c r="J275" s="271"/>
      <c r="K275" s="271"/>
      <c r="L275" s="271"/>
      <c r="M275" s="271"/>
      <c r="N275" s="539" t="s">
        <v>469</v>
      </c>
    </row>
    <row r="276" spans="1:14" s="45" customFormat="1" ht="16.5">
      <c r="A276" s="625"/>
      <c r="B276" s="363"/>
      <c r="C276" s="66" t="s">
        <v>56</v>
      </c>
      <c r="D276" s="363" t="s">
        <v>6</v>
      </c>
      <c r="E276" s="270">
        <v>0.05</v>
      </c>
      <c r="F276" s="270">
        <f>F272*E276</f>
        <v>1.5</v>
      </c>
      <c r="G276" s="271"/>
      <c r="H276" s="271"/>
      <c r="I276" s="64"/>
      <c r="J276" s="271"/>
      <c r="K276" s="271"/>
      <c r="L276" s="271"/>
      <c r="M276" s="271"/>
      <c r="N276" s="467"/>
    </row>
    <row r="277" spans="1:14" s="45" customFormat="1" ht="16.5">
      <c r="A277" s="626" t="s">
        <v>91</v>
      </c>
      <c r="B277" s="154" t="s">
        <v>100</v>
      </c>
      <c r="C277" s="515" t="s">
        <v>194</v>
      </c>
      <c r="D277" s="363" t="s">
        <v>101</v>
      </c>
      <c r="E277" s="270"/>
      <c r="F277" s="7">
        <f>F279+F280</f>
        <v>750</v>
      </c>
      <c r="G277" s="516"/>
      <c r="H277" s="63"/>
      <c r="I277" s="516"/>
      <c r="J277" s="271"/>
      <c r="K277" s="271"/>
      <c r="L277" s="271"/>
      <c r="M277" s="271"/>
      <c r="N277" s="467"/>
    </row>
    <row r="278" spans="1:14" s="45" customFormat="1" ht="16.5">
      <c r="A278" s="636"/>
      <c r="B278" s="363"/>
      <c r="C278" s="66" t="s">
        <v>62</v>
      </c>
      <c r="D278" s="363" t="s">
        <v>20</v>
      </c>
      <c r="E278" s="270">
        <v>0.13900000000000001</v>
      </c>
      <c r="F278" s="270">
        <f>F277*E278</f>
        <v>104.25000000000001</v>
      </c>
      <c r="G278" s="271"/>
      <c r="H278" s="63"/>
      <c r="I278" s="271"/>
      <c r="J278" s="271"/>
      <c r="K278" s="271"/>
      <c r="L278" s="271"/>
      <c r="M278" s="271"/>
      <c r="N278" s="467"/>
    </row>
    <row r="279" spans="1:14" s="45" customFormat="1" ht="16.5">
      <c r="A279" s="636"/>
      <c r="B279" s="363"/>
      <c r="C279" s="66" t="s">
        <v>501</v>
      </c>
      <c r="D279" s="363" t="s">
        <v>50</v>
      </c>
      <c r="E279" s="270"/>
      <c r="F279" s="270">
        <v>600</v>
      </c>
      <c r="G279" s="271"/>
      <c r="H279" s="271"/>
      <c r="I279" s="64"/>
      <c r="J279" s="271"/>
      <c r="K279" s="271"/>
      <c r="L279" s="271"/>
      <c r="M279" s="271"/>
      <c r="N279" s="467"/>
    </row>
    <row r="280" spans="1:14" s="45" customFormat="1" ht="16.5">
      <c r="A280" s="636"/>
      <c r="B280" s="363"/>
      <c r="C280" s="66" t="s">
        <v>502</v>
      </c>
      <c r="D280" s="363" t="s">
        <v>50</v>
      </c>
      <c r="E280" s="270"/>
      <c r="F280" s="270">
        <v>150</v>
      </c>
      <c r="G280" s="271"/>
      <c r="H280" s="271"/>
      <c r="I280" s="64"/>
      <c r="J280" s="271"/>
      <c r="K280" s="271"/>
      <c r="L280" s="271"/>
      <c r="M280" s="271"/>
      <c r="N280" s="467"/>
    </row>
    <row r="281" spans="1:14" s="45" customFormat="1" ht="16.5">
      <c r="A281" s="627"/>
      <c r="B281" s="363"/>
      <c r="C281" s="66" t="s">
        <v>102</v>
      </c>
      <c r="D281" s="363" t="s">
        <v>21</v>
      </c>
      <c r="E281" s="270">
        <v>9.7000000000000003E-3</v>
      </c>
      <c r="F281" s="172">
        <f>F277*E281</f>
        <v>7.2750000000000004</v>
      </c>
      <c r="G281" s="271"/>
      <c r="H281" s="63"/>
      <c r="I281" s="64"/>
      <c r="J281" s="271"/>
      <c r="K281" s="271"/>
      <c r="L281" s="271"/>
      <c r="M281" s="271"/>
      <c r="N281" s="467"/>
    </row>
    <row r="282" spans="1:14" s="45" customFormat="1" ht="16.5">
      <c r="A282" s="363"/>
      <c r="B282" s="363"/>
      <c r="C282" s="66"/>
      <c r="D282" s="363"/>
      <c r="E282" s="270"/>
      <c r="F282" s="270"/>
      <c r="G282" s="271"/>
      <c r="H282" s="271"/>
      <c r="I282" s="64"/>
      <c r="J282" s="271"/>
      <c r="K282" s="271"/>
      <c r="L282" s="271"/>
      <c r="M282" s="271"/>
      <c r="N282" s="467"/>
    </row>
    <row r="283" spans="1:14" s="45" customFormat="1" ht="16.5">
      <c r="A283" s="662" t="s">
        <v>79</v>
      </c>
      <c r="B283" s="154" t="s">
        <v>195</v>
      </c>
      <c r="C283" s="50" t="s">
        <v>196</v>
      </c>
      <c r="D283" s="363"/>
      <c r="E283" s="270"/>
      <c r="F283" s="172" t="s">
        <v>98</v>
      </c>
      <c r="G283" s="271"/>
      <c r="H283" s="63"/>
      <c r="I283" s="64"/>
      <c r="J283" s="271"/>
      <c r="K283" s="271"/>
      <c r="L283" s="271"/>
      <c r="M283" s="271"/>
      <c r="N283" s="467"/>
    </row>
    <row r="284" spans="1:14" s="45" customFormat="1" ht="16.5">
      <c r="A284" s="663"/>
      <c r="B284" s="363"/>
      <c r="C284" s="66" t="s">
        <v>62</v>
      </c>
      <c r="D284" s="363" t="s">
        <v>20</v>
      </c>
      <c r="E284" s="270">
        <v>7.05</v>
      </c>
      <c r="F284" s="270">
        <f>F283*E284</f>
        <v>7.05</v>
      </c>
      <c r="G284" s="271"/>
      <c r="H284" s="63"/>
      <c r="I284" s="271"/>
      <c r="J284" s="63"/>
      <c r="K284" s="271"/>
      <c r="L284" s="63"/>
      <c r="M284" s="271"/>
      <c r="N284" s="467"/>
    </row>
    <row r="285" spans="1:14" s="45" customFormat="1" ht="26.25">
      <c r="A285" s="663"/>
      <c r="B285" s="439"/>
      <c r="C285" s="66" t="s">
        <v>470</v>
      </c>
      <c r="D285" s="363" t="s">
        <v>58</v>
      </c>
      <c r="E285" s="270"/>
      <c r="F285" s="172">
        <v>1</v>
      </c>
      <c r="G285" s="271"/>
      <c r="H285" s="271"/>
      <c r="I285" s="64"/>
      <c r="J285" s="271"/>
      <c r="K285" s="271"/>
      <c r="L285" s="271"/>
      <c r="M285" s="271"/>
      <c r="N285" s="467"/>
    </row>
    <row r="286" spans="1:14" s="45" customFormat="1" ht="16.5">
      <c r="A286" s="663"/>
      <c r="B286" s="439"/>
      <c r="C286" s="66" t="s">
        <v>252</v>
      </c>
      <c r="D286" s="363" t="s">
        <v>58</v>
      </c>
      <c r="E286" s="270"/>
      <c r="F286" s="172">
        <v>30</v>
      </c>
      <c r="G286" s="271"/>
      <c r="H286" s="271"/>
      <c r="I286" s="64"/>
      <c r="J286" s="271"/>
      <c r="K286" s="271"/>
      <c r="L286" s="271"/>
      <c r="M286" s="271"/>
      <c r="N286" s="467"/>
    </row>
    <row r="287" spans="1:14" s="45" customFormat="1" ht="27">
      <c r="A287" s="663"/>
      <c r="B287" s="363"/>
      <c r="C287" s="66" t="s">
        <v>513</v>
      </c>
      <c r="D287" s="363" t="s">
        <v>58</v>
      </c>
      <c r="E287" s="270"/>
      <c r="F287" s="172">
        <v>1</v>
      </c>
      <c r="G287" s="271"/>
      <c r="H287" s="271"/>
      <c r="I287" s="64"/>
      <c r="J287" s="271"/>
      <c r="K287" s="271"/>
      <c r="L287" s="271"/>
      <c r="M287" s="271"/>
      <c r="N287" s="467"/>
    </row>
    <row r="288" spans="1:14" s="45" customFormat="1" ht="27">
      <c r="A288" s="663"/>
      <c r="B288" s="363"/>
      <c r="C288" s="66" t="s">
        <v>522</v>
      </c>
      <c r="D288" s="363" t="s">
        <v>58</v>
      </c>
      <c r="E288" s="270"/>
      <c r="F288" s="172">
        <v>1</v>
      </c>
      <c r="G288" s="271"/>
      <c r="H288" s="271"/>
      <c r="I288" s="64"/>
      <c r="J288" s="271"/>
      <c r="K288" s="271"/>
      <c r="L288" s="271"/>
      <c r="M288" s="271"/>
      <c r="N288" s="467"/>
    </row>
    <row r="289" spans="1:14" s="45" customFormat="1" ht="27">
      <c r="A289" s="663"/>
      <c r="B289" s="363"/>
      <c r="C289" s="66" t="s">
        <v>521</v>
      </c>
      <c r="D289" s="363" t="s">
        <v>58</v>
      </c>
      <c r="E289" s="270"/>
      <c r="F289" s="172">
        <v>30</v>
      </c>
      <c r="G289" s="271"/>
      <c r="H289" s="271"/>
      <c r="I289" s="64"/>
      <c r="J289" s="271"/>
      <c r="K289" s="271"/>
      <c r="L289" s="271"/>
      <c r="M289" s="271"/>
      <c r="N289" s="467"/>
    </row>
    <row r="290" spans="1:14" s="45" customFormat="1" ht="16.5">
      <c r="A290" s="663"/>
      <c r="B290" s="363"/>
      <c r="C290" s="66" t="s">
        <v>512</v>
      </c>
      <c r="D290" s="363" t="s">
        <v>58</v>
      </c>
      <c r="E290" s="270"/>
      <c r="F290" s="172">
        <v>1</v>
      </c>
      <c r="G290" s="271"/>
      <c r="H290" s="271"/>
      <c r="I290" s="64"/>
      <c r="J290" s="271"/>
      <c r="K290" s="271"/>
      <c r="L290" s="271"/>
      <c r="M290" s="271"/>
      <c r="N290" s="467"/>
    </row>
    <row r="291" spans="1:14" s="45" customFormat="1" ht="16.5">
      <c r="A291" s="663"/>
      <c r="B291" s="363"/>
      <c r="C291" s="66" t="s">
        <v>251</v>
      </c>
      <c r="D291" s="363" t="s">
        <v>58</v>
      </c>
      <c r="E291" s="270"/>
      <c r="F291" s="172">
        <v>1</v>
      </c>
      <c r="G291" s="271"/>
      <c r="H291" s="271"/>
      <c r="I291" s="64"/>
      <c r="J291" s="271"/>
      <c r="K291" s="271"/>
      <c r="L291" s="271"/>
      <c r="M291" s="271"/>
      <c r="N291" s="467"/>
    </row>
    <row r="292" spans="1:14" s="45" customFormat="1" ht="16.5">
      <c r="A292" s="663"/>
      <c r="B292" s="363"/>
      <c r="C292" s="66" t="s">
        <v>197</v>
      </c>
      <c r="D292" s="363" t="s">
        <v>58</v>
      </c>
      <c r="E292" s="270"/>
      <c r="F292" s="172">
        <v>1</v>
      </c>
      <c r="G292" s="271"/>
      <c r="H292" s="271"/>
      <c r="I292" s="64"/>
      <c r="J292" s="271"/>
      <c r="K292" s="271"/>
      <c r="L292" s="271"/>
      <c r="M292" s="271"/>
      <c r="N292" s="467"/>
    </row>
    <row r="293" spans="1:14" s="45" customFormat="1" ht="16.5">
      <c r="A293" s="664"/>
      <c r="B293" s="363"/>
      <c r="C293" s="66" t="s">
        <v>230</v>
      </c>
      <c r="D293" s="363" t="s">
        <v>58</v>
      </c>
      <c r="E293" s="270"/>
      <c r="F293" s="172">
        <v>1</v>
      </c>
      <c r="G293" s="271"/>
      <c r="H293" s="271"/>
      <c r="I293" s="64"/>
      <c r="J293" s="271"/>
      <c r="K293" s="271"/>
      <c r="L293" s="271"/>
      <c r="M293" s="271"/>
      <c r="N293" s="467"/>
    </row>
    <row r="294" spans="1:14" s="45" customFormat="1" ht="16.5">
      <c r="A294" s="363" t="s">
        <v>93</v>
      </c>
      <c r="B294" s="363"/>
      <c r="C294" s="55" t="s">
        <v>80</v>
      </c>
      <c r="D294" s="363"/>
      <c r="E294" s="517"/>
      <c r="F294" s="517"/>
      <c r="G294" s="518"/>
      <c r="H294" s="518"/>
      <c r="I294" s="519"/>
      <c r="J294" s="518"/>
      <c r="K294" s="518"/>
      <c r="L294" s="518"/>
      <c r="M294" s="271"/>
      <c r="N294" s="467"/>
    </row>
    <row r="295" spans="1:14" s="45" customFormat="1" ht="40.5">
      <c r="A295" s="659" t="s">
        <v>144</v>
      </c>
      <c r="B295" s="22" t="s">
        <v>81</v>
      </c>
      <c r="C295" s="431" t="s">
        <v>233</v>
      </c>
      <c r="D295" s="39" t="s">
        <v>58</v>
      </c>
      <c r="E295" s="173"/>
      <c r="F295" s="391">
        <f>F298</f>
        <v>30</v>
      </c>
      <c r="G295" s="385"/>
      <c r="H295" s="520"/>
      <c r="I295" s="520"/>
      <c r="J295" s="520"/>
      <c r="K295" s="520"/>
      <c r="L295" s="520"/>
      <c r="M295" s="271"/>
      <c r="N295" s="467"/>
    </row>
    <row r="296" spans="1:14" s="45" customFormat="1" ht="16.5">
      <c r="A296" s="660"/>
      <c r="B296" s="189"/>
      <c r="C296" s="108" t="s">
        <v>42</v>
      </c>
      <c r="D296" s="39" t="s">
        <v>8</v>
      </c>
      <c r="E296" s="174">
        <v>0.9</v>
      </c>
      <c r="F296" s="24">
        <f>E296*F295</f>
        <v>27</v>
      </c>
      <c r="G296" s="385"/>
      <c r="H296" s="520"/>
      <c r="I296" s="520"/>
      <c r="J296" s="520"/>
      <c r="K296" s="520"/>
      <c r="L296" s="520"/>
      <c r="M296" s="271"/>
      <c r="N296" s="467"/>
    </row>
    <row r="297" spans="1:14" s="45" customFormat="1" ht="16.5">
      <c r="A297" s="660"/>
      <c r="B297" s="189"/>
      <c r="C297" s="137" t="s">
        <v>7</v>
      </c>
      <c r="D297" s="39" t="s">
        <v>6</v>
      </c>
      <c r="E297" s="174">
        <v>7.0000000000000007E-2</v>
      </c>
      <c r="F297" s="174">
        <f>E297*F295</f>
        <v>2.1</v>
      </c>
      <c r="G297" s="385"/>
      <c r="H297" s="520"/>
      <c r="I297" s="520"/>
      <c r="J297" s="520"/>
      <c r="K297" s="520"/>
      <c r="L297" s="520"/>
      <c r="M297" s="271"/>
      <c r="N297" s="467"/>
    </row>
    <row r="298" spans="1:14" s="45" customFormat="1" ht="26.25">
      <c r="A298" s="660"/>
      <c r="B298" s="40"/>
      <c r="C298" s="137" t="s">
        <v>503</v>
      </c>
      <c r="D298" s="41" t="s">
        <v>58</v>
      </c>
      <c r="E298" s="175"/>
      <c r="F298" s="24">
        <v>30</v>
      </c>
      <c r="G298" s="385"/>
      <c r="H298" s="520"/>
      <c r="I298" s="520"/>
      <c r="J298" s="520"/>
      <c r="K298" s="520"/>
      <c r="L298" s="520"/>
      <c r="M298" s="271"/>
      <c r="N298" s="467"/>
    </row>
    <row r="299" spans="1:14" s="45" customFormat="1" ht="16.5">
      <c r="A299" s="661"/>
      <c r="B299" s="189"/>
      <c r="C299" s="108" t="s">
        <v>9</v>
      </c>
      <c r="D299" s="39" t="s">
        <v>6</v>
      </c>
      <c r="E299" s="174">
        <v>0.14000000000000001</v>
      </c>
      <c r="F299" s="24">
        <f>E299*F295</f>
        <v>4.2</v>
      </c>
      <c r="G299" s="385"/>
      <c r="H299" s="520"/>
      <c r="I299" s="385"/>
      <c r="J299" s="520"/>
      <c r="K299" s="385"/>
      <c r="L299" s="520"/>
      <c r="M299" s="271"/>
      <c r="N299" s="467"/>
    </row>
    <row r="300" spans="1:14" s="45" customFormat="1" ht="40.5">
      <c r="A300" s="659" t="s">
        <v>146</v>
      </c>
      <c r="B300" s="22" t="s">
        <v>231</v>
      </c>
      <c r="C300" s="431" t="s">
        <v>232</v>
      </c>
      <c r="D300" s="41" t="s">
        <v>50</v>
      </c>
      <c r="E300" s="173"/>
      <c r="F300" s="391">
        <f>F303</f>
        <v>50</v>
      </c>
      <c r="G300" s="385"/>
      <c r="H300" s="520"/>
      <c r="I300" s="520"/>
      <c r="J300" s="520"/>
      <c r="K300" s="520"/>
      <c r="L300" s="520"/>
      <c r="M300" s="271"/>
      <c r="N300" s="467"/>
    </row>
    <row r="301" spans="1:14" s="45" customFormat="1" ht="16.5">
      <c r="A301" s="660"/>
      <c r="B301" s="189"/>
      <c r="C301" s="108" t="s">
        <v>42</v>
      </c>
      <c r="D301" s="39" t="s">
        <v>8</v>
      </c>
      <c r="E301" s="174">
        <v>0.26</v>
      </c>
      <c r="F301" s="24">
        <f>E301*F300</f>
        <v>13</v>
      </c>
      <c r="G301" s="385"/>
      <c r="H301" s="520"/>
      <c r="I301" s="520"/>
      <c r="J301" s="520"/>
      <c r="K301" s="520"/>
      <c r="L301" s="520"/>
      <c r="M301" s="271"/>
      <c r="N301" s="467"/>
    </row>
    <row r="302" spans="1:14" s="45" customFormat="1" ht="16.5">
      <c r="A302" s="660"/>
      <c r="B302" s="189"/>
      <c r="C302" s="137" t="s">
        <v>7</v>
      </c>
      <c r="D302" s="39" t="s">
        <v>6</v>
      </c>
      <c r="E302" s="174">
        <v>1.6E-2</v>
      </c>
      <c r="F302" s="174">
        <f>E302*F300</f>
        <v>0.8</v>
      </c>
      <c r="G302" s="385"/>
      <c r="H302" s="520"/>
      <c r="I302" s="520"/>
      <c r="J302" s="520"/>
      <c r="K302" s="520"/>
      <c r="L302" s="520"/>
      <c r="M302" s="271"/>
      <c r="N302" s="467"/>
    </row>
    <row r="303" spans="1:14" s="45" customFormat="1" ht="16.5">
      <c r="A303" s="660"/>
      <c r="B303" s="40"/>
      <c r="C303" s="137" t="s">
        <v>504</v>
      </c>
      <c r="D303" s="41" t="s">
        <v>50</v>
      </c>
      <c r="E303" s="175"/>
      <c r="F303" s="391">
        <v>50</v>
      </c>
      <c r="G303" s="385"/>
      <c r="H303" s="520"/>
      <c r="I303" s="520"/>
      <c r="J303" s="520"/>
      <c r="K303" s="520"/>
      <c r="L303" s="520"/>
      <c r="M303" s="271"/>
      <c r="N303" s="467"/>
    </row>
    <row r="304" spans="1:14" s="45" customFormat="1" ht="16.5">
      <c r="A304" s="661"/>
      <c r="B304" s="189"/>
      <c r="C304" s="108" t="s">
        <v>9</v>
      </c>
      <c r="D304" s="39" t="s">
        <v>6</v>
      </c>
      <c r="E304" s="174">
        <v>0.35299999999999998</v>
      </c>
      <c r="F304" s="24">
        <f>E304*F300</f>
        <v>17.649999999999999</v>
      </c>
      <c r="G304" s="385"/>
      <c r="H304" s="520"/>
      <c r="I304" s="385"/>
      <c r="J304" s="520"/>
      <c r="K304" s="385"/>
      <c r="L304" s="520"/>
      <c r="M304" s="271"/>
      <c r="N304" s="467"/>
    </row>
    <row r="305" spans="1:14" s="45" customFormat="1" ht="16.5">
      <c r="A305" s="137"/>
      <c r="B305" s="40"/>
      <c r="C305" s="137"/>
      <c r="D305" s="41"/>
      <c r="E305" s="175"/>
      <c r="F305" s="24"/>
      <c r="G305" s="385"/>
      <c r="H305" s="520"/>
      <c r="I305" s="520"/>
      <c r="J305" s="520"/>
      <c r="K305" s="520"/>
      <c r="L305" s="520"/>
      <c r="M305" s="520"/>
      <c r="N305" s="467"/>
    </row>
    <row r="306" spans="1:14" s="45" customFormat="1" ht="16.5">
      <c r="A306" s="55"/>
      <c r="B306" s="55"/>
      <c r="C306" s="55" t="s">
        <v>172</v>
      </c>
      <c r="D306" s="55"/>
      <c r="E306" s="341"/>
      <c r="F306" s="341"/>
      <c r="G306" s="503"/>
      <c r="H306" s="503"/>
      <c r="I306" s="503"/>
      <c r="J306" s="503"/>
      <c r="K306" s="503"/>
      <c r="L306" s="503"/>
      <c r="M306" s="503"/>
      <c r="N306" s="541">
        <f>H306+J306+L306</f>
        <v>0</v>
      </c>
    </row>
    <row r="307" spans="1:14" s="45" customFormat="1" ht="40.5">
      <c r="A307" s="363"/>
      <c r="B307" s="21"/>
      <c r="C307" s="21" t="s">
        <v>173</v>
      </c>
      <c r="D307" s="56"/>
      <c r="E307" s="505"/>
      <c r="F307" s="406" t="s">
        <v>554</v>
      </c>
      <c r="G307" s="506"/>
      <c r="H307" s="506"/>
      <c r="I307" s="506"/>
      <c r="J307" s="506"/>
      <c r="K307" s="506"/>
      <c r="L307" s="506"/>
      <c r="M307" s="507"/>
      <c r="N307" s="467"/>
    </row>
    <row r="308" spans="1:14" s="45" customFormat="1" ht="16.5">
      <c r="A308" s="363"/>
      <c r="B308" s="21"/>
      <c r="C308" s="409" t="s">
        <v>19</v>
      </c>
      <c r="D308" s="56"/>
      <c r="E308" s="505"/>
      <c r="F308" s="505"/>
      <c r="G308" s="506"/>
      <c r="H308" s="506"/>
      <c r="I308" s="506"/>
      <c r="J308" s="506"/>
      <c r="K308" s="506"/>
      <c r="L308" s="506"/>
      <c r="M308" s="506"/>
      <c r="N308" s="467"/>
    </row>
    <row r="309" spans="1:14" s="45" customFormat="1" ht="40.5">
      <c r="A309" s="363"/>
      <c r="B309" s="363"/>
      <c r="C309" s="363" t="s">
        <v>198</v>
      </c>
      <c r="D309" s="154"/>
      <c r="E309" s="270"/>
      <c r="F309" s="521" t="s">
        <v>554</v>
      </c>
      <c r="G309" s="271"/>
      <c r="H309" s="271"/>
      <c r="I309" s="271"/>
      <c r="J309" s="271"/>
      <c r="K309" s="271"/>
      <c r="L309" s="271"/>
      <c r="M309" s="271"/>
      <c r="N309" s="467"/>
    </row>
    <row r="310" spans="1:14" s="45" customFormat="1" ht="16.5">
      <c r="A310" s="55"/>
      <c r="B310" s="55"/>
      <c r="C310" s="55" t="s">
        <v>199</v>
      </c>
      <c r="D310" s="55"/>
      <c r="E310" s="341"/>
      <c r="F310" s="341"/>
      <c r="G310" s="503"/>
      <c r="H310" s="503"/>
      <c r="I310" s="503"/>
      <c r="J310" s="503"/>
      <c r="K310" s="503"/>
      <c r="L310" s="503"/>
      <c r="M310" s="503"/>
      <c r="N310" s="467"/>
    </row>
    <row r="311" spans="1:14" s="45" customFormat="1" ht="16.5">
      <c r="A311" s="236"/>
      <c r="B311" s="237"/>
      <c r="C311" s="237" t="s">
        <v>200</v>
      </c>
      <c r="D311" s="237"/>
      <c r="E311" s="238"/>
      <c r="F311" s="238"/>
      <c r="G311" s="405"/>
      <c r="H311" s="405"/>
      <c r="I311" s="405"/>
      <c r="J311" s="405"/>
      <c r="K311" s="405"/>
      <c r="L311" s="405"/>
      <c r="M311" s="405"/>
      <c r="N311" s="467"/>
    </row>
    <row r="312" spans="1:14" s="45" customFormat="1" ht="27">
      <c r="A312" s="363"/>
      <c r="B312" s="363"/>
      <c r="C312" s="363" t="s">
        <v>257</v>
      </c>
      <c r="D312" s="154"/>
      <c r="E312" s="270"/>
      <c r="F312" s="521" t="s">
        <v>554</v>
      </c>
      <c r="G312" s="271"/>
      <c r="H312" s="271"/>
      <c r="I312" s="271"/>
      <c r="J312" s="271"/>
      <c r="K312" s="271"/>
      <c r="L312" s="271"/>
      <c r="M312" s="271"/>
      <c r="N312" s="467"/>
    </row>
    <row r="313" spans="1:14" s="45" customFormat="1" ht="16.5">
      <c r="A313" s="236"/>
      <c r="B313" s="237"/>
      <c r="C313" s="237" t="s">
        <v>411</v>
      </c>
      <c r="D313" s="237"/>
      <c r="E313" s="238"/>
      <c r="F313" s="238"/>
      <c r="G313" s="405"/>
      <c r="H313" s="405"/>
      <c r="I313" s="405"/>
      <c r="J313" s="405" t="s">
        <v>30</v>
      </c>
      <c r="K313" s="405"/>
      <c r="L313" s="405"/>
      <c r="M313" s="417"/>
      <c r="N313" s="467"/>
    </row>
    <row r="314" spans="1:14" s="45" customFormat="1" ht="16.5">
      <c r="A314" s="197"/>
      <c r="B314" s="17"/>
      <c r="C314" s="17"/>
      <c r="D314" s="17"/>
      <c r="E314" s="157"/>
      <c r="F314" s="157"/>
      <c r="G314" s="522"/>
      <c r="H314" s="522"/>
      <c r="I314" s="522"/>
      <c r="J314" s="522"/>
      <c r="K314" s="522"/>
      <c r="L314" s="522"/>
      <c r="M314" s="420"/>
      <c r="N314" s="467"/>
    </row>
    <row r="315" spans="1:14" s="45" customFormat="1" ht="16.5">
      <c r="A315" s="197"/>
      <c r="B315" s="17"/>
      <c r="C315" s="17"/>
      <c r="D315" s="17"/>
      <c r="E315" s="157"/>
      <c r="F315" s="157"/>
      <c r="G315" s="522"/>
      <c r="H315" s="522"/>
      <c r="I315" s="522"/>
      <c r="J315" s="522"/>
      <c r="K315" s="522"/>
      <c r="L315" s="522"/>
      <c r="M315" s="420"/>
      <c r="N315" s="467"/>
    </row>
    <row r="316" spans="1:14" s="45" customFormat="1" ht="16.5">
      <c r="A316" s="330"/>
      <c r="B316" s="283"/>
      <c r="C316" s="471" t="s">
        <v>463</v>
      </c>
      <c r="D316" s="283"/>
      <c r="E316" s="286"/>
      <c r="F316" s="286"/>
      <c r="G316" s="472"/>
      <c r="H316" s="473"/>
      <c r="I316" s="473"/>
      <c r="J316" s="472"/>
      <c r="K316" s="472"/>
      <c r="L316" s="472"/>
      <c r="M316" s="472"/>
      <c r="N316" s="467"/>
    </row>
    <row r="317" spans="1:14" s="45" customFormat="1" ht="16.5">
      <c r="A317" s="154"/>
      <c r="B317" s="363"/>
      <c r="C317" s="397" t="s">
        <v>2</v>
      </c>
      <c r="D317" s="154"/>
      <c r="E317" s="270"/>
      <c r="F317" s="523" t="s">
        <v>65</v>
      </c>
      <c r="G317" s="271"/>
      <c r="H317" s="271"/>
      <c r="I317" s="271"/>
      <c r="J317" s="271"/>
      <c r="K317" s="271"/>
      <c r="L317" s="271"/>
      <c r="M317" s="271"/>
      <c r="N317" s="467"/>
    </row>
    <row r="318" spans="1:14" s="45" customFormat="1" ht="16.5">
      <c r="A318" s="154"/>
      <c r="B318" s="363"/>
      <c r="C318" s="409" t="s">
        <v>19</v>
      </c>
      <c r="D318" s="154"/>
      <c r="E318" s="270"/>
      <c r="F318" s="7"/>
      <c r="G318" s="271"/>
      <c r="H318" s="271"/>
      <c r="I318" s="271"/>
      <c r="J318" s="271"/>
      <c r="K318" s="271"/>
      <c r="L318" s="271"/>
      <c r="M318" s="271"/>
      <c r="N318" s="467"/>
    </row>
    <row r="319" spans="1:14" s="45" customFormat="1" ht="27">
      <c r="A319" s="217"/>
      <c r="B319" s="218"/>
      <c r="C319" s="524" t="s">
        <v>255</v>
      </c>
      <c r="D319" s="219"/>
      <c r="E319" s="220"/>
      <c r="F319" s="477" t="s">
        <v>554</v>
      </c>
      <c r="G319" s="413"/>
      <c r="H319" s="413"/>
      <c r="I319" s="413"/>
      <c r="J319" s="525"/>
      <c r="K319" s="413"/>
      <c r="L319" s="413"/>
      <c r="M319" s="413"/>
      <c r="N319" s="467"/>
    </row>
    <row r="320" spans="1:14" s="45" customFormat="1" ht="16.5">
      <c r="A320" s="217"/>
      <c r="B320" s="218"/>
      <c r="C320" s="409" t="s">
        <v>19</v>
      </c>
      <c r="D320" s="219"/>
      <c r="E320" s="220"/>
      <c r="F320" s="476"/>
      <c r="G320" s="413"/>
      <c r="H320" s="413"/>
      <c r="I320" s="413"/>
      <c r="J320" s="409"/>
      <c r="K320" s="413"/>
      <c r="L320" s="413"/>
      <c r="M320" s="413"/>
      <c r="N320" s="467"/>
    </row>
    <row r="321" spans="1:14" s="45" customFormat="1" ht="16.5">
      <c r="A321" s="154"/>
      <c r="B321" s="363"/>
      <c r="C321" s="397"/>
      <c r="D321" s="154"/>
      <c r="E321" s="270"/>
      <c r="F321" s="523" t="s">
        <v>66</v>
      </c>
      <c r="G321" s="271"/>
      <c r="H321" s="271"/>
      <c r="I321" s="271"/>
      <c r="J321" s="271"/>
      <c r="K321" s="271"/>
      <c r="L321" s="271"/>
      <c r="M321" s="271"/>
      <c r="N321" s="467"/>
    </row>
    <row r="322" spans="1:14" s="45" customFormat="1" ht="27">
      <c r="A322" s="236"/>
      <c r="B322" s="237"/>
      <c r="C322" s="237" t="s">
        <v>387</v>
      </c>
      <c r="D322" s="237"/>
      <c r="E322" s="238"/>
      <c r="F322" s="238"/>
      <c r="G322" s="405"/>
      <c r="H322" s="405"/>
      <c r="I322" s="405"/>
      <c r="J322" s="405"/>
      <c r="K322" s="405"/>
      <c r="L322" s="405"/>
      <c r="M322" s="417"/>
      <c r="N322" s="467"/>
    </row>
    <row r="323" spans="1:14" s="45" customFormat="1" ht="16.5">
      <c r="A323" s="156"/>
      <c r="B323" s="156"/>
      <c r="C323" s="526"/>
      <c r="D323" s="156"/>
      <c r="E323" s="167"/>
      <c r="F323" s="167"/>
      <c r="G323" s="527"/>
      <c r="H323" s="527"/>
      <c r="I323" s="527"/>
      <c r="J323" s="527"/>
      <c r="K323" s="527"/>
      <c r="L323" s="527"/>
      <c r="M323" s="528"/>
      <c r="N323" s="467"/>
    </row>
    <row r="324" spans="1:14" s="45" customFormat="1" ht="16.5">
      <c r="A324" s="156"/>
      <c r="B324" s="156"/>
      <c r="C324" s="526"/>
      <c r="D324" s="156"/>
      <c r="E324" s="167"/>
      <c r="F324" s="167"/>
      <c r="G324" s="527"/>
      <c r="H324" s="527"/>
      <c r="I324" s="527"/>
      <c r="J324" s="527"/>
      <c r="K324" s="527"/>
      <c r="L324" s="527"/>
      <c r="M324" s="528"/>
      <c r="N324" s="467"/>
    </row>
    <row r="325" spans="1:14" s="45" customFormat="1" ht="16.5">
      <c r="A325" s="67"/>
      <c r="B325" s="67"/>
      <c r="C325" s="529"/>
      <c r="D325" s="46"/>
      <c r="E325" s="468"/>
      <c r="F325" s="468"/>
      <c r="G325" s="469"/>
      <c r="H325" s="469"/>
      <c r="I325" s="469"/>
      <c r="J325" s="469"/>
      <c r="K325" s="469"/>
      <c r="L325" s="469"/>
      <c r="M325" s="469"/>
      <c r="N325" s="467"/>
    </row>
    <row r="326" spans="1:14" s="45" customFormat="1" ht="16.5">
      <c r="A326" s="67"/>
      <c r="B326" s="67"/>
      <c r="C326" s="67"/>
      <c r="D326" s="46"/>
      <c r="E326" s="468"/>
      <c r="F326" s="468"/>
      <c r="G326" s="469"/>
      <c r="H326" s="469"/>
      <c r="I326" s="469"/>
      <c r="J326" s="469"/>
      <c r="K326" s="469"/>
      <c r="L326" s="469"/>
      <c r="M326" s="469"/>
      <c r="N326" s="467"/>
    </row>
  </sheetData>
  <mergeCells count="97">
    <mergeCell ref="A295:A299"/>
    <mergeCell ref="A300:A304"/>
    <mergeCell ref="A277:A281"/>
    <mergeCell ref="A283:A293"/>
    <mergeCell ref="A250:A254"/>
    <mergeCell ref="A255:A257"/>
    <mergeCell ref="A258:A259"/>
    <mergeCell ref="A260:A265"/>
    <mergeCell ref="A272:A276"/>
    <mergeCell ref="L241:L242"/>
    <mergeCell ref="M241:M242"/>
    <mergeCell ref="A243:A244"/>
    <mergeCell ref="A245:A246"/>
    <mergeCell ref="A247:A249"/>
    <mergeCell ref="G241:G242"/>
    <mergeCell ref="H241:H242"/>
    <mergeCell ref="I241:I242"/>
    <mergeCell ref="J241:J242"/>
    <mergeCell ref="K241:K242"/>
    <mergeCell ref="A218:A222"/>
    <mergeCell ref="A223:A227"/>
    <mergeCell ref="A241:A242"/>
    <mergeCell ref="B241:B242"/>
    <mergeCell ref="A196:A200"/>
    <mergeCell ref="A201:A205"/>
    <mergeCell ref="A207:A216"/>
    <mergeCell ref="A171:A173"/>
    <mergeCell ref="A174:A178"/>
    <mergeCell ref="A179:A181"/>
    <mergeCell ref="A182:A183"/>
    <mergeCell ref="A184:A189"/>
    <mergeCell ref="K165:K166"/>
    <mergeCell ref="L165:L166"/>
    <mergeCell ref="M165:M166"/>
    <mergeCell ref="A167:A168"/>
    <mergeCell ref="A169:A170"/>
    <mergeCell ref="B165:B166"/>
    <mergeCell ref="G165:G166"/>
    <mergeCell ref="H165:H166"/>
    <mergeCell ref="I165:I166"/>
    <mergeCell ref="J165:J166"/>
    <mergeCell ref="A142:A146"/>
    <mergeCell ref="A147:A151"/>
    <mergeCell ref="A165:A166"/>
    <mergeCell ref="A108:A113"/>
    <mergeCell ref="A120:A124"/>
    <mergeCell ref="A125:A129"/>
    <mergeCell ref="A131:A140"/>
    <mergeCell ref="A93:A94"/>
    <mergeCell ref="A95:A97"/>
    <mergeCell ref="A98:A102"/>
    <mergeCell ref="A103:A105"/>
    <mergeCell ref="A106:A107"/>
    <mergeCell ref="J89:J90"/>
    <mergeCell ref="K89:K90"/>
    <mergeCell ref="L89:L90"/>
    <mergeCell ref="M89:M90"/>
    <mergeCell ref="A91:A92"/>
    <mergeCell ref="A89:A90"/>
    <mergeCell ref="B89:B90"/>
    <mergeCell ref="G89:G90"/>
    <mergeCell ref="H89:H90"/>
    <mergeCell ref="I89:I90"/>
    <mergeCell ref="A72:A76"/>
    <mergeCell ref="A56:A65"/>
    <mergeCell ref="L14:L15"/>
    <mergeCell ref="A45:A49"/>
    <mergeCell ref="A50:A54"/>
    <mergeCell ref="A67:A71"/>
    <mergeCell ref="A20:A22"/>
    <mergeCell ref="A23:A27"/>
    <mergeCell ref="A28:A30"/>
    <mergeCell ref="A31:A32"/>
    <mergeCell ref="A33:A38"/>
    <mergeCell ref="A18:A19"/>
    <mergeCell ref="G14:G15"/>
    <mergeCell ref="H14:H15"/>
    <mergeCell ref="I14:I15"/>
    <mergeCell ref="J14:J15"/>
    <mergeCell ref="K14:K15"/>
    <mergeCell ref="A16:A17"/>
    <mergeCell ref="M14:M15"/>
    <mergeCell ref="A14:A15"/>
    <mergeCell ref="B14:B15"/>
    <mergeCell ref="A1:M1"/>
    <mergeCell ref="A2:M2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M7:M8"/>
    <mergeCell ref="E7:F7"/>
  </mergeCells>
  <pageMargins left="0.70866141732283472" right="0.16" top="0.4" bottom="0.43" header="0.22" footer="0.15"/>
  <pageSetup paperSize="9" scale="85" orientation="landscape" horizontalDpi="1200" verticalDpi="1200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0"/>
  <sheetViews>
    <sheetView topLeftCell="A49" zoomScale="80" zoomScaleNormal="80" workbookViewId="0">
      <selection activeCell="C69" sqref="C69"/>
    </sheetView>
  </sheetViews>
  <sheetFormatPr defaultRowHeight="15"/>
  <cols>
    <col min="1" max="1" width="5.5703125" customWidth="1"/>
    <col min="3" max="3" width="34.42578125" customWidth="1"/>
    <col min="4" max="4" width="7.28515625" customWidth="1"/>
    <col min="5" max="5" width="9.140625" customWidth="1"/>
    <col min="6" max="6" width="7.7109375" customWidth="1"/>
    <col min="8" max="8" width="11.42578125" customWidth="1"/>
    <col min="9" max="9" width="7.85546875" customWidth="1"/>
    <col min="11" max="11" width="7.42578125" customWidth="1"/>
    <col min="13" max="13" width="12.85546875" customWidth="1"/>
    <col min="14" max="14" width="30.85546875" customWidth="1"/>
    <col min="15" max="15" width="46.5703125" customWidth="1"/>
    <col min="16" max="17" width="23.28515625" customWidth="1"/>
  </cols>
  <sheetData>
    <row r="1" spans="1:14" s="49" customFormat="1" ht="39" customHeight="1">
      <c r="A1" s="676" t="str">
        <f>krebsiti!A3</f>
        <v>q.dmanisSi wm.ninos quCaze municipalitetis meriis mimdebare teritoriaze skverebis  reabilitaciis samuSaoebi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</row>
    <row r="2" spans="1:14" s="49" customFormat="1" ht="21" customHeight="1">
      <c r="A2" s="677" t="s">
        <v>392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</row>
    <row r="3" spans="1:14" s="49" customFormat="1" ht="16.5">
      <c r="A3" s="678" t="s">
        <v>384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</row>
    <row r="4" spans="1:14" s="49" customFormat="1" ht="15.75">
      <c r="A4" s="46"/>
      <c r="B4" s="46"/>
      <c r="C4" s="89"/>
      <c r="D4" s="46"/>
      <c r="E4" s="47"/>
      <c r="F4" s="47"/>
      <c r="G4" s="48"/>
      <c r="H4" s="48"/>
      <c r="I4" s="48"/>
      <c r="J4" s="48"/>
      <c r="K4" s="48"/>
      <c r="L4" s="48"/>
      <c r="M4" s="48"/>
    </row>
    <row r="5" spans="1:14" s="49" customFormat="1" ht="16.5">
      <c r="A5" s="678" t="s">
        <v>399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</row>
    <row r="6" spans="1:14" s="49" customFormat="1" ht="15.75">
      <c r="A6" s="58"/>
      <c r="B6" s="58"/>
      <c r="C6" s="116"/>
      <c r="D6" s="58"/>
      <c r="E6" s="117"/>
      <c r="F6" s="117"/>
      <c r="G6" s="59"/>
      <c r="H6" s="59"/>
      <c r="I6" s="59"/>
      <c r="J6" s="59"/>
      <c r="K6" s="59"/>
      <c r="L6" s="59"/>
      <c r="M6" s="59"/>
    </row>
    <row r="7" spans="1:14" s="49" customFormat="1" ht="37.5" customHeight="1">
      <c r="A7" s="679" t="s">
        <v>0</v>
      </c>
      <c r="B7" s="680" t="s">
        <v>377</v>
      </c>
      <c r="C7" s="681" t="s">
        <v>1</v>
      </c>
      <c r="D7" s="680" t="s">
        <v>376</v>
      </c>
      <c r="E7" s="686" t="s">
        <v>24</v>
      </c>
      <c r="F7" s="686"/>
      <c r="G7" s="683" t="s">
        <v>25</v>
      </c>
      <c r="H7" s="683"/>
      <c r="I7" s="683" t="s">
        <v>26</v>
      </c>
      <c r="J7" s="683"/>
      <c r="K7" s="684" t="s">
        <v>27</v>
      </c>
      <c r="L7" s="685"/>
      <c r="M7" s="683" t="s">
        <v>28</v>
      </c>
    </row>
    <row r="8" spans="1:14" s="49" customFormat="1" ht="31.5">
      <c r="A8" s="679"/>
      <c r="B8" s="680"/>
      <c r="C8" s="682"/>
      <c r="D8" s="680"/>
      <c r="E8" s="265" t="s">
        <v>12</v>
      </c>
      <c r="F8" s="265" t="s">
        <v>5</v>
      </c>
      <c r="G8" s="266" t="s">
        <v>29</v>
      </c>
      <c r="H8" s="266" t="s">
        <v>30</v>
      </c>
      <c r="I8" s="266" t="s">
        <v>29</v>
      </c>
      <c r="J8" s="266" t="s">
        <v>30</v>
      </c>
      <c r="K8" s="266" t="s">
        <v>29</v>
      </c>
      <c r="L8" s="266" t="s">
        <v>30</v>
      </c>
      <c r="M8" s="683"/>
    </row>
    <row r="9" spans="1:14" s="49" customFormat="1" ht="15.75">
      <c r="A9" s="9">
        <v>1</v>
      </c>
      <c r="B9" s="9">
        <v>2</v>
      </c>
      <c r="C9" s="60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</row>
    <row r="10" spans="1:14" s="49" customFormat="1" ht="78.75">
      <c r="A10" s="283" t="s">
        <v>310</v>
      </c>
      <c r="B10" s="283"/>
      <c r="C10" s="284" t="s">
        <v>311</v>
      </c>
      <c r="D10" s="283"/>
      <c r="E10" s="285"/>
      <c r="F10" s="286"/>
      <c r="G10" s="285"/>
      <c r="H10" s="286"/>
      <c r="I10" s="285"/>
      <c r="J10" s="286"/>
      <c r="K10" s="285"/>
      <c r="L10" s="286"/>
      <c r="M10" s="285"/>
    </row>
    <row r="11" spans="1:14" s="49" customFormat="1" ht="47.25">
      <c r="A11" s="9" t="s">
        <v>79</v>
      </c>
      <c r="B11" s="9" t="s">
        <v>18</v>
      </c>
      <c r="C11" s="38" t="s">
        <v>206</v>
      </c>
      <c r="D11" s="18" t="s">
        <v>58</v>
      </c>
      <c r="E11" s="10"/>
      <c r="F11" s="10">
        <f>'7777'!G17</f>
        <v>5</v>
      </c>
      <c r="G11" s="11"/>
      <c r="H11" s="11"/>
      <c r="I11" s="11"/>
      <c r="J11" s="11"/>
      <c r="K11" s="11"/>
      <c r="L11" s="11"/>
      <c r="M11" s="11"/>
    </row>
    <row r="12" spans="1:14" s="49" customFormat="1" ht="15.75">
      <c r="A12" s="9" t="s">
        <v>99</v>
      </c>
      <c r="B12" s="9" t="s">
        <v>18</v>
      </c>
      <c r="C12" s="38" t="s">
        <v>207</v>
      </c>
      <c r="D12" s="18" t="s">
        <v>58</v>
      </c>
      <c r="E12" s="10"/>
      <c r="F12" s="10">
        <f>'7777'!G18</f>
        <v>5</v>
      </c>
      <c r="G12" s="11"/>
      <c r="H12" s="11"/>
      <c r="I12" s="11"/>
      <c r="J12" s="11"/>
      <c r="K12" s="11"/>
      <c r="L12" s="11"/>
      <c r="M12" s="11"/>
    </row>
    <row r="13" spans="1:14" s="49" customFormat="1" ht="15.75">
      <c r="A13" s="9"/>
      <c r="B13" s="9"/>
      <c r="C13" s="35"/>
      <c r="D13" s="18"/>
      <c r="E13" s="10"/>
      <c r="F13" s="10"/>
      <c r="G13" s="11"/>
      <c r="H13" s="11"/>
      <c r="I13" s="11"/>
      <c r="J13" s="11"/>
      <c r="K13" s="11"/>
      <c r="L13" s="11"/>
      <c r="M13" s="11"/>
    </row>
    <row r="14" spans="1:14" s="49" customFormat="1" ht="15.75">
      <c r="A14" s="269"/>
      <c r="B14" s="269"/>
      <c r="C14" s="264"/>
      <c r="D14" s="18"/>
      <c r="E14" s="265"/>
      <c r="F14" s="265"/>
      <c r="G14" s="266"/>
      <c r="H14" s="266"/>
      <c r="I14" s="266"/>
      <c r="J14" s="266"/>
      <c r="K14" s="266"/>
      <c r="L14" s="266"/>
      <c r="M14" s="266"/>
    </row>
    <row r="15" spans="1:14" s="49" customFormat="1" ht="31.5">
      <c r="A15" s="236"/>
      <c r="B15" s="237"/>
      <c r="C15" s="226" t="s">
        <v>172</v>
      </c>
      <c r="D15" s="237"/>
      <c r="E15" s="238"/>
      <c r="F15" s="239"/>
      <c r="G15" s="240"/>
      <c r="H15" s="240"/>
      <c r="I15" s="240"/>
      <c r="J15" s="240"/>
      <c r="K15" s="240"/>
      <c r="L15" s="240"/>
      <c r="M15" s="240"/>
      <c r="N15" s="57">
        <f>H15+J15+L15</f>
        <v>0</v>
      </c>
    </row>
    <row r="16" spans="1:14" s="49" customFormat="1" ht="40.5">
      <c r="A16" s="203"/>
      <c r="B16" s="203"/>
      <c r="C16" s="253" t="s">
        <v>258</v>
      </c>
      <c r="D16" s="203"/>
      <c r="E16" s="205"/>
      <c r="F16" s="206" t="s">
        <v>554</v>
      </c>
      <c r="G16" s="207"/>
      <c r="H16" s="207"/>
      <c r="I16" s="207"/>
      <c r="J16" s="207"/>
      <c r="K16" s="207"/>
      <c r="L16" s="207"/>
      <c r="M16" s="207"/>
    </row>
    <row r="17" spans="1:14" s="49" customFormat="1" ht="15.75">
      <c r="A17" s="14"/>
      <c r="B17" s="157"/>
      <c r="C17" s="209" t="s">
        <v>19</v>
      </c>
      <c r="D17" s="157"/>
      <c r="E17" s="14"/>
      <c r="F17" s="14"/>
      <c r="G17" s="14"/>
      <c r="H17" s="243"/>
      <c r="I17" s="243"/>
      <c r="J17" s="243"/>
      <c r="K17" s="243"/>
      <c r="L17" s="243"/>
      <c r="M17" s="243"/>
    </row>
    <row r="18" spans="1:14" s="49" customFormat="1" ht="49.5">
      <c r="A18" s="195"/>
      <c r="B18" s="1"/>
      <c r="C18" s="252" t="s">
        <v>259</v>
      </c>
      <c r="D18" s="1"/>
      <c r="E18" s="195"/>
      <c r="F18" s="241" t="s">
        <v>554</v>
      </c>
      <c r="G18" s="195"/>
      <c r="H18" s="195"/>
      <c r="I18" s="195"/>
      <c r="J18" s="152"/>
      <c r="K18" s="152"/>
      <c r="L18" s="152"/>
      <c r="M18" s="152"/>
    </row>
    <row r="19" spans="1:14" s="49" customFormat="1" ht="15.75">
      <c r="A19" s="195"/>
      <c r="B19" s="1"/>
      <c r="C19" s="209" t="s">
        <v>19</v>
      </c>
      <c r="D19" s="1"/>
      <c r="E19" s="195"/>
      <c r="F19" s="44"/>
      <c r="G19" s="195"/>
      <c r="H19" s="195"/>
      <c r="I19" s="195"/>
      <c r="J19" s="152"/>
      <c r="K19" s="152"/>
      <c r="L19" s="152"/>
      <c r="M19" s="152"/>
    </row>
    <row r="20" spans="1:14" s="49" customFormat="1" ht="49.5">
      <c r="A20" s="195"/>
      <c r="B20" s="1"/>
      <c r="C20" s="252" t="s">
        <v>260</v>
      </c>
      <c r="D20" s="1"/>
      <c r="E20" s="195"/>
      <c r="F20" s="241" t="s">
        <v>554</v>
      </c>
      <c r="G20" s="195"/>
      <c r="H20" s="195"/>
      <c r="I20" s="195"/>
      <c r="J20" s="152"/>
      <c r="K20" s="152"/>
      <c r="L20" s="152"/>
      <c r="M20" s="152"/>
    </row>
    <row r="21" spans="1:14" s="49" customFormat="1" ht="16.5">
      <c r="A21" s="244"/>
      <c r="B21" s="245"/>
      <c r="C21" s="242" t="s">
        <v>468</v>
      </c>
      <c r="D21" s="245"/>
      <c r="E21" s="244"/>
      <c r="F21" s="164"/>
      <c r="G21" s="244"/>
      <c r="H21" s="244"/>
      <c r="I21" s="244"/>
      <c r="J21" s="246"/>
      <c r="K21" s="246"/>
      <c r="L21" s="246"/>
      <c r="M21" s="43"/>
    </row>
    <row r="22" spans="1:14" s="49" customFormat="1" ht="16.5">
      <c r="A22" s="333"/>
      <c r="B22" s="334"/>
      <c r="C22" s="335"/>
      <c r="D22" s="334"/>
      <c r="E22" s="336"/>
      <c r="F22" s="337"/>
      <c r="G22" s="336"/>
      <c r="H22" s="336"/>
      <c r="I22" s="336"/>
      <c r="J22" s="338"/>
      <c r="K22" s="338"/>
      <c r="L22" s="338"/>
      <c r="M22" s="339"/>
    </row>
    <row r="23" spans="1:14" s="49" customFormat="1" ht="78.75">
      <c r="A23" s="283" t="s">
        <v>323</v>
      </c>
      <c r="B23" s="283"/>
      <c r="C23" s="284" t="s">
        <v>324</v>
      </c>
      <c r="D23" s="283"/>
      <c r="E23" s="285"/>
      <c r="F23" s="286"/>
      <c r="G23" s="285"/>
      <c r="H23" s="286"/>
      <c r="I23" s="285"/>
      <c r="J23" s="286"/>
      <c r="K23" s="285"/>
      <c r="L23" s="286"/>
      <c r="M23" s="285"/>
    </row>
    <row r="24" spans="1:14" s="49" customFormat="1" ht="47.25">
      <c r="A24" s="316" t="s">
        <v>79</v>
      </c>
      <c r="B24" s="316" t="s">
        <v>18</v>
      </c>
      <c r="C24" s="38" t="s">
        <v>206</v>
      </c>
      <c r="D24" s="18" t="s">
        <v>58</v>
      </c>
      <c r="E24" s="314"/>
      <c r="F24" s="314">
        <f>'7777'!G34</f>
        <v>6</v>
      </c>
      <c r="G24" s="315"/>
      <c r="H24" s="315"/>
      <c r="I24" s="315"/>
      <c r="J24" s="315"/>
      <c r="K24" s="315"/>
      <c r="L24" s="315"/>
      <c r="M24" s="315"/>
    </row>
    <row r="25" spans="1:14" s="49" customFormat="1" ht="15.75">
      <c r="A25" s="316" t="s">
        <v>99</v>
      </c>
      <c r="B25" s="316" t="s">
        <v>18</v>
      </c>
      <c r="C25" s="38" t="s">
        <v>207</v>
      </c>
      <c r="D25" s="18" t="s">
        <v>58</v>
      </c>
      <c r="E25" s="314"/>
      <c r="F25" s="314">
        <f>'7777'!G35</f>
        <v>6</v>
      </c>
      <c r="G25" s="315"/>
      <c r="H25" s="315"/>
      <c r="I25" s="315"/>
      <c r="J25" s="315"/>
      <c r="K25" s="315"/>
      <c r="L25" s="315"/>
      <c r="M25" s="315"/>
    </row>
    <row r="26" spans="1:14" s="49" customFormat="1" ht="15.75">
      <c r="A26" s="316"/>
      <c r="B26" s="316"/>
      <c r="C26" s="264"/>
      <c r="D26" s="18"/>
      <c r="E26" s="314"/>
      <c r="F26" s="314"/>
      <c r="G26" s="315"/>
      <c r="H26" s="315"/>
      <c r="I26" s="315"/>
      <c r="J26" s="315"/>
      <c r="K26" s="315"/>
      <c r="L26" s="315"/>
      <c r="M26" s="315"/>
    </row>
    <row r="27" spans="1:14" s="49" customFormat="1" ht="15.75">
      <c r="A27" s="316"/>
      <c r="B27" s="316"/>
      <c r="C27" s="264"/>
      <c r="D27" s="18"/>
      <c r="E27" s="314"/>
      <c r="F27" s="314"/>
      <c r="G27" s="315"/>
      <c r="H27" s="315"/>
      <c r="I27" s="315"/>
      <c r="J27" s="315"/>
      <c r="K27" s="315"/>
      <c r="L27" s="315"/>
      <c r="M27" s="315"/>
    </row>
    <row r="28" spans="1:14" s="49" customFormat="1" ht="31.5">
      <c r="A28" s="236"/>
      <c r="B28" s="237"/>
      <c r="C28" s="226" t="s">
        <v>172</v>
      </c>
      <c r="D28" s="237"/>
      <c r="E28" s="238"/>
      <c r="F28" s="239"/>
      <c r="G28" s="240"/>
      <c r="H28" s="240"/>
      <c r="I28" s="240"/>
      <c r="J28" s="240"/>
      <c r="K28" s="240"/>
      <c r="L28" s="240"/>
      <c r="M28" s="240"/>
      <c r="N28" s="57">
        <f>H28+J28+L28</f>
        <v>0</v>
      </c>
    </row>
    <row r="29" spans="1:14" s="49" customFormat="1" ht="40.5">
      <c r="A29" s="203"/>
      <c r="B29" s="203"/>
      <c r="C29" s="253" t="s">
        <v>258</v>
      </c>
      <c r="D29" s="203"/>
      <c r="E29" s="205"/>
      <c r="F29" s="206" t="s">
        <v>554</v>
      </c>
      <c r="G29" s="207"/>
      <c r="H29" s="207"/>
      <c r="I29" s="207"/>
      <c r="J29" s="207"/>
      <c r="K29" s="207"/>
      <c r="L29" s="207"/>
      <c r="M29" s="207"/>
    </row>
    <row r="30" spans="1:14" s="49" customFormat="1" ht="15.75">
      <c r="A30" s="14"/>
      <c r="B30" s="157"/>
      <c r="C30" s="209" t="s">
        <v>19</v>
      </c>
      <c r="D30" s="157"/>
      <c r="E30" s="14"/>
      <c r="F30" s="14"/>
      <c r="G30" s="14"/>
      <c r="H30" s="243"/>
      <c r="I30" s="243"/>
      <c r="J30" s="243"/>
      <c r="K30" s="243"/>
      <c r="L30" s="243"/>
      <c r="M30" s="243"/>
    </row>
    <row r="31" spans="1:14" s="49" customFormat="1" ht="49.5">
      <c r="A31" s="317"/>
      <c r="B31" s="1"/>
      <c r="C31" s="252" t="s">
        <v>259</v>
      </c>
      <c r="D31" s="1"/>
      <c r="E31" s="317"/>
      <c r="F31" s="241" t="s">
        <v>554</v>
      </c>
      <c r="G31" s="317"/>
      <c r="H31" s="317"/>
      <c r="I31" s="317"/>
      <c r="J31" s="152"/>
      <c r="K31" s="152"/>
      <c r="L31" s="152"/>
      <c r="M31" s="152"/>
    </row>
    <row r="32" spans="1:14" s="49" customFormat="1" ht="15.75">
      <c r="A32" s="317"/>
      <c r="B32" s="1"/>
      <c r="C32" s="209" t="s">
        <v>19</v>
      </c>
      <c r="D32" s="1"/>
      <c r="E32" s="317"/>
      <c r="F32" s="44"/>
      <c r="G32" s="317"/>
      <c r="H32" s="317"/>
      <c r="I32" s="317"/>
      <c r="J32" s="152"/>
      <c r="K32" s="152"/>
      <c r="L32" s="152"/>
      <c r="M32" s="152"/>
    </row>
    <row r="33" spans="1:14" s="49" customFormat="1" ht="49.5">
      <c r="A33" s="317"/>
      <c r="B33" s="1"/>
      <c r="C33" s="252" t="s">
        <v>260</v>
      </c>
      <c r="D33" s="1"/>
      <c r="E33" s="317"/>
      <c r="F33" s="241" t="s">
        <v>554</v>
      </c>
      <c r="G33" s="317"/>
      <c r="H33" s="317"/>
      <c r="I33" s="317"/>
      <c r="J33" s="152"/>
      <c r="K33" s="152"/>
      <c r="L33" s="152"/>
      <c r="M33" s="152"/>
    </row>
    <row r="34" spans="1:14" s="49" customFormat="1" ht="16.5">
      <c r="A34" s="244"/>
      <c r="B34" s="245"/>
      <c r="C34" s="242" t="s">
        <v>466</v>
      </c>
      <c r="D34" s="245"/>
      <c r="E34" s="244"/>
      <c r="F34" s="164"/>
      <c r="G34" s="244"/>
      <c r="H34" s="244"/>
      <c r="I34" s="244"/>
      <c r="J34" s="246"/>
      <c r="K34" s="246"/>
      <c r="L34" s="246"/>
      <c r="M34" s="43"/>
    </row>
    <row r="35" spans="1:14" s="49" customFormat="1" ht="16.5">
      <c r="A35" s="333"/>
      <c r="B35" s="334"/>
      <c r="C35" s="335"/>
      <c r="D35" s="334"/>
      <c r="E35" s="336"/>
      <c r="F35" s="337"/>
      <c r="G35" s="336"/>
      <c r="H35" s="336"/>
      <c r="I35" s="336"/>
      <c r="J35" s="338"/>
      <c r="K35" s="338"/>
      <c r="L35" s="338"/>
      <c r="M35" s="339"/>
    </row>
    <row r="36" spans="1:14" s="49" customFormat="1" ht="78.75">
      <c r="A36" s="283" t="s">
        <v>337</v>
      </c>
      <c r="B36" s="283"/>
      <c r="C36" s="284" t="s">
        <v>338</v>
      </c>
      <c r="D36" s="283"/>
      <c r="E36" s="285"/>
      <c r="F36" s="286"/>
      <c r="G36" s="285"/>
      <c r="H36" s="286"/>
      <c r="I36" s="285"/>
      <c r="J36" s="286"/>
      <c r="K36" s="285"/>
      <c r="L36" s="286"/>
      <c r="M36" s="285"/>
    </row>
    <row r="37" spans="1:14" s="49" customFormat="1" ht="15.75">
      <c r="A37" s="316" t="s">
        <v>95</v>
      </c>
      <c r="B37" s="316" t="s">
        <v>18</v>
      </c>
      <c r="C37" s="38" t="s">
        <v>297</v>
      </c>
      <c r="D37" s="18" t="s">
        <v>58</v>
      </c>
      <c r="E37" s="314"/>
      <c r="F37" s="314">
        <v>1</v>
      </c>
      <c r="G37" s="315"/>
      <c r="H37" s="315"/>
      <c r="I37" s="315"/>
      <c r="J37" s="315"/>
      <c r="K37" s="315"/>
      <c r="L37" s="315"/>
      <c r="M37" s="315"/>
    </row>
    <row r="38" spans="1:14" s="49" customFormat="1" ht="15.75">
      <c r="A38" s="316"/>
      <c r="B38" s="316"/>
      <c r="C38" s="264"/>
      <c r="D38" s="18"/>
      <c r="E38" s="314"/>
      <c r="F38" s="314"/>
      <c r="G38" s="315"/>
      <c r="H38" s="315"/>
      <c r="I38" s="315"/>
      <c r="J38" s="315"/>
      <c r="K38" s="315"/>
      <c r="L38" s="315"/>
      <c r="M38" s="315"/>
    </row>
    <row r="39" spans="1:14" s="49" customFormat="1" ht="31.5">
      <c r="A39" s="236"/>
      <c r="B39" s="237"/>
      <c r="C39" s="226" t="s">
        <v>172</v>
      </c>
      <c r="D39" s="237"/>
      <c r="E39" s="238"/>
      <c r="F39" s="239"/>
      <c r="G39" s="240"/>
      <c r="H39" s="240"/>
      <c r="I39" s="240"/>
      <c r="J39" s="240"/>
      <c r="K39" s="240"/>
      <c r="L39" s="240"/>
      <c r="M39" s="240"/>
      <c r="N39" s="57">
        <f>H39+J39+L39</f>
        <v>0</v>
      </c>
    </row>
    <row r="40" spans="1:14" s="49" customFormat="1" ht="40.5">
      <c r="A40" s="203"/>
      <c r="B40" s="203"/>
      <c r="C40" s="253" t="s">
        <v>258</v>
      </c>
      <c r="D40" s="203"/>
      <c r="E40" s="205"/>
      <c r="F40" s="206" t="s">
        <v>554</v>
      </c>
      <c r="G40" s="207"/>
      <c r="H40" s="207"/>
      <c r="I40" s="207"/>
      <c r="J40" s="207"/>
      <c r="K40" s="207"/>
      <c r="L40" s="207"/>
      <c r="M40" s="207"/>
    </row>
    <row r="41" spans="1:14" s="49" customFormat="1" ht="15.75">
      <c r="A41" s="14"/>
      <c r="B41" s="157"/>
      <c r="C41" s="209" t="s">
        <v>19</v>
      </c>
      <c r="D41" s="157"/>
      <c r="E41" s="14"/>
      <c r="F41" s="14"/>
      <c r="G41" s="14"/>
      <c r="H41" s="243"/>
      <c r="I41" s="243"/>
      <c r="J41" s="243"/>
      <c r="K41" s="243"/>
      <c r="L41" s="243"/>
      <c r="M41" s="243"/>
    </row>
    <row r="42" spans="1:14" s="49" customFormat="1" ht="49.5">
      <c r="A42" s="317"/>
      <c r="B42" s="1"/>
      <c r="C42" s="252" t="s">
        <v>259</v>
      </c>
      <c r="D42" s="1"/>
      <c r="E42" s="317"/>
      <c r="F42" s="241" t="s">
        <v>554</v>
      </c>
      <c r="G42" s="317"/>
      <c r="H42" s="317"/>
      <c r="I42" s="317"/>
      <c r="J42" s="152"/>
      <c r="K42" s="152"/>
      <c r="L42" s="152"/>
      <c r="M42" s="152"/>
    </row>
    <row r="43" spans="1:14" s="49" customFormat="1" ht="15.75">
      <c r="A43" s="317"/>
      <c r="B43" s="1"/>
      <c r="C43" s="209" t="s">
        <v>19</v>
      </c>
      <c r="D43" s="1"/>
      <c r="E43" s="317"/>
      <c r="F43" s="44"/>
      <c r="G43" s="317"/>
      <c r="H43" s="317"/>
      <c r="I43" s="317"/>
      <c r="J43" s="152"/>
      <c r="K43" s="152"/>
      <c r="L43" s="152"/>
      <c r="M43" s="152"/>
    </row>
    <row r="44" spans="1:14" s="49" customFormat="1" ht="49.5">
      <c r="A44" s="317"/>
      <c r="B44" s="1"/>
      <c r="C44" s="252" t="s">
        <v>260</v>
      </c>
      <c r="D44" s="1"/>
      <c r="E44" s="317"/>
      <c r="F44" s="241" t="s">
        <v>554</v>
      </c>
      <c r="G44" s="317"/>
      <c r="H44" s="317"/>
      <c r="I44" s="317"/>
      <c r="J44" s="152"/>
      <c r="K44" s="152"/>
      <c r="L44" s="152"/>
      <c r="M44" s="152"/>
    </row>
    <row r="45" spans="1:14" s="49" customFormat="1" ht="16.5">
      <c r="A45" s="244"/>
      <c r="B45" s="245"/>
      <c r="C45" s="242" t="s">
        <v>471</v>
      </c>
      <c r="D45" s="245"/>
      <c r="E45" s="244"/>
      <c r="F45" s="164"/>
      <c r="G45" s="244"/>
      <c r="H45" s="244"/>
      <c r="I45" s="244"/>
      <c r="J45" s="246"/>
      <c r="K45" s="246"/>
      <c r="L45" s="246"/>
      <c r="M45" s="43"/>
    </row>
    <row r="46" spans="1:14" s="49" customFormat="1" ht="16.5">
      <c r="A46" s="333"/>
      <c r="B46" s="334"/>
      <c r="C46" s="335"/>
      <c r="D46" s="334"/>
      <c r="E46" s="336"/>
      <c r="F46" s="337"/>
      <c r="G46" s="336"/>
      <c r="H46" s="336"/>
      <c r="I46" s="336"/>
      <c r="J46" s="338"/>
      <c r="K46" s="338"/>
      <c r="L46" s="338"/>
      <c r="M46" s="339"/>
    </row>
    <row r="47" spans="1:14" s="49" customFormat="1" ht="78.75">
      <c r="A47" s="283" t="s">
        <v>409</v>
      </c>
      <c r="B47" s="283"/>
      <c r="C47" s="284" t="s">
        <v>473</v>
      </c>
      <c r="D47" s="283"/>
      <c r="E47" s="285"/>
      <c r="F47" s="286"/>
      <c r="G47" s="285"/>
      <c r="H47" s="286"/>
      <c r="I47" s="285"/>
      <c r="J47" s="286"/>
      <c r="K47" s="285"/>
      <c r="L47" s="286"/>
      <c r="M47" s="285"/>
    </row>
    <row r="48" spans="1:14" s="49" customFormat="1" ht="47.25">
      <c r="A48" s="316" t="s">
        <v>79</v>
      </c>
      <c r="B48" s="316" t="s">
        <v>18</v>
      </c>
      <c r="C48" s="38" t="s">
        <v>206</v>
      </c>
      <c r="D48" s="18" t="s">
        <v>58</v>
      </c>
      <c r="E48" s="314"/>
      <c r="F48" s="314">
        <f>'7777'!G86</f>
        <v>12</v>
      </c>
      <c r="G48" s="315"/>
      <c r="H48" s="315"/>
      <c r="I48" s="315"/>
      <c r="J48" s="315"/>
      <c r="K48" s="315"/>
      <c r="L48" s="315"/>
      <c r="M48" s="315"/>
    </row>
    <row r="49" spans="1:14" s="49" customFormat="1" ht="15.75">
      <c r="A49" s="316" t="s">
        <v>99</v>
      </c>
      <c r="B49" s="316" t="s">
        <v>18</v>
      </c>
      <c r="C49" s="38" t="s">
        <v>207</v>
      </c>
      <c r="D49" s="18" t="s">
        <v>58</v>
      </c>
      <c r="E49" s="314"/>
      <c r="F49" s="314">
        <f>'7777'!G87</f>
        <v>12</v>
      </c>
      <c r="G49" s="315"/>
      <c r="H49" s="315"/>
      <c r="I49" s="315"/>
      <c r="J49" s="315"/>
      <c r="K49" s="315"/>
      <c r="L49" s="315"/>
      <c r="M49" s="315"/>
    </row>
    <row r="50" spans="1:14" s="49" customFormat="1" ht="15.75">
      <c r="A50" s="316"/>
      <c r="B50" s="316"/>
      <c r="C50" s="264"/>
      <c r="D50" s="18"/>
      <c r="E50" s="314"/>
      <c r="F50" s="314"/>
      <c r="G50" s="315"/>
      <c r="H50" s="315"/>
      <c r="I50" s="315"/>
      <c r="J50" s="315"/>
      <c r="K50" s="315"/>
      <c r="L50" s="315"/>
      <c r="M50" s="315"/>
    </row>
    <row r="51" spans="1:14" s="49" customFormat="1" ht="15.75">
      <c r="A51" s="316"/>
      <c r="B51" s="316"/>
      <c r="C51" s="264"/>
      <c r="D51" s="18"/>
      <c r="E51" s="314"/>
      <c r="F51" s="314"/>
      <c r="G51" s="315"/>
      <c r="H51" s="315"/>
      <c r="I51" s="315"/>
      <c r="J51" s="315"/>
      <c r="K51" s="315"/>
      <c r="L51" s="315"/>
      <c r="M51" s="315"/>
    </row>
    <row r="52" spans="1:14" s="49" customFormat="1" ht="31.5">
      <c r="A52" s="236"/>
      <c r="B52" s="237"/>
      <c r="C52" s="226" t="s">
        <v>172</v>
      </c>
      <c r="D52" s="237"/>
      <c r="E52" s="238"/>
      <c r="F52" s="239"/>
      <c r="G52" s="240"/>
      <c r="H52" s="240"/>
      <c r="I52" s="240"/>
      <c r="J52" s="240"/>
      <c r="K52" s="240"/>
      <c r="L52" s="240"/>
      <c r="M52" s="240"/>
      <c r="N52" s="57">
        <f>H52+J52+L52</f>
        <v>0</v>
      </c>
    </row>
    <row r="53" spans="1:14" s="49" customFormat="1" ht="40.5">
      <c r="A53" s="203"/>
      <c r="B53" s="203"/>
      <c r="C53" s="253" t="s">
        <v>258</v>
      </c>
      <c r="D53" s="203"/>
      <c r="E53" s="205"/>
      <c r="F53" s="206" t="s">
        <v>554</v>
      </c>
      <c r="G53" s="207"/>
      <c r="H53" s="207"/>
      <c r="I53" s="207"/>
      <c r="J53" s="207"/>
      <c r="K53" s="207"/>
      <c r="L53" s="207"/>
      <c r="M53" s="207"/>
    </row>
    <row r="54" spans="1:14" s="49" customFormat="1" ht="15.75">
      <c r="A54" s="14"/>
      <c r="B54" s="157"/>
      <c r="C54" s="209" t="s">
        <v>19</v>
      </c>
      <c r="D54" s="157"/>
      <c r="E54" s="14"/>
      <c r="F54" s="14"/>
      <c r="G54" s="14"/>
      <c r="H54" s="243"/>
      <c r="I54" s="243"/>
      <c r="J54" s="243"/>
      <c r="K54" s="243"/>
      <c r="L54" s="243"/>
      <c r="M54" s="243"/>
    </row>
    <row r="55" spans="1:14" s="49" customFormat="1" ht="49.5">
      <c r="A55" s="317"/>
      <c r="B55" s="1"/>
      <c r="C55" s="252" t="s">
        <v>259</v>
      </c>
      <c r="D55" s="1"/>
      <c r="E55" s="317"/>
      <c r="F55" s="241" t="s">
        <v>554</v>
      </c>
      <c r="G55" s="317"/>
      <c r="H55" s="317"/>
      <c r="I55" s="317"/>
      <c r="J55" s="152"/>
      <c r="K55" s="152"/>
      <c r="L55" s="152"/>
      <c r="M55" s="152"/>
    </row>
    <row r="56" spans="1:14" s="49" customFormat="1" ht="15.75">
      <c r="A56" s="317"/>
      <c r="B56" s="1"/>
      <c r="C56" s="209" t="s">
        <v>19</v>
      </c>
      <c r="D56" s="1"/>
      <c r="E56" s="317"/>
      <c r="F56" s="44"/>
      <c r="G56" s="317"/>
      <c r="H56" s="317"/>
      <c r="I56" s="317"/>
      <c r="J56" s="152"/>
      <c r="K56" s="152"/>
      <c r="L56" s="152"/>
      <c r="M56" s="152"/>
    </row>
    <row r="57" spans="1:14" s="49" customFormat="1" ht="49.5">
      <c r="A57" s="317"/>
      <c r="B57" s="1"/>
      <c r="C57" s="252" t="s">
        <v>260</v>
      </c>
      <c r="D57" s="1"/>
      <c r="E57" s="317"/>
      <c r="F57" s="241" t="s">
        <v>554</v>
      </c>
      <c r="G57" s="317"/>
      <c r="H57" s="317"/>
      <c r="I57" s="317"/>
      <c r="J57" s="152"/>
      <c r="K57" s="152"/>
      <c r="L57" s="152"/>
      <c r="M57" s="152"/>
    </row>
    <row r="58" spans="1:14" s="49" customFormat="1" ht="16.5">
      <c r="A58" s="244"/>
      <c r="B58" s="245"/>
      <c r="C58" s="242" t="s">
        <v>472</v>
      </c>
      <c r="D58" s="245"/>
      <c r="E58" s="244"/>
      <c r="F58" s="164"/>
      <c r="G58" s="244"/>
      <c r="H58" s="244"/>
      <c r="I58" s="244"/>
      <c r="J58" s="246"/>
      <c r="K58" s="246"/>
      <c r="L58" s="246"/>
      <c r="M58" s="43"/>
    </row>
    <row r="59" spans="1:14" s="49" customFormat="1" ht="16.5">
      <c r="A59" s="333"/>
      <c r="B59" s="334"/>
      <c r="C59" s="335"/>
      <c r="D59" s="334"/>
      <c r="E59" s="336"/>
      <c r="F59" s="337"/>
      <c r="G59" s="336"/>
      <c r="H59" s="336"/>
      <c r="I59" s="336"/>
      <c r="J59" s="338"/>
      <c r="K59" s="338"/>
      <c r="L59" s="338"/>
      <c r="M59" s="339"/>
    </row>
    <row r="60" spans="1:14" s="49" customFormat="1" ht="16.5">
      <c r="A60" s="330"/>
      <c r="B60" s="283"/>
      <c r="C60" s="331" t="s">
        <v>463</v>
      </c>
      <c r="D60" s="283"/>
      <c r="E60" s="120"/>
      <c r="F60" s="120"/>
      <c r="G60" s="332"/>
      <c r="H60" s="169"/>
      <c r="I60" s="169"/>
      <c r="J60" s="332"/>
      <c r="K60" s="332"/>
      <c r="L60" s="332"/>
      <c r="M60" s="332"/>
      <c r="N60" s="57"/>
    </row>
    <row r="61" spans="1:14" s="49" customFormat="1" ht="15.75">
      <c r="A61" s="217"/>
      <c r="B61" s="218"/>
      <c r="C61" s="222" t="s">
        <v>2</v>
      </c>
      <c r="D61" s="219"/>
      <c r="E61" s="220"/>
      <c r="F61" s="232" t="s">
        <v>65</v>
      </c>
      <c r="G61" s="202"/>
      <c r="H61" s="202"/>
      <c r="I61" s="202"/>
      <c r="J61" s="202"/>
      <c r="K61" s="202"/>
      <c r="L61" s="202"/>
      <c r="M61" s="202"/>
    </row>
    <row r="62" spans="1:14" s="49" customFormat="1" ht="15.75">
      <c r="A62" s="217"/>
      <c r="B62" s="218"/>
      <c r="C62" s="209" t="s">
        <v>19</v>
      </c>
      <c r="D62" s="219"/>
      <c r="E62" s="220"/>
      <c r="F62" s="233"/>
      <c r="G62" s="202"/>
      <c r="H62" s="202"/>
      <c r="I62" s="202"/>
      <c r="J62" s="202"/>
      <c r="K62" s="202"/>
      <c r="L62" s="202"/>
      <c r="M62" s="202"/>
    </row>
    <row r="63" spans="1:14" s="49" customFormat="1" ht="31.5">
      <c r="A63" s="217"/>
      <c r="B63" s="218"/>
      <c r="C63" s="234" t="s">
        <v>255</v>
      </c>
      <c r="D63" s="219"/>
      <c r="E63" s="220"/>
      <c r="F63" s="235" t="s">
        <v>554</v>
      </c>
      <c r="G63" s="202"/>
      <c r="H63" s="202"/>
      <c r="I63" s="202"/>
      <c r="J63" s="202"/>
      <c r="K63" s="202"/>
      <c r="L63" s="202"/>
      <c r="M63" s="202"/>
    </row>
    <row r="64" spans="1:14" s="49" customFormat="1" ht="15.75">
      <c r="A64" s="217"/>
      <c r="B64" s="218"/>
      <c r="C64" s="209" t="s">
        <v>19</v>
      </c>
      <c r="D64" s="219"/>
      <c r="E64" s="220"/>
      <c r="F64" s="233"/>
      <c r="G64" s="202"/>
      <c r="H64" s="202"/>
      <c r="I64" s="202"/>
      <c r="J64" s="202"/>
      <c r="K64" s="202"/>
      <c r="L64" s="202"/>
      <c r="M64" s="202"/>
    </row>
    <row r="65" spans="1:13" s="49" customFormat="1" ht="15.75">
      <c r="A65" s="217"/>
      <c r="B65" s="218"/>
      <c r="C65" s="222" t="s">
        <v>256</v>
      </c>
      <c r="D65" s="219"/>
      <c r="E65" s="220"/>
      <c r="F65" s="232" t="s">
        <v>66</v>
      </c>
      <c r="G65" s="202"/>
      <c r="H65" s="202"/>
      <c r="I65" s="202"/>
      <c r="J65" s="202"/>
      <c r="K65" s="202"/>
      <c r="L65" s="202"/>
      <c r="M65" s="202"/>
    </row>
    <row r="66" spans="1:13" s="49" customFormat="1" ht="15.75">
      <c r="A66" s="236"/>
      <c r="B66" s="237"/>
      <c r="C66" s="226" t="s">
        <v>385</v>
      </c>
      <c r="D66" s="237"/>
      <c r="E66" s="238"/>
      <c r="F66" s="239"/>
      <c r="G66" s="240"/>
      <c r="H66" s="240"/>
      <c r="I66" s="240"/>
      <c r="J66" s="240"/>
      <c r="K66" s="240"/>
      <c r="L66" s="240"/>
      <c r="M66" s="43"/>
    </row>
    <row r="67" spans="1:13" s="49" customFormat="1" ht="15.75">
      <c r="A67" s="58"/>
      <c r="B67" s="58"/>
      <c r="C67" s="116"/>
      <c r="D67" s="58"/>
      <c r="E67" s="117"/>
      <c r="F67" s="117"/>
      <c r="G67" s="59"/>
      <c r="H67" s="59"/>
      <c r="I67" s="59"/>
      <c r="J67" s="59"/>
      <c r="K67" s="59"/>
      <c r="L67" s="59"/>
      <c r="M67" s="59"/>
    </row>
    <row r="68" spans="1:13" s="49" customFormat="1" ht="15.75">
      <c r="A68" s="58"/>
      <c r="B68" s="58"/>
      <c r="C68" s="116"/>
      <c r="D68" s="58"/>
      <c r="E68" s="117"/>
      <c r="F68" s="117"/>
      <c r="G68" s="59"/>
      <c r="H68" s="59"/>
      <c r="I68" s="59"/>
      <c r="J68" s="59"/>
      <c r="K68" s="59"/>
      <c r="L68" s="59"/>
      <c r="M68" s="59"/>
    </row>
    <row r="69" spans="1:13" s="49" customFormat="1" ht="15.75">
      <c r="A69" s="58"/>
      <c r="B69" s="67"/>
      <c r="C69" s="138"/>
      <c r="D69" s="46"/>
      <c r="E69" s="113"/>
      <c r="F69" s="113"/>
      <c r="G69" s="57"/>
      <c r="H69" s="57"/>
      <c r="I69" s="68"/>
      <c r="J69" s="68"/>
      <c r="K69" s="68"/>
      <c r="L69" s="68"/>
      <c r="M69" s="68"/>
    </row>
    <row r="70" spans="1:13" s="49" customFormat="1" ht="15.75">
      <c r="A70" s="58"/>
      <c r="B70" s="67"/>
      <c r="C70" s="143"/>
      <c r="D70" s="144"/>
      <c r="E70" s="145"/>
      <c r="F70" s="117"/>
      <c r="G70" s="59"/>
      <c r="H70" s="59"/>
      <c r="I70" s="59"/>
      <c r="J70" s="59"/>
      <c r="K70" s="59"/>
      <c r="L70" s="59"/>
      <c r="M70" s="59"/>
    </row>
  </sheetData>
  <mergeCells count="13">
    <mergeCell ref="A1:M1"/>
    <mergeCell ref="A2:M2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M7:M8"/>
    <mergeCell ref="E7:F7"/>
  </mergeCells>
  <pageMargins left="0.70866141732283472" right="0.15748031496062992" top="0.39370078740157483" bottom="0.43307086614173229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5"/>
  <sheetViews>
    <sheetView workbookViewId="0">
      <selection activeCell="L18" sqref="L18"/>
    </sheetView>
  </sheetViews>
  <sheetFormatPr defaultRowHeight="15.75"/>
  <cols>
    <col min="1" max="1" width="9.140625" style="272"/>
    <col min="2" max="2" width="38.7109375" style="272" customWidth="1"/>
    <col min="3" max="3" width="7.140625" style="272" customWidth="1"/>
    <col min="4" max="4" width="24.42578125" style="272" customWidth="1"/>
    <col min="5" max="5" width="22.85546875" style="272" customWidth="1"/>
    <col min="6" max="6" width="16.5703125" style="272" customWidth="1"/>
    <col min="7" max="7" width="12.42578125" style="272" customWidth="1"/>
    <col min="8" max="16384" width="9.140625" style="272"/>
  </cols>
  <sheetData>
    <row r="1" spans="1:7" ht="15.75" customHeight="1">
      <c r="A1" s="690" t="s">
        <v>268</v>
      </c>
      <c r="B1" s="690"/>
      <c r="C1" s="690"/>
      <c r="D1" s="690"/>
      <c r="E1" s="690"/>
      <c r="F1" s="690"/>
    </row>
    <row r="4" spans="1:7" ht="31.5">
      <c r="A4" s="273" t="s">
        <v>0</v>
      </c>
      <c r="B4" s="273" t="s">
        <v>265</v>
      </c>
      <c r="C4" s="273" t="s">
        <v>267</v>
      </c>
      <c r="D4" s="273" t="s">
        <v>266</v>
      </c>
      <c r="E4" s="273" t="s">
        <v>3</v>
      </c>
      <c r="F4" s="691" t="s">
        <v>266</v>
      </c>
      <c r="G4" s="692"/>
    </row>
    <row r="5" spans="1:7" ht="78.75">
      <c r="A5" s="275" t="s">
        <v>310</v>
      </c>
      <c r="B5" s="274" t="s">
        <v>311</v>
      </c>
      <c r="C5" s="275"/>
      <c r="D5" s="275"/>
      <c r="E5" s="275"/>
      <c r="F5" s="693"/>
      <c r="G5" s="694"/>
    </row>
    <row r="6" spans="1:7" ht="78.75">
      <c r="A6" s="273">
        <v>1</v>
      </c>
      <c r="B6" s="276" t="s">
        <v>286</v>
      </c>
      <c r="C6" s="273" t="s">
        <v>54</v>
      </c>
      <c r="D6" s="273" t="s">
        <v>281</v>
      </c>
      <c r="E6" s="273" t="s">
        <v>269</v>
      </c>
      <c r="F6" s="273">
        <f>(0.3+0.15)*3.25*4+   (0.3+0.15)*12*4+   (0.3+0.15)*2.7*4+   (0.3+0.15)*4.25*4</f>
        <v>39.959999999999994</v>
      </c>
      <c r="G6" s="306">
        <f>40+10</f>
        <v>50</v>
      </c>
    </row>
    <row r="7" spans="1:7" ht="63">
      <c r="A7" s="273">
        <v>2</v>
      </c>
      <c r="B7" s="273" t="s">
        <v>287</v>
      </c>
      <c r="C7" s="273" t="s">
        <v>54</v>
      </c>
      <c r="D7" s="273" t="s">
        <v>339</v>
      </c>
      <c r="E7" s="273"/>
      <c r="F7" s="273">
        <f>4*2</f>
        <v>8</v>
      </c>
      <c r="G7" s="306">
        <f>20*2</f>
        <v>40</v>
      </c>
    </row>
    <row r="8" spans="1:7" ht="31.5">
      <c r="A8" s="273">
        <v>3</v>
      </c>
      <c r="B8" s="276" t="s">
        <v>288</v>
      </c>
      <c r="C8" s="273" t="s">
        <v>50</v>
      </c>
      <c r="D8" s="277" t="s">
        <v>274</v>
      </c>
      <c r="E8" s="273" t="s">
        <v>270</v>
      </c>
      <c r="F8" s="273">
        <f>4+6</f>
        <v>10</v>
      </c>
      <c r="G8" s="306">
        <f>18*2</f>
        <v>36</v>
      </c>
    </row>
    <row r="9" spans="1:7" ht="31.5">
      <c r="A9" s="273">
        <v>4</v>
      </c>
      <c r="B9" s="276" t="s">
        <v>275</v>
      </c>
      <c r="C9" s="273" t="s">
        <v>50</v>
      </c>
      <c r="D9" s="277" t="s">
        <v>276</v>
      </c>
      <c r="E9" s="273" t="s">
        <v>270</v>
      </c>
      <c r="F9" s="273">
        <v>4</v>
      </c>
      <c r="G9" s="306">
        <f>8*3</f>
        <v>24</v>
      </c>
    </row>
    <row r="10" spans="1:7">
      <c r="A10" s="273">
        <v>5</v>
      </c>
      <c r="B10" s="276" t="s">
        <v>271</v>
      </c>
      <c r="C10" s="273" t="s">
        <v>43</v>
      </c>
      <c r="D10" s="273" t="s">
        <v>272</v>
      </c>
      <c r="E10" s="273" t="s">
        <v>273</v>
      </c>
      <c r="F10" s="273">
        <f>2*6</f>
        <v>12</v>
      </c>
      <c r="G10" s="306">
        <f>2*6   *2</f>
        <v>24</v>
      </c>
    </row>
    <row r="11" spans="1:7">
      <c r="A11" s="687">
        <v>6</v>
      </c>
      <c r="B11" s="276" t="s">
        <v>277</v>
      </c>
      <c r="C11" s="273" t="s">
        <v>54</v>
      </c>
      <c r="D11" s="273">
        <v>289</v>
      </c>
      <c r="E11" s="273"/>
      <c r="F11" s="273">
        <v>289</v>
      </c>
      <c r="G11" s="306">
        <f>290+160</f>
        <v>450</v>
      </c>
    </row>
    <row r="12" spans="1:7">
      <c r="A12" s="688"/>
      <c r="B12" s="276" t="s">
        <v>278</v>
      </c>
      <c r="C12" s="273" t="s">
        <v>58</v>
      </c>
      <c r="D12" s="273">
        <v>2</v>
      </c>
      <c r="E12" s="273"/>
      <c r="F12" s="273">
        <v>2</v>
      </c>
      <c r="G12" s="306">
        <f>2+4</f>
        <v>6</v>
      </c>
    </row>
    <row r="13" spans="1:7">
      <c r="A13" s="688"/>
      <c r="B13" s="276" t="s">
        <v>279</v>
      </c>
      <c r="C13" s="273" t="s">
        <v>58</v>
      </c>
      <c r="D13" s="273">
        <v>6</v>
      </c>
      <c r="E13" s="273"/>
      <c r="F13" s="273">
        <v>6</v>
      </c>
      <c r="G13" s="306">
        <f>6+6</f>
        <v>12</v>
      </c>
    </row>
    <row r="14" spans="1:7">
      <c r="A14" s="689"/>
      <c r="B14" s="276" t="s">
        <v>280</v>
      </c>
      <c r="C14" s="273" t="s">
        <v>58</v>
      </c>
      <c r="D14" s="273">
        <v>6</v>
      </c>
      <c r="E14" s="273"/>
      <c r="F14" s="273">
        <v>6</v>
      </c>
      <c r="G14" s="306">
        <f>6+12</f>
        <v>18</v>
      </c>
    </row>
    <row r="15" spans="1:7">
      <c r="A15" s="687">
        <v>7</v>
      </c>
      <c r="B15" s="276" t="s">
        <v>284</v>
      </c>
      <c r="C15" s="273" t="s">
        <v>58</v>
      </c>
      <c r="D15" s="273">
        <v>3</v>
      </c>
      <c r="E15" s="273"/>
      <c r="F15" s="273">
        <v>3</v>
      </c>
      <c r="G15" s="306">
        <v>3</v>
      </c>
    </row>
    <row r="16" spans="1:7">
      <c r="A16" s="689"/>
      <c r="B16" s="276" t="s">
        <v>285</v>
      </c>
      <c r="C16" s="273" t="s">
        <v>58</v>
      </c>
      <c r="D16" s="273">
        <v>3</v>
      </c>
      <c r="E16" s="273"/>
      <c r="F16" s="273">
        <v>3</v>
      </c>
      <c r="G16" s="306">
        <f>3+2</f>
        <v>5</v>
      </c>
    </row>
    <row r="17" spans="1:7">
      <c r="A17" s="273">
        <v>8</v>
      </c>
      <c r="B17" s="276" t="s">
        <v>282</v>
      </c>
      <c r="C17" s="273" t="s">
        <v>58</v>
      </c>
      <c r="D17" s="273">
        <v>3</v>
      </c>
      <c r="E17" s="273"/>
      <c r="F17" s="273">
        <v>3</v>
      </c>
      <c r="G17" s="306">
        <f>3+2</f>
        <v>5</v>
      </c>
    </row>
    <row r="18" spans="1:7">
      <c r="A18" s="273">
        <v>9</v>
      </c>
      <c r="B18" s="276" t="s">
        <v>283</v>
      </c>
      <c r="C18" s="273" t="s">
        <v>58</v>
      </c>
      <c r="D18" s="273">
        <v>3</v>
      </c>
      <c r="E18" s="273"/>
      <c r="F18" s="273">
        <v>3</v>
      </c>
      <c r="G18" s="306">
        <f>3+2</f>
        <v>5</v>
      </c>
    </row>
    <row r="19" spans="1:7">
      <c r="A19" s="273"/>
      <c r="B19" s="273"/>
      <c r="C19" s="273"/>
      <c r="D19" s="273"/>
      <c r="E19" s="273"/>
      <c r="F19" s="273"/>
      <c r="G19" s="273"/>
    </row>
    <row r="20" spans="1:7" ht="78.75">
      <c r="A20" s="275" t="s">
        <v>323</v>
      </c>
      <c r="B20" s="274" t="s">
        <v>324</v>
      </c>
      <c r="C20" s="275"/>
      <c r="D20" s="275"/>
      <c r="E20" s="275"/>
      <c r="F20" s="275"/>
      <c r="G20" s="273"/>
    </row>
    <row r="21" spans="1:7" ht="78.75">
      <c r="A21" s="687">
        <v>1</v>
      </c>
      <c r="B21" s="276" t="s">
        <v>286</v>
      </c>
      <c r="C21" s="273" t="s">
        <v>54</v>
      </c>
      <c r="D21" s="273" t="s">
        <v>340</v>
      </c>
      <c r="E21" s="273" t="s">
        <v>269</v>
      </c>
      <c r="F21" s="273">
        <f>1*0.5*2*3</f>
        <v>3</v>
      </c>
      <c r="G21" s="306">
        <v>10</v>
      </c>
    </row>
    <row r="22" spans="1:7" ht="63">
      <c r="A22" s="689"/>
      <c r="B22" s="276" t="s">
        <v>290</v>
      </c>
      <c r="C22" s="273" t="s">
        <v>54</v>
      </c>
      <c r="D22" s="273" t="s">
        <v>292</v>
      </c>
      <c r="E22" s="273" t="s">
        <v>293</v>
      </c>
      <c r="F22" s="273">
        <f>0.4*(0.3+0.15) +0.3*1 +(1.75+1.25)*0.35 +1.2*0.4*2+3.35*0.4 +1*0.6*1 +0.4*0.4*1</f>
        <v>4.59</v>
      </c>
      <c r="G22" s="306">
        <v>20</v>
      </c>
    </row>
    <row r="23" spans="1:7" ht="63">
      <c r="A23" s="273">
        <v>2</v>
      </c>
      <c r="B23" s="273" t="s">
        <v>287</v>
      </c>
      <c r="C23" s="273" t="s">
        <v>54</v>
      </c>
      <c r="D23" s="273" t="s">
        <v>291</v>
      </c>
      <c r="E23" s="273"/>
      <c r="F23" s="273">
        <f>4*2</f>
        <v>8</v>
      </c>
      <c r="G23" s="306">
        <v>40</v>
      </c>
    </row>
    <row r="24" spans="1:7" ht="94.5">
      <c r="A24" s="279" t="s">
        <v>299</v>
      </c>
      <c r="B24" s="276" t="s">
        <v>341</v>
      </c>
      <c r="C24" s="273" t="s">
        <v>54</v>
      </c>
      <c r="D24" s="273" t="s">
        <v>342</v>
      </c>
      <c r="E24" s="273" t="s">
        <v>298</v>
      </c>
      <c r="F24" s="273">
        <f>25*0.5*2</f>
        <v>25</v>
      </c>
      <c r="G24" s="306">
        <v>50</v>
      </c>
    </row>
    <row r="25" spans="1:7" ht="31.5">
      <c r="A25" s="687">
        <v>3</v>
      </c>
      <c r="B25" s="276" t="s">
        <v>288</v>
      </c>
      <c r="C25" s="273" t="s">
        <v>50</v>
      </c>
      <c r="D25" s="277"/>
      <c r="E25" s="273" t="s">
        <v>270</v>
      </c>
      <c r="F25" s="273"/>
      <c r="G25" s="306">
        <v>25</v>
      </c>
    </row>
    <row r="26" spans="1:7" ht="31.5">
      <c r="A26" s="689"/>
      <c r="B26" s="276" t="s">
        <v>275</v>
      </c>
      <c r="C26" s="273" t="s">
        <v>50</v>
      </c>
      <c r="D26" s="277"/>
      <c r="E26" s="273" t="s">
        <v>270</v>
      </c>
      <c r="F26" s="273"/>
      <c r="G26" s="273"/>
    </row>
    <row r="27" spans="1:7">
      <c r="A27" s="273">
        <v>4</v>
      </c>
      <c r="B27" s="276" t="s">
        <v>271</v>
      </c>
      <c r="C27" s="273" t="s">
        <v>43</v>
      </c>
      <c r="D27" s="273"/>
      <c r="E27" s="273" t="s">
        <v>273</v>
      </c>
      <c r="F27" s="273"/>
      <c r="G27" s="273"/>
    </row>
    <row r="28" spans="1:7">
      <c r="A28" s="687">
        <v>5</v>
      </c>
      <c r="B28" s="276" t="s">
        <v>277</v>
      </c>
      <c r="C28" s="273" t="s">
        <v>54</v>
      </c>
      <c r="D28" s="273">
        <v>190</v>
      </c>
      <c r="E28" s="273"/>
      <c r="F28" s="273">
        <v>190</v>
      </c>
      <c r="G28" s="306">
        <v>250</v>
      </c>
    </row>
    <row r="29" spans="1:7">
      <c r="A29" s="688"/>
      <c r="B29" s="276" t="s">
        <v>278</v>
      </c>
      <c r="C29" s="273" t="s">
        <v>58</v>
      </c>
      <c r="D29" s="273">
        <v>2</v>
      </c>
      <c r="E29" s="273"/>
      <c r="F29" s="273">
        <v>2</v>
      </c>
      <c r="G29" s="306">
        <v>5</v>
      </c>
    </row>
    <row r="30" spans="1:7">
      <c r="A30" s="688"/>
      <c r="B30" s="276" t="s">
        <v>279</v>
      </c>
      <c r="C30" s="273" t="s">
        <v>58</v>
      </c>
      <c r="D30" s="273">
        <v>9</v>
      </c>
      <c r="E30" s="273"/>
      <c r="F30" s="273">
        <v>9</v>
      </c>
      <c r="G30" s="306">
        <v>15</v>
      </c>
    </row>
    <row r="31" spans="1:7">
      <c r="A31" s="689"/>
      <c r="B31" s="276" t="s">
        <v>280</v>
      </c>
      <c r="C31" s="273" t="s">
        <v>58</v>
      </c>
      <c r="D31" s="273"/>
      <c r="E31" s="273"/>
      <c r="F31" s="273"/>
      <c r="G31" s="273"/>
    </row>
    <row r="32" spans="1:7">
      <c r="A32" s="687">
        <v>6</v>
      </c>
      <c r="B32" s="276" t="s">
        <v>284</v>
      </c>
      <c r="C32" s="273" t="s">
        <v>58</v>
      </c>
      <c r="D32" s="273">
        <v>6</v>
      </c>
      <c r="E32" s="273"/>
      <c r="F32" s="273">
        <v>6</v>
      </c>
      <c r="G32" s="306">
        <v>6</v>
      </c>
    </row>
    <row r="33" spans="1:7">
      <c r="A33" s="689"/>
      <c r="B33" s="276" t="s">
        <v>285</v>
      </c>
      <c r="C33" s="273" t="s">
        <v>58</v>
      </c>
      <c r="D33" s="273">
        <v>6</v>
      </c>
      <c r="E33" s="273" t="s">
        <v>289</v>
      </c>
      <c r="F33" s="273">
        <v>6</v>
      </c>
      <c r="G33" s="306">
        <v>6</v>
      </c>
    </row>
    <row r="34" spans="1:7">
      <c r="A34" s="273">
        <v>7</v>
      </c>
      <c r="B34" s="276" t="s">
        <v>282</v>
      </c>
      <c r="C34" s="273" t="s">
        <v>58</v>
      </c>
      <c r="D34" s="273">
        <v>3</v>
      </c>
      <c r="E34" s="273"/>
      <c r="F34" s="273">
        <v>3</v>
      </c>
      <c r="G34" s="306">
        <v>6</v>
      </c>
    </row>
    <row r="35" spans="1:7">
      <c r="A35" s="273">
        <v>8</v>
      </c>
      <c r="B35" s="276" t="s">
        <v>283</v>
      </c>
      <c r="C35" s="273" t="s">
        <v>58</v>
      </c>
      <c r="D35" s="273">
        <v>3</v>
      </c>
      <c r="E35" s="273"/>
      <c r="F35" s="273">
        <v>3</v>
      </c>
      <c r="G35" s="306">
        <v>6</v>
      </c>
    </row>
    <row r="36" spans="1:7" ht="47.25">
      <c r="A36" s="273">
        <v>9</v>
      </c>
      <c r="B36" s="273" t="s">
        <v>294</v>
      </c>
      <c r="C36" s="273" t="s">
        <v>54</v>
      </c>
      <c r="D36" s="273" t="s">
        <v>295</v>
      </c>
      <c r="E36" s="273" t="s">
        <v>296</v>
      </c>
      <c r="F36" s="273">
        <f>(10+20+10)* (0.4+0.6+0.4)</f>
        <v>56</v>
      </c>
      <c r="G36" s="306">
        <v>60</v>
      </c>
    </row>
    <row r="37" spans="1:7" ht="78.75">
      <c r="A37" s="275" t="s">
        <v>337</v>
      </c>
      <c r="B37" s="274" t="s">
        <v>338</v>
      </c>
      <c r="C37" s="275"/>
      <c r="D37" s="275"/>
      <c r="E37" s="275"/>
      <c r="F37" s="275"/>
      <c r="G37" s="273"/>
    </row>
    <row r="38" spans="1:7" ht="78.75">
      <c r="A38" s="687">
        <v>1</v>
      </c>
      <c r="B38" s="276" t="s">
        <v>286</v>
      </c>
      <c r="C38" s="273" t="s">
        <v>54</v>
      </c>
      <c r="D38" s="273" t="s">
        <v>302</v>
      </c>
      <c r="E38" s="273" t="s">
        <v>269</v>
      </c>
      <c r="F38" s="273">
        <f>(0.3+0.15)*5.2*4+   (0.3+0.15)*2.2*3</f>
        <v>12.329999999999998</v>
      </c>
      <c r="G38" s="306">
        <v>30</v>
      </c>
    </row>
    <row r="39" spans="1:7" ht="110.25">
      <c r="A39" s="689"/>
      <c r="B39" s="276" t="s">
        <v>344</v>
      </c>
      <c r="C39" s="273" t="s">
        <v>54</v>
      </c>
      <c r="D39" s="273" t="s">
        <v>300</v>
      </c>
      <c r="E39" s="273" t="s">
        <v>343</v>
      </c>
      <c r="F39" s="273">
        <f>((1.6+1.4)/2)*20.8+   3.14*3.4*0.6*3+   15*((0.4+0.1)/2)*2+  (3.14*7.4-0.7-0.7-0.55)* (0.55+1.05)+    (0.55+0.4*6+0.55)*7.5 + (3.14*3.5-0.5)*(0.4+0.4)*3</f>
        <v>143.40039999999999</v>
      </c>
      <c r="G39" s="306">
        <v>250</v>
      </c>
    </row>
    <row r="40" spans="1:7">
      <c r="A40" s="278"/>
      <c r="B40" s="276" t="s">
        <v>346</v>
      </c>
      <c r="C40" s="273" t="s">
        <v>54</v>
      </c>
      <c r="D40" s="273"/>
      <c r="E40" s="273"/>
      <c r="F40" s="273">
        <f xml:space="preserve">   3.14*3.4*0.6*3+     (3.14*7.4-0.7-0.7-0.55)* (0.55+1.05)+    (0.55+0.4*6+0.55)*7.5 + (3.14*3.5-0.5)*(0.4+0.4)*3</f>
        <v>104.7004</v>
      </c>
      <c r="G40" s="306">
        <v>150</v>
      </c>
    </row>
    <row r="41" spans="1:7">
      <c r="A41" s="278"/>
      <c r="B41" s="276" t="s">
        <v>348</v>
      </c>
      <c r="C41" s="273" t="s">
        <v>54</v>
      </c>
      <c r="D41" s="273"/>
      <c r="E41" s="273"/>
      <c r="F41" s="273">
        <f>((1.6+1.4)/2)*20.8</f>
        <v>31.200000000000003</v>
      </c>
      <c r="G41" s="306">
        <v>70</v>
      </c>
    </row>
    <row r="42" spans="1:7">
      <c r="A42" s="278"/>
      <c r="B42" s="276" t="s">
        <v>347</v>
      </c>
      <c r="C42" s="273" t="s">
        <v>54</v>
      </c>
      <c r="D42" s="273"/>
      <c r="E42" s="273"/>
      <c r="F42" s="273">
        <f xml:space="preserve">      15*((0.4+0.1)/2)*2</f>
        <v>7.5</v>
      </c>
      <c r="G42" s="306">
        <v>30</v>
      </c>
    </row>
    <row r="43" spans="1:7" ht="110.25">
      <c r="A43" s="278"/>
      <c r="B43" s="276" t="s">
        <v>345</v>
      </c>
      <c r="C43" s="273" t="s">
        <v>50</v>
      </c>
      <c r="D43" s="273" t="s">
        <v>301</v>
      </c>
      <c r="E43" s="307">
        <v>1</v>
      </c>
      <c r="F43" s="273">
        <f>20.8*0.4+       3.14*3.4*0.4*3+    15*0.4+             3.14*(7.4-0.7-0.7-0.55)*0.5+ (0.5+1+1+0.5)*7.5 +   (3.14*3.5-0.5)*3*0.5</f>
        <v>73.922699999999992</v>
      </c>
      <c r="G43" s="306">
        <v>75</v>
      </c>
    </row>
    <row r="44" spans="1:7">
      <c r="A44" s="278"/>
      <c r="B44" s="276" t="s">
        <v>346</v>
      </c>
      <c r="C44" s="273" t="s">
        <v>54</v>
      </c>
      <c r="D44" s="273"/>
      <c r="E44" s="307"/>
      <c r="F44" s="273">
        <f>3.14*3.4*0.4*3+     3.14*(7.4-0.7-0.7-0.55)*0.5+ (0.5+1+1+0.5)*7.5 +   (3.14*3.5-0.5)*3*0.5</f>
        <v>59.602699999999999</v>
      </c>
      <c r="G44" s="306">
        <v>60</v>
      </c>
    </row>
    <row r="45" spans="1:7">
      <c r="A45" s="278"/>
      <c r="B45" s="276" t="s">
        <v>347</v>
      </c>
      <c r="C45" s="273" t="s">
        <v>54</v>
      </c>
      <c r="D45" s="273"/>
      <c r="E45" s="307"/>
      <c r="F45" s="273">
        <f>20.8*0.4+          15*0.4</f>
        <v>14.32</v>
      </c>
      <c r="G45" s="306">
        <v>15</v>
      </c>
    </row>
    <row r="46" spans="1:7" ht="63">
      <c r="A46" s="273">
        <v>2</v>
      </c>
      <c r="B46" s="273" t="s">
        <v>287</v>
      </c>
      <c r="C46" s="273" t="s">
        <v>54</v>
      </c>
      <c r="D46" s="273">
        <v>10</v>
      </c>
      <c r="E46" s="273"/>
      <c r="F46" s="273">
        <v>10</v>
      </c>
      <c r="G46" s="306">
        <v>40</v>
      </c>
    </row>
    <row r="47" spans="1:7" ht="31.5">
      <c r="A47" s="687">
        <v>3</v>
      </c>
      <c r="B47" s="276" t="s">
        <v>288</v>
      </c>
      <c r="C47" s="273" t="s">
        <v>50</v>
      </c>
      <c r="D47" s="277"/>
      <c r="E47" s="273" t="s">
        <v>270</v>
      </c>
      <c r="F47" s="273"/>
      <c r="G47" s="306">
        <v>28</v>
      </c>
    </row>
    <row r="48" spans="1:7" ht="31.5">
      <c r="A48" s="689"/>
      <c r="B48" s="276" t="s">
        <v>275</v>
      </c>
      <c r="C48" s="273" t="s">
        <v>50</v>
      </c>
      <c r="D48" s="277"/>
      <c r="E48" s="273" t="s">
        <v>270</v>
      </c>
      <c r="F48" s="273"/>
      <c r="G48" s="273"/>
    </row>
    <row r="49" spans="1:7">
      <c r="A49" s="273">
        <v>4</v>
      </c>
      <c r="B49" s="276" t="s">
        <v>271</v>
      </c>
      <c r="C49" s="273" t="s">
        <v>43</v>
      </c>
      <c r="D49" s="273"/>
      <c r="E49" s="273" t="s">
        <v>273</v>
      </c>
      <c r="F49" s="273"/>
      <c r="G49" s="273"/>
    </row>
    <row r="50" spans="1:7">
      <c r="A50" s="687">
        <v>5</v>
      </c>
      <c r="B50" s="276" t="s">
        <v>277</v>
      </c>
      <c r="C50" s="273" t="s">
        <v>54</v>
      </c>
      <c r="D50" s="273">
        <v>190</v>
      </c>
      <c r="E50" s="273"/>
      <c r="F50" s="273">
        <v>190</v>
      </c>
      <c r="G50" s="306">
        <v>250</v>
      </c>
    </row>
    <row r="51" spans="1:7">
      <c r="A51" s="688"/>
      <c r="B51" s="276" t="s">
        <v>278</v>
      </c>
      <c r="C51" s="273" t="s">
        <v>58</v>
      </c>
      <c r="D51" s="273"/>
      <c r="E51" s="273"/>
      <c r="F51" s="273">
        <v>2</v>
      </c>
      <c r="G51" s="306">
        <v>5</v>
      </c>
    </row>
    <row r="52" spans="1:7">
      <c r="A52" s="688"/>
      <c r="B52" s="276" t="s">
        <v>279</v>
      </c>
      <c r="C52" s="273" t="s">
        <v>58</v>
      </c>
      <c r="D52" s="273"/>
      <c r="E52" s="273"/>
      <c r="F52" s="273"/>
      <c r="G52" s="273"/>
    </row>
    <row r="53" spans="1:7">
      <c r="A53" s="689"/>
      <c r="B53" s="276" t="s">
        <v>280</v>
      </c>
      <c r="C53" s="273" t="s">
        <v>58</v>
      </c>
      <c r="D53" s="273">
        <v>4</v>
      </c>
      <c r="E53" s="273"/>
      <c r="F53" s="273">
        <v>4</v>
      </c>
      <c r="G53" s="306">
        <v>10</v>
      </c>
    </row>
    <row r="54" spans="1:7">
      <c r="A54" s="687">
        <v>6</v>
      </c>
      <c r="B54" s="276" t="s">
        <v>284</v>
      </c>
      <c r="C54" s="273" t="s">
        <v>58</v>
      </c>
      <c r="D54" s="273">
        <v>4</v>
      </c>
      <c r="E54" s="273"/>
      <c r="F54" s="273">
        <v>6</v>
      </c>
      <c r="G54" s="306">
        <v>6</v>
      </c>
    </row>
    <row r="55" spans="1:7">
      <c r="A55" s="689"/>
      <c r="B55" s="276" t="s">
        <v>285</v>
      </c>
      <c r="C55" s="273" t="s">
        <v>58</v>
      </c>
      <c r="D55" s="273">
        <v>4</v>
      </c>
      <c r="E55" s="273"/>
      <c r="F55" s="273">
        <v>6</v>
      </c>
      <c r="G55" s="306">
        <v>10</v>
      </c>
    </row>
    <row r="56" spans="1:7">
      <c r="A56" s="273">
        <v>7</v>
      </c>
      <c r="B56" s="276" t="s">
        <v>282</v>
      </c>
      <c r="C56" s="273" t="s">
        <v>58</v>
      </c>
      <c r="D56" s="273"/>
      <c r="E56" s="273"/>
      <c r="F56" s="273"/>
      <c r="G56" s="273"/>
    </row>
    <row r="57" spans="1:7">
      <c r="A57" s="273">
        <v>8</v>
      </c>
      <c r="B57" s="276" t="s">
        <v>283</v>
      </c>
      <c r="C57" s="273" t="s">
        <v>58</v>
      </c>
      <c r="D57" s="273"/>
      <c r="E57" s="273"/>
      <c r="F57" s="273"/>
      <c r="G57" s="273"/>
    </row>
    <row r="58" spans="1:7">
      <c r="A58" s="273"/>
      <c r="B58" s="276" t="s">
        <v>297</v>
      </c>
      <c r="C58" s="273" t="s">
        <v>58</v>
      </c>
      <c r="D58" s="273">
        <v>1</v>
      </c>
      <c r="E58" s="273"/>
      <c r="F58" s="273">
        <v>1</v>
      </c>
      <c r="G58" s="306">
        <v>1</v>
      </c>
    </row>
    <row r="59" spans="1:7" ht="78.75">
      <c r="A59" s="687">
        <v>9</v>
      </c>
      <c r="B59" s="276" t="s">
        <v>358</v>
      </c>
      <c r="C59" s="273" t="s">
        <v>54</v>
      </c>
      <c r="D59" s="273" t="s">
        <v>359</v>
      </c>
      <c r="E59" s="273" t="s">
        <v>296</v>
      </c>
      <c r="F59" s="273">
        <f>3.14*3.1*3.1+(3.14*6.2-0.7*2-0.5)*1.05  +(0.55+0.4*6+0.55)*7.5  + (3.14*1.35*1.35 +(3.14*2.7-0.5)*0.4)*3</f>
        <v>101.61335000000001</v>
      </c>
      <c r="G59" s="306">
        <v>105</v>
      </c>
    </row>
    <row r="60" spans="1:7">
      <c r="A60" s="688"/>
      <c r="B60" s="276" t="s">
        <v>360</v>
      </c>
      <c r="C60" s="273"/>
      <c r="D60" s="273"/>
      <c r="E60" s="273"/>
      <c r="F60" s="273">
        <f>3.14*3.1*3.1  +(0.55+0.4*6+0.55)*7.5  + (3.14*1.35*1.35 )*3</f>
        <v>73.593350000000001</v>
      </c>
      <c r="G60" s="306">
        <v>75</v>
      </c>
    </row>
    <row r="61" spans="1:7">
      <c r="A61" s="688"/>
      <c r="B61" s="280" t="s">
        <v>303</v>
      </c>
      <c r="C61" s="281" t="s">
        <v>50</v>
      </c>
      <c r="D61" s="281">
        <v>30</v>
      </c>
      <c r="E61" s="281"/>
      <c r="F61" s="281"/>
      <c r="G61" s="309">
        <v>30</v>
      </c>
    </row>
    <row r="62" spans="1:7">
      <c r="A62" s="688"/>
      <c r="B62" s="276" t="s">
        <v>304</v>
      </c>
      <c r="C62" s="273" t="s">
        <v>43</v>
      </c>
      <c r="D62" s="273" t="s">
        <v>306</v>
      </c>
      <c r="E62" s="273"/>
      <c r="F62" s="273">
        <f>0.15*(0.4+0.6+0.4)*30</f>
        <v>6.3</v>
      </c>
      <c r="G62" s="306">
        <f>0.15*(0.4+0.6+0.4)*30</f>
        <v>6.3</v>
      </c>
    </row>
    <row r="63" spans="1:7">
      <c r="A63" s="688"/>
      <c r="B63" s="276" t="s">
        <v>35</v>
      </c>
      <c r="C63" s="273" t="s">
        <v>43</v>
      </c>
      <c r="D63" s="273" t="s">
        <v>305</v>
      </c>
      <c r="E63" s="273"/>
      <c r="F63" s="273">
        <f>0.6*0.1*30</f>
        <v>1.7999999999999998</v>
      </c>
      <c r="G63" s="306">
        <f>0.6*0.1*30</f>
        <v>1.7999999999999998</v>
      </c>
    </row>
    <row r="64" spans="1:7">
      <c r="A64" s="688"/>
      <c r="B64" s="276" t="s">
        <v>307</v>
      </c>
      <c r="C64" s="273" t="s">
        <v>43</v>
      </c>
      <c r="D64" s="273" t="s">
        <v>306</v>
      </c>
      <c r="E64" s="273"/>
      <c r="F64" s="273">
        <f>0.15*(0.4+0.6+0.4)*30</f>
        <v>6.3</v>
      </c>
      <c r="G64" s="306">
        <f>0.15*(0.4+0.6+0.4)*30</f>
        <v>6.3</v>
      </c>
    </row>
    <row r="65" spans="1:7" ht="63">
      <c r="A65" s="688"/>
      <c r="B65" s="276" t="s">
        <v>308</v>
      </c>
      <c r="C65" s="273" t="s">
        <v>48</v>
      </c>
      <c r="D65" s="273" t="s">
        <v>309</v>
      </c>
      <c r="E65" s="273"/>
      <c r="F65" s="273">
        <f>((4+3+3)*30+    ((30/0.15)+1)* (0.6+0.55+0.55))* 1.03*0.395/1000</f>
        <v>0.26107564500000002</v>
      </c>
      <c r="G65" s="306">
        <f>((4+3+3)*30+    ((30/0.15)+1)* (0.6+0.55+0.55))* 1.03*0.395/1000</f>
        <v>0.26107564500000002</v>
      </c>
    </row>
    <row r="66" spans="1:7">
      <c r="A66" s="689"/>
      <c r="B66" s="273"/>
      <c r="C66" s="273"/>
      <c r="D66" s="273"/>
      <c r="E66" s="273"/>
      <c r="F66" s="273"/>
      <c r="G66" s="273"/>
    </row>
    <row r="67" spans="1:7" ht="78.75">
      <c r="A67" s="275" t="s">
        <v>409</v>
      </c>
      <c r="B67" s="274" t="s">
        <v>412</v>
      </c>
      <c r="C67" s="275"/>
      <c r="D67" s="275"/>
      <c r="E67" s="275"/>
      <c r="F67" s="275"/>
      <c r="G67" s="273"/>
    </row>
    <row r="68" spans="1:7" ht="78.75">
      <c r="A68" s="687">
        <v>1</v>
      </c>
      <c r="B68" s="276" t="s">
        <v>286</v>
      </c>
      <c r="C68" s="273" t="s">
        <v>54</v>
      </c>
      <c r="D68" s="273"/>
      <c r="E68" s="273" t="s">
        <v>269</v>
      </c>
      <c r="F68" s="273"/>
      <c r="G68" s="273"/>
    </row>
    <row r="69" spans="1:7" ht="63">
      <c r="A69" s="689"/>
      <c r="B69" s="276" t="s">
        <v>344</v>
      </c>
      <c r="C69" s="273" t="s">
        <v>54</v>
      </c>
      <c r="D69" s="273"/>
      <c r="E69" s="273"/>
      <c r="F69" s="273"/>
      <c r="G69" s="273"/>
    </row>
    <row r="70" spans="1:7">
      <c r="A70" s="282"/>
      <c r="B70" s="276" t="s">
        <v>346</v>
      </c>
      <c r="C70" s="273" t="s">
        <v>54</v>
      </c>
      <c r="D70" s="273"/>
      <c r="E70" s="273"/>
      <c r="F70" s="273"/>
      <c r="G70" s="273"/>
    </row>
    <row r="71" spans="1:7">
      <c r="A71" s="282"/>
      <c r="B71" s="276" t="s">
        <v>348</v>
      </c>
      <c r="C71" s="273" t="s">
        <v>54</v>
      </c>
      <c r="D71" s="273"/>
      <c r="E71" s="273"/>
      <c r="F71" s="273"/>
      <c r="G71" s="273"/>
    </row>
    <row r="72" spans="1:7">
      <c r="A72" s="282"/>
      <c r="B72" s="276" t="s">
        <v>347</v>
      </c>
      <c r="C72" s="273" t="s">
        <v>54</v>
      </c>
      <c r="D72" s="273"/>
      <c r="E72" s="273"/>
      <c r="F72" s="273"/>
      <c r="G72" s="273"/>
    </row>
    <row r="73" spans="1:7" ht="47.25">
      <c r="A73" s="282"/>
      <c r="B73" s="276" t="s">
        <v>345</v>
      </c>
      <c r="C73" s="273" t="s">
        <v>50</v>
      </c>
      <c r="D73" s="273" t="s">
        <v>413</v>
      </c>
      <c r="E73" s="307"/>
      <c r="F73" s="273">
        <f>18*0.4  +32.1*0.4   +2*0.5</f>
        <v>21.040000000000003</v>
      </c>
      <c r="G73" s="319">
        <v>55</v>
      </c>
    </row>
    <row r="74" spans="1:7">
      <c r="A74" s="282"/>
      <c r="B74" s="276" t="s">
        <v>346</v>
      </c>
      <c r="C74" s="273" t="s">
        <v>54</v>
      </c>
      <c r="D74" s="273"/>
      <c r="E74" s="307"/>
      <c r="F74" s="273"/>
      <c r="G74" s="146"/>
    </row>
    <row r="75" spans="1:7">
      <c r="A75" s="282"/>
      <c r="B75" s="276" t="s">
        <v>347</v>
      </c>
      <c r="C75" s="273" t="s">
        <v>54</v>
      </c>
      <c r="D75" s="273"/>
      <c r="E75" s="307"/>
      <c r="F75" s="273"/>
      <c r="G75" s="146"/>
    </row>
    <row r="76" spans="1:7" ht="63">
      <c r="A76" s="273">
        <v>2</v>
      </c>
      <c r="B76" s="273" t="s">
        <v>287</v>
      </c>
      <c r="C76" s="273" t="s">
        <v>54</v>
      </c>
      <c r="D76" s="273"/>
      <c r="E76" s="273"/>
      <c r="F76" s="273"/>
      <c r="G76" s="319">
        <v>50</v>
      </c>
    </row>
    <row r="77" spans="1:7" ht="31.5">
      <c r="A77" s="687">
        <v>3</v>
      </c>
      <c r="B77" s="276" t="s">
        <v>288</v>
      </c>
      <c r="C77" s="273" t="s">
        <v>50</v>
      </c>
      <c r="D77" s="277"/>
      <c r="E77" s="273" t="s">
        <v>270</v>
      </c>
      <c r="F77" s="273"/>
      <c r="G77" s="319">
        <v>25</v>
      </c>
    </row>
    <row r="78" spans="1:7" ht="31.5">
      <c r="A78" s="689"/>
      <c r="B78" s="276" t="s">
        <v>275</v>
      </c>
      <c r="C78" s="273" t="s">
        <v>50</v>
      </c>
      <c r="D78" s="277"/>
      <c r="E78" s="273" t="s">
        <v>270</v>
      </c>
      <c r="F78" s="273"/>
      <c r="G78" s="273"/>
    </row>
    <row r="79" spans="1:7">
      <c r="A79" s="273">
        <v>4</v>
      </c>
      <c r="B79" s="276" t="s">
        <v>271</v>
      </c>
      <c r="C79" s="273" t="s">
        <v>43</v>
      </c>
      <c r="D79" s="273"/>
      <c r="E79" s="273" t="s">
        <v>273</v>
      </c>
      <c r="F79" s="273"/>
      <c r="G79" s="273"/>
    </row>
    <row r="80" spans="1:7">
      <c r="A80" s="687">
        <v>5</v>
      </c>
      <c r="B80" s="276" t="s">
        <v>277</v>
      </c>
      <c r="C80" s="273" t="s">
        <v>54</v>
      </c>
      <c r="D80" s="273"/>
      <c r="E80" s="273"/>
      <c r="F80" s="273">
        <v>2229</v>
      </c>
      <c r="G80" s="306">
        <v>2230</v>
      </c>
    </row>
    <row r="81" spans="1:7">
      <c r="A81" s="688"/>
      <c r="B81" s="276" t="s">
        <v>278</v>
      </c>
      <c r="C81" s="273" t="s">
        <v>58</v>
      </c>
      <c r="D81" s="273"/>
      <c r="E81" s="273"/>
      <c r="F81" s="273"/>
      <c r="G81" s="273"/>
    </row>
    <row r="82" spans="1:7">
      <c r="A82" s="688"/>
      <c r="B82" s="276" t="s">
        <v>279</v>
      </c>
      <c r="C82" s="273" t="s">
        <v>58</v>
      </c>
      <c r="D82" s="273"/>
      <c r="E82" s="273"/>
      <c r="F82" s="273">
        <v>9</v>
      </c>
      <c r="G82" s="306">
        <v>15</v>
      </c>
    </row>
    <row r="83" spans="1:7">
      <c r="A83" s="689"/>
      <c r="B83" s="276" t="s">
        <v>280</v>
      </c>
      <c r="C83" s="273" t="s">
        <v>58</v>
      </c>
      <c r="D83" s="273"/>
      <c r="E83" s="273"/>
      <c r="F83" s="273">
        <v>25</v>
      </c>
      <c r="G83" s="306">
        <v>35</v>
      </c>
    </row>
    <row r="84" spans="1:7">
      <c r="A84" s="687">
        <v>6</v>
      </c>
      <c r="B84" s="276" t="s">
        <v>284</v>
      </c>
      <c r="C84" s="273" t="s">
        <v>58</v>
      </c>
      <c r="D84" s="273"/>
      <c r="E84" s="273"/>
      <c r="F84" s="273">
        <v>23</v>
      </c>
      <c r="G84" s="306">
        <v>23</v>
      </c>
    </row>
    <row r="85" spans="1:7">
      <c r="A85" s="689"/>
      <c r="B85" s="276" t="s">
        <v>285</v>
      </c>
      <c r="C85" s="273" t="s">
        <v>58</v>
      </c>
      <c r="D85" s="273"/>
      <c r="E85" s="273"/>
      <c r="F85" s="273">
        <v>23</v>
      </c>
      <c r="G85" s="306">
        <v>30</v>
      </c>
    </row>
    <row r="86" spans="1:7">
      <c r="A86" s="273">
        <v>7</v>
      </c>
      <c r="B86" s="276" t="s">
        <v>282</v>
      </c>
      <c r="C86" s="273" t="s">
        <v>58</v>
      </c>
      <c r="D86" s="273"/>
      <c r="E86" s="273"/>
      <c r="F86" s="273">
        <v>6</v>
      </c>
      <c r="G86" s="306">
        <v>12</v>
      </c>
    </row>
    <row r="87" spans="1:7">
      <c r="A87" s="273">
        <v>8</v>
      </c>
      <c r="B87" s="276" t="s">
        <v>283</v>
      </c>
      <c r="C87" s="273" t="s">
        <v>58</v>
      </c>
      <c r="D87" s="273"/>
      <c r="E87" s="273"/>
      <c r="F87" s="273">
        <v>6</v>
      </c>
      <c r="G87" s="306">
        <v>12</v>
      </c>
    </row>
    <row r="88" spans="1:7" ht="31.5">
      <c r="A88" s="273"/>
      <c r="B88" s="276" t="s">
        <v>426</v>
      </c>
      <c r="C88" s="273" t="s">
        <v>83</v>
      </c>
      <c r="D88" s="273"/>
      <c r="E88" s="273" t="s">
        <v>414</v>
      </c>
      <c r="F88" s="273"/>
      <c r="G88" s="319">
        <v>5</v>
      </c>
    </row>
    <row r="89" spans="1:7" ht="47.25">
      <c r="A89" s="687"/>
      <c r="B89" s="276" t="s">
        <v>421</v>
      </c>
      <c r="C89" s="273" t="s">
        <v>50</v>
      </c>
      <c r="D89" s="273"/>
      <c r="E89" s="273"/>
      <c r="F89" s="273"/>
      <c r="G89" s="319">
        <v>85</v>
      </c>
    </row>
    <row r="90" spans="1:7">
      <c r="A90" s="688"/>
      <c r="B90" s="276" t="s">
        <v>415</v>
      </c>
      <c r="C90" s="273" t="s">
        <v>50</v>
      </c>
      <c r="D90" s="273"/>
      <c r="E90" s="273"/>
      <c r="F90" s="273"/>
      <c r="G90" s="319">
        <v>85</v>
      </c>
    </row>
    <row r="91" spans="1:7">
      <c r="A91" s="688"/>
      <c r="B91" s="276" t="s">
        <v>416</v>
      </c>
      <c r="C91" s="273" t="s">
        <v>50</v>
      </c>
      <c r="D91" s="273"/>
      <c r="E91" s="273"/>
      <c r="F91" s="273"/>
      <c r="G91" s="319">
        <v>85</v>
      </c>
    </row>
    <row r="92" spans="1:7" ht="31.5">
      <c r="A92" s="688"/>
      <c r="B92" s="276" t="s">
        <v>417</v>
      </c>
      <c r="C92" s="273"/>
      <c r="D92" s="273"/>
      <c r="E92" s="273"/>
      <c r="F92" s="273"/>
      <c r="G92" s="306"/>
    </row>
    <row r="93" spans="1:7">
      <c r="A93" s="688"/>
      <c r="B93" s="276" t="s">
        <v>418</v>
      </c>
      <c r="C93" s="273"/>
      <c r="D93" s="273"/>
      <c r="E93" s="273"/>
      <c r="F93" s="273"/>
      <c r="G93" s="306"/>
    </row>
    <row r="94" spans="1:7">
      <c r="A94" s="689"/>
      <c r="B94" s="276" t="s">
        <v>419</v>
      </c>
      <c r="C94" s="273"/>
      <c r="D94" s="273"/>
      <c r="E94" s="273"/>
      <c r="F94" s="273"/>
      <c r="G94" s="306"/>
    </row>
    <row r="95" spans="1:7">
      <c r="B95" s="320"/>
    </row>
  </sheetData>
  <mergeCells count="19">
    <mergeCell ref="A1:F1"/>
    <mergeCell ref="A11:A14"/>
    <mergeCell ref="A28:A31"/>
    <mergeCell ref="A15:A16"/>
    <mergeCell ref="A32:A33"/>
    <mergeCell ref="A21:A22"/>
    <mergeCell ref="A25:A26"/>
    <mergeCell ref="F4:G4"/>
    <mergeCell ref="F5:G5"/>
    <mergeCell ref="A38:A39"/>
    <mergeCell ref="A47:A48"/>
    <mergeCell ref="A50:A53"/>
    <mergeCell ref="A54:A55"/>
    <mergeCell ref="A59:A66"/>
    <mergeCell ref="A89:A94"/>
    <mergeCell ref="A68:A69"/>
    <mergeCell ref="A77:A78"/>
    <mergeCell ref="A80:A83"/>
    <mergeCell ref="A84:A8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8"/>
  <sheetViews>
    <sheetView topLeftCell="A49" zoomScale="70" zoomScaleNormal="70" workbookViewId="0">
      <selection activeCell="G80" sqref="G80"/>
    </sheetView>
  </sheetViews>
  <sheetFormatPr defaultRowHeight="15"/>
  <cols>
    <col min="1" max="1" width="4.7109375" customWidth="1"/>
    <col min="2" max="2" width="8.5703125" customWidth="1"/>
    <col min="3" max="3" width="32.7109375" customWidth="1"/>
    <col min="4" max="4" width="6.5703125" customWidth="1"/>
    <col min="8" max="8" width="10.85546875" customWidth="1"/>
    <col min="9" max="9" width="8.28515625" customWidth="1"/>
    <col min="11" max="11" width="7" customWidth="1"/>
    <col min="13" max="13" width="12.42578125" customWidth="1"/>
    <col min="14" max="14" width="34.28515625" customWidth="1"/>
    <col min="15" max="15" width="32.85546875" customWidth="1"/>
  </cols>
  <sheetData>
    <row r="1" spans="1:13" s="139" customFormat="1" ht="51" customHeight="1">
      <c r="A1" s="676" t="str">
        <f>krebsiti!A3</f>
        <v>q.dmanisSi wm.ninos quCaze municipalitetis meriis mimdebare teritoriaze skverebis  reabilitaciis samuSaoebi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</row>
    <row r="2" spans="1:13" s="139" customFormat="1" ht="21" customHeight="1">
      <c r="A2" s="677" t="s">
        <v>392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</row>
    <row r="3" spans="1:13" s="139" customFormat="1" ht="15.75">
      <c r="A3" s="676" t="s">
        <v>383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</row>
    <row r="4" spans="1:13" s="139" customFormat="1" ht="15.75">
      <c r="A4" s="89"/>
      <c r="B4" s="89"/>
      <c r="C4" s="89"/>
      <c r="D4" s="89"/>
      <c r="E4" s="47"/>
      <c r="F4" s="140"/>
      <c r="G4" s="48"/>
      <c r="H4" s="48"/>
      <c r="I4" s="48"/>
      <c r="J4" s="48"/>
      <c r="K4" s="48"/>
      <c r="L4" s="48"/>
      <c r="M4" s="48"/>
    </row>
    <row r="5" spans="1:13" s="139" customFormat="1" ht="15.75">
      <c r="A5" s="676" t="s">
        <v>389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</row>
    <row r="6" spans="1:13" s="139" customFormat="1">
      <c r="A6" s="116"/>
      <c r="B6" s="116"/>
      <c r="C6" s="116"/>
      <c r="D6" s="116"/>
      <c r="E6" s="117"/>
      <c r="F6" s="118"/>
      <c r="G6" s="59"/>
      <c r="H6" s="59"/>
      <c r="I6" s="59"/>
      <c r="J6" s="59"/>
      <c r="K6" s="59"/>
      <c r="L6" s="59"/>
      <c r="M6" s="59"/>
    </row>
    <row r="7" spans="1:13" s="139" customFormat="1" ht="33" customHeight="1">
      <c r="A7" s="679" t="s">
        <v>0</v>
      </c>
      <c r="B7" s="680" t="s">
        <v>377</v>
      </c>
      <c r="C7" s="681" t="s">
        <v>1</v>
      </c>
      <c r="D7" s="680" t="s">
        <v>376</v>
      </c>
      <c r="E7" s="686" t="s">
        <v>24</v>
      </c>
      <c r="F7" s="686"/>
      <c r="G7" s="683" t="s">
        <v>25</v>
      </c>
      <c r="H7" s="683"/>
      <c r="I7" s="683" t="s">
        <v>26</v>
      </c>
      <c r="J7" s="683"/>
      <c r="K7" s="684" t="s">
        <v>27</v>
      </c>
      <c r="L7" s="685"/>
      <c r="M7" s="683" t="s">
        <v>28</v>
      </c>
    </row>
    <row r="8" spans="1:13" s="139" customFormat="1" ht="41.25" customHeight="1">
      <c r="A8" s="679"/>
      <c r="B8" s="680"/>
      <c r="C8" s="682"/>
      <c r="D8" s="680"/>
      <c r="E8" s="265" t="s">
        <v>12</v>
      </c>
      <c r="F8" s="265" t="s">
        <v>5</v>
      </c>
      <c r="G8" s="266" t="s">
        <v>29</v>
      </c>
      <c r="H8" s="266" t="s">
        <v>30</v>
      </c>
      <c r="I8" s="266" t="s">
        <v>29</v>
      </c>
      <c r="J8" s="266" t="s">
        <v>30</v>
      </c>
      <c r="K8" s="266" t="s">
        <v>29</v>
      </c>
      <c r="L8" s="266" t="s">
        <v>30</v>
      </c>
      <c r="M8" s="683"/>
    </row>
    <row r="9" spans="1:13" s="139" customFormat="1" ht="15.75">
      <c r="A9" s="60">
        <v>1</v>
      </c>
      <c r="B9" s="60">
        <v>2</v>
      </c>
      <c r="C9" s="60">
        <v>3</v>
      </c>
      <c r="D9" s="60">
        <v>4</v>
      </c>
      <c r="E9" s="10">
        <v>5</v>
      </c>
      <c r="F9" s="60">
        <v>6</v>
      </c>
      <c r="G9" s="10">
        <v>7</v>
      </c>
      <c r="H9" s="60">
        <v>8</v>
      </c>
      <c r="I9" s="10">
        <v>9</v>
      </c>
      <c r="J9" s="60">
        <v>10</v>
      </c>
      <c r="K9" s="10">
        <v>11</v>
      </c>
      <c r="L9" s="60">
        <v>12</v>
      </c>
      <c r="M9" s="10">
        <v>13</v>
      </c>
    </row>
    <row r="10" spans="1:13" s="139" customFormat="1" ht="63">
      <c r="A10" s="179"/>
      <c r="B10" s="180"/>
      <c r="C10" s="181" t="s">
        <v>247</v>
      </c>
      <c r="D10" s="179"/>
      <c r="E10" s="182"/>
      <c r="F10" s="183"/>
      <c r="G10" s="11"/>
      <c r="H10" s="11"/>
      <c r="I10" s="11"/>
      <c r="J10" s="11"/>
      <c r="K10" s="11"/>
      <c r="L10" s="11"/>
      <c r="M10" s="11"/>
    </row>
    <row r="11" spans="1:13" s="139" customFormat="1" ht="15.75" hidden="1">
      <c r="A11" s="92"/>
      <c r="B11" s="90"/>
      <c r="C11" s="91" t="s">
        <v>131</v>
      </c>
      <c r="D11" s="92"/>
      <c r="E11" s="119"/>
      <c r="F11" s="141"/>
      <c r="G11" s="11"/>
      <c r="H11" s="11"/>
      <c r="I11" s="11"/>
      <c r="J11" s="11"/>
      <c r="K11" s="11"/>
      <c r="L11" s="11"/>
      <c r="M11" s="11"/>
    </row>
    <row r="12" spans="1:13" s="139" customFormat="1" ht="31.5">
      <c r="A12" s="698">
        <v>1</v>
      </c>
      <c r="B12" s="704"/>
      <c r="C12" s="184" t="s">
        <v>238</v>
      </c>
      <c r="D12" s="698" t="s">
        <v>50</v>
      </c>
      <c r="E12" s="706"/>
      <c r="F12" s="185"/>
      <c r="G12" s="11"/>
      <c r="H12" s="11"/>
      <c r="I12" s="11"/>
      <c r="J12" s="11"/>
      <c r="K12" s="11"/>
      <c r="L12" s="11"/>
      <c r="M12" s="11"/>
    </row>
    <row r="13" spans="1:13" s="139" customFormat="1" ht="31.5">
      <c r="A13" s="699"/>
      <c r="B13" s="705"/>
      <c r="C13" s="111" t="s">
        <v>248</v>
      </c>
      <c r="D13" s="699"/>
      <c r="E13" s="707"/>
      <c r="F13" s="186"/>
      <c r="G13" s="158"/>
      <c r="H13" s="158"/>
      <c r="I13" s="158"/>
      <c r="J13" s="158"/>
      <c r="K13" s="158"/>
      <c r="L13" s="158"/>
      <c r="M13" s="158"/>
    </row>
    <row r="14" spans="1:13" s="139" customFormat="1" ht="47.25">
      <c r="A14" s="708">
        <v>1</v>
      </c>
      <c r="B14" s="6" t="s">
        <v>67</v>
      </c>
      <c r="C14" s="38" t="s">
        <v>114</v>
      </c>
      <c r="D14" s="6" t="s">
        <v>37</v>
      </c>
      <c r="E14" s="15"/>
      <c r="F14" s="123">
        <f>F12*0.5*1</f>
        <v>0</v>
      </c>
      <c r="G14" s="8"/>
      <c r="H14" s="11"/>
      <c r="I14" s="8"/>
      <c r="J14" s="11"/>
      <c r="K14" s="8"/>
      <c r="L14" s="11"/>
      <c r="M14" s="11"/>
    </row>
    <row r="15" spans="1:13" s="139" customFormat="1" ht="15.75">
      <c r="A15" s="709"/>
      <c r="B15" s="6"/>
      <c r="C15" s="19" t="s">
        <v>13</v>
      </c>
      <c r="D15" s="9" t="s">
        <v>14</v>
      </c>
      <c r="E15" s="10">
        <v>2.06</v>
      </c>
      <c r="F15" s="37">
        <f>E15*F14</f>
        <v>0</v>
      </c>
      <c r="G15" s="11"/>
      <c r="H15" s="11"/>
      <c r="I15" s="11">
        <v>6</v>
      </c>
      <c r="J15" s="11">
        <f>F15*I15</f>
        <v>0</v>
      </c>
      <c r="K15" s="11"/>
      <c r="L15" s="11"/>
      <c r="M15" s="11">
        <f>H15+J15+L15</f>
        <v>0</v>
      </c>
    </row>
    <row r="16" spans="1:13" s="139" customFormat="1" ht="47.25">
      <c r="A16" s="701" t="s">
        <v>79</v>
      </c>
      <c r="B16" s="53" t="s">
        <v>97</v>
      </c>
      <c r="C16" s="98" t="s">
        <v>223</v>
      </c>
      <c r="D16" s="154" t="s">
        <v>48</v>
      </c>
      <c r="E16" s="52"/>
      <c r="F16" s="54">
        <f>F14*1.95</f>
        <v>0</v>
      </c>
      <c r="G16" s="12"/>
      <c r="H16" s="158"/>
      <c r="I16" s="12"/>
      <c r="J16" s="158"/>
      <c r="K16" s="12"/>
      <c r="L16" s="158"/>
      <c r="M16" s="158"/>
    </row>
    <row r="17" spans="1:13" s="139" customFormat="1" ht="27">
      <c r="A17" s="702"/>
      <c r="B17" s="30"/>
      <c r="C17" s="27" t="s">
        <v>62</v>
      </c>
      <c r="D17" s="28" t="s">
        <v>8</v>
      </c>
      <c r="E17" s="52">
        <v>0.53</v>
      </c>
      <c r="F17" s="29">
        <f>F16*E17</f>
        <v>0</v>
      </c>
      <c r="G17" s="12"/>
      <c r="H17" s="158"/>
      <c r="I17" s="12">
        <v>6</v>
      </c>
      <c r="J17" s="158">
        <f>F17*I17</f>
        <v>0</v>
      </c>
      <c r="K17" s="12"/>
      <c r="L17" s="158"/>
      <c r="M17" s="158">
        <f>H17+J17+L17</f>
        <v>0</v>
      </c>
    </row>
    <row r="18" spans="1:13" s="139" customFormat="1" ht="15.75">
      <c r="A18" s="703"/>
      <c r="B18" s="159" t="s">
        <v>138</v>
      </c>
      <c r="C18" s="99" t="s">
        <v>224</v>
      </c>
      <c r="D18" s="154" t="s">
        <v>48</v>
      </c>
      <c r="E18" s="52"/>
      <c r="F18" s="54">
        <f>F16</f>
        <v>0</v>
      </c>
      <c r="G18" s="12"/>
      <c r="H18" s="158"/>
      <c r="I18" s="12"/>
      <c r="J18" s="158"/>
      <c r="K18" s="12">
        <v>6.44</v>
      </c>
      <c r="L18" s="158">
        <f>F18*K18</f>
        <v>0</v>
      </c>
      <c r="M18" s="158">
        <f>H18+J18+L18</f>
        <v>0</v>
      </c>
    </row>
    <row r="19" spans="1:13" s="139" customFormat="1" ht="47.25">
      <c r="A19" s="669" t="s">
        <v>99</v>
      </c>
      <c r="B19" s="6" t="s">
        <v>115</v>
      </c>
      <c r="C19" s="70" t="s">
        <v>116</v>
      </c>
      <c r="D19" s="6" t="s">
        <v>37</v>
      </c>
      <c r="E19" s="15"/>
      <c r="F19" s="123">
        <f>F12*0.5*0.2</f>
        <v>0</v>
      </c>
      <c r="G19" s="71"/>
      <c r="H19" s="11"/>
      <c r="I19" s="23"/>
      <c r="J19" s="11"/>
      <c r="K19" s="23"/>
      <c r="L19" s="11"/>
      <c r="M19" s="11"/>
    </row>
    <row r="20" spans="1:13" s="139" customFormat="1" ht="27">
      <c r="A20" s="670"/>
      <c r="B20" s="9"/>
      <c r="C20" s="19" t="s">
        <v>13</v>
      </c>
      <c r="D20" s="9" t="s">
        <v>8</v>
      </c>
      <c r="E20" s="10">
        <f>18/10</f>
        <v>1.8</v>
      </c>
      <c r="F20" s="37">
        <f>E20*F19</f>
        <v>0</v>
      </c>
      <c r="G20" s="11"/>
      <c r="H20" s="11"/>
      <c r="I20" s="11">
        <v>6</v>
      </c>
      <c r="J20" s="11">
        <f>F20*I20</f>
        <v>0</v>
      </c>
      <c r="K20" s="11"/>
      <c r="L20" s="11"/>
      <c r="M20" s="11">
        <f>H20+J20+L20</f>
        <v>0</v>
      </c>
    </row>
    <row r="21" spans="1:13" s="139" customFormat="1" ht="15.75">
      <c r="A21" s="670"/>
      <c r="B21" s="9"/>
      <c r="C21" s="19" t="s">
        <v>117</v>
      </c>
      <c r="D21" s="9" t="s">
        <v>34</v>
      </c>
      <c r="E21" s="10">
        <v>1.1000000000000001</v>
      </c>
      <c r="F21" s="37">
        <f>F19*E21</f>
        <v>0</v>
      </c>
      <c r="G21" s="11">
        <v>28</v>
      </c>
      <c r="H21" s="11">
        <f>F21*G21</f>
        <v>0</v>
      </c>
      <c r="I21" s="69"/>
      <c r="J21" s="11"/>
      <c r="K21" s="11"/>
      <c r="L21" s="11"/>
      <c r="M21" s="11">
        <f>H21+J21+L21</f>
        <v>0</v>
      </c>
    </row>
    <row r="22" spans="1:13" s="139" customFormat="1" ht="63">
      <c r="A22" s="700" t="s">
        <v>93</v>
      </c>
      <c r="B22" s="6" t="s">
        <v>126</v>
      </c>
      <c r="C22" s="38" t="s">
        <v>202</v>
      </c>
      <c r="D22" s="6" t="s">
        <v>50</v>
      </c>
      <c r="E22" s="15"/>
      <c r="F22" s="123">
        <f>F12</f>
        <v>0</v>
      </c>
      <c r="G22" s="8"/>
      <c r="H22" s="11"/>
      <c r="I22" s="8"/>
      <c r="J22" s="11"/>
      <c r="K22" s="8"/>
      <c r="L22" s="11"/>
      <c r="M22" s="11"/>
    </row>
    <row r="23" spans="1:13" s="139" customFormat="1" ht="27">
      <c r="A23" s="700"/>
      <c r="B23" s="9"/>
      <c r="C23" s="19" t="s">
        <v>103</v>
      </c>
      <c r="D23" s="9" t="s">
        <v>77</v>
      </c>
      <c r="E23" s="10">
        <v>9.5899999999999999E-2</v>
      </c>
      <c r="F23" s="37">
        <f>F22*E23</f>
        <v>0</v>
      </c>
      <c r="G23" s="11"/>
      <c r="H23" s="11"/>
      <c r="I23" s="11">
        <v>4.5999999999999996</v>
      </c>
      <c r="J23" s="11">
        <f>F23*I23</f>
        <v>0</v>
      </c>
      <c r="K23" s="11"/>
      <c r="L23" s="11"/>
      <c r="M23" s="11">
        <f>H23+J23+L23</f>
        <v>0</v>
      </c>
    </row>
    <row r="24" spans="1:13" s="139" customFormat="1" ht="15.75">
      <c r="A24" s="700"/>
      <c r="B24" s="9"/>
      <c r="C24" s="19" t="s">
        <v>104</v>
      </c>
      <c r="D24" s="9" t="s">
        <v>21</v>
      </c>
      <c r="E24" s="10">
        <v>4.5199999999999997E-2</v>
      </c>
      <c r="F24" s="37">
        <f>F22*E24</f>
        <v>0</v>
      </c>
      <c r="G24" s="11"/>
      <c r="H24" s="11"/>
      <c r="I24" s="11"/>
      <c r="J24" s="11"/>
      <c r="K24" s="11">
        <v>3.2</v>
      </c>
      <c r="L24" s="11">
        <f>F24*K24</f>
        <v>0</v>
      </c>
      <c r="M24" s="11">
        <f>H24+J24+L24</f>
        <v>0</v>
      </c>
    </row>
    <row r="25" spans="1:13" s="139" customFormat="1" ht="30.75">
      <c r="A25" s="700"/>
      <c r="B25" s="9"/>
      <c r="C25" s="19" t="s">
        <v>203</v>
      </c>
      <c r="D25" s="9" t="s">
        <v>105</v>
      </c>
      <c r="E25" s="10">
        <v>1.01</v>
      </c>
      <c r="F25" s="37">
        <f>F22*E25</f>
        <v>0</v>
      </c>
      <c r="G25" s="11">
        <v>1.5</v>
      </c>
      <c r="H25" s="11">
        <f>F25*G25</f>
        <v>0</v>
      </c>
      <c r="I25" s="11"/>
      <c r="J25" s="11"/>
      <c r="K25" s="11"/>
      <c r="L25" s="11"/>
      <c r="M25" s="11">
        <f>H25+J25+L25</f>
        <v>0</v>
      </c>
    </row>
    <row r="26" spans="1:13" s="139" customFormat="1" ht="15.75">
      <c r="A26" s="700"/>
      <c r="B26" s="9"/>
      <c r="C26" s="19" t="s">
        <v>102</v>
      </c>
      <c r="D26" s="9" t="s">
        <v>21</v>
      </c>
      <c r="E26" s="10">
        <v>5.9999999999999995E-4</v>
      </c>
      <c r="F26" s="37">
        <f>F22*E26</f>
        <v>0</v>
      </c>
      <c r="G26" s="11">
        <v>3.2</v>
      </c>
      <c r="H26" s="11">
        <f>F26*G26</f>
        <v>0</v>
      </c>
      <c r="I26" s="11"/>
      <c r="J26" s="11"/>
      <c r="K26" s="11"/>
      <c r="L26" s="11"/>
      <c r="M26" s="11">
        <f>H26+J26+L26</f>
        <v>0</v>
      </c>
    </row>
    <row r="27" spans="1:13" s="139" customFormat="1" ht="31.5">
      <c r="A27" s="700" t="s">
        <v>95</v>
      </c>
      <c r="B27" s="6" t="s">
        <v>119</v>
      </c>
      <c r="C27" s="72" t="s">
        <v>120</v>
      </c>
      <c r="D27" s="6" t="s">
        <v>37</v>
      </c>
      <c r="E27" s="73"/>
      <c r="F27" s="123">
        <f>F12*0.5*0.8</f>
        <v>0</v>
      </c>
      <c r="G27" s="71"/>
      <c r="H27" s="11"/>
      <c r="I27" s="71"/>
      <c r="J27" s="11"/>
      <c r="K27" s="71"/>
      <c r="L27" s="11"/>
      <c r="M27" s="11"/>
    </row>
    <row r="28" spans="1:13" s="139" customFormat="1" ht="27">
      <c r="A28" s="700"/>
      <c r="B28" s="9"/>
      <c r="C28" s="19" t="s">
        <v>13</v>
      </c>
      <c r="D28" s="9" t="s">
        <v>8</v>
      </c>
      <c r="E28" s="10">
        <f>17.8/10</f>
        <v>1.78</v>
      </c>
      <c r="F28" s="37">
        <f>E28*F27</f>
        <v>0</v>
      </c>
      <c r="G28" s="23"/>
      <c r="H28" s="11"/>
      <c r="I28" s="23">
        <v>6</v>
      </c>
      <c r="J28" s="11">
        <f>F28*I28</f>
        <v>0</v>
      </c>
      <c r="K28" s="23"/>
      <c r="L28" s="11"/>
      <c r="M28" s="11">
        <f>H28+J28+L28</f>
        <v>0</v>
      </c>
    </row>
    <row r="29" spans="1:13" s="139" customFormat="1" ht="15.75">
      <c r="A29" s="700"/>
      <c r="B29" s="9"/>
      <c r="C29" s="19" t="s">
        <v>35</v>
      </c>
      <c r="D29" s="9" t="s">
        <v>34</v>
      </c>
      <c r="E29" s="10">
        <v>1.1000000000000001</v>
      </c>
      <c r="F29" s="37">
        <f>E29*F27</f>
        <v>0</v>
      </c>
      <c r="G29" s="23">
        <v>18.600000000000001</v>
      </c>
      <c r="H29" s="11">
        <f>F29*G29</f>
        <v>0</v>
      </c>
      <c r="I29" s="23"/>
      <c r="J29" s="11"/>
      <c r="K29" s="23"/>
      <c r="L29" s="11"/>
      <c r="M29" s="11">
        <f>H29+J29+L29</f>
        <v>0</v>
      </c>
    </row>
    <row r="30" spans="1:13" s="139" customFormat="1" ht="31.5">
      <c r="A30" s="625" t="s">
        <v>96</v>
      </c>
      <c r="B30" s="6" t="s">
        <v>107</v>
      </c>
      <c r="C30" s="38" t="s">
        <v>118</v>
      </c>
      <c r="D30" s="6" t="s">
        <v>75</v>
      </c>
      <c r="E30" s="15"/>
      <c r="F30" s="123">
        <f>F33</f>
        <v>0</v>
      </c>
      <c r="G30" s="8"/>
      <c r="H30" s="5"/>
      <c r="I30" s="8"/>
      <c r="J30" s="5"/>
      <c r="K30" s="8"/>
      <c r="L30" s="5"/>
      <c r="M30" s="5"/>
    </row>
    <row r="31" spans="1:13" s="139" customFormat="1" ht="27">
      <c r="A31" s="625"/>
      <c r="B31" s="9"/>
      <c r="C31" s="19" t="s">
        <v>103</v>
      </c>
      <c r="D31" s="9" t="s">
        <v>77</v>
      </c>
      <c r="E31" s="10">
        <v>1.51</v>
      </c>
      <c r="F31" s="37">
        <f>F30*E31</f>
        <v>0</v>
      </c>
      <c r="G31" s="11"/>
      <c r="H31" s="5"/>
      <c r="I31" s="11">
        <v>6</v>
      </c>
      <c r="J31" s="11">
        <f>F31*I31</f>
        <v>0</v>
      </c>
      <c r="K31" s="11"/>
      <c r="L31" s="5"/>
      <c r="M31" s="11">
        <f>H31+J31+L31</f>
        <v>0</v>
      </c>
    </row>
    <row r="32" spans="1:13" s="139" customFormat="1" ht="15.75">
      <c r="A32" s="625"/>
      <c r="B32" s="9"/>
      <c r="C32" s="19" t="s">
        <v>106</v>
      </c>
      <c r="D32" s="9" t="s">
        <v>21</v>
      </c>
      <c r="E32" s="10">
        <v>0.13</v>
      </c>
      <c r="F32" s="37">
        <f>F30*E32</f>
        <v>0</v>
      </c>
      <c r="G32" s="11"/>
      <c r="H32" s="5"/>
      <c r="I32" s="11"/>
      <c r="J32" s="5"/>
      <c r="K32" s="11">
        <v>3.2</v>
      </c>
      <c r="L32" s="11">
        <f>F32*K32</f>
        <v>0</v>
      </c>
      <c r="M32" s="11">
        <f>H32+J32+L32</f>
        <v>0</v>
      </c>
    </row>
    <row r="33" spans="1:13" s="139" customFormat="1" ht="15.75">
      <c r="A33" s="625"/>
      <c r="B33" s="9"/>
      <c r="C33" s="19" t="s">
        <v>204</v>
      </c>
      <c r="D33" s="9" t="s">
        <v>75</v>
      </c>
      <c r="E33" s="10">
        <v>1</v>
      </c>
      <c r="F33" s="37"/>
      <c r="G33" s="11">
        <v>7.5</v>
      </c>
      <c r="H33" s="11">
        <f>F33*G33</f>
        <v>0</v>
      </c>
      <c r="I33" s="11"/>
      <c r="J33" s="5"/>
      <c r="K33" s="11"/>
      <c r="L33" s="5"/>
      <c r="M33" s="11">
        <f>H33+J33+L33</f>
        <v>0</v>
      </c>
    </row>
    <row r="34" spans="1:13" s="139" customFormat="1" ht="15.75">
      <c r="A34" s="625"/>
      <c r="B34" s="9"/>
      <c r="C34" s="19" t="s">
        <v>102</v>
      </c>
      <c r="D34" s="9" t="s">
        <v>21</v>
      </c>
      <c r="E34" s="10">
        <v>7.0000000000000007E-2</v>
      </c>
      <c r="F34" s="37">
        <f>F30*E34</f>
        <v>0</v>
      </c>
      <c r="G34" s="11">
        <v>3.2</v>
      </c>
      <c r="H34" s="11">
        <f>F34*G34</f>
        <v>0</v>
      </c>
      <c r="I34" s="11"/>
      <c r="J34" s="5"/>
      <c r="K34" s="11"/>
      <c r="L34" s="5"/>
      <c r="M34" s="11">
        <f>H34+J34+L34</f>
        <v>0</v>
      </c>
    </row>
    <row r="35" spans="1:13" s="139" customFormat="1" ht="31.5">
      <c r="A35" s="626" t="s">
        <v>87</v>
      </c>
      <c r="B35" s="6" t="s">
        <v>109</v>
      </c>
      <c r="C35" s="38" t="s">
        <v>110</v>
      </c>
      <c r="D35" s="9" t="s">
        <v>111</v>
      </c>
      <c r="E35" s="10"/>
      <c r="F35" s="123">
        <f>F12/100</f>
        <v>0</v>
      </c>
      <c r="G35" s="11"/>
      <c r="H35" s="11"/>
      <c r="I35" s="11"/>
      <c r="J35" s="11"/>
      <c r="K35" s="11"/>
      <c r="L35" s="11"/>
      <c r="M35" s="11"/>
    </row>
    <row r="36" spans="1:13" s="139" customFormat="1" ht="27">
      <c r="A36" s="636"/>
      <c r="B36" s="9"/>
      <c r="C36" s="19" t="s">
        <v>103</v>
      </c>
      <c r="D36" s="9" t="s">
        <v>77</v>
      </c>
      <c r="E36" s="10">
        <v>5.16</v>
      </c>
      <c r="F36" s="37">
        <f>F35*E36</f>
        <v>0</v>
      </c>
      <c r="G36" s="11"/>
      <c r="H36" s="11"/>
      <c r="I36" s="11">
        <v>4.5999999999999996</v>
      </c>
      <c r="J36" s="11">
        <f>F36*I36</f>
        <v>0</v>
      </c>
      <c r="K36" s="11"/>
      <c r="L36" s="11"/>
      <c r="M36" s="11">
        <f>H36+J36+L36</f>
        <v>0</v>
      </c>
    </row>
    <row r="37" spans="1:13" s="139" customFormat="1" ht="15.75">
      <c r="A37" s="636"/>
      <c r="B37" s="9"/>
      <c r="C37" s="19" t="s">
        <v>112</v>
      </c>
      <c r="D37" s="9" t="s">
        <v>43</v>
      </c>
      <c r="E37" s="10">
        <v>1</v>
      </c>
      <c r="F37" s="37">
        <f>F35*E37</f>
        <v>0</v>
      </c>
      <c r="G37" s="11">
        <v>3.6</v>
      </c>
      <c r="H37" s="11">
        <f>F37*G37</f>
        <v>0</v>
      </c>
      <c r="I37" s="11"/>
      <c r="J37" s="11"/>
      <c r="K37" s="11"/>
      <c r="L37" s="11"/>
      <c r="M37" s="11">
        <f>H37+J37+L37</f>
        <v>0</v>
      </c>
    </row>
    <row r="38" spans="1:13" s="139" customFormat="1" ht="15.75">
      <c r="A38" s="627"/>
      <c r="B38" s="9"/>
      <c r="C38" s="19" t="s">
        <v>56</v>
      </c>
      <c r="D38" s="9" t="s">
        <v>6</v>
      </c>
      <c r="E38" s="10">
        <v>0.11</v>
      </c>
      <c r="F38" s="37">
        <f>F35*E38</f>
        <v>0</v>
      </c>
      <c r="G38" s="11"/>
      <c r="H38" s="11"/>
      <c r="I38" s="11"/>
      <c r="J38" s="11"/>
      <c r="K38" s="11"/>
      <c r="L38" s="11"/>
      <c r="M38" s="11"/>
    </row>
    <row r="39" spans="1:13" s="139" customFormat="1" ht="47.25">
      <c r="A39" s="669" t="s">
        <v>49</v>
      </c>
      <c r="B39" s="81" t="s">
        <v>122</v>
      </c>
      <c r="C39" s="38" t="s">
        <v>205</v>
      </c>
      <c r="D39" s="81" t="s">
        <v>22</v>
      </c>
      <c r="E39" s="33"/>
      <c r="F39" s="123"/>
      <c r="G39" s="71"/>
      <c r="H39" s="11"/>
      <c r="I39" s="23"/>
      <c r="J39" s="11"/>
      <c r="K39" s="23"/>
      <c r="L39" s="11"/>
      <c r="M39" s="11"/>
    </row>
    <row r="40" spans="1:13" s="139" customFormat="1" ht="27">
      <c r="A40" s="670"/>
      <c r="B40" s="75"/>
      <c r="C40" s="19" t="s">
        <v>42</v>
      </c>
      <c r="D40" s="9" t="s">
        <v>8</v>
      </c>
      <c r="E40" s="10">
        <v>3.15</v>
      </c>
      <c r="F40" s="37">
        <f>F39*E40</f>
        <v>0</v>
      </c>
      <c r="G40" s="23"/>
      <c r="H40" s="11"/>
      <c r="I40" s="23">
        <v>6</v>
      </c>
      <c r="J40" s="11">
        <f>F40*I40</f>
        <v>0</v>
      </c>
      <c r="K40" s="23"/>
      <c r="L40" s="11"/>
      <c r="M40" s="11">
        <f>H40+J40+L40</f>
        <v>0</v>
      </c>
    </row>
    <row r="41" spans="1:13" s="139" customFormat="1" ht="15.75">
      <c r="A41" s="670"/>
      <c r="B41" s="75"/>
      <c r="C41" s="76" t="s">
        <v>7</v>
      </c>
      <c r="D41" s="75" t="s">
        <v>6</v>
      </c>
      <c r="E41" s="74">
        <v>0.84</v>
      </c>
      <c r="F41" s="77">
        <f>F39*E41</f>
        <v>0</v>
      </c>
      <c r="G41" s="23"/>
      <c r="H41" s="11"/>
      <c r="I41" s="23"/>
      <c r="J41" s="11"/>
      <c r="K41" s="23">
        <v>3.2</v>
      </c>
      <c r="L41" s="11">
        <f>F41*K41</f>
        <v>0</v>
      </c>
      <c r="M41" s="11">
        <f>H41+J41+L41</f>
        <v>0</v>
      </c>
    </row>
    <row r="42" spans="1:13" s="139" customFormat="1" ht="15.75">
      <c r="A42" s="670"/>
      <c r="B42" s="75"/>
      <c r="C42" s="76" t="s">
        <v>123</v>
      </c>
      <c r="D42" s="75" t="s">
        <v>113</v>
      </c>
      <c r="E42" s="74">
        <v>20</v>
      </c>
      <c r="F42" s="78">
        <f>E42*F39</f>
        <v>0</v>
      </c>
      <c r="G42" s="23">
        <v>3</v>
      </c>
      <c r="H42" s="11">
        <f>F42*G42</f>
        <v>0</v>
      </c>
      <c r="I42" s="23"/>
      <c r="J42" s="11"/>
      <c r="K42" s="23"/>
      <c r="L42" s="11"/>
      <c r="M42" s="11">
        <f>H42+J42+L42</f>
        <v>0</v>
      </c>
    </row>
    <row r="43" spans="1:13" s="139" customFormat="1" ht="15.75">
      <c r="A43" s="671"/>
      <c r="B43" s="75"/>
      <c r="C43" s="76" t="s">
        <v>9</v>
      </c>
      <c r="D43" s="75" t="s">
        <v>6</v>
      </c>
      <c r="E43" s="74">
        <v>0.47</v>
      </c>
      <c r="F43" s="77">
        <f>F39*E43</f>
        <v>0</v>
      </c>
      <c r="G43" s="23">
        <v>3.2</v>
      </c>
      <c r="H43" s="11">
        <f>F43*G43</f>
        <v>0</v>
      </c>
      <c r="I43" s="23"/>
      <c r="J43" s="11"/>
      <c r="K43" s="23"/>
      <c r="L43" s="11"/>
      <c r="M43" s="11">
        <f>H43+J43+L43</f>
        <v>0</v>
      </c>
    </row>
    <row r="44" spans="1:13" s="139" customFormat="1" ht="47.25">
      <c r="A44" s="95">
        <v>1</v>
      </c>
      <c r="B44" s="93"/>
      <c r="C44" s="94" t="s">
        <v>239</v>
      </c>
      <c r="D44" s="95" t="s">
        <v>50</v>
      </c>
      <c r="E44" s="112"/>
      <c r="F44" s="142"/>
      <c r="G44" s="79"/>
      <c r="H44" s="11"/>
      <c r="I44" s="23"/>
      <c r="J44" s="11"/>
      <c r="K44" s="23"/>
      <c r="L44" s="11"/>
      <c r="M44" s="11"/>
    </row>
    <row r="45" spans="1:13" s="139" customFormat="1" ht="31.5">
      <c r="A45" s="669">
        <v>1</v>
      </c>
      <c r="B45" s="162" t="s">
        <v>67</v>
      </c>
      <c r="C45" s="80" t="s">
        <v>124</v>
      </c>
      <c r="D45" s="81" t="s">
        <v>37</v>
      </c>
      <c r="E45" s="165"/>
      <c r="F45" s="15">
        <f>F44*0.5*1</f>
        <v>0</v>
      </c>
      <c r="G45" s="79"/>
      <c r="H45" s="158"/>
      <c r="I45" s="79"/>
      <c r="J45" s="158"/>
      <c r="K45" s="79"/>
      <c r="L45" s="158"/>
      <c r="M45" s="158"/>
    </row>
    <row r="46" spans="1:13" s="139" customFormat="1" ht="15.75">
      <c r="A46" s="671"/>
      <c r="B46" s="83"/>
      <c r="C46" s="76" t="s">
        <v>42</v>
      </c>
      <c r="D46" s="162" t="s">
        <v>34</v>
      </c>
      <c r="E46" s="165">
        <v>2.06</v>
      </c>
      <c r="F46" s="82">
        <f>E46*F45</f>
        <v>0</v>
      </c>
      <c r="G46" s="25"/>
      <c r="H46" s="158"/>
      <c r="I46" s="25">
        <v>6</v>
      </c>
      <c r="J46" s="158">
        <f>F46*I46</f>
        <v>0</v>
      </c>
      <c r="K46" s="23"/>
      <c r="L46" s="158"/>
      <c r="M46" s="158">
        <f t="shared" ref="M46:M67" si="0">H46+J46+L46</f>
        <v>0</v>
      </c>
    </row>
    <row r="47" spans="1:13" s="139" customFormat="1" ht="47.25">
      <c r="A47" s="701" t="s">
        <v>79</v>
      </c>
      <c r="B47" s="53" t="s">
        <v>97</v>
      </c>
      <c r="C47" s="98" t="s">
        <v>223</v>
      </c>
      <c r="D47" s="154" t="s">
        <v>48</v>
      </c>
      <c r="E47" s="52"/>
      <c r="F47" s="54">
        <f>F45*1.95</f>
        <v>0</v>
      </c>
      <c r="G47" s="12"/>
      <c r="H47" s="158"/>
      <c r="I47" s="12"/>
      <c r="J47" s="158"/>
      <c r="K47" s="12"/>
      <c r="L47" s="158"/>
      <c r="M47" s="158"/>
    </row>
    <row r="48" spans="1:13" s="139" customFormat="1" ht="27">
      <c r="A48" s="702"/>
      <c r="B48" s="30"/>
      <c r="C48" s="27" t="s">
        <v>62</v>
      </c>
      <c r="D48" s="28" t="s">
        <v>8</v>
      </c>
      <c r="E48" s="52">
        <v>0.53</v>
      </c>
      <c r="F48" s="29">
        <f>F47*E48</f>
        <v>0</v>
      </c>
      <c r="G48" s="12"/>
      <c r="H48" s="158"/>
      <c r="I48" s="12">
        <v>6</v>
      </c>
      <c r="J48" s="158">
        <f>F48*I48</f>
        <v>0</v>
      </c>
      <c r="K48" s="12"/>
      <c r="L48" s="158"/>
      <c r="M48" s="158">
        <f>H48+J48+L48</f>
        <v>0</v>
      </c>
    </row>
    <row r="49" spans="1:14" s="139" customFormat="1" ht="15.75">
      <c r="A49" s="703"/>
      <c r="B49" s="159" t="s">
        <v>138</v>
      </c>
      <c r="C49" s="99" t="s">
        <v>224</v>
      </c>
      <c r="D49" s="154" t="s">
        <v>48</v>
      </c>
      <c r="E49" s="52"/>
      <c r="F49" s="54">
        <f>F47</f>
        <v>0</v>
      </c>
      <c r="G49" s="12"/>
      <c r="H49" s="158"/>
      <c r="I49" s="12"/>
      <c r="J49" s="158"/>
      <c r="K49" s="12">
        <v>6.44</v>
      </c>
      <c r="L49" s="158">
        <f>F49*K49</f>
        <v>0</v>
      </c>
      <c r="M49" s="158">
        <f>H49+J49+L49</f>
        <v>0</v>
      </c>
    </row>
    <row r="50" spans="1:14" s="139" customFormat="1" ht="31.5">
      <c r="A50" s="700" t="s">
        <v>99</v>
      </c>
      <c r="B50" s="159" t="s">
        <v>115</v>
      </c>
      <c r="C50" s="70" t="s">
        <v>125</v>
      </c>
      <c r="D50" s="154" t="s">
        <v>37</v>
      </c>
      <c r="E50" s="7"/>
      <c r="F50" s="15">
        <f>0.5*0.3*F44-3.14*0.05*0.05*F44</f>
        <v>0</v>
      </c>
      <c r="G50" s="25"/>
      <c r="H50" s="158"/>
      <c r="I50" s="25"/>
      <c r="J50" s="158"/>
      <c r="K50" s="23"/>
      <c r="L50" s="158"/>
      <c r="M50" s="158"/>
    </row>
    <row r="51" spans="1:14" s="139" customFormat="1" ht="27">
      <c r="A51" s="700"/>
      <c r="B51" s="159"/>
      <c r="C51" s="19" t="s">
        <v>13</v>
      </c>
      <c r="D51" s="159" t="s">
        <v>8</v>
      </c>
      <c r="E51" s="161">
        <f>18/10</f>
        <v>1.8</v>
      </c>
      <c r="F51" s="160">
        <f>E51*F50</f>
        <v>0</v>
      </c>
      <c r="G51" s="25"/>
      <c r="H51" s="158"/>
      <c r="I51" s="25">
        <v>6</v>
      </c>
      <c r="J51" s="158">
        <f>F51*I51</f>
        <v>0</v>
      </c>
      <c r="K51" s="23"/>
      <c r="L51" s="158"/>
      <c r="M51" s="158">
        <f t="shared" si="0"/>
        <v>0</v>
      </c>
    </row>
    <row r="52" spans="1:14" s="139" customFormat="1" ht="15.75">
      <c r="A52" s="700"/>
      <c r="B52" s="159"/>
      <c r="C52" s="19" t="s">
        <v>117</v>
      </c>
      <c r="D52" s="159" t="s">
        <v>34</v>
      </c>
      <c r="E52" s="161">
        <v>1.1499999999999999</v>
      </c>
      <c r="F52" s="160">
        <f>F50*E52</f>
        <v>0</v>
      </c>
      <c r="G52" s="25">
        <v>28</v>
      </c>
      <c r="H52" s="158">
        <f t="shared" ref="H52:H67" si="1">F52*G52</f>
        <v>0</v>
      </c>
      <c r="I52" s="25"/>
      <c r="J52" s="158"/>
      <c r="K52" s="23"/>
      <c r="L52" s="158"/>
      <c r="M52" s="158">
        <f t="shared" si="0"/>
        <v>0</v>
      </c>
    </row>
    <row r="53" spans="1:14" s="139" customFormat="1" ht="31.5">
      <c r="A53" s="669" t="s">
        <v>93</v>
      </c>
      <c r="B53" s="154" t="s">
        <v>126</v>
      </c>
      <c r="C53" s="70" t="s">
        <v>234</v>
      </c>
      <c r="D53" s="81" t="s">
        <v>50</v>
      </c>
      <c r="E53" s="176"/>
      <c r="F53" s="15">
        <f>F44</f>
        <v>0</v>
      </c>
      <c r="G53" s="71"/>
      <c r="H53" s="158"/>
      <c r="I53" s="23"/>
      <c r="J53" s="158"/>
      <c r="K53" s="23"/>
      <c r="L53" s="158"/>
      <c r="M53" s="158"/>
    </row>
    <row r="54" spans="1:14" s="139" customFormat="1" ht="27">
      <c r="A54" s="670"/>
      <c r="B54" s="162"/>
      <c r="C54" s="19" t="s">
        <v>42</v>
      </c>
      <c r="D54" s="159" t="s">
        <v>8</v>
      </c>
      <c r="E54" s="177">
        <f>95.9*0.001</f>
        <v>9.5900000000000013E-2</v>
      </c>
      <c r="F54" s="74">
        <f>F53*E54</f>
        <v>0</v>
      </c>
      <c r="G54" s="23"/>
      <c r="H54" s="158"/>
      <c r="I54" s="23">
        <v>4.5999999999999996</v>
      </c>
      <c r="J54" s="158">
        <f>F54*I54</f>
        <v>0</v>
      </c>
      <c r="K54" s="23"/>
      <c r="L54" s="158"/>
      <c r="M54" s="158">
        <f t="shared" si="0"/>
        <v>0</v>
      </c>
    </row>
    <row r="55" spans="1:14" s="139" customFormat="1" ht="15.75">
      <c r="A55" s="670"/>
      <c r="B55" s="162"/>
      <c r="C55" s="76" t="s">
        <v>7</v>
      </c>
      <c r="D55" s="162" t="s">
        <v>6</v>
      </c>
      <c r="E55" s="177">
        <f>45.2/1000</f>
        <v>4.5200000000000004E-2</v>
      </c>
      <c r="F55" s="74">
        <f>F53*E55</f>
        <v>0</v>
      </c>
      <c r="G55" s="84"/>
      <c r="H55" s="158"/>
      <c r="I55" s="84"/>
      <c r="J55" s="158"/>
      <c r="K55" s="84">
        <v>3.2</v>
      </c>
      <c r="L55" s="158">
        <f>F55*K55</f>
        <v>0</v>
      </c>
      <c r="M55" s="158">
        <f t="shared" si="0"/>
        <v>0</v>
      </c>
    </row>
    <row r="56" spans="1:14" s="139" customFormat="1" ht="15.75">
      <c r="A56" s="670"/>
      <c r="B56" s="162"/>
      <c r="C56" s="76" t="s">
        <v>235</v>
      </c>
      <c r="D56" s="162" t="str">
        <f>D53</f>
        <v>g/m</v>
      </c>
      <c r="E56" s="177">
        <f>1010*0.001</f>
        <v>1.01</v>
      </c>
      <c r="F56" s="74">
        <f>F53*E56</f>
        <v>0</v>
      </c>
      <c r="G56" s="23">
        <v>10.6</v>
      </c>
      <c r="H56" s="158">
        <f t="shared" si="1"/>
        <v>0</v>
      </c>
      <c r="I56" s="23"/>
      <c r="J56" s="158"/>
      <c r="K56" s="23"/>
      <c r="L56" s="158"/>
      <c r="M56" s="158">
        <f t="shared" si="0"/>
        <v>0</v>
      </c>
    </row>
    <row r="57" spans="1:14" s="139" customFormat="1" ht="15.75">
      <c r="A57" s="670"/>
      <c r="B57" s="162"/>
      <c r="C57" s="51" t="s">
        <v>236</v>
      </c>
      <c r="D57" s="31" t="s">
        <v>58</v>
      </c>
      <c r="E57" s="177"/>
      <c r="F57" s="74"/>
      <c r="G57" s="23">
        <v>15</v>
      </c>
      <c r="H57" s="158">
        <f t="shared" si="1"/>
        <v>0</v>
      </c>
      <c r="I57" s="23"/>
      <c r="J57" s="158"/>
      <c r="K57" s="23"/>
      <c r="L57" s="158"/>
      <c r="M57" s="158">
        <f t="shared" si="0"/>
        <v>0</v>
      </c>
    </row>
    <row r="58" spans="1:14" s="139" customFormat="1" ht="15.75">
      <c r="A58" s="671"/>
      <c r="B58" s="162"/>
      <c r="C58" s="76" t="s">
        <v>9</v>
      </c>
      <c r="D58" s="162" t="s">
        <v>6</v>
      </c>
      <c r="E58" s="177">
        <f>0.6*0.001</f>
        <v>5.9999999999999995E-4</v>
      </c>
      <c r="F58" s="74">
        <f>F53*E58</f>
        <v>0</v>
      </c>
      <c r="G58" s="23">
        <v>3.2</v>
      </c>
      <c r="H58" s="158">
        <f t="shared" si="1"/>
        <v>0</v>
      </c>
      <c r="I58" s="23"/>
      <c r="J58" s="158"/>
      <c r="K58" s="23"/>
      <c r="L58" s="158"/>
      <c r="M58" s="158">
        <f t="shared" si="0"/>
        <v>0</v>
      </c>
    </row>
    <row r="59" spans="1:14" s="139" customFormat="1" ht="31.5">
      <c r="A59" s="700" t="s">
        <v>95</v>
      </c>
      <c r="B59" s="85" t="s">
        <v>127</v>
      </c>
      <c r="C59" s="72" t="s">
        <v>120</v>
      </c>
      <c r="D59" s="154" t="s">
        <v>37</v>
      </c>
      <c r="E59" s="178"/>
      <c r="F59" s="15">
        <f>F44*0.5*0.7</f>
        <v>0</v>
      </c>
      <c r="G59" s="25"/>
      <c r="H59" s="158"/>
      <c r="I59" s="25"/>
      <c r="J59" s="158"/>
      <c r="K59" s="23"/>
      <c r="L59" s="158"/>
      <c r="M59" s="158"/>
    </row>
    <row r="60" spans="1:14" s="139" customFormat="1" ht="27">
      <c r="A60" s="700"/>
      <c r="B60" s="159"/>
      <c r="C60" s="19" t="s">
        <v>13</v>
      </c>
      <c r="D60" s="159" t="s">
        <v>8</v>
      </c>
      <c r="E60" s="161">
        <f>17.8/10</f>
        <v>1.78</v>
      </c>
      <c r="F60" s="160">
        <f>E60*F59</f>
        <v>0</v>
      </c>
      <c r="G60" s="25"/>
      <c r="H60" s="158"/>
      <c r="I60" s="25">
        <v>6</v>
      </c>
      <c r="J60" s="158">
        <f>F60*I60</f>
        <v>0</v>
      </c>
      <c r="K60" s="23"/>
      <c r="L60" s="158"/>
      <c r="M60" s="158">
        <f t="shared" si="0"/>
        <v>0</v>
      </c>
    </row>
    <row r="61" spans="1:14" s="139" customFormat="1" ht="15.75">
      <c r="A61" s="700"/>
      <c r="B61" s="159"/>
      <c r="C61" s="19" t="s">
        <v>35</v>
      </c>
      <c r="D61" s="159" t="s">
        <v>34</v>
      </c>
      <c r="E61" s="161">
        <v>1.1000000000000001</v>
      </c>
      <c r="F61" s="160">
        <f>E61*F59</f>
        <v>0</v>
      </c>
      <c r="G61" s="25">
        <v>18.600000000000001</v>
      </c>
      <c r="H61" s="158">
        <f t="shared" si="1"/>
        <v>0</v>
      </c>
      <c r="I61" s="25"/>
      <c r="J61" s="158"/>
      <c r="K61" s="23"/>
      <c r="L61" s="158"/>
      <c r="M61" s="158">
        <f t="shared" si="0"/>
        <v>0</v>
      </c>
    </row>
    <row r="62" spans="1:14" s="139" customFormat="1" ht="63">
      <c r="A62" s="695" t="s">
        <v>96</v>
      </c>
      <c r="B62" s="85" t="s">
        <v>128</v>
      </c>
      <c r="C62" s="72" t="s">
        <v>237</v>
      </c>
      <c r="D62" s="85" t="s">
        <v>129</v>
      </c>
      <c r="E62" s="178"/>
      <c r="F62" s="15"/>
      <c r="G62" s="86"/>
      <c r="H62" s="158"/>
      <c r="I62" s="86"/>
      <c r="J62" s="158"/>
      <c r="K62" s="86"/>
      <c r="L62" s="158"/>
      <c r="M62" s="158"/>
      <c r="N62" s="49"/>
    </row>
    <row r="63" spans="1:14" s="139" customFormat="1" ht="27">
      <c r="A63" s="696"/>
      <c r="B63" s="87"/>
      <c r="C63" s="19" t="s">
        <v>13</v>
      </c>
      <c r="D63" s="159" t="s">
        <v>8</v>
      </c>
      <c r="E63" s="161">
        <v>17</v>
      </c>
      <c r="F63" s="160">
        <f>F62*E63</f>
        <v>0</v>
      </c>
      <c r="G63" s="158"/>
      <c r="H63" s="158"/>
      <c r="I63" s="158">
        <v>6</v>
      </c>
      <c r="J63" s="158">
        <f>F63*I63</f>
        <v>0</v>
      </c>
      <c r="K63" s="158"/>
      <c r="L63" s="158"/>
      <c r="M63" s="158">
        <f t="shared" si="0"/>
        <v>0</v>
      </c>
    </row>
    <row r="64" spans="1:14" s="139" customFormat="1" ht="15.75">
      <c r="A64" s="696"/>
      <c r="B64" s="159"/>
      <c r="C64" s="19" t="s">
        <v>130</v>
      </c>
      <c r="D64" s="159" t="s">
        <v>11</v>
      </c>
      <c r="E64" s="161">
        <v>0.05</v>
      </c>
      <c r="F64" s="160">
        <f>F62*E64</f>
        <v>0</v>
      </c>
      <c r="G64" s="23">
        <v>92</v>
      </c>
      <c r="H64" s="158">
        <f t="shared" si="1"/>
        <v>0</v>
      </c>
      <c r="I64" s="23"/>
      <c r="J64" s="158"/>
      <c r="K64" s="23"/>
      <c r="L64" s="158"/>
      <c r="M64" s="158">
        <f t="shared" si="0"/>
        <v>0</v>
      </c>
    </row>
    <row r="65" spans="1:14" s="139" customFormat="1" ht="15.75">
      <c r="A65" s="696"/>
      <c r="B65" s="159"/>
      <c r="C65" s="19" t="s">
        <v>35</v>
      </c>
      <c r="D65" s="159" t="s">
        <v>34</v>
      </c>
      <c r="E65" s="161">
        <v>0.2</v>
      </c>
      <c r="F65" s="160">
        <f>F62*E65</f>
        <v>0</v>
      </c>
      <c r="G65" s="23">
        <v>18.600000000000001</v>
      </c>
      <c r="H65" s="158">
        <f t="shared" si="1"/>
        <v>0</v>
      </c>
      <c r="I65" s="23"/>
      <c r="J65" s="158"/>
      <c r="K65" s="23"/>
      <c r="L65" s="158"/>
      <c r="M65" s="158">
        <f t="shared" si="0"/>
        <v>0</v>
      </c>
    </row>
    <row r="66" spans="1:14" s="139" customFormat="1" ht="15.75">
      <c r="A66" s="696"/>
      <c r="B66" s="87"/>
      <c r="C66" s="19" t="s">
        <v>121</v>
      </c>
      <c r="D66" s="159" t="s">
        <v>4</v>
      </c>
      <c r="E66" s="161">
        <v>7.8</v>
      </c>
      <c r="F66" s="160">
        <f>F62*E66</f>
        <v>0</v>
      </c>
      <c r="G66" s="158">
        <v>3</v>
      </c>
      <c r="H66" s="158">
        <f t="shared" si="1"/>
        <v>0</v>
      </c>
      <c r="I66" s="158"/>
      <c r="J66" s="158"/>
      <c r="K66" s="23"/>
      <c r="L66" s="158"/>
      <c r="M66" s="158">
        <f t="shared" si="0"/>
        <v>0</v>
      </c>
    </row>
    <row r="67" spans="1:14" s="139" customFormat="1" ht="15.75">
      <c r="A67" s="697"/>
      <c r="B67" s="87"/>
      <c r="C67" s="19" t="s">
        <v>56</v>
      </c>
      <c r="D67" s="159" t="s">
        <v>6</v>
      </c>
      <c r="E67" s="161">
        <v>1.08</v>
      </c>
      <c r="F67" s="160">
        <f>F62*E67</f>
        <v>0</v>
      </c>
      <c r="G67" s="158">
        <v>3.2</v>
      </c>
      <c r="H67" s="158">
        <f t="shared" si="1"/>
        <v>0</v>
      </c>
      <c r="I67" s="158"/>
      <c r="J67" s="158"/>
      <c r="K67" s="23"/>
      <c r="L67" s="158"/>
      <c r="M67" s="158">
        <f t="shared" si="0"/>
        <v>0</v>
      </c>
    </row>
    <row r="68" spans="1:14" s="139" customFormat="1" ht="15.75">
      <c r="A68" s="193"/>
      <c r="B68" s="87"/>
      <c r="C68" s="19"/>
      <c r="D68" s="188"/>
      <c r="E68" s="190"/>
      <c r="F68" s="192"/>
      <c r="G68" s="191"/>
      <c r="H68" s="191"/>
      <c r="I68" s="191"/>
      <c r="J68" s="191"/>
      <c r="K68" s="23"/>
      <c r="L68" s="191"/>
      <c r="M68" s="191"/>
    </row>
    <row r="69" spans="1:14" s="139" customFormat="1" ht="15.75">
      <c r="A69" s="188"/>
      <c r="B69" s="87"/>
      <c r="C69" s="19"/>
      <c r="D69" s="188"/>
      <c r="E69" s="192"/>
      <c r="F69" s="194"/>
      <c r="G69" s="191"/>
      <c r="H69" s="191"/>
      <c r="I69" s="191"/>
      <c r="J69" s="191"/>
      <c r="K69" s="23"/>
      <c r="L69" s="191"/>
      <c r="M69" s="191"/>
    </row>
    <row r="70" spans="1:14" s="139" customFormat="1" ht="15.75">
      <c r="A70" s="188"/>
      <c r="B70" s="87"/>
      <c r="C70" s="19"/>
      <c r="D70" s="188"/>
      <c r="E70" s="192"/>
      <c r="F70" s="194"/>
      <c r="G70" s="191"/>
      <c r="H70" s="191"/>
      <c r="I70" s="191"/>
      <c r="J70" s="191"/>
      <c r="K70" s="23"/>
      <c r="L70" s="191"/>
      <c r="M70" s="191"/>
    </row>
    <row r="71" spans="1:14" s="139" customFormat="1" ht="15.75">
      <c r="A71" s="188"/>
      <c r="B71" s="87"/>
      <c r="C71" s="19"/>
      <c r="D71" s="188"/>
      <c r="E71" s="192"/>
      <c r="F71" s="194"/>
      <c r="G71" s="191"/>
      <c r="H71" s="191"/>
      <c r="I71" s="191"/>
      <c r="J71" s="191"/>
      <c r="K71" s="23"/>
      <c r="L71" s="191"/>
      <c r="M71" s="191"/>
    </row>
    <row r="72" spans="1:14" s="139" customFormat="1" ht="15.75">
      <c r="A72" s="188"/>
      <c r="B72" s="87"/>
      <c r="C72" s="19"/>
      <c r="D72" s="188"/>
      <c r="E72" s="192"/>
      <c r="F72" s="194"/>
      <c r="G72" s="191"/>
      <c r="H72" s="191"/>
      <c r="I72" s="191"/>
      <c r="J72" s="191"/>
      <c r="K72" s="23"/>
      <c r="L72" s="191"/>
      <c r="M72" s="191"/>
    </row>
    <row r="73" spans="1:14" s="139" customFormat="1" ht="33">
      <c r="A73" s="239"/>
      <c r="B73" s="238"/>
      <c r="C73" s="242" t="s">
        <v>172</v>
      </c>
      <c r="D73" s="238"/>
      <c r="E73" s="239"/>
      <c r="F73" s="239"/>
      <c r="G73" s="239"/>
      <c r="H73" s="240">
        <f>SUM(H10:H72)</f>
        <v>0</v>
      </c>
      <c r="I73" s="240"/>
      <c r="J73" s="240">
        <f t="shared" ref="J73:M73" si="2">SUM(J10:J72)</f>
        <v>0</v>
      </c>
      <c r="K73" s="240"/>
      <c r="L73" s="240">
        <f t="shared" si="2"/>
        <v>0</v>
      </c>
      <c r="M73" s="240">
        <f t="shared" si="2"/>
        <v>0</v>
      </c>
      <c r="N73" s="59">
        <f>H73+J73+L73</f>
        <v>0</v>
      </c>
    </row>
    <row r="74" spans="1:14" s="139" customFormat="1" ht="31.5">
      <c r="A74" s="197"/>
      <c r="B74" s="203"/>
      <c r="C74" s="204" t="s">
        <v>253</v>
      </c>
      <c r="D74" s="203"/>
      <c r="E74" s="205"/>
      <c r="F74" s="206">
        <v>0.05</v>
      </c>
      <c r="G74" s="207"/>
      <c r="H74" s="207"/>
      <c r="I74" s="207"/>
      <c r="J74" s="207"/>
      <c r="K74" s="207"/>
      <c r="L74" s="207"/>
      <c r="M74" s="208">
        <f>H73*F74</f>
        <v>0</v>
      </c>
    </row>
    <row r="75" spans="1:14" s="139" customFormat="1" ht="15.75">
      <c r="A75" s="197"/>
      <c r="B75" s="203"/>
      <c r="C75" s="209" t="s">
        <v>19</v>
      </c>
      <c r="D75" s="203"/>
      <c r="E75" s="205"/>
      <c r="F75" s="210"/>
      <c r="G75" s="207"/>
      <c r="H75" s="207"/>
      <c r="I75" s="207"/>
      <c r="J75" s="207"/>
      <c r="K75" s="207"/>
      <c r="L75" s="207"/>
      <c r="M75" s="208">
        <f>M73+M74</f>
        <v>0</v>
      </c>
    </row>
    <row r="76" spans="1:14" s="139" customFormat="1" ht="15.75">
      <c r="A76" s="211"/>
      <c r="B76" s="212"/>
      <c r="C76" s="213" t="s">
        <v>254</v>
      </c>
      <c r="D76" s="214"/>
      <c r="E76" s="215"/>
      <c r="F76" s="216" t="s">
        <v>63</v>
      </c>
      <c r="G76" s="201"/>
      <c r="H76" s="201"/>
      <c r="I76" s="201"/>
      <c r="J76" s="201"/>
      <c r="K76" s="201"/>
      <c r="L76" s="201"/>
      <c r="M76" s="201">
        <f>M75*F76</f>
        <v>0</v>
      </c>
    </row>
    <row r="77" spans="1:14" s="139" customFormat="1" ht="15.75">
      <c r="A77" s="217"/>
      <c r="B77" s="218"/>
      <c r="C77" s="209" t="s">
        <v>19</v>
      </c>
      <c r="D77" s="219"/>
      <c r="E77" s="220"/>
      <c r="F77" s="221"/>
      <c r="G77" s="202"/>
      <c r="H77" s="202"/>
      <c r="I77" s="202"/>
      <c r="J77" s="202"/>
      <c r="K77" s="202"/>
      <c r="L77" s="202"/>
      <c r="M77" s="202">
        <f>M75+M76</f>
        <v>0</v>
      </c>
    </row>
    <row r="78" spans="1:14" s="139" customFormat="1" ht="15.75">
      <c r="A78" s="217"/>
      <c r="B78" s="218"/>
      <c r="C78" s="222" t="s">
        <v>82</v>
      </c>
      <c r="D78" s="219"/>
      <c r="E78" s="220"/>
      <c r="F78" s="223" t="s">
        <v>64</v>
      </c>
      <c r="G78" s="202"/>
      <c r="H78" s="202"/>
      <c r="I78" s="202"/>
      <c r="J78" s="202"/>
      <c r="K78" s="202"/>
      <c r="L78" s="202"/>
      <c r="M78" s="202">
        <f>M77*F78</f>
        <v>0</v>
      </c>
    </row>
    <row r="79" spans="1:14" s="139" customFormat="1" ht="31.5">
      <c r="A79" s="224"/>
      <c r="B79" s="225"/>
      <c r="C79" s="226" t="s">
        <v>386</v>
      </c>
      <c r="D79" s="227"/>
      <c r="E79" s="228"/>
      <c r="F79" s="229"/>
      <c r="G79" s="230"/>
      <c r="H79" s="230"/>
      <c r="I79" s="230"/>
      <c r="J79" s="230"/>
      <c r="K79" s="230"/>
      <c r="L79" s="230"/>
      <c r="M79" s="231">
        <f>M77+M78</f>
        <v>0</v>
      </c>
    </row>
    <row r="80" spans="1:14" s="139" customFormat="1" ht="31.5">
      <c r="A80" s="217"/>
      <c r="B80" s="218"/>
      <c r="C80" s="222" t="s">
        <v>2</v>
      </c>
      <c r="D80" s="219"/>
      <c r="E80" s="220"/>
      <c r="F80" s="232" t="s">
        <v>65</v>
      </c>
      <c r="G80" s="202"/>
      <c r="H80" s="202"/>
      <c r="I80" s="202"/>
      <c r="J80" s="202"/>
      <c r="K80" s="202"/>
      <c r="L80" s="202"/>
      <c r="M80" s="202">
        <f>M79*F80</f>
        <v>0</v>
      </c>
    </row>
    <row r="81" spans="1:13" s="139" customFormat="1" ht="15.75">
      <c r="A81" s="217"/>
      <c r="B81" s="218"/>
      <c r="C81" s="209" t="s">
        <v>19</v>
      </c>
      <c r="D81" s="219"/>
      <c r="E81" s="220"/>
      <c r="F81" s="233"/>
      <c r="G81" s="202"/>
      <c r="H81" s="202"/>
      <c r="I81" s="202"/>
      <c r="J81" s="202"/>
      <c r="K81" s="202"/>
      <c r="L81" s="202"/>
      <c r="M81" s="202">
        <f>M79+M80</f>
        <v>0</v>
      </c>
    </row>
    <row r="82" spans="1:13" s="139" customFormat="1" ht="31.5">
      <c r="A82" s="217"/>
      <c r="B82" s="218"/>
      <c r="C82" s="234" t="s">
        <v>255</v>
      </c>
      <c r="D82" s="219"/>
      <c r="E82" s="220"/>
      <c r="F82" s="235">
        <v>0.02</v>
      </c>
      <c r="G82" s="202"/>
      <c r="H82" s="202"/>
      <c r="I82" s="202"/>
      <c r="J82" s="202"/>
      <c r="K82" s="202"/>
      <c r="L82" s="202"/>
      <c r="M82" s="202">
        <f>J73*F82</f>
        <v>0</v>
      </c>
    </row>
    <row r="83" spans="1:13" s="139" customFormat="1" ht="15.75">
      <c r="A83" s="217"/>
      <c r="B83" s="218"/>
      <c r="C83" s="209" t="s">
        <v>19</v>
      </c>
      <c r="D83" s="219"/>
      <c r="E83" s="220"/>
      <c r="F83" s="233"/>
      <c r="G83" s="202"/>
      <c r="H83" s="202"/>
      <c r="I83" s="202"/>
      <c r="J83" s="202"/>
      <c r="K83" s="202"/>
      <c r="L83" s="202"/>
      <c r="M83" s="202">
        <f>M81+M82</f>
        <v>0</v>
      </c>
    </row>
    <row r="84" spans="1:13" s="139" customFormat="1" ht="15.75">
      <c r="A84" s="217"/>
      <c r="B84" s="218"/>
      <c r="C84" s="222" t="s">
        <v>256</v>
      </c>
      <c r="D84" s="219"/>
      <c r="E84" s="220"/>
      <c r="F84" s="232" t="s">
        <v>66</v>
      </c>
      <c r="G84" s="202"/>
      <c r="H84" s="202"/>
      <c r="I84" s="202"/>
      <c r="J84" s="202"/>
      <c r="K84" s="202"/>
      <c r="L84" s="202"/>
      <c r="M84" s="202">
        <f>M83*F84</f>
        <v>0</v>
      </c>
    </row>
    <row r="85" spans="1:13" s="139" customFormat="1" ht="31.5">
      <c r="A85" s="236"/>
      <c r="B85" s="237"/>
      <c r="C85" s="226" t="s">
        <v>386</v>
      </c>
      <c r="D85" s="237"/>
      <c r="E85" s="238"/>
      <c r="F85" s="239"/>
      <c r="G85" s="240"/>
      <c r="H85" s="240"/>
      <c r="I85" s="240"/>
      <c r="J85" s="240"/>
      <c r="K85" s="240"/>
      <c r="L85" s="240"/>
      <c r="M85" s="43">
        <f>M83+M84</f>
        <v>0</v>
      </c>
    </row>
    <row r="86" spans="1:13" s="139" customFormat="1" ht="15.75">
      <c r="A86" s="58"/>
      <c r="B86" s="58"/>
      <c r="C86" s="138"/>
      <c r="D86" s="58"/>
      <c r="E86" s="117"/>
      <c r="F86" s="118"/>
      <c r="G86" s="59"/>
      <c r="H86" s="59"/>
      <c r="I86" s="59"/>
      <c r="J86" s="59"/>
      <c r="K86" s="59"/>
      <c r="L86" s="59"/>
      <c r="M86" s="59"/>
    </row>
    <row r="87" spans="1:13" s="139" customFormat="1" ht="15.75">
      <c r="A87" s="58"/>
      <c r="B87" s="58"/>
      <c r="C87" s="138"/>
      <c r="D87" s="58"/>
      <c r="E87" s="117"/>
      <c r="F87" s="118"/>
      <c r="G87" s="59"/>
      <c r="H87" s="59"/>
      <c r="I87" s="59"/>
      <c r="J87" s="59"/>
      <c r="K87" s="59"/>
      <c r="L87" s="59"/>
      <c r="M87" s="59"/>
    </row>
    <row r="88" spans="1:13" ht="15.75">
      <c r="C88" s="138" t="s">
        <v>201</v>
      </c>
    </row>
  </sheetData>
  <mergeCells count="31">
    <mergeCell ref="B12:B13"/>
    <mergeCell ref="D12:D13"/>
    <mergeCell ref="E12:E13"/>
    <mergeCell ref="A16:A18"/>
    <mergeCell ref="A14:A15"/>
    <mergeCell ref="A50:A52"/>
    <mergeCell ref="A53:A58"/>
    <mergeCell ref="A59:A61"/>
    <mergeCell ref="A22:A26"/>
    <mergeCell ref="A27:A29"/>
    <mergeCell ref="A30:A34"/>
    <mergeCell ref="A35:A38"/>
    <mergeCell ref="A39:A43"/>
    <mergeCell ref="A45:A46"/>
    <mergeCell ref="A47:A49"/>
    <mergeCell ref="A62:A67"/>
    <mergeCell ref="A19:A21"/>
    <mergeCell ref="A12:A13"/>
    <mergeCell ref="A1:M1"/>
    <mergeCell ref="A2:M2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E7:F7"/>
    <mergeCell ref="M7:M8"/>
  </mergeCells>
  <pageMargins left="0.70866141732283472" right="0.23" top="0.65" bottom="0.56999999999999995" header="0.38" footer="0.43"/>
  <pageSetup paperSize="9" orientation="landscape" horizontalDpi="1200" verticalDpi="1200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krebsiti</vt:lpstr>
      <vt:lpstr>#1-1</vt:lpstr>
      <vt:lpstr>#1-2</vt:lpstr>
      <vt:lpstr>1-3</vt:lpstr>
      <vt:lpstr>7777</vt:lpstr>
      <vt:lpstr>#1-3</vt:lpstr>
      <vt:lpstr>'#1-1'!Print_Area</vt:lpstr>
      <vt:lpstr>'#1-2'!Print_Area</vt:lpstr>
      <vt:lpstr>'#1-3'!Print_Area</vt:lpstr>
      <vt:lpstr>'1-3'!Print_Area</vt:lpstr>
      <vt:lpstr>krebsiti!Print_Area</vt:lpstr>
      <vt:lpstr>'#1-1'!Print_Titles</vt:lpstr>
      <vt:lpstr>'#1-2'!Print_Titles</vt:lpstr>
      <vt:lpstr>'#1-3'!Print_Titles</vt:lpstr>
      <vt:lpstr>'1-3'!Print_Titles</vt:lpstr>
      <vt:lpstr>krebsiti!Print_Titles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2021-06-04T10:25:35Z</dcterms:modified>
</cp:coreProperties>
</file>