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nakrebi" sheetId="1" r:id="rId1"/>
    <sheet name="x.a.1-1" sheetId="2" r:id="rId2"/>
    <sheet name="x.a.2" sheetId="3" r:id="rId3"/>
    <sheet name="x.a.3" sheetId="4" r:id="rId4"/>
    <sheet name="x.a.4" sheetId="5" r:id="rId5"/>
    <sheet name="x.a.6" sheetId="6" r:id="rId6"/>
  </sheets>
  <externalReferences>
    <externalReference r:id="rId9"/>
  </externalReferences>
  <definedNames>
    <definedName name="_xlnm.Print_Titles" localSheetId="0">'nakrebi'!$17:$17</definedName>
    <definedName name="_xlnm.Print_Titles" localSheetId="3">'x.a.3'!$14:$14</definedName>
    <definedName name="_xlnm.Print_Titles" localSheetId="5">'x.a.6'!$14:$14</definedName>
    <definedName name="_xlnm.Print_Area" localSheetId="0">'nakrebi'!$A$1:$N$53</definedName>
    <definedName name="_xlnm.Print_Area" localSheetId="1">'x.a.1-1'!$A$1:$M$30</definedName>
  </definedNames>
  <calcPr fullCalcOnLoad="1"/>
</workbook>
</file>

<file path=xl/sharedStrings.xml><?xml version="1.0" encoding="utf-8"?>
<sst xmlns="http://schemas.openxmlformats.org/spreadsheetml/2006/main" count="648" uniqueCount="182">
  <si>
    <t>aT.lari</t>
  </si>
  <si>
    <t>saxarjTaRricxvo Rirebuleba</t>
  </si>
  <si>
    <t>#</t>
  </si>
  <si>
    <t>safuZveli</t>
  </si>
  <si>
    <t xml:space="preserve">   normatiuli  resursi</t>
  </si>
  <si>
    <t xml:space="preserve">   xelfasi</t>
  </si>
  <si>
    <t xml:space="preserve">     masala</t>
  </si>
  <si>
    <t xml:space="preserve">   samSeneblo </t>
  </si>
  <si>
    <t>jami</t>
  </si>
  <si>
    <t xml:space="preserve">   meqanizmebi</t>
  </si>
  <si>
    <t>ganz.</t>
  </si>
  <si>
    <t>erT.</t>
  </si>
  <si>
    <t>sul</t>
  </si>
  <si>
    <t>fasi</t>
  </si>
  <si>
    <t>1'</t>
  </si>
  <si>
    <t>2'</t>
  </si>
  <si>
    <t>3'</t>
  </si>
  <si>
    <t>4'</t>
  </si>
  <si>
    <t>5'</t>
  </si>
  <si>
    <t>6'</t>
  </si>
  <si>
    <t>7'</t>
  </si>
  <si>
    <t>8'</t>
  </si>
  <si>
    <t>9'</t>
  </si>
  <si>
    <t>10'</t>
  </si>
  <si>
    <t>11'</t>
  </si>
  <si>
    <t>12'</t>
  </si>
  <si>
    <t>13'</t>
  </si>
  <si>
    <t>samuSaoebis, resursebis   dasaxeleba</t>
  </si>
  <si>
    <t>safuZveli: samuSaoTa moculobebis uwyisi</t>
  </si>
  <si>
    <r>
      <t>m</t>
    </r>
    <r>
      <rPr>
        <vertAlign val="superscript"/>
        <sz val="11"/>
        <rFont val="Arachveulebrivi Thin"/>
        <family val="2"/>
      </rPr>
      <t>3</t>
    </r>
  </si>
  <si>
    <t>normatiuli Sromatevadoba</t>
  </si>
  <si>
    <t>kac/sT</t>
  </si>
  <si>
    <t>manq/sT</t>
  </si>
  <si>
    <t>meqanizmebze momsaxure personalis xelfasi</t>
  </si>
  <si>
    <t>mosarwyav-mosarecxi manqana 6000l</t>
  </si>
  <si>
    <t>lari</t>
  </si>
  <si>
    <t>t</t>
  </si>
  <si>
    <t xml:space="preserve">zednadebi xarjebi  10% </t>
  </si>
  <si>
    <t xml:space="preserve">gegmiuri mogeba   8% </t>
  </si>
  <si>
    <t>g.m.</t>
  </si>
  <si>
    <t>sxva manqanebi</t>
  </si>
  <si>
    <t>sxva masalebi</t>
  </si>
  <si>
    <t xml:space="preserve">mSeneblobis Rirebulebis </t>
  </si>
  <si>
    <t xml:space="preserve">nakrebi saxarjTaRricxvo angariSi </t>
  </si>
  <si>
    <t>##</t>
  </si>
  <si>
    <t>xarjTa-Rricx-vebis angari-Sebis ##</t>
  </si>
  <si>
    <t>Tavebis, obieqtebis, samuSaoebis da danaxarjebis dasaxeleba</t>
  </si>
  <si>
    <t>saxarjTaRricxvo Rirebuleba  aT.lari</t>
  </si>
  <si>
    <t>saerTo   saxajTaR-ricxvo   Rirebuleba,   aT.lari</t>
  </si>
  <si>
    <t>samSeneblo samuSaoe-bis</t>
  </si>
  <si>
    <t>samontaJo samu-Saoebis</t>
  </si>
  <si>
    <t>mowyobilo-bebis, inven-taris</t>
  </si>
  <si>
    <t>sxva dana-xarjebis</t>
  </si>
  <si>
    <t>sul Tavi I</t>
  </si>
  <si>
    <t>x.a.#2</t>
  </si>
  <si>
    <t>gauTvaliswinebeli xarjebi 3%</t>
  </si>
  <si>
    <t>dRg 18%</t>
  </si>
  <si>
    <t>sul mSeneblobis Rirebulebis nakrebi saxarjTaRrivxvo angariSiT</t>
  </si>
  <si>
    <r>
      <t>m</t>
    </r>
    <r>
      <rPr>
        <vertAlign val="superscript"/>
        <sz val="11"/>
        <rFont val="Arachveulebrivi Thin"/>
        <family val="2"/>
      </rPr>
      <t>2</t>
    </r>
  </si>
  <si>
    <t>wyali</t>
  </si>
  <si>
    <t>satkepni sagzao TviTmavali gluvi 5t</t>
  </si>
  <si>
    <t>igive, 10t</t>
  </si>
  <si>
    <t>x.a.#3</t>
  </si>
  <si>
    <t>proeqtiT</t>
  </si>
  <si>
    <t>buldozeri 79 kvt</t>
  </si>
  <si>
    <t>2</t>
  </si>
  <si>
    <t>Tavi I</t>
  </si>
  <si>
    <t>mSeneblobis teritoriis momzadeba</t>
  </si>
  <si>
    <t>sul Tavi I_VI</t>
  </si>
  <si>
    <t>eqskavatori</t>
  </si>
  <si>
    <t>1-25-2</t>
  </si>
  <si>
    <t>qviSa-xreSovani narevi</t>
  </si>
  <si>
    <t>buldozeri 79kvt</t>
  </si>
  <si>
    <t>manqanebi</t>
  </si>
  <si>
    <t>x.a.#4</t>
  </si>
  <si>
    <t>5</t>
  </si>
  <si>
    <t>betoni</t>
  </si>
  <si>
    <t>fari ficris, yalibis</t>
  </si>
  <si>
    <t xml:space="preserve">Zeli </t>
  </si>
  <si>
    <t>WanWiki</t>
  </si>
  <si>
    <t>Tavi IV</t>
  </si>
  <si>
    <t>xelovnuri nagebobebi</t>
  </si>
  <si>
    <t>sul Tavi IV</t>
  </si>
  <si>
    <t>vibraciuli satkepni</t>
  </si>
  <si>
    <t>traqtori 79kvt</t>
  </si>
  <si>
    <t>avtogreideri saSualo tipis 79kvt</t>
  </si>
  <si>
    <t xml:space="preserve">nayarSi muSaoba </t>
  </si>
  <si>
    <t>27-7-4</t>
  </si>
  <si>
    <t>satkepni sagzao TviTmavali pnevmosvlaze 18t</t>
  </si>
  <si>
    <t>RorRi (0-40 mm)</t>
  </si>
  <si>
    <t>30-3-2</t>
  </si>
  <si>
    <t xml:space="preserve"> lokaluri  xarjTaRricxva # 3</t>
  </si>
  <si>
    <t>Sedgenilia 2019 wlis fasebSi</t>
  </si>
  <si>
    <t xml:space="preserve">  transportireba 5 km manZilze nayarSi</t>
  </si>
  <si>
    <t>satransporto xarjebi masalebze 5%</t>
  </si>
  <si>
    <t>kg</t>
  </si>
  <si>
    <t>trasis aRdgena da damagreba</t>
  </si>
  <si>
    <t xml:space="preserve">Sedgenilia: 2019 wlis IV kv. doneze </t>
  </si>
  <si>
    <t>cementbetonis manawilebeli</t>
  </si>
  <si>
    <t>manqanebi cementbetonis safaris mosapirqeblad</t>
  </si>
  <si>
    <t>amwe saavtomobilo svlaze 5 t</t>
  </si>
  <si>
    <t>traqtori muxluxa svlaze 40 kvt</t>
  </si>
  <si>
    <t>relsi-forma</t>
  </si>
  <si>
    <t>bitumis emulsia</t>
  </si>
  <si>
    <t>27-24-3</t>
  </si>
  <si>
    <r>
      <t xml:space="preserve">armatura </t>
    </r>
    <r>
      <rPr>
        <sz val="11"/>
        <rFont val="Arial"/>
        <family val="2"/>
      </rPr>
      <t xml:space="preserve">A-III </t>
    </r>
    <r>
      <rPr>
        <sz val="11"/>
        <rFont val="Arial Cyr"/>
        <family val="0"/>
      </rPr>
      <t>Ǿ</t>
    </r>
    <r>
      <rPr>
        <sz val="11"/>
        <rFont val="Arial"/>
        <family val="2"/>
      </rPr>
      <t xml:space="preserve">-8 </t>
    </r>
    <r>
      <rPr>
        <sz val="11"/>
        <rFont val="Arachveulebrivi"/>
        <family val="2"/>
      </rPr>
      <t>mm</t>
    </r>
  </si>
  <si>
    <t>27-28-2</t>
  </si>
  <si>
    <t xml:space="preserve">  axal dagebul  cementobetonSi nakerebis daWra</t>
  </si>
  <si>
    <t>izolis lenta</t>
  </si>
  <si>
    <t>Tavi II</t>
  </si>
  <si>
    <t>miwis samuSaoebi</t>
  </si>
  <si>
    <t>miwis vakisis mowyoba</t>
  </si>
  <si>
    <t>1-80-3  r1-3</t>
  </si>
  <si>
    <t>armierbuli cementbetonis safaris mowyoba, sisqiT 16 sm</t>
  </si>
  <si>
    <r>
      <t xml:space="preserve">betoni </t>
    </r>
    <r>
      <rPr>
        <sz val="11"/>
        <rFont val="Arial"/>
        <family val="2"/>
      </rPr>
      <t>B30 F200 W6</t>
    </r>
  </si>
  <si>
    <t>3</t>
  </si>
  <si>
    <t xml:space="preserve"> cementobetonis safaris mowyoba mierTebebze</t>
  </si>
  <si>
    <t xml:space="preserve"> cementobetonis safaris mowyoba saval nawilze</t>
  </si>
  <si>
    <t>1-22-14</t>
  </si>
  <si>
    <t>1</t>
  </si>
  <si>
    <t>1-80-2  r1-2</t>
  </si>
  <si>
    <t>1-118-5</t>
  </si>
  <si>
    <r>
      <t>eqskavatori CamCis tevadobiT 0,65 m</t>
    </r>
    <r>
      <rPr>
        <vertAlign val="superscript"/>
        <sz val="11"/>
        <rFont val="Arachveulebrivi Thin"/>
        <family val="2"/>
      </rPr>
      <t>3</t>
    </r>
  </si>
  <si>
    <t>1-22-9</t>
  </si>
  <si>
    <t>milze  wasacxebi hidroizolaciis mowyoba 2 jer CasmiT</t>
  </si>
  <si>
    <t>30-51-3</t>
  </si>
  <si>
    <t>asbesti</t>
  </si>
  <si>
    <t>bitumi navTobis</t>
  </si>
  <si>
    <r>
      <t xml:space="preserve">cementis xsnari </t>
    </r>
    <r>
      <rPr>
        <sz val="11"/>
        <rFont val="Arial"/>
        <family val="2"/>
      </rPr>
      <t>M</t>
    </r>
    <r>
      <rPr>
        <sz val="11"/>
        <rFont val="Arachveulebrivi Thin"/>
        <family val="2"/>
      </rPr>
      <t>150</t>
    </r>
  </si>
  <si>
    <t>37-64-4</t>
  </si>
  <si>
    <t>amwe muxluxa svlaze 10 t</t>
  </si>
  <si>
    <t>cementis xsnari</t>
  </si>
  <si>
    <t xml:space="preserve">ficari Camoganuli III xarisxis, 40-60 mm </t>
  </si>
  <si>
    <t>Casatanebeli detalebi</t>
  </si>
  <si>
    <t>sul Tavi II</t>
  </si>
  <si>
    <t>Tavi III</t>
  </si>
  <si>
    <t>savali nawili</t>
  </si>
  <si>
    <t>sul Tavi III</t>
  </si>
  <si>
    <t>x.a.#5</t>
  </si>
  <si>
    <t>rkina-betonis milis mowyoba Ǿ1000 mm</t>
  </si>
  <si>
    <t>Tavi V</t>
  </si>
  <si>
    <t>gadakveTebi da mierTebebi</t>
  </si>
  <si>
    <t>sul Tavi V</t>
  </si>
  <si>
    <t>III kategoriis gruntis moxsna meqanizmebiT datvirTva a/TviTmclelebze da zidva nayarSi 5 km-mde</t>
  </si>
  <si>
    <t>III kategoriis gruntis moxsna xeliT datvirTva a/TviTmclelebze da zidva nayarSi 5 km-mde</t>
  </si>
  <si>
    <t xml:space="preserve"> lokaluri  xarjTaRricxva # 4</t>
  </si>
  <si>
    <t>axali liTonis milebis mowyoba mierTebebsa da ezoSi Sesasvlelebze</t>
  </si>
  <si>
    <t>22-5-11</t>
  </si>
  <si>
    <t>liTonis mili</t>
  </si>
  <si>
    <t xml:space="preserve"> lokaluri  xarjTaRricxva # 6</t>
  </si>
  <si>
    <t>x.a.#6</t>
  </si>
  <si>
    <t>saval nawilze temperaturuli nakerebis mowyoba yovel 4-5 metrSi</t>
  </si>
  <si>
    <t>III kat. gruntis damuSaveba eqskavatoriT 0,65m3 datvirTva da zidva nayarSi 5 km-mde</t>
  </si>
  <si>
    <t>III kat. gruntis damuSaveba xeliT datvirTva da zidva nayarSi 5 km-mde</t>
  </si>
  <si>
    <t>23-1-3</t>
  </si>
  <si>
    <t>qvesagebi fenis mowyoba milis da betonis saTavisebis qveS qviSa-xreSovani nareviT</t>
  </si>
  <si>
    <r>
      <t xml:space="preserve">liTonis milis </t>
    </r>
    <r>
      <rPr>
        <sz val="11"/>
        <rFont val="Arial Cyr"/>
        <family val="0"/>
      </rPr>
      <t>Ǿ</t>
    </r>
    <r>
      <rPr>
        <sz val="11"/>
        <rFont val="Arachveulebrivi Thin"/>
        <family val="2"/>
      </rPr>
      <t>530 mm, δ12 mm Cawyoba TxrilSi</t>
    </r>
  </si>
  <si>
    <r>
      <t xml:space="preserve">betonis saTavisebis mowyoba </t>
    </r>
    <r>
      <rPr>
        <sz val="11"/>
        <rFont val="Calibri"/>
        <family val="2"/>
      </rPr>
      <t xml:space="preserve">B30 F200, W6 </t>
    </r>
    <r>
      <rPr>
        <sz val="11"/>
        <rFont val="Arachveulebrivi Thin"/>
        <family val="2"/>
      </rPr>
      <t>betoniT</t>
    </r>
  </si>
  <si>
    <t xml:space="preserve">  ukuSevseba qviSa-xreSovani nareviT    </t>
  </si>
  <si>
    <t>9</t>
  </si>
  <si>
    <t>axali liTonis milis mowyoba</t>
  </si>
  <si>
    <t xml:space="preserve">qvis -xreSis datk. vibraciuli satkepniT fenebad </t>
  </si>
  <si>
    <t>mosamzadebeli samuSaoebi</t>
  </si>
  <si>
    <t>masalebis transportireba   5% masalebis Rirebulebidan</t>
  </si>
  <si>
    <t>ჯამი</t>
  </si>
  <si>
    <t>arsebuli milebis demontaJi</t>
  </si>
  <si>
    <t>x.a. #1</t>
  </si>
  <si>
    <t>safuZvlis mowyoba fraqciuli RorRiT 0-40 mm, sisqiT 12 sm</t>
  </si>
  <si>
    <t xml:space="preserve"> lokaluri  xarjTaRricxva #1-1</t>
  </si>
  <si>
    <t>СЦИР-82, გვ. 557, ცხრ. 17</t>
  </si>
  <si>
    <t>ობიექტის აღდგენა და დამაგრება</t>
  </si>
  <si>
    <t>კმ</t>
  </si>
  <si>
    <t>შრომითი დანახარჯები</t>
  </si>
  <si>
    <t>კაც/სთ</t>
  </si>
  <si>
    <t xml:space="preserve"> lokaluri  xarjTaRricxva # 2</t>
  </si>
  <si>
    <t>27-7-2</t>
  </si>
  <si>
    <t>miwis vakisis yrilis mowyoba qviSa-xreSovani nareviT</t>
  </si>
  <si>
    <t>satkepni sagzao TviTmavali pnevmosvlaze 18 t</t>
  </si>
  <si>
    <t>1-118-5,6 SeniSvna</t>
  </si>
  <si>
    <t>qviSa-xreSovani narevis gaSla da datkepna vibraciuli satkepniT fenebad      6-jer gavliT fenis, sisqiT 20 sm</t>
  </si>
  <si>
    <t>1-22-15</t>
  </si>
  <si>
    <t>tyibulis municipalitetSi, sof. muxuraSi(საკვირაოს უბანი) betonis safariani gzis mowyobis samuSaoebi (gza #1) pk10+00-pk21+60</t>
  </si>
</sst>
</file>

<file path=xl/styles.xml><?xml version="1.0" encoding="utf-8"?>
<styleSheet xmlns="http://schemas.openxmlformats.org/spreadsheetml/2006/main">
  <numFmts count="5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₽&quot;;\-#,##0\ &quot;₽&quot;"/>
    <numFmt numFmtId="181" formatCode="#,##0\ &quot;₽&quot;;[Red]\-#,##0\ &quot;₽&quot;"/>
    <numFmt numFmtId="182" formatCode="#,##0.00\ &quot;₽&quot;;\-#,##0.00\ &quot;₽&quot;"/>
    <numFmt numFmtId="183" formatCode="#,##0.00\ &quot;₽&quot;;[Red]\-#,##0.00\ &quot;₽&quot;"/>
    <numFmt numFmtId="184" formatCode="_-* #,##0\ &quot;₽&quot;_-;\-* #,##0\ &quot;₽&quot;_-;_-* &quot;-&quot;\ &quot;₽&quot;_-;_-@_-"/>
    <numFmt numFmtId="185" formatCode="_-* #,##0_-;\-* #,##0_-;_-* &quot;-&quot;_-;_-@_-"/>
    <numFmt numFmtId="186" formatCode="_-* #,##0.00\ &quot;₽&quot;_-;\-* #,##0.00\ &quot;₽&quot;_-;_-* &quot;-&quot;??\ &quot;₽&quot;_-;_-@_-"/>
    <numFmt numFmtId="187" formatCode="_-* #,##0.00_-;\-* #,##0.00_-;_-* &quot;-&quot;??_-;_-@_-"/>
    <numFmt numFmtId="188" formatCode="_-* #,##0\ _₾_-;\-* #,##0\ _₾_-;_-* &quot;-&quot;\ _₾_-;_-@_-"/>
    <numFmt numFmtId="189" formatCode="_-* #,##0.00\ _₾_-;\-* #,##0.00\ _₾_-;_-* &quot;-&quot;??\ _₾_-;_-@_-"/>
    <numFmt numFmtId="190" formatCode="_-* #,##0\ _₽_-;\-* #,##0\ _₽_-;_-* &quot;-&quot;\ _₽_-;_-@_-"/>
    <numFmt numFmtId="191" formatCode="_-* #,##0.00\ _₽_-;\-* #,##0.00\ _₽_-;_-* &quot;-&quot;??\ _₽_-;_-@_-"/>
    <numFmt numFmtId="192" formatCode="&quot;€&quot;#,##0;\-&quot;€&quot;#,##0"/>
    <numFmt numFmtId="193" formatCode="&quot;€&quot;#,##0;[Red]\-&quot;€&quot;#,##0"/>
    <numFmt numFmtId="194" formatCode="&quot;€&quot;#,##0.00;\-&quot;€&quot;#,##0.00"/>
    <numFmt numFmtId="195" formatCode="&quot;€&quot;#,##0.00;[Red]\-&quot;€&quot;#,##0.00"/>
    <numFmt numFmtId="196" formatCode="_-&quot;€&quot;* #,##0_-;\-&quot;€&quot;* #,##0_-;_-&quot;€&quot;* &quot;-&quot;_-;_-@_-"/>
    <numFmt numFmtId="197" formatCode="_-&quot;€&quot;* #,##0.00_-;\-&quot;€&quot;* #,##0.00_-;_-&quot;€&quot;* &quot;-&quot;??_-;_-@_-"/>
    <numFmt numFmtId="198" formatCode="0.0"/>
    <numFmt numFmtId="199" formatCode="0.000"/>
    <numFmt numFmtId="200" formatCode="0.0000"/>
    <numFmt numFmtId="201" formatCode="0.00000"/>
    <numFmt numFmtId="202" formatCode="[$-FC19]d\ mmmm\ yyyy\ &quot;г.&quot;"/>
    <numFmt numFmtId="203" formatCode="0;[Red]0"/>
    <numFmt numFmtId="204" formatCode="_(* #,##0.00_);_(* \(#,##0.00\);_(* &quot;-&quot;???_);_(@_)"/>
    <numFmt numFmtId="205" formatCode="_(* #,##0.0_);_(* \(#,##0.0\);_(* &quot;-&quot;???_);_(@_)"/>
    <numFmt numFmtId="206" formatCode="_(* #,##0_);_(* \(#,##0\);_(* &quot;-&quot;???_);_(@_)"/>
    <numFmt numFmtId="207" formatCode="_(* #,##0.000_);_(* \(#,##0.000\);_(* &quot;-&quot;???_);_(@_)"/>
    <numFmt numFmtId="208" formatCode="0.000000"/>
    <numFmt numFmtId="209" formatCode="&quot;Да&quot;;&quot;Да&quot;;&quot;Нет&quot;"/>
    <numFmt numFmtId="210" formatCode="&quot;Истина&quot;;&quot;Истина&quot;;&quot;Ложь&quot;"/>
    <numFmt numFmtId="211" formatCode="&quot;Вкл&quot;;&quot;Вкл&quot;;&quot;Выкл&quot;"/>
    <numFmt numFmtId="212" formatCode="[$€-2]\ ###,000_);[Red]\([$€-2]\ ###,000\)"/>
    <numFmt numFmtId="213" formatCode="0.0%"/>
    <numFmt numFmtId="214" formatCode="#,##0.000"/>
  </numFmts>
  <fonts count="70">
    <font>
      <sz val="10"/>
      <name val="Arial"/>
      <family val="0"/>
    </font>
    <font>
      <sz val="11"/>
      <name val="Arachveulebrivi Thin"/>
      <family val="2"/>
    </font>
    <font>
      <sz val="8"/>
      <name val="Arial"/>
      <family val="2"/>
    </font>
    <font>
      <sz val="11"/>
      <name val="Arial"/>
      <family val="2"/>
    </font>
    <font>
      <sz val="11"/>
      <color indexed="8"/>
      <name val="Calibri"/>
      <family val="2"/>
    </font>
    <font>
      <vertAlign val="superscript"/>
      <sz val="11"/>
      <name val="Arachveulebrivi Thin"/>
      <family val="2"/>
    </font>
    <font>
      <b/>
      <sz val="11"/>
      <name val="Arachveulebrivi Thin"/>
      <family val="2"/>
    </font>
    <font>
      <u val="single"/>
      <sz val="11"/>
      <name val="Arachveulebrivi Thin"/>
      <family val="2"/>
    </font>
    <font>
      <sz val="11"/>
      <color indexed="10"/>
      <name val="Arachveulebrivi Thin"/>
      <family val="2"/>
    </font>
    <font>
      <b/>
      <sz val="14"/>
      <name val="Arachveulebrivi Thin"/>
      <family val="2"/>
    </font>
    <font>
      <sz val="14"/>
      <name val="Arachveulebrivi Thin"/>
      <family val="2"/>
    </font>
    <font>
      <sz val="9"/>
      <name val="Arachveulebrivi Thin"/>
      <family val="2"/>
    </font>
    <font>
      <sz val="14"/>
      <color indexed="10"/>
      <name val="Arachveulebrivi Thin"/>
      <family val="2"/>
    </font>
    <font>
      <b/>
      <sz val="11"/>
      <color indexed="10"/>
      <name val="Arachveulebrivi Thin"/>
      <family val="2"/>
    </font>
    <font>
      <sz val="11"/>
      <name val="Arial Cyr"/>
      <family val="0"/>
    </font>
    <font>
      <sz val="10"/>
      <name val="Arachveulebrivi Thin"/>
      <family val="2"/>
    </font>
    <font>
      <sz val="10"/>
      <name val="Arial CYR"/>
      <family val="0"/>
    </font>
    <font>
      <sz val="11"/>
      <name val="Arachveulebrivi"/>
      <family val="2"/>
    </font>
    <font>
      <sz val="11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AcadNusx"/>
      <family val="0"/>
    </font>
    <font>
      <sz val="11"/>
      <color indexed="8"/>
      <name val="AcadNusx"/>
      <family val="0"/>
    </font>
    <font>
      <sz val="11"/>
      <color indexed="8"/>
      <name val="Sylfaen"/>
      <family val="1"/>
    </font>
    <font>
      <b/>
      <sz val="11"/>
      <color indexed="8"/>
      <name val="Arial"/>
      <family val="2"/>
    </font>
    <font>
      <b/>
      <sz val="11"/>
      <color indexed="8"/>
      <name val="Sylfaen"/>
      <family val="1"/>
    </font>
    <font>
      <strike/>
      <sz val="11"/>
      <color indexed="8"/>
      <name val="Sylfaen"/>
      <family val="1"/>
    </font>
    <font>
      <sz val="11"/>
      <color indexed="8"/>
      <name val="Arial"/>
      <family val="2"/>
    </font>
    <font>
      <sz val="11"/>
      <color indexed="8"/>
      <name val="Arachveulebrivi Thin"/>
      <family val="2"/>
    </font>
    <font>
      <sz val="10"/>
      <color indexed="8"/>
      <name val="AcadNusx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theme="1"/>
      <name val="AcadNusx"/>
      <family val="0"/>
    </font>
    <font>
      <sz val="11"/>
      <color theme="1"/>
      <name val="AcadNusx"/>
      <family val="0"/>
    </font>
    <font>
      <sz val="11"/>
      <color theme="1"/>
      <name val="Sylfaen"/>
      <family val="1"/>
    </font>
    <font>
      <b/>
      <sz val="11"/>
      <color theme="1"/>
      <name val="Arial"/>
      <family val="2"/>
    </font>
    <font>
      <b/>
      <sz val="11"/>
      <color theme="1"/>
      <name val="Sylfaen"/>
      <family val="1"/>
    </font>
    <font>
      <strike/>
      <sz val="11"/>
      <color theme="1"/>
      <name val="Sylfaen"/>
      <family val="1"/>
    </font>
    <font>
      <sz val="11"/>
      <color theme="1"/>
      <name val="Arial"/>
      <family val="2"/>
    </font>
    <font>
      <sz val="11"/>
      <color theme="1"/>
      <name val="Arachveulebrivi Thin"/>
      <family val="2"/>
    </font>
    <font>
      <sz val="10"/>
      <color theme="1"/>
      <name val="AcadNusx"/>
      <family val="0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/>
      <right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0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25" borderId="1" applyNumberFormat="0" applyAlignment="0" applyProtection="0"/>
    <xf numFmtId="0" fontId="47" fillId="26" borderId="2" applyNumberFormat="0" applyAlignment="0" applyProtection="0"/>
    <xf numFmtId="0" fontId="48" fillId="26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7" borderId="7" applyNumberFormat="0" applyAlignment="0" applyProtection="0"/>
    <xf numFmtId="0" fontId="54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0" fillId="0" borderId="0">
      <alignment/>
      <protection/>
    </xf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8" fillId="0" borderId="9" applyNumberFormat="0" applyFill="0" applyAlignment="0" applyProtection="0"/>
    <xf numFmtId="0" fontId="5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0" fillId="31" borderId="0" applyNumberFormat="0" applyBorder="0" applyAlignment="0" applyProtection="0"/>
  </cellStyleXfs>
  <cellXfs count="358">
    <xf numFmtId="0" fontId="0" fillId="0" borderId="0" xfId="0" applyAlignment="1">
      <alignment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2" fontId="1" fillId="0" borderId="10" xfId="43" applyNumberFormat="1" applyFont="1" applyBorder="1" applyAlignment="1">
      <alignment horizontal="center" vertical="center"/>
      <protection/>
    </xf>
    <xf numFmtId="2" fontId="1" fillId="0" borderId="11" xfId="43" applyNumberFormat="1" applyFont="1" applyBorder="1" applyAlignment="1">
      <alignment horizontal="center" vertical="center"/>
      <protection/>
    </xf>
    <xf numFmtId="0" fontId="1" fillId="0" borderId="12" xfId="43" applyFont="1" applyBorder="1" applyAlignment="1">
      <alignment horizontal="center" vertical="center"/>
      <protection/>
    </xf>
    <xf numFmtId="0" fontId="1" fillId="0" borderId="13" xfId="43" applyFont="1" applyBorder="1" applyAlignment="1">
      <alignment horizontal="center" vertical="center" wrapText="1"/>
      <protection/>
    </xf>
    <xf numFmtId="2" fontId="1" fillId="0" borderId="12" xfId="43" applyNumberFormat="1" applyFont="1" applyBorder="1" applyAlignment="1">
      <alignment horizontal="center" vertical="center"/>
      <protection/>
    </xf>
    <xf numFmtId="2" fontId="1" fillId="0" borderId="14" xfId="43" applyNumberFormat="1" applyFont="1" applyBorder="1" applyAlignment="1">
      <alignment horizontal="center" vertical="center"/>
      <protection/>
    </xf>
    <xf numFmtId="2" fontId="1" fillId="0" borderId="13" xfId="43" applyNumberFormat="1" applyFont="1" applyBorder="1" applyAlignment="1">
      <alignment horizontal="center" vertical="center"/>
      <protection/>
    </xf>
    <xf numFmtId="2" fontId="1" fillId="0" borderId="15" xfId="43" applyNumberFormat="1" applyFont="1" applyBorder="1" applyAlignment="1">
      <alignment horizontal="center" vertical="center"/>
      <protection/>
    </xf>
    <xf numFmtId="2" fontId="1" fillId="0" borderId="0" xfId="0" applyNumberFormat="1" applyFont="1" applyBorder="1" applyAlignment="1">
      <alignment horizontal="center" vertical="center"/>
    </xf>
    <xf numFmtId="49" fontId="1" fillId="0" borderId="14" xfId="43" applyNumberFormat="1" applyFont="1" applyBorder="1" applyAlignment="1">
      <alignment horizontal="center" vertical="center" wrapText="1"/>
      <protection/>
    </xf>
    <xf numFmtId="2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/>
    </xf>
    <xf numFmtId="199" fontId="1" fillId="0" borderId="10" xfId="0" applyNumberFormat="1" applyFont="1" applyBorder="1" applyAlignment="1">
      <alignment horizontal="center" vertical="center"/>
    </xf>
    <xf numFmtId="0" fontId="1" fillId="0" borderId="10" xfId="33" applyFont="1" applyBorder="1" applyAlignment="1">
      <alignment horizontal="center" vertical="center" wrapText="1"/>
      <protection/>
    </xf>
    <xf numFmtId="0" fontId="1" fillId="0" borderId="10" xfId="33" applyFont="1" applyBorder="1" applyAlignment="1">
      <alignment horizontal="center" wrapText="1"/>
      <protection/>
    </xf>
    <xf numFmtId="9" fontId="1" fillId="0" borderId="10" xfId="44" applyFont="1" applyBorder="1" applyAlignment="1">
      <alignment horizontal="center" vertical="center"/>
    </xf>
    <xf numFmtId="2" fontId="1" fillId="0" borderId="10" xfId="33" applyNumberFormat="1" applyFont="1" applyBorder="1" applyAlignment="1">
      <alignment horizontal="center" vertical="center" wrapText="1"/>
      <protection/>
    </xf>
    <xf numFmtId="199" fontId="1" fillId="0" borderId="10" xfId="33" applyNumberFormat="1" applyFont="1" applyBorder="1" applyAlignment="1">
      <alignment horizontal="center" wrapText="1"/>
      <protection/>
    </xf>
    <xf numFmtId="2" fontId="1" fillId="0" borderId="10" xfId="33" applyNumberFormat="1" applyFont="1" applyBorder="1" applyAlignment="1">
      <alignment horizontal="center" wrapText="1"/>
      <protection/>
    </xf>
    <xf numFmtId="0" fontId="1" fillId="0" borderId="10" xfId="33" applyFont="1" applyBorder="1" applyAlignment="1">
      <alignment horizontal="center"/>
      <protection/>
    </xf>
    <xf numFmtId="2" fontId="1" fillId="0" borderId="10" xfId="33" applyNumberFormat="1" applyFont="1" applyBorder="1" applyAlignment="1">
      <alignment horizontal="center" vertical="center"/>
      <protection/>
    </xf>
    <xf numFmtId="199" fontId="1" fillId="0" borderId="10" xfId="33" applyNumberFormat="1" applyFont="1" applyBorder="1" applyAlignment="1">
      <alignment horizontal="center" vertical="center" wrapText="1"/>
      <protection/>
    </xf>
    <xf numFmtId="0" fontId="1" fillId="0" borderId="11" xfId="33" applyFont="1" applyBorder="1" applyAlignment="1">
      <alignment horizontal="center"/>
      <protection/>
    </xf>
    <xf numFmtId="9" fontId="1" fillId="0" borderId="11" xfId="44" applyFont="1" applyBorder="1" applyAlignment="1">
      <alignment horizontal="center" vertical="center"/>
    </xf>
    <xf numFmtId="49" fontId="1" fillId="0" borderId="11" xfId="0" applyNumberFormat="1" applyFont="1" applyBorder="1" applyAlignment="1">
      <alignment horizontal="center" vertical="center" wrapText="1"/>
    </xf>
    <xf numFmtId="2" fontId="1" fillId="0" borderId="11" xfId="33" applyNumberFormat="1" applyFont="1" applyBorder="1" applyAlignment="1">
      <alignment horizontal="center"/>
      <protection/>
    </xf>
    <xf numFmtId="49" fontId="1" fillId="0" borderId="10" xfId="0" applyNumberFormat="1" applyFont="1" applyBorder="1" applyAlignment="1">
      <alignment horizontal="center"/>
    </xf>
    <xf numFmtId="0" fontId="0" fillId="0" borderId="0" xfId="0" applyAlignment="1">
      <alignment/>
    </xf>
    <xf numFmtId="199" fontId="1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/>
    </xf>
    <xf numFmtId="0" fontId="6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wrapText="1"/>
    </xf>
    <xf numFmtId="2" fontId="1" fillId="0" borderId="0" xfId="0" applyNumberFormat="1" applyFont="1" applyBorder="1" applyAlignment="1">
      <alignment/>
    </xf>
    <xf numFmtId="0" fontId="1" fillId="0" borderId="12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1" fontId="1" fillId="0" borderId="14" xfId="0" applyNumberFormat="1" applyFont="1" applyBorder="1" applyAlignment="1">
      <alignment horizontal="center" vertical="center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5" xfId="0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 vertical="center"/>
    </xf>
    <xf numFmtId="2" fontId="10" fillId="0" borderId="0" xfId="0" applyNumberFormat="1" applyFont="1" applyAlignment="1">
      <alignment/>
    </xf>
    <xf numFmtId="0" fontId="1" fillId="0" borderId="0" xfId="0" applyFont="1" applyBorder="1" applyAlignment="1">
      <alignment horizontal="left"/>
    </xf>
    <xf numFmtId="0" fontId="6" fillId="0" borderId="0" xfId="0" applyFont="1" applyBorder="1" applyAlignment="1">
      <alignment horizontal="left" wrapText="1"/>
    </xf>
    <xf numFmtId="0" fontId="6" fillId="0" borderId="0" xfId="0" applyFont="1" applyBorder="1" applyAlignment="1">
      <alignment horizontal="left"/>
    </xf>
    <xf numFmtId="2" fontId="6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/>
    </xf>
    <xf numFmtId="0" fontId="1" fillId="0" borderId="0" xfId="0" applyFont="1" applyAlignment="1">
      <alignment wrapText="1"/>
    </xf>
    <xf numFmtId="2" fontId="1" fillId="0" borderId="0" xfId="0" applyNumberFormat="1" applyFont="1" applyAlignment="1">
      <alignment/>
    </xf>
    <xf numFmtId="0" fontId="10" fillId="0" borderId="0" xfId="0" applyFont="1" applyAlignment="1">
      <alignment wrapText="1"/>
    </xf>
    <xf numFmtId="0" fontId="1" fillId="0" borderId="10" xfId="0" applyFont="1" applyBorder="1" applyAlignment="1">
      <alignment horizontal="center"/>
    </xf>
    <xf numFmtId="2" fontId="1" fillId="0" borderId="10" xfId="0" applyNumberFormat="1" applyFont="1" applyBorder="1" applyAlignment="1">
      <alignment horizontal="center"/>
    </xf>
    <xf numFmtId="49" fontId="1" fillId="0" borderId="11" xfId="43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/>
    </xf>
    <xf numFmtId="200" fontId="1" fillId="0" borderId="10" xfId="0" applyNumberFormat="1" applyFont="1" applyBorder="1" applyAlignment="1">
      <alignment horizontal="center" vertical="center"/>
    </xf>
    <xf numFmtId="49" fontId="1" fillId="0" borderId="10" xfId="33" applyNumberFormat="1" applyFont="1" applyBorder="1" applyAlignment="1">
      <alignment horizontal="center" vertical="center" wrapText="1"/>
      <protection/>
    </xf>
    <xf numFmtId="49" fontId="1" fillId="0" borderId="11" xfId="33" applyNumberFormat="1" applyFont="1" applyBorder="1" applyAlignment="1">
      <alignment horizontal="center" vertical="center" wrapText="1"/>
      <protection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2" fontId="1" fillId="0" borderId="11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1" fillId="0" borderId="16" xfId="43" applyFont="1" applyBorder="1" applyAlignment="1">
      <alignment horizontal="center" vertical="center"/>
      <protection/>
    </xf>
    <xf numFmtId="2" fontId="1" fillId="0" borderId="16" xfId="43" applyNumberFormat="1" applyFont="1" applyBorder="1" applyAlignment="1">
      <alignment horizontal="center" vertical="center"/>
      <protection/>
    </xf>
    <xf numFmtId="2" fontId="7" fillId="0" borderId="17" xfId="43" applyNumberFormat="1" applyFont="1" applyBorder="1" applyAlignment="1">
      <alignment horizontal="center" vertical="center"/>
      <protection/>
    </xf>
    <xf numFmtId="0" fontId="1" fillId="0" borderId="17" xfId="43" applyFont="1" applyBorder="1" applyAlignment="1">
      <alignment horizontal="center" vertical="center" wrapText="1"/>
      <protection/>
    </xf>
    <xf numFmtId="0" fontId="6" fillId="0" borderId="0" xfId="0" applyFont="1" applyBorder="1" applyAlignment="1">
      <alignment horizontal="center" vertical="center" wrapText="1"/>
    </xf>
    <xf numFmtId="0" fontId="1" fillId="0" borderId="18" xfId="43" applyFont="1" applyBorder="1" applyAlignment="1">
      <alignment horizontal="center" vertical="center"/>
      <protection/>
    </xf>
    <xf numFmtId="2" fontId="1" fillId="0" borderId="18" xfId="43" applyNumberFormat="1" applyFont="1" applyBorder="1" applyAlignment="1">
      <alignment horizontal="center" vertical="center"/>
      <protection/>
    </xf>
    <xf numFmtId="2" fontId="1" fillId="0" borderId="19" xfId="43" applyNumberFormat="1" applyFont="1" applyBorder="1" applyAlignment="1">
      <alignment horizontal="center" vertical="center"/>
      <protection/>
    </xf>
    <xf numFmtId="2" fontId="1" fillId="0" borderId="20" xfId="43" applyNumberFormat="1" applyFont="1" applyBorder="1" applyAlignment="1">
      <alignment horizontal="center" vertical="center"/>
      <protection/>
    </xf>
    <xf numFmtId="201" fontId="1" fillId="0" borderId="11" xfId="0" applyNumberFormat="1" applyFont="1" applyBorder="1" applyAlignment="1">
      <alignment horizontal="center" vertical="center"/>
    </xf>
    <xf numFmtId="0" fontId="1" fillId="0" borderId="20" xfId="43" applyFont="1" applyBorder="1" applyAlignment="1">
      <alignment horizontal="center" vertical="center" wrapText="1"/>
      <protection/>
    </xf>
    <xf numFmtId="2" fontId="1" fillId="0" borderId="0" xfId="43" applyNumberFormat="1" applyFont="1" applyFill="1" applyBorder="1" applyAlignment="1">
      <alignment horizontal="center" vertical="center"/>
      <protection/>
    </xf>
    <xf numFmtId="2" fontId="1" fillId="0" borderId="11" xfId="0" applyNumberFormat="1" applyFont="1" applyBorder="1" applyAlignment="1">
      <alignment horizontal="center" vertical="center" wrapText="1"/>
    </xf>
    <xf numFmtId="2" fontId="1" fillId="0" borderId="16" xfId="0" applyNumberFormat="1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2" fontId="7" fillId="0" borderId="10" xfId="0" applyNumberFormat="1" applyFont="1" applyBorder="1" applyAlignment="1">
      <alignment horizontal="center" vertical="center"/>
    </xf>
    <xf numFmtId="49" fontId="1" fillId="0" borderId="21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2" fontId="1" fillId="0" borderId="10" xfId="43" applyNumberFormat="1" applyFont="1" applyBorder="1" applyAlignment="1">
      <alignment horizontal="center"/>
      <protection/>
    </xf>
    <xf numFmtId="2" fontId="1" fillId="0" borderId="15" xfId="0" applyNumberFormat="1" applyFont="1" applyBorder="1" applyAlignment="1">
      <alignment horizontal="center" vertical="center"/>
    </xf>
    <xf numFmtId="0" fontId="8" fillId="0" borderId="12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15" xfId="0" applyFont="1" applyBorder="1" applyAlignment="1">
      <alignment/>
    </xf>
    <xf numFmtId="0" fontId="8" fillId="0" borderId="13" xfId="0" applyFont="1" applyBorder="1" applyAlignment="1">
      <alignment/>
    </xf>
    <xf numFmtId="2" fontId="8" fillId="0" borderId="14" xfId="0" applyNumberFormat="1" applyFont="1" applyBorder="1" applyAlignment="1">
      <alignment horizontal="center" vertical="center"/>
    </xf>
    <xf numFmtId="0" fontId="8" fillId="0" borderId="15" xfId="0" applyFont="1" applyBorder="1" applyAlignment="1">
      <alignment horizontal="center"/>
    </xf>
    <xf numFmtId="1" fontId="8" fillId="0" borderId="14" xfId="0" applyNumberFormat="1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2" xfId="0" applyFont="1" applyBorder="1" applyAlignment="1">
      <alignment horizontal="center"/>
    </xf>
    <xf numFmtId="2" fontId="13" fillId="0" borderId="14" xfId="0" applyNumberFormat="1" applyFont="1" applyBorder="1" applyAlignment="1">
      <alignment horizontal="center"/>
    </xf>
    <xf numFmtId="0" fontId="13" fillId="0" borderId="15" xfId="0" applyFont="1" applyBorder="1" applyAlignment="1">
      <alignment horizontal="center"/>
    </xf>
    <xf numFmtId="1" fontId="13" fillId="0" borderId="14" xfId="0" applyNumberFormat="1" applyFont="1" applyBorder="1" applyAlignment="1">
      <alignment horizontal="center"/>
    </xf>
    <xf numFmtId="2" fontId="13" fillId="0" borderId="15" xfId="0" applyNumberFormat="1" applyFont="1" applyBorder="1" applyAlignment="1">
      <alignment horizontal="center"/>
    </xf>
    <xf numFmtId="0" fontId="8" fillId="0" borderId="14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 wrapText="1"/>
    </xf>
    <xf numFmtId="1" fontId="1" fillId="0" borderId="10" xfId="43" applyNumberFormat="1" applyFont="1" applyBorder="1" applyAlignment="1">
      <alignment horizontal="center" vertical="center"/>
      <protection/>
    </xf>
    <xf numFmtId="2" fontId="1" fillId="0" borderId="20" xfId="0" applyNumberFormat="1" applyFont="1" applyBorder="1" applyAlignment="1">
      <alignment horizontal="center" vertical="center"/>
    </xf>
    <xf numFmtId="2" fontId="1" fillId="0" borderId="15" xfId="0" applyNumberFormat="1" applyFont="1" applyBorder="1" applyAlignment="1">
      <alignment horizontal="center"/>
    </xf>
    <xf numFmtId="2" fontId="1" fillId="0" borderId="14" xfId="0" applyNumberFormat="1" applyFont="1" applyBorder="1" applyAlignment="1">
      <alignment horizontal="center"/>
    </xf>
    <xf numFmtId="2" fontId="6" fillId="0" borderId="14" xfId="0" applyNumberFormat="1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1" fontId="6" fillId="0" borderId="14" xfId="0" applyNumberFormat="1" applyFont="1" applyBorder="1" applyAlignment="1">
      <alignment horizontal="center"/>
    </xf>
    <xf numFmtId="2" fontId="6" fillId="0" borderId="15" xfId="0" applyNumberFormat="1" applyFont="1" applyBorder="1" applyAlignment="1">
      <alignment horizontal="center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2" fontId="6" fillId="0" borderId="14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4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0" fontId="1" fillId="0" borderId="21" xfId="0" applyFont="1" applyBorder="1" applyAlignment="1">
      <alignment horizontal="center" vertical="center" wrapText="1"/>
    </xf>
    <xf numFmtId="0" fontId="1" fillId="0" borderId="21" xfId="0" applyFont="1" applyBorder="1" applyAlignment="1">
      <alignment/>
    </xf>
    <xf numFmtId="1" fontId="1" fillId="0" borderId="14" xfId="43" applyNumberFormat="1" applyFont="1" applyBorder="1" applyAlignment="1">
      <alignment horizontal="center" vertical="center"/>
      <protection/>
    </xf>
    <xf numFmtId="1" fontId="1" fillId="0" borderId="14" xfId="0" applyNumberFormat="1" applyFont="1" applyBorder="1" applyAlignment="1">
      <alignment horizontal="center" vertical="center" wrapText="1"/>
    </xf>
    <xf numFmtId="1" fontId="1" fillId="0" borderId="10" xfId="0" applyNumberFormat="1" applyFont="1" applyBorder="1" applyAlignment="1">
      <alignment horizontal="center" vertical="center"/>
    </xf>
    <xf numFmtId="2" fontId="1" fillId="0" borderId="17" xfId="43" applyNumberFormat="1" applyFont="1" applyBorder="1" applyAlignment="1">
      <alignment horizontal="center" vertical="center"/>
      <protection/>
    </xf>
    <xf numFmtId="49" fontId="1" fillId="0" borderId="10" xfId="43" applyNumberFormat="1" applyFont="1" applyBorder="1" applyAlignment="1">
      <alignment horizontal="center" vertical="center" wrapText="1"/>
      <protection/>
    </xf>
    <xf numFmtId="2" fontId="1" fillId="0" borderId="18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 wrapText="1"/>
    </xf>
    <xf numFmtId="2" fontId="7" fillId="0" borderId="10" xfId="43" applyNumberFormat="1" applyFont="1" applyBorder="1" applyAlignment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 wrapText="1"/>
    </xf>
    <xf numFmtId="49" fontId="1" fillId="0" borderId="18" xfId="0" applyNumberFormat="1" applyFont="1" applyBorder="1" applyAlignment="1">
      <alignment horizontal="center" vertical="center"/>
    </xf>
    <xf numFmtId="49" fontId="1" fillId="0" borderId="10" xfId="33" applyNumberFormat="1" applyFont="1" applyBorder="1" applyAlignment="1">
      <alignment horizontal="center" wrapText="1"/>
      <protection/>
    </xf>
    <xf numFmtId="49" fontId="1" fillId="0" borderId="10" xfId="33" applyNumberFormat="1" applyFont="1" applyBorder="1" applyAlignment="1">
      <alignment horizontal="center"/>
      <protection/>
    </xf>
    <xf numFmtId="49" fontId="1" fillId="0" borderId="11" xfId="33" applyNumberFormat="1" applyFont="1" applyBorder="1" applyAlignment="1">
      <alignment horizontal="center"/>
      <protection/>
    </xf>
    <xf numFmtId="0" fontId="1" fillId="0" borderId="10" xfId="43" applyFont="1" applyBorder="1" applyAlignment="1">
      <alignment horizontal="center" vertical="center"/>
      <protection/>
    </xf>
    <xf numFmtId="49" fontId="1" fillId="0" borderId="10" xfId="43" applyNumberFormat="1" applyFont="1" applyBorder="1" applyAlignment="1">
      <alignment horizontal="center" vertical="center"/>
      <protection/>
    </xf>
    <xf numFmtId="2" fontId="1" fillId="0" borderId="21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/>
    </xf>
    <xf numFmtId="2" fontId="1" fillId="0" borderId="10" xfId="43" applyNumberFormat="1" applyFont="1" applyFill="1" applyBorder="1" applyAlignment="1">
      <alignment horizontal="center" vertical="center"/>
      <protection/>
    </xf>
    <xf numFmtId="2" fontId="1" fillId="0" borderId="16" xfId="43" applyNumberFormat="1" applyFont="1" applyFill="1" applyBorder="1" applyAlignment="1">
      <alignment horizontal="center" vertical="center"/>
      <protection/>
    </xf>
    <xf numFmtId="49" fontId="1" fillId="0" borderId="21" xfId="0" applyNumberFormat="1" applyFont="1" applyBorder="1" applyAlignment="1">
      <alignment horizontal="center" vertical="center" wrapText="1"/>
    </xf>
    <xf numFmtId="0" fontId="1" fillId="0" borderId="10" xfId="43" applyFont="1" applyBorder="1" applyAlignment="1">
      <alignment horizontal="center" wrapText="1"/>
      <protection/>
    </xf>
    <xf numFmtId="0" fontId="1" fillId="0" borderId="11" xfId="43" applyFont="1" applyBorder="1" applyAlignment="1">
      <alignment horizontal="center" vertical="center"/>
      <protection/>
    </xf>
    <xf numFmtId="0" fontId="1" fillId="0" borderId="13" xfId="0" applyFont="1" applyBorder="1" applyAlignment="1">
      <alignment vertical="center"/>
    </xf>
    <xf numFmtId="0" fontId="1" fillId="0" borderId="15" xfId="0" applyFont="1" applyBorder="1" applyAlignment="1">
      <alignment vertical="center"/>
    </xf>
    <xf numFmtId="2" fontId="1" fillId="0" borderId="19" xfId="0" applyNumberFormat="1" applyFont="1" applyBorder="1" applyAlignment="1">
      <alignment horizontal="center" vertical="center"/>
    </xf>
    <xf numFmtId="0" fontId="1" fillId="0" borderId="10" xfId="33" applyFont="1" applyBorder="1" applyAlignment="1">
      <alignment horizontal="center" vertical="center"/>
      <protection/>
    </xf>
    <xf numFmtId="49" fontId="1" fillId="0" borderId="10" xfId="33" applyNumberFormat="1" applyFont="1" applyBorder="1" applyAlignment="1">
      <alignment horizontal="center" vertical="center"/>
      <protection/>
    </xf>
    <xf numFmtId="49" fontId="1" fillId="0" borderId="10" xfId="0" applyNumberFormat="1" applyFont="1" applyBorder="1" applyAlignment="1">
      <alignment horizontal="center" wrapText="1"/>
    </xf>
    <xf numFmtId="199" fontId="1" fillId="0" borderId="10" xfId="33" applyNumberFormat="1" applyFont="1" applyBorder="1" applyAlignment="1">
      <alignment horizontal="center"/>
      <protection/>
    </xf>
    <xf numFmtId="200" fontId="1" fillId="0" borderId="10" xfId="33" applyNumberFormat="1" applyFont="1" applyBorder="1" applyAlignment="1">
      <alignment horizontal="center" vertical="center"/>
      <protection/>
    </xf>
    <xf numFmtId="199" fontId="1" fillId="0" borderId="10" xfId="33" applyNumberFormat="1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/>
      <protection/>
    </xf>
    <xf numFmtId="49" fontId="1" fillId="0" borderId="11" xfId="33" applyNumberFormat="1" applyFont="1" applyBorder="1" applyAlignment="1">
      <alignment horizontal="center" vertical="center"/>
      <protection/>
    </xf>
    <xf numFmtId="0" fontId="1" fillId="0" borderId="11" xfId="33" applyFont="1" applyBorder="1" applyAlignment="1">
      <alignment horizontal="center" vertical="center" wrapText="1"/>
      <protection/>
    </xf>
    <xf numFmtId="2" fontId="1" fillId="0" borderId="11" xfId="33" applyNumberFormat="1" applyFont="1" applyBorder="1" applyAlignment="1">
      <alignment horizontal="center" vertical="center"/>
      <protection/>
    </xf>
    <xf numFmtId="49" fontId="1" fillId="0" borderId="21" xfId="33" applyNumberFormat="1" applyFont="1" applyBorder="1" applyAlignment="1">
      <alignment horizontal="center" vertical="center"/>
      <protection/>
    </xf>
    <xf numFmtId="2" fontId="1" fillId="0" borderId="21" xfId="0" applyNumberFormat="1" applyFont="1" applyBorder="1" applyAlignment="1">
      <alignment horizontal="center" vertical="center" wrapText="1"/>
    </xf>
    <xf numFmtId="0" fontId="11" fillId="0" borderId="10" xfId="33" applyFont="1" applyBorder="1" applyAlignment="1">
      <alignment vertical="center"/>
      <protection/>
    </xf>
    <xf numFmtId="2" fontId="7" fillId="0" borderId="21" xfId="0" applyNumberFormat="1" applyFont="1" applyBorder="1" applyAlignment="1">
      <alignment horizontal="center" vertical="center"/>
    </xf>
    <xf numFmtId="199" fontId="1" fillId="0" borderId="17" xfId="0" applyNumberFormat="1" applyFont="1" applyBorder="1" applyAlignment="1">
      <alignment horizontal="center" vertical="center"/>
    </xf>
    <xf numFmtId="49" fontId="1" fillId="0" borderId="11" xfId="43" applyNumberFormat="1" applyFont="1" applyBorder="1" applyAlignment="1">
      <alignment horizontal="center" vertical="center"/>
      <protection/>
    </xf>
    <xf numFmtId="0" fontId="1" fillId="0" borderId="19" xfId="43" applyFont="1" applyBorder="1" applyAlignment="1">
      <alignment horizontal="center" vertical="center" wrapText="1"/>
      <protection/>
    </xf>
    <xf numFmtId="0" fontId="1" fillId="0" borderId="17" xfId="43" applyFont="1" applyBorder="1" applyAlignment="1">
      <alignment horizontal="center" vertical="center"/>
      <protection/>
    </xf>
    <xf numFmtId="2" fontId="1" fillId="0" borderId="16" xfId="43" applyNumberFormat="1" applyFont="1" applyBorder="1" applyAlignment="1">
      <alignment horizontal="center"/>
      <protection/>
    </xf>
    <xf numFmtId="0" fontId="1" fillId="0" borderId="20" xfId="43" applyFont="1" applyBorder="1" applyAlignment="1">
      <alignment horizontal="center" wrapText="1"/>
      <protection/>
    </xf>
    <xf numFmtId="2" fontId="1" fillId="0" borderId="20" xfId="43" applyNumberFormat="1" applyFont="1" applyBorder="1" applyAlignment="1">
      <alignment horizontal="center"/>
      <protection/>
    </xf>
    <xf numFmtId="2" fontId="1" fillId="0" borderId="18" xfId="43" applyNumberFormat="1" applyFont="1" applyBorder="1" applyAlignment="1">
      <alignment horizontal="center"/>
      <protection/>
    </xf>
    <xf numFmtId="0" fontId="1" fillId="0" borderId="0" xfId="0" applyFont="1" applyAlignment="1">
      <alignment horizontal="center" vertical="center" wrapText="1"/>
    </xf>
    <xf numFmtId="2" fontId="1" fillId="0" borderId="0" xfId="43" applyNumberFormat="1" applyFont="1" applyAlignment="1">
      <alignment horizontal="center" vertical="center"/>
      <protection/>
    </xf>
    <xf numFmtId="49" fontId="1" fillId="0" borderId="16" xfId="0" applyNumberFormat="1" applyFont="1" applyBorder="1" applyAlignment="1">
      <alignment horizontal="center" vertical="center" wrapText="1"/>
    </xf>
    <xf numFmtId="2" fontId="1" fillId="0" borderId="10" xfId="42" applyNumberFormat="1" applyFont="1" applyBorder="1" applyAlignment="1">
      <alignment horizontal="center"/>
      <protection/>
    </xf>
    <xf numFmtId="2" fontId="1" fillId="0" borderId="10" xfId="42" applyNumberFormat="1" applyFont="1" applyBorder="1" applyAlignment="1">
      <alignment horizontal="center" vertical="center"/>
      <protection/>
    </xf>
    <xf numFmtId="49" fontId="1" fillId="0" borderId="18" xfId="0" applyNumberFormat="1" applyFont="1" applyBorder="1" applyAlignment="1">
      <alignment horizontal="center" vertical="center" wrapText="1"/>
    </xf>
    <xf numFmtId="2" fontId="1" fillId="0" borderId="11" xfId="42" applyNumberFormat="1" applyFont="1" applyBorder="1" applyAlignment="1">
      <alignment horizontal="center"/>
      <protection/>
    </xf>
    <xf numFmtId="0" fontId="1" fillId="0" borderId="0" xfId="43" applyFont="1" applyAlignment="1">
      <alignment horizontal="center" wrapText="1"/>
      <protection/>
    </xf>
    <xf numFmtId="2" fontId="1" fillId="0" borderId="0" xfId="43" applyNumberFormat="1" applyFont="1" applyAlignment="1">
      <alignment horizontal="center"/>
      <protection/>
    </xf>
    <xf numFmtId="2" fontId="1" fillId="0" borderId="0" xfId="0" applyNumberFormat="1" applyFont="1" applyAlignment="1">
      <alignment horizontal="center" vertical="center" wrapText="1"/>
    </xf>
    <xf numFmtId="2" fontId="1" fillId="0" borderId="0" xfId="0" applyNumberFormat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2" fontId="15" fillId="0" borderId="0" xfId="0" applyNumberFormat="1" applyFont="1" applyAlignment="1">
      <alignment horizontal="center" vertical="center" wrapText="1"/>
    </xf>
    <xf numFmtId="0" fontId="61" fillId="32" borderId="0" xfId="0" applyFont="1" applyFill="1" applyAlignment="1">
      <alignment vertical="center" wrapText="1"/>
    </xf>
    <xf numFmtId="2" fontId="62" fillId="32" borderId="10" xfId="43" applyNumberFormat="1" applyFont="1" applyFill="1" applyBorder="1" applyAlignment="1">
      <alignment horizontal="center" vertical="center"/>
      <protection/>
    </xf>
    <xf numFmtId="0" fontId="62" fillId="32" borderId="12" xfId="43" applyFont="1" applyFill="1" applyBorder="1" applyAlignment="1">
      <alignment horizontal="center" vertical="center"/>
      <protection/>
    </xf>
    <xf numFmtId="49" fontId="62" fillId="32" borderId="14" xfId="43" applyNumberFormat="1" applyFont="1" applyFill="1" applyBorder="1" applyAlignment="1">
      <alignment horizontal="center" vertical="center" wrapText="1"/>
      <protection/>
    </xf>
    <xf numFmtId="0" fontId="62" fillId="32" borderId="13" xfId="43" applyFont="1" applyFill="1" applyBorder="1" applyAlignment="1">
      <alignment horizontal="center" vertical="center" wrapText="1"/>
      <protection/>
    </xf>
    <xf numFmtId="2" fontId="62" fillId="32" borderId="12" xfId="43" applyNumberFormat="1" applyFont="1" applyFill="1" applyBorder="1" applyAlignment="1">
      <alignment horizontal="center" vertical="center"/>
      <protection/>
    </xf>
    <xf numFmtId="2" fontId="62" fillId="32" borderId="14" xfId="43" applyNumberFormat="1" applyFont="1" applyFill="1" applyBorder="1" applyAlignment="1">
      <alignment horizontal="center" vertical="center"/>
      <protection/>
    </xf>
    <xf numFmtId="2" fontId="62" fillId="32" borderId="13" xfId="43" applyNumberFormat="1" applyFont="1" applyFill="1" applyBorder="1" applyAlignment="1">
      <alignment horizontal="center" vertical="center"/>
      <protection/>
    </xf>
    <xf numFmtId="2" fontId="62" fillId="32" borderId="15" xfId="43" applyNumberFormat="1" applyFont="1" applyFill="1" applyBorder="1" applyAlignment="1">
      <alignment horizontal="center" vertical="center"/>
      <protection/>
    </xf>
    <xf numFmtId="0" fontId="62" fillId="32" borderId="16" xfId="43" applyFont="1" applyFill="1" applyBorder="1" applyAlignment="1">
      <alignment horizontal="center" vertical="center"/>
      <protection/>
    </xf>
    <xf numFmtId="0" fontId="62" fillId="32" borderId="10" xfId="33" applyFont="1" applyFill="1" applyBorder="1" applyAlignment="1">
      <alignment horizontal="center"/>
      <protection/>
    </xf>
    <xf numFmtId="9" fontId="62" fillId="32" borderId="10" xfId="44" applyFont="1" applyFill="1" applyBorder="1" applyAlignment="1">
      <alignment horizontal="center" vertical="center"/>
    </xf>
    <xf numFmtId="0" fontId="62" fillId="32" borderId="10" xfId="33" applyFont="1" applyFill="1" applyBorder="1" applyAlignment="1">
      <alignment horizontal="center" wrapText="1"/>
      <protection/>
    </xf>
    <xf numFmtId="0" fontId="62" fillId="32" borderId="10" xfId="33" applyFont="1" applyFill="1" applyBorder="1" applyAlignment="1">
      <alignment horizontal="center" vertical="center" wrapText="1"/>
      <protection/>
    </xf>
    <xf numFmtId="2" fontId="62" fillId="32" borderId="10" xfId="33" applyNumberFormat="1" applyFont="1" applyFill="1" applyBorder="1" applyAlignment="1">
      <alignment horizontal="center" vertical="center" wrapText="1"/>
      <protection/>
    </xf>
    <xf numFmtId="49" fontId="62" fillId="32" borderId="10" xfId="33" applyNumberFormat="1" applyFont="1" applyFill="1" applyBorder="1" applyAlignment="1">
      <alignment horizontal="center" vertical="center" wrapText="1"/>
      <protection/>
    </xf>
    <xf numFmtId="199" fontId="62" fillId="32" borderId="10" xfId="33" applyNumberFormat="1" applyFont="1" applyFill="1" applyBorder="1" applyAlignment="1">
      <alignment horizontal="center" wrapText="1"/>
      <protection/>
    </xf>
    <xf numFmtId="2" fontId="62" fillId="32" borderId="10" xfId="33" applyNumberFormat="1" applyFont="1" applyFill="1" applyBorder="1" applyAlignment="1">
      <alignment horizontal="center" wrapText="1"/>
      <protection/>
    </xf>
    <xf numFmtId="2" fontId="62" fillId="32" borderId="10" xfId="33" applyNumberFormat="1" applyFont="1" applyFill="1" applyBorder="1" applyAlignment="1">
      <alignment horizontal="center" vertical="center"/>
      <protection/>
    </xf>
    <xf numFmtId="199" fontId="62" fillId="32" borderId="10" xfId="33" applyNumberFormat="1" applyFont="1" applyFill="1" applyBorder="1" applyAlignment="1">
      <alignment horizontal="center" vertical="center" wrapText="1"/>
      <protection/>
    </xf>
    <xf numFmtId="0" fontId="62" fillId="32" borderId="11" xfId="33" applyFont="1" applyFill="1" applyBorder="1" applyAlignment="1">
      <alignment horizontal="center"/>
      <protection/>
    </xf>
    <xf numFmtId="49" fontId="62" fillId="32" borderId="11" xfId="33" applyNumberFormat="1" applyFont="1" applyFill="1" applyBorder="1" applyAlignment="1">
      <alignment horizontal="center" vertical="center" wrapText="1"/>
      <protection/>
    </xf>
    <xf numFmtId="9" fontId="62" fillId="32" borderId="11" xfId="44" applyFont="1" applyFill="1" applyBorder="1" applyAlignment="1">
      <alignment horizontal="center" vertical="center"/>
    </xf>
    <xf numFmtId="2" fontId="62" fillId="32" borderId="11" xfId="33" applyNumberFormat="1" applyFont="1" applyFill="1" applyBorder="1" applyAlignment="1">
      <alignment horizontal="center"/>
      <protection/>
    </xf>
    <xf numFmtId="2" fontId="1" fillId="0" borderId="11" xfId="0" applyNumberFormat="1" applyFont="1" applyBorder="1" applyAlignment="1">
      <alignment vertical="center"/>
    </xf>
    <xf numFmtId="2" fontId="1" fillId="0" borderId="14" xfId="0" applyNumberFormat="1" applyFont="1" applyBorder="1" applyAlignment="1">
      <alignment vertical="center"/>
    </xf>
    <xf numFmtId="0" fontId="1" fillId="0" borderId="21" xfId="0" applyFont="1" applyBorder="1" applyAlignment="1">
      <alignment vertical="center" wrapText="1"/>
    </xf>
    <xf numFmtId="2" fontId="62" fillId="32" borderId="11" xfId="43" applyNumberFormat="1" applyFont="1" applyFill="1" applyBorder="1" applyAlignment="1">
      <alignment horizontal="center" vertical="center"/>
      <protection/>
    </xf>
    <xf numFmtId="0" fontId="62" fillId="32" borderId="0" xfId="0" applyFont="1" applyFill="1" applyBorder="1" applyAlignment="1">
      <alignment/>
    </xf>
    <xf numFmtId="0" fontId="62" fillId="32" borderId="0" xfId="0" applyFont="1" applyFill="1" applyBorder="1" applyAlignment="1">
      <alignment horizontal="center" vertical="center" wrapText="1"/>
    </xf>
    <xf numFmtId="2" fontId="62" fillId="32" borderId="0" xfId="0" applyNumberFormat="1" applyFont="1" applyFill="1" applyBorder="1" applyAlignment="1">
      <alignment horizontal="center" vertical="center" wrapText="1"/>
    </xf>
    <xf numFmtId="0" fontId="63" fillId="32" borderId="14" xfId="0" applyFont="1" applyFill="1" applyBorder="1" applyAlignment="1">
      <alignment vertical="center" wrapText="1"/>
    </xf>
    <xf numFmtId="2" fontId="64" fillId="32" borderId="14" xfId="0" applyNumberFormat="1" applyFont="1" applyFill="1" applyBorder="1" applyAlignment="1">
      <alignment horizontal="left" vertical="center" wrapText="1"/>
    </xf>
    <xf numFmtId="2" fontId="64" fillId="32" borderId="14" xfId="0" applyNumberFormat="1" applyFont="1" applyFill="1" applyBorder="1" applyAlignment="1">
      <alignment horizontal="center" vertical="center" wrapText="1"/>
    </xf>
    <xf numFmtId="4" fontId="65" fillId="32" borderId="14" xfId="0" applyNumberFormat="1" applyFont="1" applyFill="1" applyBorder="1" applyAlignment="1">
      <alignment horizontal="center" vertical="center"/>
    </xf>
    <xf numFmtId="214" fontId="65" fillId="32" borderId="14" xfId="0" applyNumberFormat="1" applyFont="1" applyFill="1" applyBorder="1" applyAlignment="1">
      <alignment horizontal="center" vertical="center"/>
    </xf>
    <xf numFmtId="4" fontId="63" fillId="32" borderId="14" xfId="0" applyNumberFormat="1" applyFont="1" applyFill="1" applyBorder="1" applyAlignment="1">
      <alignment horizontal="center" vertical="center"/>
    </xf>
    <xf numFmtId="4" fontId="66" fillId="32" borderId="14" xfId="0" applyNumberFormat="1" applyFont="1" applyFill="1" applyBorder="1" applyAlignment="1">
      <alignment horizontal="center" vertical="center"/>
    </xf>
    <xf numFmtId="0" fontId="63" fillId="32" borderId="21" xfId="0" applyFont="1" applyFill="1" applyBorder="1" applyAlignment="1">
      <alignment horizontal="center" vertical="center" wrapText="1"/>
    </xf>
    <xf numFmtId="2" fontId="67" fillId="32" borderId="21" xfId="0" applyNumberFormat="1" applyFont="1" applyFill="1" applyBorder="1" applyAlignment="1">
      <alignment horizontal="left" vertical="center"/>
    </xf>
    <xf numFmtId="49" fontId="67" fillId="32" borderId="21" xfId="0" applyNumberFormat="1" applyFont="1" applyFill="1" applyBorder="1" applyAlignment="1">
      <alignment horizontal="center" vertical="center"/>
    </xf>
    <xf numFmtId="0" fontId="63" fillId="32" borderId="0" xfId="0" applyFont="1" applyFill="1" applyAlignment="1">
      <alignment horizontal="center" vertical="center"/>
    </xf>
    <xf numFmtId="4" fontId="63" fillId="32" borderId="21" xfId="0" applyNumberFormat="1" applyFont="1" applyFill="1" applyBorder="1" applyAlignment="1">
      <alignment horizontal="center" vertical="center"/>
    </xf>
    <xf numFmtId="49" fontId="62" fillId="32" borderId="21" xfId="0" applyNumberFormat="1" applyFont="1" applyFill="1" applyBorder="1" applyAlignment="1">
      <alignment horizontal="center"/>
    </xf>
    <xf numFmtId="49" fontId="62" fillId="32" borderId="21" xfId="0" applyNumberFormat="1" applyFont="1" applyFill="1" applyBorder="1" applyAlignment="1">
      <alignment horizontal="center" vertical="center"/>
    </xf>
    <xf numFmtId="0" fontId="62" fillId="32" borderId="21" xfId="33" applyFont="1" applyFill="1" applyBorder="1" applyAlignment="1">
      <alignment horizontal="center"/>
      <protection/>
    </xf>
    <xf numFmtId="9" fontId="62" fillId="32" borderId="21" xfId="44" applyFont="1" applyFill="1" applyBorder="1" applyAlignment="1">
      <alignment horizontal="center" vertical="center"/>
    </xf>
    <xf numFmtId="2" fontId="62" fillId="32" borderId="21" xfId="0" applyNumberFormat="1" applyFont="1" applyFill="1" applyBorder="1" applyAlignment="1">
      <alignment horizontal="center" vertical="center"/>
    </xf>
    <xf numFmtId="2" fontId="61" fillId="32" borderId="21" xfId="0" applyNumberFormat="1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2" fontId="62" fillId="32" borderId="0" xfId="0" applyNumberFormat="1" applyFont="1" applyFill="1" applyBorder="1" applyAlignment="1">
      <alignment horizontal="center" vertical="center"/>
    </xf>
    <xf numFmtId="0" fontId="61" fillId="32" borderId="0" xfId="0" applyFont="1" applyFill="1" applyBorder="1" applyAlignment="1">
      <alignment horizontal="center" vertical="center" wrapText="1"/>
    </xf>
    <xf numFmtId="2" fontId="61" fillId="32" borderId="0" xfId="0" applyNumberFormat="1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 horizontal="center" vertical="center" wrapText="1"/>
    </xf>
    <xf numFmtId="2" fontId="68" fillId="32" borderId="0" xfId="0" applyNumberFormat="1" applyFont="1" applyFill="1" applyBorder="1" applyAlignment="1">
      <alignment horizontal="center" vertical="center"/>
    </xf>
    <xf numFmtId="0" fontId="68" fillId="32" borderId="0" xfId="0" applyFont="1" applyFill="1" applyBorder="1" applyAlignment="1">
      <alignment/>
    </xf>
    <xf numFmtId="2" fontId="15" fillId="0" borderId="0" xfId="0" applyNumberFormat="1" applyFont="1" applyBorder="1" applyAlignment="1">
      <alignment horizontal="center" vertical="center" wrapText="1"/>
    </xf>
    <xf numFmtId="2" fontId="6" fillId="0" borderId="15" xfId="0" applyNumberFormat="1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6" fillId="0" borderId="24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2" fontId="6" fillId="0" borderId="21" xfId="0" applyNumberFormat="1" applyFont="1" applyBorder="1" applyAlignment="1">
      <alignment horizontal="center" vertical="center" wrapText="1"/>
    </xf>
    <xf numFmtId="2" fontId="6" fillId="0" borderId="11" xfId="0" applyNumberFormat="1" applyFont="1" applyBorder="1" applyAlignment="1">
      <alignment horizontal="center" vertical="center" wrapText="1"/>
    </xf>
    <xf numFmtId="2" fontId="6" fillId="0" borderId="22" xfId="0" applyNumberFormat="1" applyFont="1" applyBorder="1" applyAlignment="1">
      <alignment horizontal="center" vertical="center" wrapText="1"/>
    </xf>
    <xf numFmtId="2" fontId="6" fillId="0" borderId="18" xfId="0" applyNumberFormat="1" applyFont="1" applyBorder="1" applyAlignment="1">
      <alignment horizontal="center" vertical="center" wrapText="1"/>
    </xf>
    <xf numFmtId="0" fontId="1" fillId="0" borderId="22" xfId="0" applyFont="1" applyBorder="1" applyAlignment="1">
      <alignment vertical="center" wrapText="1"/>
    </xf>
    <xf numFmtId="0" fontId="1" fillId="0" borderId="18" xfId="0" applyFont="1" applyBorder="1" applyAlignment="1">
      <alignment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5" xfId="0" applyFont="1" applyBorder="1" applyAlignment="1">
      <alignment vertical="center"/>
    </xf>
    <xf numFmtId="0" fontId="1" fillId="0" borderId="13" xfId="0" applyFont="1" applyBorder="1" applyAlignment="1">
      <alignment vertical="center"/>
    </xf>
    <xf numFmtId="0" fontId="6" fillId="0" borderId="14" xfId="0" applyFont="1" applyBorder="1" applyAlignment="1">
      <alignment horizontal="center" vertical="center"/>
    </xf>
    <xf numFmtId="199" fontId="6" fillId="0" borderId="21" xfId="0" applyNumberFormat="1" applyFont="1" applyBorder="1" applyAlignment="1">
      <alignment horizontal="center" vertical="center"/>
    </xf>
    <xf numFmtId="199" fontId="6" fillId="0" borderId="11" xfId="0" applyNumberFormat="1" applyFont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2" fontId="1" fillId="0" borderId="21" xfId="0" applyNumberFormat="1" applyFont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2" fontId="1" fillId="0" borderId="11" xfId="0" applyNumberFormat="1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61" fillId="32" borderId="0" xfId="0" applyFont="1" applyFill="1" applyBorder="1" applyAlignment="1">
      <alignment horizontal="center" vertical="center" wrapText="1"/>
    </xf>
    <xf numFmtId="2" fontId="62" fillId="32" borderId="22" xfId="43" applyNumberFormat="1" applyFont="1" applyFill="1" applyBorder="1" applyAlignment="1">
      <alignment horizontal="center" vertical="center"/>
      <protection/>
    </xf>
    <xf numFmtId="2" fontId="62" fillId="32" borderId="24" xfId="0" applyNumberFormat="1" applyFont="1" applyFill="1" applyBorder="1" applyAlignment="1">
      <alignment horizontal="center" vertical="center"/>
    </xf>
    <xf numFmtId="2" fontId="62" fillId="32" borderId="24" xfId="43" applyNumberFormat="1" applyFont="1" applyFill="1" applyBorder="1" applyAlignment="1">
      <alignment horizontal="center" vertical="center"/>
      <protection/>
    </xf>
    <xf numFmtId="2" fontId="62" fillId="32" borderId="17" xfId="0" applyNumberFormat="1" applyFont="1" applyFill="1" applyBorder="1" applyAlignment="1">
      <alignment horizontal="center" vertical="center"/>
    </xf>
    <xf numFmtId="2" fontId="62" fillId="32" borderId="10" xfId="0" applyNumberFormat="1" applyFont="1" applyFill="1" applyBorder="1" applyAlignment="1">
      <alignment horizontal="center" vertical="center"/>
    </xf>
    <xf numFmtId="2" fontId="62" fillId="32" borderId="11" xfId="0" applyNumberFormat="1" applyFont="1" applyFill="1" applyBorder="1" applyAlignment="1">
      <alignment horizontal="center" vertical="center"/>
    </xf>
    <xf numFmtId="2" fontId="62" fillId="32" borderId="18" xfId="43" applyNumberFormat="1" applyFont="1" applyFill="1" applyBorder="1" applyAlignment="1">
      <alignment horizontal="center" vertical="center"/>
      <protection/>
    </xf>
    <xf numFmtId="2" fontId="62" fillId="32" borderId="19" xfId="0" applyNumberFormat="1" applyFont="1" applyFill="1" applyBorder="1" applyAlignment="1">
      <alignment horizontal="center" vertical="center"/>
    </xf>
    <xf numFmtId="2" fontId="62" fillId="32" borderId="21" xfId="43" applyNumberFormat="1" applyFont="1" applyFill="1" applyBorder="1" applyAlignment="1">
      <alignment horizontal="center" vertical="center"/>
      <protection/>
    </xf>
    <xf numFmtId="2" fontId="62" fillId="32" borderId="11" xfId="43" applyNumberFormat="1" applyFont="1" applyFill="1" applyBorder="1" applyAlignment="1">
      <alignment horizontal="center" vertical="center"/>
      <protection/>
    </xf>
    <xf numFmtId="0" fontId="62" fillId="32" borderId="21" xfId="43" applyFont="1" applyFill="1" applyBorder="1" applyAlignment="1">
      <alignment horizontal="center" vertical="center"/>
      <protection/>
    </xf>
    <xf numFmtId="0" fontId="62" fillId="32" borderId="10" xfId="0" applyFont="1" applyFill="1" applyBorder="1" applyAlignment="1">
      <alignment horizontal="center" vertical="center"/>
    </xf>
    <xf numFmtId="0" fontId="62" fillId="32" borderId="11" xfId="0" applyFont="1" applyFill="1" applyBorder="1" applyAlignment="1">
      <alignment horizontal="center" vertical="center"/>
    </xf>
    <xf numFmtId="49" fontId="62" fillId="32" borderId="21" xfId="43" applyNumberFormat="1" applyFont="1" applyFill="1" applyBorder="1" applyAlignment="1">
      <alignment horizontal="center" vertical="center" textRotation="90" wrapText="1"/>
      <protection/>
    </xf>
    <xf numFmtId="49" fontId="62" fillId="32" borderId="10" xfId="43" applyNumberFormat="1" applyFont="1" applyFill="1" applyBorder="1" applyAlignment="1">
      <alignment horizontal="center" vertical="center" textRotation="90" wrapText="1"/>
      <protection/>
    </xf>
    <xf numFmtId="49" fontId="62" fillId="32" borderId="11" xfId="43" applyNumberFormat="1" applyFont="1" applyFill="1" applyBorder="1" applyAlignment="1">
      <alignment horizontal="center" vertical="center" textRotation="90" wrapText="1"/>
      <protection/>
    </xf>
    <xf numFmtId="0" fontId="62" fillId="32" borderId="21" xfId="0" applyFont="1" applyFill="1" applyBorder="1" applyAlignment="1">
      <alignment horizontal="center" vertical="center" wrapText="1"/>
    </xf>
    <xf numFmtId="0" fontId="62" fillId="32" borderId="10" xfId="0" applyFont="1" applyFill="1" applyBorder="1" applyAlignment="1">
      <alignment horizontal="center" vertical="center" wrapText="1"/>
    </xf>
    <xf numFmtId="0" fontId="62" fillId="32" borderId="11" xfId="0" applyFont="1" applyFill="1" applyBorder="1" applyAlignment="1">
      <alignment horizontal="center" vertical="center" wrapText="1"/>
    </xf>
    <xf numFmtId="2" fontId="62" fillId="32" borderId="23" xfId="43" applyNumberFormat="1" applyFont="1" applyFill="1" applyBorder="1" applyAlignment="1">
      <alignment horizontal="center" vertical="center"/>
      <protection/>
    </xf>
    <xf numFmtId="2" fontId="62" fillId="32" borderId="20" xfId="43" applyNumberFormat="1" applyFont="1" applyFill="1" applyBorder="1" applyAlignment="1">
      <alignment horizontal="center" vertical="center"/>
      <protection/>
    </xf>
    <xf numFmtId="2" fontId="62" fillId="32" borderId="19" xfId="43" applyNumberFormat="1" applyFont="1" applyFill="1" applyBorder="1" applyAlignment="1">
      <alignment horizontal="center" vertical="center"/>
      <protection/>
    </xf>
    <xf numFmtId="2" fontId="62" fillId="32" borderId="18" xfId="0" applyNumberFormat="1" applyFont="1" applyFill="1" applyBorder="1" applyAlignment="1">
      <alignment horizontal="center" vertical="center"/>
    </xf>
    <xf numFmtId="2" fontId="62" fillId="32" borderId="23" xfId="0" applyNumberFormat="1" applyFont="1" applyFill="1" applyBorder="1" applyAlignment="1">
      <alignment horizontal="center" vertical="center"/>
    </xf>
    <xf numFmtId="2" fontId="62" fillId="32" borderId="20" xfId="0" applyNumberFormat="1" applyFont="1" applyFill="1" applyBorder="1" applyAlignment="1">
      <alignment horizontal="center" vertical="center"/>
    </xf>
    <xf numFmtId="0" fontId="61" fillId="32" borderId="0" xfId="0" applyFont="1" applyFill="1" applyAlignment="1">
      <alignment horizontal="center" vertical="center" wrapText="1"/>
    </xf>
    <xf numFmtId="0" fontId="61" fillId="32" borderId="0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center" vertical="center"/>
    </xf>
    <xf numFmtId="0" fontId="62" fillId="32" borderId="0" xfId="0" applyFont="1" applyFill="1" applyBorder="1" applyAlignment="1">
      <alignment horizontal="left" vertical="center" wrapText="1"/>
    </xf>
    <xf numFmtId="0" fontId="69" fillId="32" borderId="0" xfId="0" applyFont="1" applyFill="1" applyAlignment="1">
      <alignment vertical="center" wrapText="1"/>
    </xf>
    <xf numFmtId="2" fontId="62" fillId="32" borderId="0" xfId="0" applyNumberFormat="1" applyFont="1" applyFill="1" applyBorder="1" applyAlignment="1">
      <alignment horizontal="center" vertical="center" wrapText="1"/>
    </xf>
    <xf numFmtId="2" fontId="1" fillId="0" borderId="22" xfId="43" applyNumberFormat="1" applyFont="1" applyBorder="1" applyAlignment="1">
      <alignment horizontal="center" vertical="center"/>
      <protection/>
    </xf>
    <xf numFmtId="2" fontId="1" fillId="0" borderId="24" xfId="0" applyNumberFormat="1" applyFont="1" applyBorder="1" applyAlignment="1">
      <alignment horizontal="center" vertical="center"/>
    </xf>
    <xf numFmtId="2" fontId="1" fillId="0" borderId="24" xfId="43" applyNumberFormat="1" applyFont="1" applyBorder="1" applyAlignment="1">
      <alignment horizontal="center" vertical="center"/>
      <protection/>
    </xf>
    <xf numFmtId="2" fontId="1" fillId="0" borderId="17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8" xfId="43" applyNumberFormat="1" applyFont="1" applyBorder="1" applyAlignment="1">
      <alignment horizontal="center" vertical="center"/>
      <protection/>
    </xf>
    <xf numFmtId="2" fontId="1" fillId="0" borderId="19" xfId="0" applyNumberFormat="1" applyFont="1" applyBorder="1" applyAlignment="1">
      <alignment horizontal="center" vertical="center"/>
    </xf>
    <xf numFmtId="2" fontId="1" fillId="0" borderId="21" xfId="43" applyNumberFormat="1" applyFont="1" applyBorder="1" applyAlignment="1">
      <alignment horizontal="center" vertical="center"/>
      <protection/>
    </xf>
    <xf numFmtId="2" fontId="1" fillId="0" borderId="11" xfId="43" applyNumberFormat="1" applyFont="1" applyBorder="1" applyAlignment="1">
      <alignment horizontal="center" vertical="center"/>
      <protection/>
    </xf>
    <xf numFmtId="0" fontId="1" fillId="0" borderId="0" xfId="0" applyFont="1" applyBorder="1" applyAlignment="1">
      <alignment horizontal="left" vertical="center" wrapText="1"/>
    </xf>
    <xf numFmtId="2" fontId="1" fillId="0" borderId="0" xfId="0" applyNumberFormat="1" applyFont="1" applyBorder="1" applyAlignment="1">
      <alignment horizontal="center" vertical="center" wrapText="1"/>
    </xf>
    <xf numFmtId="0" fontId="1" fillId="0" borderId="21" xfId="43" applyFont="1" applyBorder="1" applyAlignment="1">
      <alignment horizontal="center" vertical="center"/>
      <protection/>
    </xf>
    <xf numFmtId="49" fontId="1" fillId="0" borderId="21" xfId="43" applyNumberFormat="1" applyFont="1" applyBorder="1" applyAlignment="1">
      <alignment horizontal="center" vertical="center" textRotation="90" wrapText="1"/>
      <protection/>
    </xf>
    <xf numFmtId="49" fontId="1" fillId="0" borderId="10" xfId="43" applyNumberFormat="1" applyFont="1" applyBorder="1" applyAlignment="1">
      <alignment horizontal="center" vertical="center" textRotation="90" wrapText="1"/>
      <protection/>
    </xf>
    <xf numFmtId="49" fontId="1" fillId="0" borderId="11" xfId="43" applyNumberFormat="1" applyFont="1" applyBorder="1" applyAlignment="1">
      <alignment horizontal="center" vertical="center" textRotation="90" wrapText="1"/>
      <protection/>
    </xf>
    <xf numFmtId="2" fontId="1" fillId="0" borderId="23" xfId="43" applyNumberFormat="1" applyFont="1" applyBorder="1" applyAlignment="1">
      <alignment horizontal="center" vertical="center"/>
      <protection/>
    </xf>
    <xf numFmtId="2" fontId="1" fillId="0" borderId="20" xfId="43" applyNumberFormat="1" applyFont="1" applyBorder="1" applyAlignment="1">
      <alignment horizontal="center" vertical="center"/>
      <protection/>
    </xf>
    <xf numFmtId="2" fontId="1" fillId="0" borderId="19" xfId="43" applyNumberFormat="1" applyFont="1" applyBorder="1" applyAlignment="1">
      <alignment horizontal="center" vertical="center"/>
      <protection/>
    </xf>
    <xf numFmtId="2" fontId="1" fillId="0" borderId="18" xfId="0" applyNumberFormat="1" applyFont="1" applyBorder="1" applyAlignment="1">
      <alignment horizontal="center" vertical="center"/>
    </xf>
    <xf numFmtId="2" fontId="1" fillId="0" borderId="23" xfId="0" applyNumberFormat="1" applyFont="1" applyBorder="1" applyAlignment="1">
      <alignment horizontal="center" vertical="center"/>
    </xf>
    <xf numFmtId="2" fontId="1" fillId="0" borderId="2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shrinkToFit="1"/>
    </xf>
    <xf numFmtId="0" fontId="1" fillId="0" borderId="0" xfId="0" applyFont="1" applyBorder="1" applyAlignment="1">
      <alignment horizontal="center"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/>
    </xf>
    <xf numFmtId="2" fontId="1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 shrinkToFit="1"/>
    </xf>
  </cellXfs>
  <cellStyles count="6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 10" xfId="33"/>
    <cellStyle name="Normal 11 2" xfId="34"/>
    <cellStyle name="Normal 14" xfId="35"/>
    <cellStyle name="Normal 2" xfId="36"/>
    <cellStyle name="Normal 3" xfId="37"/>
    <cellStyle name="Normal 32 3" xfId="38"/>
    <cellStyle name="Normal 33 2" xfId="39"/>
    <cellStyle name="Normal 38" xfId="40"/>
    <cellStyle name="Normal 4" xfId="41"/>
    <cellStyle name="Normal_axalqalaqis skola " xfId="42"/>
    <cellStyle name="Normal_gare wyalsadfenigagarini 2_SMSH2008-IIkv ." xfId="43"/>
    <cellStyle name="Percent 2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Обычный 4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dxfs count="2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4315;-&#4318;&#4320;&#4317;&#4308;&#4325;&#4322;&#4312;\&#4315;-&#4318;&#4320;&#4317;&#4308;&#4325;&#4322;&#4312;%20-%202019\&#4322;&#4327;&#4312;&#4305;&#4323;&#4314;&#4312;%20-%202019\&#4315;&#4323;&#4334;&#4323;&#4320;&#4304;%201\&#4322;&#4327;&#4312;&#4305;&#4323;&#4314;&#4312;%20&#4315;&#4323;&#4334;&#4323;&#4320;&#4304;%201%20-%20&#4334;&#4304;&#4320;&#4335;&#4311;&#4304;&#4326;&#4320;&#4312;&#4330;&#4334;&#4309;&#430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vfurceli"/>
      <sheetName val="nakrebi"/>
      <sheetName val="x.a.1-1"/>
      <sheetName val="x.a.1"/>
      <sheetName val="x.a.2"/>
      <sheetName val="x.a.3"/>
      <sheetName val="x.a.4"/>
      <sheetName val="x.a.5"/>
      <sheetName val="x.a.6"/>
    </sheetNames>
    <sheetDataSet>
      <sheetData sheetId="1">
        <row r="45">
          <cell r="A45" t="str">
            <v>tyibulis municipalitetSi, sof. muxuraSi betonis safariani gzis mowyobis samuSaoebi (gza #1)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6"/>
  <sheetViews>
    <sheetView tabSelected="1" view="pageBreakPreview" zoomScaleSheetLayoutView="100" zoomScalePageLayoutView="0" workbookViewId="0" topLeftCell="A1">
      <selection activeCell="L19" sqref="L19"/>
    </sheetView>
  </sheetViews>
  <sheetFormatPr defaultColWidth="9.140625" defaultRowHeight="12.75"/>
  <cols>
    <col min="1" max="1" width="5.28125" style="41" customWidth="1"/>
    <col min="2" max="2" width="12.7109375" style="41" customWidth="1"/>
    <col min="3" max="3" width="51.140625" style="68" customWidth="1"/>
    <col min="4" max="4" width="8.57421875" style="41" hidden="1" customWidth="1"/>
    <col min="5" max="5" width="8.7109375" style="41" hidden="1" customWidth="1"/>
    <col min="6" max="6" width="8.57421875" style="41" hidden="1" customWidth="1"/>
    <col min="7" max="7" width="9.57421875" style="41" hidden="1" customWidth="1"/>
    <col min="8" max="8" width="3.28125" style="41" hidden="1" customWidth="1"/>
    <col min="9" max="9" width="0.13671875" style="41" hidden="1" customWidth="1"/>
    <col min="10" max="10" width="14.28125" style="41" customWidth="1"/>
    <col min="11" max="11" width="12.00390625" style="41" customWidth="1"/>
    <col min="12" max="12" width="12.7109375" style="60" customWidth="1"/>
    <col min="13" max="13" width="26.8515625" style="41" customWidth="1"/>
    <col min="14" max="14" width="13.7109375" style="41" customWidth="1"/>
    <col min="15" max="15" width="9.140625" style="41" customWidth="1"/>
    <col min="16" max="16" width="12.28125" style="41" bestFit="1" customWidth="1"/>
    <col min="17" max="16384" width="9.140625" style="41" customWidth="1"/>
  </cols>
  <sheetData>
    <row r="1" spans="1:14" ht="21" customHeight="1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43"/>
    </row>
    <row r="2" spans="1:14" ht="21" customHeight="1">
      <c r="A2" s="43"/>
      <c r="B2" s="43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</row>
    <row r="3" spans="1:15" ht="19.5">
      <c r="A3" s="252" t="s">
        <v>42</v>
      </c>
      <c r="B3" s="252"/>
      <c r="C3" s="252"/>
      <c r="D3" s="252"/>
      <c r="E3" s="252"/>
      <c r="F3" s="252"/>
      <c r="G3" s="252"/>
      <c r="H3" s="252"/>
      <c r="I3" s="252"/>
      <c r="J3" s="252"/>
      <c r="K3" s="252"/>
      <c r="L3" s="252"/>
      <c r="M3" s="252"/>
      <c r="N3" s="252"/>
      <c r="O3" s="40"/>
    </row>
    <row r="4" spans="1:15" ht="19.5">
      <c r="A4" s="252" t="s">
        <v>43</v>
      </c>
      <c r="B4" s="252"/>
      <c r="C4" s="252"/>
      <c r="D4" s="252"/>
      <c r="E4" s="252"/>
      <c r="F4" s="252"/>
      <c r="G4" s="252"/>
      <c r="H4" s="252"/>
      <c r="I4" s="252"/>
      <c r="J4" s="252"/>
      <c r="K4" s="252"/>
      <c r="L4" s="252"/>
      <c r="M4" s="252"/>
      <c r="N4" s="252"/>
      <c r="O4" s="40"/>
    </row>
    <row r="5" spans="1:15" ht="19.5">
      <c r="A5" s="276"/>
      <c r="B5" s="276"/>
      <c r="C5" s="276"/>
      <c r="D5" s="276"/>
      <c r="E5" s="276"/>
      <c r="F5" s="276"/>
      <c r="G5" s="276"/>
      <c r="H5" s="276"/>
      <c r="I5" s="276"/>
      <c r="J5" s="276"/>
      <c r="K5" s="276"/>
      <c r="L5" s="276"/>
      <c r="M5" s="276"/>
      <c r="N5" s="276"/>
      <c r="O5" s="38"/>
    </row>
    <row r="6" spans="1:15" ht="30.75" customHeight="1">
      <c r="A6" s="276" t="s">
        <v>181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40"/>
    </row>
    <row r="7" spans="1:15" ht="17.25" customHeight="1">
      <c r="A7" s="252"/>
      <c r="B7" s="252"/>
      <c r="C7" s="252"/>
      <c r="D7" s="252"/>
      <c r="E7" s="252"/>
      <c r="F7" s="252"/>
      <c r="G7" s="252"/>
      <c r="H7" s="252"/>
      <c r="I7" s="252"/>
      <c r="J7" s="252"/>
      <c r="K7" s="252"/>
      <c r="L7" s="252"/>
      <c r="M7" s="252"/>
      <c r="N7" s="252"/>
      <c r="O7" s="40"/>
    </row>
    <row r="8" spans="1:14" ht="18" customHeight="1">
      <c r="A8" s="44"/>
      <c r="B8" s="275" t="s">
        <v>92</v>
      </c>
      <c r="C8" s="275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</row>
    <row r="9" spans="1:14" ht="19.5">
      <c r="A9" s="45"/>
      <c r="B9" s="45"/>
      <c r="C9" s="46"/>
      <c r="D9" s="45"/>
      <c r="E9" s="45"/>
      <c r="F9" s="45"/>
      <c r="G9" s="45"/>
      <c r="H9" s="45"/>
      <c r="I9" s="45"/>
      <c r="J9" s="45"/>
      <c r="K9" s="45"/>
      <c r="L9" s="47"/>
      <c r="M9" s="45"/>
      <c r="N9" s="45"/>
    </row>
    <row r="10" spans="1:14" ht="19.5">
      <c r="A10" s="291" t="s">
        <v>44</v>
      </c>
      <c r="B10" s="288" t="s">
        <v>45</v>
      </c>
      <c r="C10" s="277" t="s">
        <v>46</v>
      </c>
      <c r="D10" s="278"/>
      <c r="E10" s="278"/>
      <c r="F10" s="278"/>
      <c r="G10" s="278"/>
      <c r="H10" s="278"/>
      <c r="I10" s="279"/>
      <c r="J10" s="277" t="s">
        <v>47</v>
      </c>
      <c r="K10" s="278"/>
      <c r="L10" s="278"/>
      <c r="M10" s="279"/>
      <c r="N10" s="288" t="s">
        <v>48</v>
      </c>
    </row>
    <row r="11" spans="1:14" ht="19.5">
      <c r="A11" s="292"/>
      <c r="B11" s="289"/>
      <c r="C11" s="280"/>
      <c r="D11" s="267"/>
      <c r="E11" s="267"/>
      <c r="F11" s="267"/>
      <c r="G11" s="267"/>
      <c r="H11" s="267"/>
      <c r="I11" s="281"/>
      <c r="J11" s="282"/>
      <c r="K11" s="283"/>
      <c r="L11" s="283"/>
      <c r="M11" s="284"/>
      <c r="N11" s="289"/>
    </row>
    <row r="12" spans="1:14" ht="19.5">
      <c r="A12" s="292"/>
      <c r="B12" s="289"/>
      <c r="C12" s="280"/>
      <c r="D12" s="267"/>
      <c r="E12" s="267"/>
      <c r="F12" s="267"/>
      <c r="G12" s="267"/>
      <c r="H12" s="267"/>
      <c r="I12" s="281"/>
      <c r="J12" s="288" t="s">
        <v>49</v>
      </c>
      <c r="K12" s="288" t="s">
        <v>50</v>
      </c>
      <c r="L12" s="285" t="s">
        <v>51</v>
      </c>
      <c r="M12" s="288" t="s">
        <v>52</v>
      </c>
      <c r="N12" s="289"/>
    </row>
    <row r="13" spans="1:14" ht="19.5">
      <c r="A13" s="292"/>
      <c r="B13" s="289"/>
      <c r="C13" s="280"/>
      <c r="D13" s="267"/>
      <c r="E13" s="267"/>
      <c r="F13" s="267"/>
      <c r="G13" s="267"/>
      <c r="H13" s="267"/>
      <c r="I13" s="281"/>
      <c r="J13" s="289"/>
      <c r="K13" s="289"/>
      <c r="L13" s="286"/>
      <c r="M13" s="289"/>
      <c r="N13" s="289"/>
    </row>
    <row r="14" spans="1:14" ht="19.5">
      <c r="A14" s="292"/>
      <c r="B14" s="289"/>
      <c r="C14" s="280"/>
      <c r="D14" s="267"/>
      <c r="E14" s="267"/>
      <c r="F14" s="267"/>
      <c r="G14" s="267"/>
      <c r="H14" s="267"/>
      <c r="I14" s="281"/>
      <c r="J14" s="289"/>
      <c r="K14" s="289"/>
      <c r="L14" s="286"/>
      <c r="M14" s="289"/>
      <c r="N14" s="289"/>
    </row>
    <row r="15" spans="1:14" ht="19.5">
      <c r="A15" s="292"/>
      <c r="B15" s="289"/>
      <c r="C15" s="280"/>
      <c r="D15" s="267"/>
      <c r="E15" s="267"/>
      <c r="F15" s="267"/>
      <c r="G15" s="267"/>
      <c r="H15" s="267"/>
      <c r="I15" s="281"/>
      <c r="J15" s="289"/>
      <c r="K15" s="289"/>
      <c r="L15" s="286"/>
      <c r="M15" s="289"/>
      <c r="N15" s="289"/>
    </row>
    <row r="16" spans="1:14" ht="19.5">
      <c r="A16" s="293"/>
      <c r="B16" s="290"/>
      <c r="C16" s="282"/>
      <c r="D16" s="283"/>
      <c r="E16" s="283"/>
      <c r="F16" s="283"/>
      <c r="G16" s="283"/>
      <c r="H16" s="283"/>
      <c r="I16" s="284"/>
      <c r="J16" s="290"/>
      <c r="K16" s="290"/>
      <c r="L16" s="287"/>
      <c r="M16" s="290"/>
      <c r="N16" s="290"/>
    </row>
    <row r="17" spans="1:14" ht="12.75" customHeight="1">
      <c r="A17" s="48">
        <v>1</v>
      </c>
      <c r="B17" s="49">
        <v>2</v>
      </c>
      <c r="C17" s="268">
        <v>3</v>
      </c>
      <c r="D17" s="269"/>
      <c r="E17" s="269"/>
      <c r="F17" s="269"/>
      <c r="G17" s="269"/>
      <c r="H17" s="269"/>
      <c r="I17" s="270"/>
      <c r="J17" s="49">
        <v>4</v>
      </c>
      <c r="K17" s="50">
        <v>5</v>
      </c>
      <c r="L17" s="51">
        <v>6</v>
      </c>
      <c r="M17" s="50">
        <v>7</v>
      </c>
      <c r="N17" s="49">
        <v>8</v>
      </c>
    </row>
    <row r="18" spans="1:14" ht="19.5">
      <c r="A18" s="52"/>
      <c r="B18" s="53"/>
      <c r="C18" s="54" t="s">
        <v>66</v>
      </c>
      <c r="D18" s="55"/>
      <c r="E18" s="55"/>
      <c r="F18" s="55"/>
      <c r="G18" s="55"/>
      <c r="H18" s="55"/>
      <c r="I18" s="56"/>
      <c r="J18" s="53"/>
      <c r="K18" s="57"/>
      <c r="L18" s="58"/>
      <c r="M18" s="57"/>
      <c r="N18" s="53"/>
    </row>
    <row r="19" spans="1:14" ht="19.5">
      <c r="A19" s="52"/>
      <c r="B19" s="53"/>
      <c r="C19" s="54" t="s">
        <v>67</v>
      </c>
      <c r="D19" s="55"/>
      <c r="E19" s="55"/>
      <c r="F19" s="55"/>
      <c r="G19" s="55"/>
      <c r="H19" s="55"/>
      <c r="I19" s="56"/>
      <c r="J19" s="53"/>
      <c r="K19" s="57"/>
      <c r="L19" s="58"/>
      <c r="M19" s="50"/>
      <c r="N19" s="49"/>
    </row>
    <row r="20" spans="1:14" ht="19.5">
      <c r="A20" s="291">
        <v>1</v>
      </c>
      <c r="C20" s="48" t="s">
        <v>96</v>
      </c>
      <c r="D20" s="156"/>
      <c r="E20" s="156"/>
      <c r="F20" s="156"/>
      <c r="G20" s="156"/>
      <c r="H20" s="156"/>
      <c r="I20" s="155"/>
      <c r="J20" s="49"/>
      <c r="K20" s="50"/>
      <c r="L20" s="51"/>
      <c r="M20" s="218"/>
      <c r="N20" s="218"/>
    </row>
    <row r="21" spans="1:14" ht="19.5">
      <c r="A21" s="293"/>
      <c r="B21" s="219" t="s">
        <v>166</v>
      </c>
      <c r="C21" s="48" t="s">
        <v>165</v>
      </c>
      <c r="D21" s="156"/>
      <c r="E21" s="156"/>
      <c r="F21" s="156"/>
      <c r="G21" s="156"/>
      <c r="H21" s="156"/>
      <c r="I21" s="155"/>
      <c r="J21" s="49"/>
      <c r="K21" s="50"/>
      <c r="L21" s="51"/>
      <c r="M21" s="217"/>
      <c r="N21" s="217"/>
    </row>
    <row r="22" spans="1:14" s="107" customFormat="1" ht="19.5">
      <c r="A22" s="52"/>
      <c r="B22" s="53"/>
      <c r="C22" s="54" t="s">
        <v>53</v>
      </c>
      <c r="D22" s="55"/>
      <c r="E22" s="55"/>
      <c r="F22" s="55"/>
      <c r="G22" s="55"/>
      <c r="H22" s="55"/>
      <c r="I22" s="56"/>
      <c r="J22" s="119"/>
      <c r="K22" s="120"/>
      <c r="L22" s="121"/>
      <c r="M22" s="251"/>
      <c r="N22" s="125"/>
    </row>
    <row r="23" spans="1:14" s="107" customFormat="1" ht="19.5">
      <c r="A23" s="52"/>
      <c r="B23" s="53"/>
      <c r="C23" s="54"/>
      <c r="D23" s="55"/>
      <c r="E23" s="55"/>
      <c r="F23" s="55"/>
      <c r="G23" s="55"/>
      <c r="H23" s="55"/>
      <c r="I23" s="56"/>
      <c r="J23" s="119"/>
      <c r="K23" s="120"/>
      <c r="L23" s="121"/>
      <c r="M23" s="251"/>
      <c r="N23" s="125"/>
    </row>
    <row r="24" spans="1:14" s="107" customFormat="1" ht="19.5">
      <c r="A24" s="52"/>
      <c r="B24" s="53"/>
      <c r="C24" s="54" t="s">
        <v>109</v>
      </c>
      <c r="D24" s="55"/>
      <c r="E24" s="55"/>
      <c r="F24" s="55"/>
      <c r="G24" s="55"/>
      <c r="H24" s="55"/>
      <c r="I24" s="56"/>
      <c r="J24" s="119"/>
      <c r="K24" s="120"/>
      <c r="L24" s="121"/>
      <c r="M24" s="251"/>
      <c r="N24" s="125"/>
    </row>
    <row r="25" spans="1:14" s="107" customFormat="1" ht="19.5">
      <c r="A25" s="52"/>
      <c r="B25" s="53"/>
      <c r="C25" s="54" t="s">
        <v>110</v>
      </c>
      <c r="D25" s="55"/>
      <c r="E25" s="55"/>
      <c r="F25" s="55"/>
      <c r="G25" s="55"/>
      <c r="H25" s="55"/>
      <c r="I25" s="56"/>
      <c r="J25" s="119"/>
      <c r="K25" s="120"/>
      <c r="L25" s="121"/>
      <c r="M25" s="251"/>
      <c r="N25" s="125"/>
    </row>
    <row r="26" spans="1:14" s="107" customFormat="1" ht="19.5">
      <c r="A26" s="52">
        <v>2</v>
      </c>
      <c r="B26" s="53" t="s">
        <v>54</v>
      </c>
      <c r="C26" s="52" t="s">
        <v>111</v>
      </c>
      <c r="D26" s="55"/>
      <c r="E26" s="55"/>
      <c r="F26" s="55"/>
      <c r="G26" s="55"/>
      <c r="H26" s="55"/>
      <c r="I26" s="56"/>
      <c r="J26" s="118">
        <f>'x.a.2'!J7</f>
        <v>0</v>
      </c>
      <c r="K26" s="57"/>
      <c r="L26" s="58"/>
      <c r="M26" s="99"/>
      <c r="N26" s="59"/>
    </row>
    <row r="27" spans="1:14" s="107" customFormat="1" ht="19.5">
      <c r="A27" s="52"/>
      <c r="B27" s="53"/>
      <c r="C27" s="54" t="s">
        <v>134</v>
      </c>
      <c r="D27" s="55"/>
      <c r="E27" s="55"/>
      <c r="F27" s="55"/>
      <c r="G27" s="55"/>
      <c r="H27" s="55"/>
      <c r="I27" s="56"/>
      <c r="J27" s="119">
        <f>J26</f>
        <v>0</v>
      </c>
      <c r="K27" s="120"/>
      <c r="L27" s="121"/>
      <c r="M27" s="122"/>
      <c r="N27" s="119"/>
    </row>
    <row r="28" spans="1:14" s="107" customFormat="1" ht="19.5">
      <c r="A28" s="52"/>
      <c r="B28" s="53"/>
      <c r="C28" s="54"/>
      <c r="D28" s="55"/>
      <c r="E28" s="55"/>
      <c r="F28" s="55"/>
      <c r="G28" s="55"/>
      <c r="H28" s="55"/>
      <c r="I28" s="56"/>
      <c r="J28" s="119"/>
      <c r="K28" s="120"/>
      <c r="L28" s="121"/>
      <c r="M28" s="122"/>
      <c r="N28" s="119"/>
    </row>
    <row r="29" spans="1:14" s="107" customFormat="1" ht="19.5">
      <c r="A29" s="52"/>
      <c r="B29" s="53"/>
      <c r="C29" s="54" t="s">
        <v>135</v>
      </c>
      <c r="D29" s="55"/>
      <c r="E29" s="55"/>
      <c r="F29" s="55"/>
      <c r="G29" s="55"/>
      <c r="H29" s="55"/>
      <c r="I29" s="56"/>
      <c r="J29" s="119"/>
      <c r="K29" s="120"/>
      <c r="L29" s="121"/>
      <c r="M29" s="122"/>
      <c r="N29" s="119"/>
    </row>
    <row r="30" spans="1:14" s="107" customFormat="1" ht="19.5">
      <c r="A30" s="52"/>
      <c r="B30" s="53"/>
      <c r="C30" s="54" t="s">
        <v>136</v>
      </c>
      <c r="D30" s="55"/>
      <c r="E30" s="55"/>
      <c r="F30" s="55"/>
      <c r="G30" s="55"/>
      <c r="H30" s="55"/>
      <c r="I30" s="56"/>
      <c r="J30" s="119"/>
      <c r="K30" s="120"/>
      <c r="L30" s="121"/>
      <c r="M30" s="122"/>
      <c r="N30" s="119"/>
    </row>
    <row r="31" spans="1:14" s="107" customFormat="1" ht="19.5">
      <c r="A31" s="52">
        <v>3</v>
      </c>
      <c r="B31" s="53" t="s">
        <v>62</v>
      </c>
      <c r="C31" s="52" t="s">
        <v>117</v>
      </c>
      <c r="D31" s="55"/>
      <c r="E31" s="55"/>
      <c r="F31" s="55"/>
      <c r="G31" s="55"/>
      <c r="H31" s="55"/>
      <c r="I31" s="56"/>
      <c r="J31" s="118">
        <f>'x.a.3'!J7</f>
        <v>0</v>
      </c>
      <c r="K31" s="57"/>
      <c r="L31" s="58"/>
      <c r="M31" s="117"/>
      <c r="N31" s="118"/>
    </row>
    <row r="32" spans="1:14" s="107" customFormat="1" ht="19.5">
      <c r="A32" s="52"/>
      <c r="B32" s="53"/>
      <c r="C32" s="54" t="s">
        <v>137</v>
      </c>
      <c r="D32" s="55"/>
      <c r="E32" s="55"/>
      <c r="F32" s="55"/>
      <c r="G32" s="55"/>
      <c r="H32" s="55"/>
      <c r="I32" s="56"/>
      <c r="J32" s="119">
        <f>J31</f>
        <v>0</v>
      </c>
      <c r="K32" s="120"/>
      <c r="L32" s="121"/>
      <c r="M32" s="122"/>
      <c r="N32" s="119"/>
    </row>
    <row r="33" spans="1:14" s="107" customFormat="1" ht="19.5">
      <c r="A33" s="52"/>
      <c r="B33" s="53"/>
      <c r="C33" s="54"/>
      <c r="D33" s="55"/>
      <c r="E33" s="55"/>
      <c r="F33" s="55"/>
      <c r="G33" s="55"/>
      <c r="H33" s="55"/>
      <c r="I33" s="56"/>
      <c r="J33" s="119"/>
      <c r="K33" s="120"/>
      <c r="L33" s="121"/>
      <c r="M33" s="122"/>
      <c r="N33" s="119"/>
    </row>
    <row r="34" spans="1:14" s="107" customFormat="1" ht="19.5">
      <c r="A34" s="52"/>
      <c r="B34" s="53"/>
      <c r="C34" s="54" t="s">
        <v>80</v>
      </c>
      <c r="D34" s="55"/>
      <c r="E34" s="55"/>
      <c r="F34" s="55"/>
      <c r="G34" s="55"/>
      <c r="H34" s="55"/>
      <c r="I34" s="56"/>
      <c r="J34" s="118"/>
      <c r="K34" s="57"/>
      <c r="L34" s="58"/>
      <c r="M34" s="117"/>
      <c r="N34" s="118"/>
    </row>
    <row r="35" spans="1:14" s="107" customFormat="1" ht="19.5">
      <c r="A35" s="52"/>
      <c r="B35" s="53"/>
      <c r="C35" s="54" t="s">
        <v>81</v>
      </c>
      <c r="D35" s="55"/>
      <c r="E35" s="55"/>
      <c r="F35" s="55"/>
      <c r="G35" s="55"/>
      <c r="H35" s="55"/>
      <c r="I35" s="56"/>
      <c r="J35" s="118"/>
      <c r="K35" s="57"/>
      <c r="L35" s="58"/>
      <c r="M35" s="117"/>
      <c r="N35" s="118"/>
    </row>
    <row r="36" spans="1:14" s="107" customFormat="1" ht="31.5">
      <c r="A36" s="48">
        <v>4</v>
      </c>
      <c r="B36" s="49" t="s">
        <v>74</v>
      </c>
      <c r="C36" s="123" t="s">
        <v>146</v>
      </c>
      <c r="D36" s="55"/>
      <c r="E36" s="55"/>
      <c r="F36" s="55"/>
      <c r="G36" s="55"/>
      <c r="H36" s="55"/>
      <c r="I36" s="56"/>
      <c r="J36" s="59">
        <f>'x.a.4'!J7</f>
        <v>0</v>
      </c>
      <c r="K36" s="50"/>
      <c r="L36" s="51"/>
      <c r="M36" s="99"/>
      <c r="N36" s="59"/>
    </row>
    <row r="37" spans="1:14" s="107" customFormat="1" ht="19.5">
      <c r="A37" s="48">
        <v>5</v>
      </c>
      <c r="B37" s="49" t="s">
        <v>138</v>
      </c>
      <c r="C37" s="123" t="s">
        <v>139</v>
      </c>
      <c r="D37" s="55"/>
      <c r="E37" s="55"/>
      <c r="F37" s="55"/>
      <c r="G37" s="55"/>
      <c r="H37" s="55"/>
      <c r="I37" s="56"/>
      <c r="J37" s="59">
        <v>0</v>
      </c>
      <c r="K37" s="50"/>
      <c r="L37" s="51"/>
      <c r="M37" s="99"/>
      <c r="N37" s="59"/>
    </row>
    <row r="38" spans="1:14" s="107" customFormat="1" ht="19.5">
      <c r="A38" s="100"/>
      <c r="B38" s="101"/>
      <c r="C38" s="54" t="s">
        <v>82</v>
      </c>
      <c r="D38" s="55"/>
      <c r="E38" s="55"/>
      <c r="F38" s="55"/>
      <c r="G38" s="55"/>
      <c r="H38" s="55"/>
      <c r="I38" s="56"/>
      <c r="J38" s="119">
        <f>SUM(J37:J37)+J36</f>
        <v>0</v>
      </c>
      <c r="K38" s="122"/>
      <c r="L38" s="121"/>
      <c r="M38" s="122"/>
      <c r="N38" s="119"/>
    </row>
    <row r="39" spans="1:14" s="107" customFormat="1" ht="19.5">
      <c r="A39" s="100"/>
      <c r="B39" s="101"/>
      <c r="C39" s="54"/>
      <c r="D39" s="55"/>
      <c r="E39" s="55"/>
      <c r="F39" s="55"/>
      <c r="G39" s="55"/>
      <c r="H39" s="55"/>
      <c r="I39" s="56"/>
      <c r="J39" s="119"/>
      <c r="K39" s="122"/>
      <c r="L39" s="121"/>
      <c r="M39" s="122"/>
      <c r="N39" s="119"/>
    </row>
    <row r="40" spans="1:14" s="107" customFormat="1" ht="19.5">
      <c r="A40" s="100"/>
      <c r="B40" s="101"/>
      <c r="C40" s="54" t="s">
        <v>140</v>
      </c>
      <c r="D40" s="55"/>
      <c r="E40" s="55"/>
      <c r="F40" s="55"/>
      <c r="G40" s="55"/>
      <c r="H40" s="55"/>
      <c r="I40" s="56"/>
      <c r="J40" s="119"/>
      <c r="K40" s="122"/>
      <c r="L40" s="121"/>
      <c r="M40" s="122"/>
      <c r="N40" s="119"/>
    </row>
    <row r="41" spans="1:14" s="107" customFormat="1" ht="19.5">
      <c r="A41" s="100"/>
      <c r="B41" s="101"/>
      <c r="C41" s="54" t="s">
        <v>141</v>
      </c>
      <c r="D41" s="55"/>
      <c r="E41" s="55"/>
      <c r="F41" s="55"/>
      <c r="G41" s="55"/>
      <c r="H41" s="55"/>
      <c r="I41" s="56"/>
      <c r="J41" s="119"/>
      <c r="K41" s="122"/>
      <c r="L41" s="121"/>
      <c r="M41" s="122"/>
      <c r="N41" s="119"/>
    </row>
    <row r="42" spans="1:14" s="107" customFormat="1" ht="19.5">
      <c r="A42" s="52">
        <v>7</v>
      </c>
      <c r="B42" s="49" t="s">
        <v>150</v>
      </c>
      <c r="C42" s="52" t="s">
        <v>116</v>
      </c>
      <c r="D42" s="55"/>
      <c r="E42" s="55"/>
      <c r="F42" s="55"/>
      <c r="G42" s="55"/>
      <c r="H42" s="55"/>
      <c r="I42" s="56"/>
      <c r="J42" s="118">
        <f>'x.a.6'!J7</f>
        <v>0</v>
      </c>
      <c r="K42" s="117"/>
      <c r="L42" s="58"/>
      <c r="M42" s="117"/>
      <c r="N42" s="118"/>
    </row>
    <row r="43" spans="1:14" s="107" customFormat="1" ht="19.5">
      <c r="A43" s="100"/>
      <c r="B43" s="101"/>
      <c r="C43" s="54" t="s">
        <v>142</v>
      </c>
      <c r="D43" s="55"/>
      <c r="E43" s="55"/>
      <c r="F43" s="55"/>
      <c r="G43" s="55"/>
      <c r="H43" s="55"/>
      <c r="I43" s="56"/>
      <c r="J43" s="119">
        <f>SUM(J42:J42)</f>
        <v>0</v>
      </c>
      <c r="K43" s="122"/>
      <c r="L43" s="121"/>
      <c r="M43" s="122"/>
      <c r="N43" s="119"/>
    </row>
    <row r="44" spans="1:14" s="107" customFormat="1" ht="19.5">
      <c r="A44" s="100"/>
      <c r="B44" s="101"/>
      <c r="C44" s="54"/>
      <c r="D44" s="55"/>
      <c r="E44" s="55"/>
      <c r="F44" s="55"/>
      <c r="G44" s="55"/>
      <c r="H44" s="55"/>
      <c r="I44" s="56"/>
      <c r="J44" s="119"/>
      <c r="K44" s="122"/>
      <c r="L44" s="121"/>
      <c r="M44" s="122"/>
      <c r="N44" s="119"/>
    </row>
    <row r="45" spans="1:14" s="107" customFormat="1" ht="19.5">
      <c r="A45" s="114"/>
      <c r="B45" s="114"/>
      <c r="C45" s="108"/>
      <c r="D45" s="102"/>
      <c r="E45" s="102"/>
      <c r="F45" s="102"/>
      <c r="G45" s="102"/>
      <c r="H45" s="102"/>
      <c r="I45" s="103"/>
      <c r="J45" s="104"/>
      <c r="K45" s="105"/>
      <c r="L45" s="106"/>
      <c r="M45" s="105"/>
      <c r="N45" s="104"/>
    </row>
    <row r="46" spans="1:14" s="107" customFormat="1" ht="19.5">
      <c r="A46" s="113"/>
      <c r="B46" s="113"/>
      <c r="C46" s="126" t="s">
        <v>68</v>
      </c>
      <c r="D46" s="50"/>
      <c r="E46" s="50"/>
      <c r="F46" s="50"/>
      <c r="G46" s="50"/>
      <c r="H46" s="50"/>
      <c r="I46" s="127"/>
      <c r="J46" s="125">
        <f>J43+J38+J32+J27</f>
        <v>0</v>
      </c>
      <c r="K46" s="125"/>
      <c r="L46" s="125"/>
      <c r="M46" s="125"/>
      <c r="N46" s="125"/>
    </row>
    <row r="47" spans="1:14" s="107" customFormat="1" ht="19.5">
      <c r="A47" s="100"/>
      <c r="B47" s="101"/>
      <c r="C47" s="108"/>
      <c r="D47" s="102"/>
      <c r="E47" s="102"/>
      <c r="F47" s="102"/>
      <c r="G47" s="102"/>
      <c r="H47" s="102"/>
      <c r="I47" s="103"/>
      <c r="J47" s="109"/>
      <c r="K47" s="110"/>
      <c r="L47" s="111"/>
      <c r="M47" s="112"/>
      <c r="N47" s="109"/>
    </row>
    <row r="48" spans="1:14" s="107" customFormat="1" ht="19.5">
      <c r="A48" s="49">
        <v>9</v>
      </c>
      <c r="B48" s="128"/>
      <c r="C48" s="124" t="s">
        <v>55</v>
      </c>
      <c r="D48" s="49"/>
      <c r="E48" s="49"/>
      <c r="F48" s="49"/>
      <c r="G48" s="49"/>
      <c r="H48" s="49"/>
      <c r="I48" s="49"/>
      <c r="J48" s="59"/>
      <c r="K48" s="59"/>
      <c r="L48" s="59"/>
      <c r="M48" s="59"/>
      <c r="N48" s="59"/>
    </row>
    <row r="49" spans="1:14" s="107" customFormat="1" ht="19.5">
      <c r="A49" s="49"/>
      <c r="B49" s="128"/>
      <c r="C49" s="271" t="s">
        <v>12</v>
      </c>
      <c r="D49" s="271"/>
      <c r="E49" s="271"/>
      <c r="F49" s="271"/>
      <c r="G49" s="271"/>
      <c r="H49" s="271"/>
      <c r="I49" s="271"/>
      <c r="J49" s="125">
        <f>J46</f>
        <v>0</v>
      </c>
      <c r="K49" s="125"/>
      <c r="L49" s="125"/>
      <c r="M49" s="125"/>
      <c r="N49" s="125"/>
    </row>
    <row r="50" spans="1:14" s="107" customFormat="1" ht="19.5">
      <c r="A50" s="49"/>
      <c r="B50" s="128"/>
      <c r="C50" s="129"/>
      <c r="D50" s="129"/>
      <c r="E50" s="129"/>
      <c r="F50" s="129"/>
      <c r="G50" s="129"/>
      <c r="H50" s="129"/>
      <c r="I50" s="129"/>
      <c r="J50" s="125"/>
      <c r="K50" s="125"/>
      <c r="L50" s="125"/>
      <c r="M50" s="125"/>
      <c r="N50" s="125"/>
    </row>
    <row r="51" spans="1:14" s="107" customFormat="1" ht="19.5">
      <c r="A51" s="49">
        <v>10</v>
      </c>
      <c r="B51" s="128"/>
      <c r="C51" s="124" t="s">
        <v>56</v>
      </c>
      <c r="D51" s="49"/>
      <c r="E51" s="49"/>
      <c r="F51" s="49"/>
      <c r="G51" s="49"/>
      <c r="H51" s="49"/>
      <c r="I51" s="49"/>
      <c r="J51" s="59"/>
      <c r="K51" s="59"/>
      <c r="L51" s="59"/>
      <c r="M51" s="59"/>
      <c r="N51" s="59"/>
    </row>
    <row r="52" spans="1:14" s="107" customFormat="1" ht="19.5">
      <c r="A52" s="264"/>
      <c r="B52" s="264"/>
      <c r="C52" s="254" t="s">
        <v>57</v>
      </c>
      <c r="D52" s="255"/>
      <c r="E52" s="255"/>
      <c r="F52" s="255"/>
      <c r="G52" s="255"/>
      <c r="H52" s="255"/>
      <c r="I52" s="256"/>
      <c r="J52" s="260">
        <f>J49</f>
        <v>0</v>
      </c>
      <c r="K52" s="262"/>
      <c r="L52" s="262"/>
      <c r="M52" s="262"/>
      <c r="N52" s="272"/>
    </row>
    <row r="53" spans="1:14" s="107" customFormat="1" ht="20.25" customHeight="1">
      <c r="A53" s="265"/>
      <c r="B53" s="265"/>
      <c r="C53" s="257"/>
      <c r="D53" s="258"/>
      <c r="E53" s="258"/>
      <c r="F53" s="258"/>
      <c r="G53" s="258"/>
      <c r="H53" s="258"/>
      <c r="I53" s="259"/>
      <c r="J53" s="261"/>
      <c r="K53" s="263"/>
      <c r="L53" s="263"/>
      <c r="M53" s="263"/>
      <c r="N53" s="273"/>
    </row>
    <row r="54" spans="1:14" ht="19.5">
      <c r="A54" s="1"/>
      <c r="B54" s="61"/>
      <c r="C54" s="62"/>
      <c r="D54" s="63"/>
      <c r="E54" s="63"/>
      <c r="F54" s="63"/>
      <c r="G54" s="63"/>
      <c r="H54" s="63"/>
      <c r="I54" s="63"/>
      <c r="J54" s="64"/>
      <c r="K54" s="63"/>
      <c r="L54" s="63"/>
      <c r="M54" s="64"/>
      <c r="N54" s="64"/>
    </row>
    <row r="55" spans="1:14" ht="18" customHeight="1">
      <c r="A55" s="274"/>
      <c r="B55" s="274"/>
      <c r="C55" s="274"/>
      <c r="D55" s="274"/>
      <c r="E55" s="274"/>
      <c r="F55" s="274"/>
      <c r="G55" s="274"/>
      <c r="H55" s="274"/>
      <c r="I55" s="274"/>
      <c r="J55" s="274"/>
      <c r="K55" s="274"/>
      <c r="L55" s="274"/>
      <c r="M55" s="274"/>
      <c r="N55" s="274"/>
    </row>
    <row r="56" spans="1:14" ht="15.75" customHeight="1">
      <c r="A56" s="267"/>
      <c r="B56" s="267"/>
      <c r="C56" s="267"/>
      <c r="D56" s="267"/>
      <c r="E56" s="267"/>
      <c r="F56" s="267"/>
      <c r="G56" s="267"/>
      <c r="H56" s="267"/>
      <c r="I56" s="267"/>
      <c r="J56" s="267"/>
      <c r="K56" s="267"/>
      <c r="L56" s="267"/>
      <c r="M56" s="267"/>
      <c r="N56" s="267"/>
    </row>
    <row r="57" spans="1:14" ht="19.5">
      <c r="A57" s="266"/>
      <c r="B57" s="266"/>
      <c r="C57" s="266"/>
      <c r="D57" s="266"/>
      <c r="E57" s="266"/>
      <c r="F57" s="266"/>
      <c r="G57" s="266"/>
      <c r="H57" s="266"/>
      <c r="I57" s="266"/>
      <c r="J57" s="266"/>
      <c r="K57" s="266"/>
      <c r="L57" s="266"/>
      <c r="M57" s="266"/>
      <c r="N57" s="266"/>
    </row>
    <row r="58" spans="1:14" ht="16.5" customHeight="1">
      <c r="A58" s="267"/>
      <c r="B58" s="267"/>
      <c r="C58" s="267"/>
      <c r="D58" s="267"/>
      <c r="E58" s="267"/>
      <c r="F58" s="267"/>
      <c r="G58" s="267"/>
      <c r="H58" s="267"/>
      <c r="I58" s="267"/>
      <c r="J58" s="267"/>
      <c r="K58" s="267"/>
      <c r="L58" s="267"/>
      <c r="M58" s="267"/>
      <c r="N58" s="267"/>
    </row>
    <row r="59" spans="1:15" ht="19.5">
      <c r="A59" s="266"/>
      <c r="B59" s="266"/>
      <c r="C59" s="266"/>
      <c r="D59" s="266"/>
      <c r="E59" s="266"/>
      <c r="F59" s="266"/>
      <c r="G59" s="266"/>
      <c r="H59" s="266"/>
      <c r="I59" s="266"/>
      <c r="J59" s="266"/>
      <c r="K59" s="266"/>
      <c r="L59" s="266"/>
      <c r="M59" s="266"/>
      <c r="N59" s="266"/>
      <c r="O59" s="60"/>
    </row>
    <row r="60" spans="1:14" ht="19.5">
      <c r="A60" s="45"/>
      <c r="B60" s="45"/>
      <c r="C60" s="46"/>
      <c r="D60" s="45"/>
      <c r="E60" s="45"/>
      <c r="F60" s="45"/>
      <c r="G60" s="45"/>
      <c r="H60" s="45"/>
      <c r="I60" s="45"/>
      <c r="J60" s="45"/>
      <c r="K60" s="45"/>
      <c r="L60" s="45"/>
      <c r="M60" s="12"/>
      <c r="N60" s="47"/>
    </row>
    <row r="61" spans="1:14" ht="21" customHeight="1">
      <c r="A61" s="267"/>
      <c r="B61" s="267"/>
      <c r="C61" s="267"/>
      <c r="D61" s="267"/>
      <c r="E61" s="267"/>
      <c r="F61" s="267"/>
      <c r="G61" s="267"/>
      <c r="H61" s="267"/>
      <c r="I61" s="267"/>
      <c r="J61" s="267"/>
      <c r="K61" s="267"/>
      <c r="L61" s="267"/>
      <c r="M61" s="267"/>
      <c r="N61" s="267"/>
    </row>
    <row r="62" spans="1:14" ht="19.5">
      <c r="A62" s="65"/>
      <c r="B62" s="65"/>
      <c r="C62" s="66"/>
      <c r="D62" s="65"/>
      <c r="E62" s="65"/>
      <c r="F62" s="65"/>
      <c r="G62" s="65"/>
      <c r="H62" s="65"/>
      <c r="I62" s="65"/>
      <c r="J62" s="65"/>
      <c r="K62" s="65"/>
      <c r="L62" s="65"/>
      <c r="M62" s="65"/>
      <c r="N62" s="67"/>
    </row>
    <row r="63" spans="1:14" ht="19.5">
      <c r="A63" s="65"/>
      <c r="B63" s="65"/>
      <c r="C63" s="66"/>
      <c r="D63" s="65"/>
      <c r="E63" s="65"/>
      <c r="F63" s="65"/>
      <c r="G63" s="65"/>
      <c r="H63" s="65"/>
      <c r="I63" s="65"/>
      <c r="J63" s="65"/>
      <c r="K63" s="65"/>
      <c r="L63" s="67"/>
      <c r="M63" s="65"/>
      <c r="N63" s="67"/>
    </row>
    <row r="64" spans="1:14" ht="19.5">
      <c r="A64" s="65"/>
      <c r="B64" s="65"/>
      <c r="C64" s="66"/>
      <c r="D64" s="65"/>
      <c r="E64" s="65"/>
      <c r="F64" s="65"/>
      <c r="G64" s="65"/>
      <c r="H64" s="65"/>
      <c r="I64" s="65"/>
      <c r="J64" s="65"/>
      <c r="K64" s="65"/>
      <c r="L64" s="67"/>
      <c r="M64" s="65"/>
      <c r="N64" s="65"/>
    </row>
    <row r="65" spans="1:14" ht="19.5">
      <c r="A65" s="65"/>
      <c r="B65" s="65"/>
      <c r="C65" s="66"/>
      <c r="D65" s="65"/>
      <c r="E65" s="65"/>
      <c r="F65" s="65"/>
      <c r="G65" s="65"/>
      <c r="H65" s="65"/>
      <c r="I65" s="65"/>
      <c r="J65" s="65"/>
      <c r="K65" s="65"/>
      <c r="L65" s="67"/>
      <c r="M65" s="67"/>
      <c r="N65" s="65"/>
    </row>
    <row r="66" spans="1:14" ht="19.5">
      <c r="A66" s="65"/>
      <c r="B66" s="65"/>
      <c r="C66" s="66"/>
      <c r="D66" s="65"/>
      <c r="E66" s="65"/>
      <c r="F66" s="65"/>
      <c r="G66" s="65"/>
      <c r="H66" s="65"/>
      <c r="I66" s="65"/>
      <c r="J66" s="65"/>
      <c r="K66" s="65"/>
      <c r="L66" s="67"/>
      <c r="M66" s="65"/>
      <c r="N66" s="65"/>
    </row>
  </sheetData>
  <sheetProtection/>
  <mergeCells count="32">
    <mergeCell ref="A20:A21"/>
    <mergeCell ref="A7:N7"/>
    <mergeCell ref="A3:N3"/>
    <mergeCell ref="N10:N16"/>
    <mergeCell ref="J12:J16"/>
    <mergeCell ref="K12:K16"/>
    <mergeCell ref="A10:A16"/>
    <mergeCell ref="B10:B16"/>
    <mergeCell ref="A4:N4"/>
    <mergeCell ref="B8:C8"/>
    <mergeCell ref="A6:N6"/>
    <mergeCell ref="A5:N5"/>
    <mergeCell ref="C10:I16"/>
    <mergeCell ref="J10:M11"/>
    <mergeCell ref="L12:L16"/>
    <mergeCell ref="M12:M16"/>
    <mergeCell ref="A59:N59"/>
    <mergeCell ref="A61:N61"/>
    <mergeCell ref="A56:N56"/>
    <mergeCell ref="A57:N57"/>
    <mergeCell ref="A58:N58"/>
    <mergeCell ref="C17:I17"/>
    <mergeCell ref="C49:I49"/>
    <mergeCell ref="N52:N53"/>
    <mergeCell ref="A55:N55"/>
    <mergeCell ref="C52:I53"/>
    <mergeCell ref="J52:J53"/>
    <mergeCell ref="L52:L53"/>
    <mergeCell ref="M52:M53"/>
    <mergeCell ref="A52:A53"/>
    <mergeCell ref="B52:B53"/>
    <mergeCell ref="K52:K53"/>
  </mergeCells>
  <printOptions horizontalCentered="1"/>
  <pageMargins left="0.5905511811023623" right="0" top="0.5905511811023623" bottom="0.5905511811023623" header="0.5118110236220472" footer="0.5118110236220472"/>
  <pageSetup horizontalDpi="600" verticalDpi="600" orientation="portrait" paperSize="9" scale="50" r:id="rId1"/>
  <colBreaks count="1" manualBreakCount="1">
    <brk id="14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N30"/>
  <sheetViews>
    <sheetView view="pageBreakPreview" zoomScaleSheetLayoutView="100" zoomScalePageLayoutView="0" workbookViewId="0" topLeftCell="A1">
      <selection activeCell="H13" sqref="H13"/>
    </sheetView>
  </sheetViews>
  <sheetFormatPr defaultColWidth="9.00390625" defaultRowHeight="12.75"/>
  <cols>
    <col min="1" max="1" width="3.8515625" style="246" customWidth="1"/>
    <col min="2" max="2" width="9.7109375" style="247" customWidth="1"/>
    <col min="3" max="3" width="30.7109375" style="247" customWidth="1"/>
    <col min="4" max="4" width="8.28125" style="248" customWidth="1"/>
    <col min="5" max="5" width="9.57421875" style="248" bestFit="1" customWidth="1"/>
    <col min="6" max="6" width="9.140625" style="248" customWidth="1"/>
    <col min="7" max="7" width="9.7109375" style="248" customWidth="1"/>
    <col min="8" max="8" width="10.28125" style="248" customWidth="1"/>
    <col min="9" max="9" width="8.8515625" style="248" customWidth="1"/>
    <col min="10" max="10" width="11.28125" style="248" customWidth="1"/>
    <col min="11" max="11" width="8.8515625" style="248" customWidth="1"/>
    <col min="12" max="12" width="10.421875" style="248" customWidth="1"/>
    <col min="13" max="13" width="13.28125" style="248" customWidth="1"/>
    <col min="14" max="16384" width="9.00390625" style="249" customWidth="1"/>
  </cols>
  <sheetData>
    <row r="1" spans="1:14" s="221" customFormat="1" ht="33" customHeight="1">
      <c r="A1" s="320" t="str">
        <f>nakrebi!A6</f>
        <v>tyibulis municipalitetSi, sof. muxuraSi(საკვირაოს უბანი) betonis safariani gzis mowyobis samuSaoebi (gza #1) pk10+00-pk21+60</v>
      </c>
      <c r="B1" s="320"/>
      <c r="C1" s="320"/>
      <c r="D1" s="320"/>
      <c r="E1" s="320"/>
      <c r="F1" s="320"/>
      <c r="G1" s="320"/>
      <c r="H1" s="320"/>
      <c r="I1" s="320"/>
      <c r="J1" s="320"/>
      <c r="K1" s="320"/>
      <c r="L1" s="320"/>
      <c r="M1" s="320"/>
      <c r="N1" s="193"/>
    </row>
    <row r="2" spans="1:13" s="221" customFormat="1" ht="16.5" customHeight="1">
      <c r="A2" s="321" t="s">
        <v>168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</row>
    <row r="3" spans="1:13" s="221" customFormat="1" ht="15.75">
      <c r="A3" s="321"/>
      <c r="B3" s="321"/>
      <c r="C3" s="321"/>
      <c r="D3" s="321"/>
      <c r="E3" s="321"/>
      <c r="F3" s="321"/>
      <c r="G3" s="321"/>
      <c r="H3" s="321"/>
      <c r="I3" s="321"/>
      <c r="J3" s="321"/>
      <c r="K3" s="321"/>
      <c r="L3" s="321"/>
      <c r="M3" s="321"/>
    </row>
    <row r="4" spans="1:13" s="221" customFormat="1" ht="15.75">
      <c r="A4" s="321" t="s">
        <v>162</v>
      </c>
      <c r="B4" s="321"/>
      <c r="C4" s="321"/>
      <c r="D4" s="321"/>
      <c r="E4" s="321"/>
      <c r="F4" s="321"/>
      <c r="G4" s="321"/>
      <c r="H4" s="321"/>
      <c r="I4" s="321"/>
      <c r="J4" s="321"/>
      <c r="K4" s="321"/>
      <c r="L4" s="321"/>
      <c r="M4" s="321"/>
    </row>
    <row r="5" spans="1:13" s="221" customFormat="1" ht="15.75">
      <c r="A5" s="322"/>
      <c r="B5" s="322"/>
      <c r="C5" s="322"/>
      <c r="D5" s="322"/>
      <c r="E5" s="322"/>
      <c r="F5" s="322"/>
      <c r="G5" s="322"/>
      <c r="H5" s="322"/>
      <c r="I5" s="322"/>
      <c r="J5" s="322"/>
      <c r="K5" s="322"/>
      <c r="L5" s="322"/>
      <c r="M5" s="322"/>
    </row>
    <row r="6" spans="1:13" s="221" customFormat="1" ht="15" customHeight="1">
      <c r="A6" s="222"/>
      <c r="B6" s="323" t="s">
        <v>28</v>
      </c>
      <c r="C6" s="323"/>
      <c r="D6" s="324"/>
      <c r="E6" s="223"/>
      <c r="F6" s="325" t="s">
        <v>1</v>
      </c>
      <c r="G6" s="325"/>
      <c r="H6" s="325"/>
      <c r="I6" s="325"/>
      <c r="J6" s="223">
        <f>M21/1000</f>
        <v>0</v>
      </c>
      <c r="K6" s="223" t="s">
        <v>0</v>
      </c>
      <c r="L6" s="223"/>
      <c r="M6" s="223"/>
    </row>
    <row r="7" spans="1:13" s="221" customFormat="1" ht="15.75">
      <c r="A7" s="222"/>
      <c r="B7" s="222"/>
      <c r="C7" s="222"/>
      <c r="D7" s="223"/>
      <c r="E7" s="223"/>
      <c r="F7" s="223"/>
      <c r="G7" s="223"/>
      <c r="H7" s="223"/>
      <c r="I7" s="223"/>
      <c r="J7" s="223"/>
      <c r="K7" s="223"/>
      <c r="L7" s="223"/>
      <c r="M7" s="223"/>
    </row>
    <row r="8" spans="1:13" s="221" customFormat="1" ht="15" customHeight="1">
      <c r="A8" s="305" t="s">
        <v>2</v>
      </c>
      <c r="B8" s="308" t="s">
        <v>3</v>
      </c>
      <c r="C8" s="311" t="s">
        <v>27</v>
      </c>
      <c r="D8" s="295" t="s">
        <v>4</v>
      </c>
      <c r="E8" s="314"/>
      <c r="F8" s="297"/>
      <c r="G8" s="295" t="s">
        <v>5</v>
      </c>
      <c r="H8" s="296"/>
      <c r="I8" s="295" t="s">
        <v>6</v>
      </c>
      <c r="J8" s="318"/>
      <c r="K8" s="295" t="s">
        <v>7</v>
      </c>
      <c r="L8" s="296"/>
      <c r="M8" s="297" t="s">
        <v>8</v>
      </c>
    </row>
    <row r="9" spans="1:13" s="221" customFormat="1" ht="22.5" customHeight="1">
      <c r="A9" s="306"/>
      <c r="B9" s="309"/>
      <c r="C9" s="312"/>
      <c r="D9" s="301"/>
      <c r="E9" s="315"/>
      <c r="F9" s="316"/>
      <c r="G9" s="317"/>
      <c r="H9" s="302"/>
      <c r="I9" s="317"/>
      <c r="J9" s="319"/>
      <c r="K9" s="301" t="s">
        <v>9</v>
      </c>
      <c r="L9" s="302"/>
      <c r="M9" s="298"/>
    </row>
    <row r="10" spans="1:13" s="221" customFormat="1" ht="15.75">
      <c r="A10" s="306"/>
      <c r="B10" s="309"/>
      <c r="C10" s="312"/>
      <c r="D10" s="303" t="s">
        <v>10</v>
      </c>
      <c r="E10" s="303" t="s">
        <v>11</v>
      </c>
      <c r="F10" s="303" t="s">
        <v>12</v>
      </c>
      <c r="G10" s="194" t="s">
        <v>11</v>
      </c>
      <c r="H10" s="303" t="s">
        <v>12</v>
      </c>
      <c r="I10" s="194" t="s">
        <v>11</v>
      </c>
      <c r="J10" s="303" t="s">
        <v>12</v>
      </c>
      <c r="K10" s="194" t="s">
        <v>11</v>
      </c>
      <c r="L10" s="303" t="s">
        <v>12</v>
      </c>
      <c r="M10" s="299"/>
    </row>
    <row r="11" spans="1:13" s="221" customFormat="1" ht="15.75">
      <c r="A11" s="307"/>
      <c r="B11" s="310"/>
      <c r="C11" s="313"/>
      <c r="D11" s="304"/>
      <c r="E11" s="304"/>
      <c r="F11" s="304"/>
      <c r="G11" s="220" t="s">
        <v>13</v>
      </c>
      <c r="H11" s="304"/>
      <c r="I11" s="220" t="s">
        <v>13</v>
      </c>
      <c r="J11" s="304"/>
      <c r="K11" s="220" t="s">
        <v>13</v>
      </c>
      <c r="L11" s="304"/>
      <c r="M11" s="300"/>
    </row>
    <row r="12" spans="1:13" s="221" customFormat="1" ht="15.75">
      <c r="A12" s="195" t="s">
        <v>14</v>
      </c>
      <c r="B12" s="196" t="s">
        <v>15</v>
      </c>
      <c r="C12" s="197" t="s">
        <v>16</v>
      </c>
      <c r="D12" s="198" t="s">
        <v>17</v>
      </c>
      <c r="E12" s="199" t="s">
        <v>18</v>
      </c>
      <c r="F12" s="200" t="s">
        <v>19</v>
      </c>
      <c r="G12" s="201" t="s">
        <v>20</v>
      </c>
      <c r="H12" s="198" t="s">
        <v>21</v>
      </c>
      <c r="I12" s="199" t="s">
        <v>22</v>
      </c>
      <c r="J12" s="201" t="s">
        <v>23</v>
      </c>
      <c r="K12" s="199" t="s">
        <v>24</v>
      </c>
      <c r="L12" s="198" t="s">
        <v>25</v>
      </c>
      <c r="M12" s="199" t="s">
        <v>26</v>
      </c>
    </row>
    <row r="13" spans="1:13" s="221" customFormat="1" ht="60">
      <c r="A13" s="202">
        <v>1</v>
      </c>
      <c r="B13" s="224" t="s">
        <v>169</v>
      </c>
      <c r="C13" s="225" t="s">
        <v>170</v>
      </c>
      <c r="D13" s="226" t="s">
        <v>171</v>
      </c>
      <c r="E13" s="227"/>
      <c r="F13" s="228">
        <v>1.16</v>
      </c>
      <c r="G13" s="229"/>
      <c r="H13" s="229"/>
      <c r="I13" s="230"/>
      <c r="J13" s="230"/>
      <c r="K13" s="230"/>
      <c r="L13" s="230"/>
      <c r="M13" s="230"/>
    </row>
    <row r="14" spans="1:13" s="221" customFormat="1" ht="28.5" customHeight="1">
      <c r="A14" s="202"/>
      <c r="B14" s="231"/>
      <c r="C14" s="232" t="s">
        <v>172</v>
      </c>
      <c r="D14" s="233" t="s">
        <v>173</v>
      </c>
      <c r="E14" s="234">
        <v>60.16</v>
      </c>
      <c r="F14" s="235">
        <f>E14*F13</f>
        <v>69.78559999999999</v>
      </c>
      <c r="G14" s="235"/>
      <c r="H14" s="235"/>
      <c r="I14" s="235"/>
      <c r="J14" s="235"/>
      <c r="K14" s="235"/>
      <c r="L14" s="235"/>
      <c r="M14" s="235"/>
    </row>
    <row r="15" spans="1:13" s="221" customFormat="1" ht="15.75">
      <c r="A15" s="236"/>
      <c r="B15" s="237"/>
      <c r="C15" s="238" t="s">
        <v>12</v>
      </c>
      <c r="D15" s="239" t="s">
        <v>35</v>
      </c>
      <c r="E15" s="240"/>
      <c r="F15" s="240"/>
      <c r="G15" s="240"/>
      <c r="H15" s="241"/>
      <c r="I15" s="241"/>
      <c r="J15" s="241"/>
      <c r="K15" s="240"/>
      <c r="L15" s="241"/>
      <c r="M15" s="241"/>
    </row>
    <row r="16" spans="1:13" s="221" customFormat="1" ht="47.25">
      <c r="A16" s="205"/>
      <c r="B16" s="205"/>
      <c r="C16" s="205" t="s">
        <v>163</v>
      </c>
      <c r="D16" s="204"/>
      <c r="E16" s="206">
        <v>0.05</v>
      </c>
      <c r="F16" s="206"/>
      <c r="G16" s="206"/>
      <c r="H16" s="206"/>
      <c r="I16" s="206"/>
      <c r="J16" s="207"/>
      <c r="K16" s="206"/>
      <c r="L16" s="206"/>
      <c r="M16" s="207"/>
    </row>
    <row r="17" spans="1:13" s="221" customFormat="1" ht="15.75">
      <c r="A17" s="205"/>
      <c r="B17" s="205"/>
      <c r="C17" s="205" t="s">
        <v>164</v>
      </c>
      <c r="D17" s="204"/>
      <c r="E17" s="206"/>
      <c r="F17" s="206"/>
      <c r="G17" s="206"/>
      <c r="H17" s="207"/>
      <c r="I17" s="206"/>
      <c r="J17" s="207"/>
      <c r="K17" s="206"/>
      <c r="L17" s="207"/>
      <c r="M17" s="207"/>
    </row>
    <row r="18" spans="1:13" s="221" customFormat="1" ht="15.75">
      <c r="A18" s="205"/>
      <c r="B18" s="208"/>
      <c r="C18" s="205" t="s">
        <v>37</v>
      </c>
      <c r="D18" s="204" t="s">
        <v>35</v>
      </c>
      <c r="E18" s="207">
        <v>0.1</v>
      </c>
      <c r="F18" s="209"/>
      <c r="G18" s="210"/>
      <c r="H18" s="207"/>
      <c r="I18" s="207"/>
      <c r="J18" s="207"/>
      <c r="K18" s="207"/>
      <c r="L18" s="207"/>
      <c r="M18" s="207"/>
    </row>
    <row r="19" spans="1:13" s="221" customFormat="1" ht="15.75">
      <c r="A19" s="203"/>
      <c r="B19" s="208"/>
      <c r="C19" s="203" t="s">
        <v>12</v>
      </c>
      <c r="D19" s="204" t="s">
        <v>35</v>
      </c>
      <c r="E19" s="211"/>
      <c r="F19" s="203"/>
      <c r="G19" s="203"/>
      <c r="H19" s="211"/>
      <c r="I19" s="211"/>
      <c r="J19" s="211"/>
      <c r="K19" s="211"/>
      <c r="L19" s="211"/>
      <c r="M19" s="211"/>
    </row>
    <row r="20" spans="1:13" s="221" customFormat="1" ht="15.75">
      <c r="A20" s="205"/>
      <c r="B20" s="208"/>
      <c r="C20" s="206" t="s">
        <v>38</v>
      </c>
      <c r="D20" s="204" t="s">
        <v>35</v>
      </c>
      <c r="E20" s="207">
        <v>0.08</v>
      </c>
      <c r="F20" s="212"/>
      <c r="G20" s="207"/>
      <c r="H20" s="207"/>
      <c r="I20" s="207"/>
      <c r="J20" s="207"/>
      <c r="K20" s="207"/>
      <c r="L20" s="207"/>
      <c r="M20" s="207"/>
    </row>
    <row r="21" spans="1:13" s="221" customFormat="1" ht="15.75">
      <c r="A21" s="213"/>
      <c r="B21" s="214"/>
      <c r="C21" s="213" t="s">
        <v>12</v>
      </c>
      <c r="D21" s="215" t="s">
        <v>35</v>
      </c>
      <c r="E21" s="213"/>
      <c r="F21" s="213"/>
      <c r="G21" s="213"/>
      <c r="H21" s="216"/>
      <c r="I21" s="216"/>
      <c r="J21" s="216"/>
      <c r="K21" s="216"/>
      <c r="L21" s="216"/>
      <c r="M21" s="216"/>
    </row>
    <row r="22" spans="1:13" s="221" customFormat="1" ht="15.75">
      <c r="A22" s="242"/>
      <c r="B22" s="222"/>
      <c r="C22" s="222"/>
      <c r="D22" s="243"/>
      <c r="E22" s="243"/>
      <c r="F22" s="243"/>
      <c r="G22" s="243"/>
      <c r="H22" s="243"/>
      <c r="I22" s="243"/>
      <c r="J22" s="243"/>
      <c r="K22" s="243"/>
      <c r="L22" s="243"/>
      <c r="M22" s="243"/>
    </row>
    <row r="23" spans="1:13" s="221" customFormat="1" ht="15.75">
      <c r="A23" s="242"/>
      <c r="B23" s="222"/>
      <c r="C23" s="222"/>
      <c r="D23" s="243"/>
      <c r="E23" s="243"/>
      <c r="F23" s="243"/>
      <c r="G23" s="243"/>
      <c r="H23" s="243"/>
      <c r="I23" s="243"/>
      <c r="J23" s="243"/>
      <c r="K23" s="243"/>
      <c r="L23" s="243"/>
      <c r="M23" s="243"/>
    </row>
    <row r="24" spans="1:13" s="221" customFormat="1" ht="15.75">
      <c r="A24" s="242"/>
      <c r="B24" s="222"/>
      <c r="C24" s="294"/>
      <c r="D24" s="294"/>
      <c r="E24" s="294"/>
      <c r="F24" s="294"/>
      <c r="G24" s="294"/>
      <c r="H24" s="294"/>
      <c r="I24" s="294"/>
      <c r="J24" s="294"/>
      <c r="K24" s="294"/>
      <c r="L24" s="294"/>
      <c r="M24" s="243"/>
    </row>
    <row r="25" spans="1:13" s="221" customFormat="1" ht="15.75">
      <c r="A25" s="242"/>
      <c r="B25" s="222"/>
      <c r="C25" s="294"/>
      <c r="D25" s="294"/>
      <c r="E25" s="294"/>
      <c r="F25" s="294"/>
      <c r="G25" s="294"/>
      <c r="H25" s="294"/>
      <c r="I25" s="294"/>
      <c r="J25" s="294"/>
      <c r="K25" s="294"/>
      <c r="L25" s="294"/>
      <c r="M25" s="243"/>
    </row>
    <row r="26" spans="1:13" s="221" customFormat="1" ht="15.75">
      <c r="A26" s="242"/>
      <c r="B26" s="222"/>
      <c r="C26" s="244"/>
      <c r="D26" s="245"/>
      <c r="E26" s="245"/>
      <c r="F26" s="245"/>
      <c r="G26" s="245"/>
      <c r="H26" s="245"/>
      <c r="I26" s="245"/>
      <c r="J26" s="245"/>
      <c r="K26" s="245"/>
      <c r="L26" s="245"/>
      <c r="M26" s="243"/>
    </row>
    <row r="27" spans="1:13" s="221" customFormat="1" ht="15.75">
      <c r="A27" s="242"/>
      <c r="B27" s="222"/>
      <c r="C27" s="294"/>
      <c r="D27" s="294"/>
      <c r="E27" s="294"/>
      <c r="F27" s="294"/>
      <c r="G27" s="294"/>
      <c r="H27" s="294"/>
      <c r="I27" s="294"/>
      <c r="J27" s="294"/>
      <c r="K27" s="294"/>
      <c r="L27" s="294"/>
      <c r="M27" s="243"/>
    </row>
    <row r="28" spans="1:13" s="221" customFormat="1" ht="15.75">
      <c r="A28" s="242"/>
      <c r="B28" s="222"/>
      <c r="C28" s="294"/>
      <c r="D28" s="294"/>
      <c r="E28" s="294"/>
      <c r="F28" s="294"/>
      <c r="G28" s="294"/>
      <c r="H28" s="294"/>
      <c r="I28" s="294"/>
      <c r="J28" s="294"/>
      <c r="K28" s="294"/>
      <c r="L28" s="294"/>
      <c r="M28" s="243"/>
    </row>
    <row r="29" spans="1:13" s="221" customFormat="1" ht="15.75">
      <c r="A29" s="242"/>
      <c r="B29" s="222"/>
      <c r="C29" s="222"/>
      <c r="D29" s="243"/>
      <c r="E29" s="243"/>
      <c r="F29" s="243"/>
      <c r="G29" s="243"/>
      <c r="H29" s="243"/>
      <c r="I29" s="243"/>
      <c r="J29" s="243"/>
      <c r="K29" s="243"/>
      <c r="L29" s="243"/>
      <c r="M29" s="243"/>
    </row>
    <row r="30" spans="1:13" s="221" customFormat="1" ht="15.75">
      <c r="A30" s="242"/>
      <c r="B30" s="222"/>
      <c r="C30" s="222"/>
      <c r="D30" s="243"/>
      <c r="E30" s="243"/>
      <c r="F30" s="243"/>
      <c r="G30" s="243"/>
      <c r="H30" s="243"/>
      <c r="I30" s="243"/>
      <c r="J30" s="243"/>
      <c r="K30" s="243"/>
      <c r="L30" s="243"/>
      <c r="M30" s="243"/>
    </row>
  </sheetData>
  <sheetProtection/>
  <mergeCells count="26">
    <mergeCell ref="A1:M1"/>
    <mergeCell ref="A2:M2"/>
    <mergeCell ref="A3:M3"/>
    <mergeCell ref="A4:M4"/>
    <mergeCell ref="A5:M5"/>
    <mergeCell ref="B6:D6"/>
    <mergeCell ref="F6:I6"/>
    <mergeCell ref="H10:H11"/>
    <mergeCell ref="J10:J11"/>
    <mergeCell ref="L10:L11"/>
    <mergeCell ref="A8:A11"/>
    <mergeCell ref="B8:B11"/>
    <mergeCell ref="C8:C11"/>
    <mergeCell ref="D8:F9"/>
    <mergeCell ref="G8:H9"/>
    <mergeCell ref="I8:J9"/>
    <mergeCell ref="C24:L24"/>
    <mergeCell ref="C25:L25"/>
    <mergeCell ref="C27:L27"/>
    <mergeCell ref="C28:L28"/>
    <mergeCell ref="K8:L8"/>
    <mergeCell ref="M8:M11"/>
    <mergeCell ref="K9:L9"/>
    <mergeCell ref="D10:D11"/>
    <mergeCell ref="E10:E11"/>
    <mergeCell ref="F10:F11"/>
  </mergeCells>
  <conditionalFormatting sqref="C13:M13 C14:D14 F14:M14">
    <cfRule type="cellIs" priority="2" dxfId="0" operator="equal" stopIfTrue="1">
      <formula>8223.307275</formula>
    </cfRule>
  </conditionalFormatting>
  <conditionalFormatting sqref="B14">
    <cfRule type="cellIs" priority="1" dxfId="0" operator="equal" stopIfTrue="1">
      <formula>8223.307275</formula>
    </cfRule>
  </conditionalFormatting>
  <printOptions/>
  <pageMargins left="0.7" right="0.7" top="0.75" bottom="0.75" header="0.3" footer="0.3"/>
  <pageSetup horizontalDpi="600" verticalDpi="600" orientation="portrait" paperSize="9" scale="61" r:id="rId1"/>
  <colBreaks count="1" manualBreakCount="1">
    <brk id="13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N52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4.140625" style="2" customWidth="1"/>
    <col min="4" max="4" width="8.28125" style="12" customWidth="1"/>
    <col min="5" max="5" width="9.00390625" style="12" customWidth="1"/>
    <col min="6" max="6" width="12.57421875" style="12" customWidth="1"/>
    <col min="7" max="7" width="7.7109375" style="12" customWidth="1"/>
    <col min="8" max="8" width="11.28125" style="12" customWidth="1"/>
    <col min="9" max="9" width="9.00390625" style="12" customWidth="1"/>
    <col min="10" max="10" width="10.28125" style="12" customWidth="1"/>
    <col min="11" max="11" width="8.8515625" style="12" customWidth="1"/>
    <col min="12" max="12" width="16.8515625" style="12" customWidth="1"/>
    <col min="13" max="13" width="12.28125" style="12" customWidth="1"/>
    <col min="14" max="16384" width="9.00390625" style="17" customWidth="1"/>
  </cols>
  <sheetData>
    <row r="1" spans="1:14" ht="45.75" customHeight="1">
      <c r="A1" s="348" t="str">
        <f>'[1]nakrebi'!A45</f>
        <v>tyibulis municipalitetSi, sof. muxuraSi betonis safariani gzis mowyobis samuSaoebi (gza #1)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79"/>
    </row>
    <row r="2" spans="1:14" ht="15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9"/>
    </row>
    <row r="3" spans="1:13" ht="15.75">
      <c r="A3" s="349" t="s">
        <v>174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ht="15.7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3" ht="15.75">
      <c r="A5" s="350" t="s">
        <v>111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ht="15.7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1:13" ht="15.75">
      <c r="A7" s="2"/>
      <c r="B7" s="336" t="s">
        <v>28</v>
      </c>
      <c r="C7" s="336"/>
      <c r="D7" s="352"/>
      <c r="E7" s="3"/>
      <c r="F7" s="337" t="s">
        <v>1</v>
      </c>
      <c r="G7" s="337"/>
      <c r="H7" s="337"/>
      <c r="I7" s="337"/>
      <c r="J7" s="3">
        <f>M52/1000</f>
        <v>0</v>
      </c>
      <c r="K7" s="250" t="s">
        <v>0</v>
      </c>
      <c r="L7" s="3"/>
      <c r="M7" s="3"/>
    </row>
    <row r="8" spans="1:13" ht="15.75">
      <c r="A8" s="2"/>
      <c r="B8" s="336" t="s">
        <v>97</v>
      </c>
      <c r="C8" s="336"/>
      <c r="D8" s="3"/>
      <c r="E8" s="3"/>
      <c r="F8" s="337"/>
      <c r="G8" s="337"/>
      <c r="H8" s="337"/>
      <c r="I8" s="337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338" t="s">
        <v>2</v>
      </c>
      <c r="B10" s="339" t="s">
        <v>3</v>
      </c>
      <c r="C10" s="288" t="s">
        <v>27</v>
      </c>
      <c r="D10" s="326" t="s">
        <v>4</v>
      </c>
      <c r="E10" s="342"/>
      <c r="F10" s="328"/>
      <c r="G10" s="326" t="s">
        <v>5</v>
      </c>
      <c r="H10" s="327"/>
      <c r="I10" s="326" t="s">
        <v>6</v>
      </c>
      <c r="J10" s="346"/>
      <c r="K10" s="326" t="s">
        <v>7</v>
      </c>
      <c r="L10" s="327"/>
      <c r="M10" s="328" t="s">
        <v>8</v>
      </c>
    </row>
    <row r="11" spans="1:13" ht="15.75">
      <c r="A11" s="292"/>
      <c r="B11" s="340"/>
      <c r="C11" s="289"/>
      <c r="D11" s="332"/>
      <c r="E11" s="343"/>
      <c r="F11" s="344"/>
      <c r="G11" s="345"/>
      <c r="H11" s="333"/>
      <c r="I11" s="345"/>
      <c r="J11" s="347"/>
      <c r="K11" s="332" t="s">
        <v>9</v>
      </c>
      <c r="L11" s="333"/>
      <c r="M11" s="329"/>
    </row>
    <row r="12" spans="1:13" ht="15.75">
      <c r="A12" s="292"/>
      <c r="B12" s="340"/>
      <c r="C12" s="289"/>
      <c r="D12" s="334" t="s">
        <v>10</v>
      </c>
      <c r="E12" s="334" t="s">
        <v>11</v>
      </c>
      <c r="F12" s="334" t="s">
        <v>12</v>
      </c>
      <c r="G12" s="4" t="s">
        <v>11</v>
      </c>
      <c r="H12" s="334" t="s">
        <v>12</v>
      </c>
      <c r="I12" s="4" t="s">
        <v>11</v>
      </c>
      <c r="J12" s="334" t="s">
        <v>12</v>
      </c>
      <c r="K12" s="4" t="s">
        <v>11</v>
      </c>
      <c r="L12" s="334" t="s">
        <v>12</v>
      </c>
      <c r="M12" s="330"/>
    </row>
    <row r="13" spans="1:13" ht="18" customHeight="1">
      <c r="A13" s="293"/>
      <c r="B13" s="341"/>
      <c r="C13" s="290"/>
      <c r="D13" s="335"/>
      <c r="E13" s="335"/>
      <c r="F13" s="335"/>
      <c r="G13" s="5" t="s">
        <v>13</v>
      </c>
      <c r="H13" s="335"/>
      <c r="I13" s="5" t="s">
        <v>13</v>
      </c>
      <c r="J13" s="335"/>
      <c r="K13" s="5" t="s">
        <v>13</v>
      </c>
      <c r="L13" s="335"/>
      <c r="M13" s="331"/>
    </row>
    <row r="14" spans="1:13" ht="15.75">
      <c r="A14" s="51">
        <v>1</v>
      </c>
      <c r="B14" s="132" t="s">
        <v>65</v>
      </c>
      <c r="C14" s="133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  <c r="J14" s="132">
        <v>10</v>
      </c>
      <c r="K14" s="132">
        <v>11</v>
      </c>
      <c r="L14" s="132">
        <v>12</v>
      </c>
      <c r="M14" s="51">
        <v>13</v>
      </c>
    </row>
    <row r="15" spans="1:13" ht="31.5">
      <c r="A15" s="134">
        <v>1</v>
      </c>
      <c r="B15" s="15" t="s">
        <v>175</v>
      </c>
      <c r="C15" s="141" t="s">
        <v>176</v>
      </c>
      <c r="D15" s="115" t="s">
        <v>29</v>
      </c>
      <c r="E15" s="115"/>
      <c r="F15" s="139">
        <v>24.95</v>
      </c>
      <c r="G15" s="115"/>
      <c r="H15" s="115"/>
      <c r="I15" s="115"/>
      <c r="J15" s="115"/>
      <c r="K15" s="115"/>
      <c r="L15" s="115"/>
      <c r="M15" s="134"/>
    </row>
    <row r="16" spans="1:13" ht="15.75">
      <c r="A16" s="15"/>
      <c r="B16" s="15"/>
      <c r="C16" s="16" t="s">
        <v>30</v>
      </c>
      <c r="D16" s="14" t="s">
        <v>31</v>
      </c>
      <c r="E16" s="14">
        <v>0.15</v>
      </c>
      <c r="F16" s="14">
        <f>E16*F15</f>
        <v>3.7424999999999997</v>
      </c>
      <c r="G16" s="14"/>
      <c r="H16" s="14"/>
      <c r="I16" s="18"/>
      <c r="J16" s="18"/>
      <c r="K16" s="18"/>
      <c r="L16" s="18"/>
      <c r="M16" s="14"/>
    </row>
    <row r="17" spans="1:13" ht="31.5">
      <c r="A17" s="15"/>
      <c r="B17" s="15"/>
      <c r="C17" s="16" t="s">
        <v>85</v>
      </c>
      <c r="D17" s="14" t="s">
        <v>32</v>
      </c>
      <c r="E17" s="14">
        <f>2.16/100</f>
        <v>0.0216</v>
      </c>
      <c r="F17" s="14">
        <f>E17*F15</f>
        <v>0.5389200000000001</v>
      </c>
      <c r="G17" s="14"/>
      <c r="H17" s="18"/>
      <c r="I17" s="18"/>
      <c r="J17" s="18"/>
      <c r="K17" s="14"/>
      <c r="L17" s="14"/>
      <c r="M17" s="14"/>
    </row>
    <row r="18" spans="1:13" ht="31.5">
      <c r="A18" s="15"/>
      <c r="B18" s="15"/>
      <c r="C18" s="16" t="s">
        <v>33</v>
      </c>
      <c r="D18" s="14" t="s">
        <v>31</v>
      </c>
      <c r="E18" s="14"/>
      <c r="F18" s="14">
        <f>F17</f>
        <v>0.5389200000000001</v>
      </c>
      <c r="G18" s="14"/>
      <c r="H18" s="14"/>
      <c r="I18" s="18"/>
      <c r="J18" s="18"/>
      <c r="K18" s="18"/>
      <c r="L18" s="14"/>
      <c r="M18" s="14"/>
    </row>
    <row r="19" spans="1:13" ht="31.5">
      <c r="A19" s="15"/>
      <c r="B19" s="15"/>
      <c r="C19" s="16" t="s">
        <v>177</v>
      </c>
      <c r="D19" s="14" t="s">
        <v>32</v>
      </c>
      <c r="E19" s="14">
        <f>2.73/100</f>
        <v>0.0273</v>
      </c>
      <c r="F19" s="14">
        <f>E19*F15</f>
        <v>0.681135</v>
      </c>
      <c r="G19" s="14"/>
      <c r="H19" s="14"/>
      <c r="I19" s="18"/>
      <c r="J19" s="18"/>
      <c r="K19" s="14"/>
      <c r="L19" s="14"/>
      <c r="M19" s="14"/>
    </row>
    <row r="20" spans="1:13" ht="31.5">
      <c r="A20" s="15"/>
      <c r="B20" s="15"/>
      <c r="C20" s="16" t="s">
        <v>33</v>
      </c>
      <c r="D20" s="14" t="s">
        <v>31</v>
      </c>
      <c r="E20" s="14"/>
      <c r="F20" s="14">
        <f>F19</f>
        <v>0.681135</v>
      </c>
      <c r="G20" s="14"/>
      <c r="H20" s="14"/>
      <c r="I20" s="18"/>
      <c r="J20" s="18"/>
      <c r="K20" s="18"/>
      <c r="L20" s="14"/>
      <c r="M20" s="14"/>
    </row>
    <row r="21" spans="1:13" ht="31.5">
      <c r="A21" s="15"/>
      <c r="B21" s="15"/>
      <c r="C21" s="16" t="s">
        <v>34</v>
      </c>
      <c r="D21" s="14" t="s">
        <v>32</v>
      </c>
      <c r="E21" s="14">
        <f>0.97/100</f>
        <v>0.0097</v>
      </c>
      <c r="F21" s="14">
        <f>E21*F15</f>
        <v>0.242015</v>
      </c>
      <c r="G21" s="14"/>
      <c r="H21" s="14"/>
      <c r="I21" s="18"/>
      <c r="J21" s="18"/>
      <c r="K21" s="14"/>
      <c r="L21" s="14"/>
      <c r="M21" s="14"/>
    </row>
    <row r="22" spans="1:13" ht="31.5">
      <c r="A22" s="15"/>
      <c r="B22" s="15"/>
      <c r="C22" s="16" t="s">
        <v>33</v>
      </c>
      <c r="D22" s="14" t="s">
        <v>31</v>
      </c>
      <c r="E22" s="14"/>
      <c r="F22" s="14">
        <f>F21</f>
        <v>0.242015</v>
      </c>
      <c r="G22" s="14"/>
      <c r="H22" s="14"/>
      <c r="I22" s="18"/>
      <c r="J22" s="18"/>
      <c r="K22" s="18"/>
      <c r="L22" s="14"/>
      <c r="M22" s="14"/>
    </row>
    <row r="23" spans="1:13" ht="18.75">
      <c r="A23" s="15"/>
      <c r="B23" s="15"/>
      <c r="C23" s="16" t="s">
        <v>71</v>
      </c>
      <c r="D23" s="14" t="s">
        <v>29</v>
      </c>
      <c r="E23" s="14">
        <v>1.22</v>
      </c>
      <c r="F23" s="14">
        <f>E23*F15</f>
        <v>30.439</v>
      </c>
      <c r="G23" s="14"/>
      <c r="H23" s="14"/>
      <c r="I23" s="14"/>
      <c r="J23" s="14"/>
      <c r="K23" s="18"/>
      <c r="L23" s="14"/>
      <c r="M23" s="14"/>
    </row>
    <row r="24" spans="1:13" ht="18.75">
      <c r="A24" s="22"/>
      <c r="B24" s="22"/>
      <c r="C24" s="35" t="s">
        <v>59</v>
      </c>
      <c r="D24" s="19" t="s">
        <v>29</v>
      </c>
      <c r="E24" s="19">
        <f>7/100</f>
        <v>0.07</v>
      </c>
      <c r="F24" s="19">
        <f>E24*F15</f>
        <v>1.7465000000000002</v>
      </c>
      <c r="G24" s="19"/>
      <c r="H24" s="19"/>
      <c r="I24" s="19"/>
      <c r="J24" s="19"/>
      <c r="K24" s="20"/>
      <c r="L24" s="19"/>
      <c r="M24" s="19"/>
    </row>
    <row r="25" spans="1:13" ht="63">
      <c r="A25" s="15" t="s">
        <v>65</v>
      </c>
      <c r="B25" s="16" t="s">
        <v>178</v>
      </c>
      <c r="C25" s="21" t="s">
        <v>179</v>
      </c>
      <c r="D25" s="146" t="s">
        <v>29</v>
      </c>
      <c r="E25" s="14"/>
      <c r="F25" s="95">
        <f>F15</f>
        <v>24.95</v>
      </c>
      <c r="G25" s="14"/>
      <c r="H25" s="14"/>
      <c r="I25" s="14"/>
      <c r="J25" s="14"/>
      <c r="K25" s="18"/>
      <c r="L25" s="14"/>
      <c r="M25" s="14"/>
    </row>
    <row r="26" spans="1:13" ht="15.75">
      <c r="A26" s="15"/>
      <c r="B26" s="15"/>
      <c r="C26" s="21" t="s">
        <v>83</v>
      </c>
      <c r="D26" s="14" t="s">
        <v>32</v>
      </c>
      <c r="E26" s="73">
        <f>(1.85+0.21*2)*6/1000</f>
        <v>0.01362</v>
      </c>
      <c r="F26" s="14">
        <f>E26*F25</f>
        <v>0.339819</v>
      </c>
      <c r="G26" s="14"/>
      <c r="H26" s="14"/>
      <c r="I26" s="14"/>
      <c r="J26" s="14"/>
      <c r="K26" s="14"/>
      <c r="L26" s="14"/>
      <c r="M26" s="14"/>
    </row>
    <row r="27" spans="1:13" ht="31.5">
      <c r="A27" s="15"/>
      <c r="B27" s="15"/>
      <c r="C27" s="21" t="s">
        <v>33</v>
      </c>
      <c r="D27" s="14" t="s">
        <v>31</v>
      </c>
      <c r="E27" s="14"/>
      <c r="F27" s="14">
        <f>F26</f>
        <v>0.339819</v>
      </c>
      <c r="G27" s="14"/>
      <c r="H27" s="14"/>
      <c r="I27" s="14"/>
      <c r="J27" s="14"/>
      <c r="K27" s="18"/>
      <c r="L27" s="14"/>
      <c r="M27" s="14"/>
    </row>
    <row r="28" spans="1:13" ht="15.75">
      <c r="A28" s="15"/>
      <c r="B28" s="15"/>
      <c r="C28" s="21" t="s">
        <v>72</v>
      </c>
      <c r="D28" s="14" t="s">
        <v>32</v>
      </c>
      <c r="E28" s="23">
        <f>(10.5+1.02*2)*6/1000</f>
        <v>0.07524</v>
      </c>
      <c r="F28" s="14">
        <f>E28*F25</f>
        <v>1.877238</v>
      </c>
      <c r="G28" s="14"/>
      <c r="H28" s="14"/>
      <c r="I28" s="14"/>
      <c r="J28" s="14"/>
      <c r="K28" s="14"/>
      <c r="L28" s="14"/>
      <c r="M28" s="14"/>
    </row>
    <row r="29" spans="1:13" ht="31.5">
      <c r="A29" s="15"/>
      <c r="B29" s="15"/>
      <c r="C29" s="21" t="s">
        <v>33</v>
      </c>
      <c r="D29" s="14" t="s">
        <v>31</v>
      </c>
      <c r="E29" s="14"/>
      <c r="F29" s="14">
        <f>F28</f>
        <v>1.877238</v>
      </c>
      <c r="G29" s="14"/>
      <c r="H29" s="14"/>
      <c r="I29" s="14"/>
      <c r="J29" s="14"/>
      <c r="K29" s="18"/>
      <c r="L29" s="14"/>
      <c r="M29" s="14"/>
    </row>
    <row r="30" spans="1:13" ht="15.75">
      <c r="A30" s="15"/>
      <c r="B30" s="15"/>
      <c r="C30" s="21" t="s">
        <v>84</v>
      </c>
      <c r="D30" s="14" t="s">
        <v>32</v>
      </c>
      <c r="E30" s="73">
        <f>(1.85+0.21*2)*6/1000</f>
        <v>0.01362</v>
      </c>
      <c r="F30" s="14">
        <f>E30*F25</f>
        <v>0.339819</v>
      </c>
      <c r="G30" s="14"/>
      <c r="H30" s="14"/>
      <c r="I30" s="14"/>
      <c r="J30" s="14"/>
      <c r="K30" s="14"/>
      <c r="L30" s="14"/>
      <c r="M30" s="14"/>
    </row>
    <row r="31" spans="1:13" ht="31.5">
      <c r="A31" s="22"/>
      <c r="B31" s="22"/>
      <c r="C31" s="92" t="s">
        <v>33</v>
      </c>
      <c r="D31" s="19" t="s">
        <v>31</v>
      </c>
      <c r="E31" s="19"/>
      <c r="F31" s="19">
        <f>F30</f>
        <v>0.339819</v>
      </c>
      <c r="G31" s="19"/>
      <c r="H31" s="19"/>
      <c r="I31" s="19"/>
      <c r="J31" s="19"/>
      <c r="K31" s="20"/>
      <c r="L31" s="19"/>
      <c r="M31" s="19"/>
    </row>
    <row r="32" spans="1:13" ht="63">
      <c r="A32" s="134">
        <v>3</v>
      </c>
      <c r="B32" s="96" t="s">
        <v>180</v>
      </c>
      <c r="C32" s="141" t="s">
        <v>143</v>
      </c>
      <c r="D32" s="115" t="s">
        <v>29</v>
      </c>
      <c r="E32" s="115"/>
      <c r="F32" s="139">
        <v>1304.06</v>
      </c>
      <c r="G32" s="115"/>
      <c r="H32" s="115"/>
      <c r="I32" s="115"/>
      <c r="J32" s="115"/>
      <c r="K32" s="115"/>
      <c r="L32" s="115"/>
      <c r="M32" s="134"/>
    </row>
    <row r="33" spans="1:13" ht="15.75">
      <c r="A33" s="15"/>
      <c r="B33" s="15"/>
      <c r="C33" s="21" t="s">
        <v>30</v>
      </c>
      <c r="D33" s="14" t="s">
        <v>31</v>
      </c>
      <c r="E33" s="23">
        <f>20/1000</f>
        <v>0.02</v>
      </c>
      <c r="F33" s="14">
        <f>E33*F32</f>
        <v>26.0812</v>
      </c>
      <c r="G33" s="149"/>
      <c r="H33" s="149"/>
      <c r="I33" s="150"/>
      <c r="J33" s="150"/>
      <c r="K33" s="150"/>
      <c r="L33" s="150"/>
      <c r="M33" s="150"/>
    </row>
    <row r="34" spans="1:13" ht="15.75">
      <c r="A34" s="15"/>
      <c r="B34" s="15"/>
      <c r="C34" s="21" t="s">
        <v>69</v>
      </c>
      <c r="D34" s="14" t="s">
        <v>32</v>
      </c>
      <c r="E34" s="23">
        <f>44.8/1000</f>
        <v>0.0448</v>
      </c>
      <c r="F34" s="14">
        <f>E34*F32</f>
        <v>58.421887999999996</v>
      </c>
      <c r="G34" s="149"/>
      <c r="H34" s="149"/>
      <c r="I34" s="150"/>
      <c r="J34" s="91"/>
      <c r="K34" s="14"/>
      <c r="L34" s="151"/>
      <c r="M34" s="150"/>
    </row>
    <row r="35" spans="1:13" ht="31.5">
      <c r="A35" s="15"/>
      <c r="B35" s="15"/>
      <c r="C35" s="21" t="s">
        <v>33</v>
      </c>
      <c r="D35" s="14" t="s">
        <v>31</v>
      </c>
      <c r="E35" s="14"/>
      <c r="F35" s="93">
        <f>F34</f>
        <v>58.421887999999996</v>
      </c>
      <c r="G35" s="149"/>
      <c r="H35" s="149"/>
      <c r="I35" s="150"/>
      <c r="J35" s="91"/>
      <c r="K35" s="150"/>
      <c r="L35" s="151"/>
      <c r="M35" s="150"/>
    </row>
    <row r="36" spans="1:13" ht="15.75">
      <c r="A36" s="15"/>
      <c r="B36" s="15"/>
      <c r="C36" s="21" t="s">
        <v>40</v>
      </c>
      <c r="D36" s="14" t="s">
        <v>35</v>
      </c>
      <c r="E36" s="23">
        <f>2.1/1000</f>
        <v>0.0021000000000000003</v>
      </c>
      <c r="F36" s="93">
        <f>E36*F32</f>
        <v>2.7385260000000002</v>
      </c>
      <c r="G36" s="14"/>
      <c r="H36" s="14"/>
      <c r="I36" s="14"/>
      <c r="J36" s="14"/>
      <c r="K36" s="14"/>
      <c r="L36" s="14"/>
      <c r="M36" s="14"/>
    </row>
    <row r="37" spans="1:13" ht="31.5">
      <c r="A37" s="85"/>
      <c r="B37" s="71"/>
      <c r="C37" s="90" t="s">
        <v>93</v>
      </c>
      <c r="D37" s="86" t="s">
        <v>36</v>
      </c>
      <c r="E37" s="5"/>
      <c r="F37" s="87">
        <f>F32*1.8</f>
        <v>2347.308</v>
      </c>
      <c r="G37" s="88"/>
      <c r="H37" s="86"/>
      <c r="I37" s="5"/>
      <c r="J37" s="88"/>
      <c r="K37" s="5"/>
      <c r="L37" s="86"/>
      <c r="M37" s="5"/>
    </row>
    <row r="38" spans="1:13" ht="63">
      <c r="A38" s="134">
        <v>4</v>
      </c>
      <c r="B38" s="152" t="s">
        <v>112</v>
      </c>
      <c r="C38" s="141" t="s">
        <v>144</v>
      </c>
      <c r="D38" s="115" t="s">
        <v>29</v>
      </c>
      <c r="E38" s="115"/>
      <c r="F38" s="139">
        <v>144.9</v>
      </c>
      <c r="G38" s="115"/>
      <c r="H38" s="115"/>
      <c r="I38" s="115"/>
      <c r="J38" s="115"/>
      <c r="K38" s="115"/>
      <c r="L38" s="115"/>
      <c r="M38" s="134"/>
    </row>
    <row r="39" spans="1:13" ht="15.75">
      <c r="A39" s="15"/>
      <c r="B39" s="15"/>
      <c r="C39" s="21" t="s">
        <v>30</v>
      </c>
      <c r="D39" s="14" t="s">
        <v>31</v>
      </c>
      <c r="E39" s="149">
        <f>2.06+0.87</f>
        <v>2.93</v>
      </c>
      <c r="F39" s="14">
        <f>E39*F38</f>
        <v>424.557</v>
      </c>
      <c r="G39" s="149"/>
      <c r="H39" s="149"/>
      <c r="I39" s="150"/>
      <c r="J39" s="150"/>
      <c r="K39" s="150"/>
      <c r="L39" s="150"/>
      <c r="M39" s="150"/>
    </row>
    <row r="40" spans="1:13" ht="31.5">
      <c r="A40" s="85"/>
      <c r="B40" s="71"/>
      <c r="C40" s="90" t="s">
        <v>93</v>
      </c>
      <c r="D40" s="86" t="s">
        <v>36</v>
      </c>
      <c r="E40" s="5"/>
      <c r="F40" s="87">
        <f>F38*1.8</f>
        <v>260.82</v>
      </c>
      <c r="G40" s="88"/>
      <c r="H40" s="86"/>
      <c r="I40" s="5"/>
      <c r="J40" s="88"/>
      <c r="K40" s="5"/>
      <c r="L40" s="86"/>
      <c r="M40" s="5"/>
    </row>
    <row r="41" spans="1:13" ht="18.75">
      <c r="A41" s="134">
        <v>5</v>
      </c>
      <c r="B41" s="94" t="s">
        <v>70</v>
      </c>
      <c r="C41" s="130" t="s">
        <v>86</v>
      </c>
      <c r="D41" s="148" t="s">
        <v>29</v>
      </c>
      <c r="E41" s="131"/>
      <c r="F41" s="95">
        <f>F32+F38</f>
        <v>1448.96</v>
      </c>
      <c r="G41" s="131"/>
      <c r="H41" s="131"/>
      <c r="I41" s="131"/>
      <c r="J41" s="131"/>
      <c r="K41" s="131"/>
      <c r="L41" s="131"/>
      <c r="M41" s="131"/>
    </row>
    <row r="42" spans="1:13" ht="15.75">
      <c r="A42" s="77"/>
      <c r="B42" s="77"/>
      <c r="C42" s="21" t="s">
        <v>30</v>
      </c>
      <c r="D42" s="14" t="s">
        <v>31</v>
      </c>
      <c r="E42" s="23">
        <f>3.23/1000</f>
        <v>0.00323</v>
      </c>
      <c r="F42" s="14">
        <f>E42*F41</f>
        <v>4.6801408</v>
      </c>
      <c r="G42" s="70"/>
      <c r="H42" s="70"/>
      <c r="I42" s="69"/>
      <c r="J42" s="69"/>
      <c r="K42" s="69"/>
      <c r="L42" s="69"/>
      <c r="M42" s="70"/>
    </row>
    <row r="43" spans="1:13" ht="15.75">
      <c r="A43" s="15"/>
      <c r="B43" s="15"/>
      <c r="C43" s="21" t="s">
        <v>64</v>
      </c>
      <c r="D43" s="14" t="s">
        <v>32</v>
      </c>
      <c r="E43" s="73">
        <f>3.62/1000</f>
        <v>0.00362</v>
      </c>
      <c r="F43" s="14">
        <f>E43*F41</f>
        <v>5.2452352</v>
      </c>
      <c r="G43" s="14"/>
      <c r="H43" s="14"/>
      <c r="I43" s="14"/>
      <c r="J43" s="14"/>
      <c r="K43" s="14"/>
      <c r="L43" s="14"/>
      <c r="M43" s="14"/>
    </row>
    <row r="44" spans="1:13" ht="31.5">
      <c r="A44" s="15"/>
      <c r="B44" s="15"/>
      <c r="C44" s="21" t="s">
        <v>33</v>
      </c>
      <c r="D44" s="14" t="s">
        <v>31</v>
      </c>
      <c r="E44" s="14"/>
      <c r="F44" s="14">
        <f>F43</f>
        <v>5.2452352</v>
      </c>
      <c r="G44" s="14"/>
      <c r="H44" s="14"/>
      <c r="I44" s="14"/>
      <c r="J44" s="14"/>
      <c r="K44" s="18"/>
      <c r="L44" s="18"/>
      <c r="M44" s="14"/>
    </row>
    <row r="45" spans="1:13" ht="15.75">
      <c r="A45" s="72"/>
      <c r="B45" s="72"/>
      <c r="C45" s="76" t="s">
        <v>40</v>
      </c>
      <c r="D45" s="72" t="s">
        <v>35</v>
      </c>
      <c r="E45" s="89">
        <f>0.18/1000</f>
        <v>0.00017999999999999998</v>
      </c>
      <c r="F45" s="19">
        <f>E45*F41</f>
        <v>0.2608128</v>
      </c>
      <c r="G45" s="72"/>
      <c r="H45" s="72"/>
      <c r="I45" s="72"/>
      <c r="J45" s="72"/>
      <c r="K45" s="78"/>
      <c r="L45" s="19"/>
      <c r="M45" s="19"/>
    </row>
    <row r="46" spans="1:13" ht="15.75">
      <c r="A46" s="37"/>
      <c r="B46" s="15"/>
      <c r="C46" s="30" t="s">
        <v>12</v>
      </c>
      <c r="D46" s="26" t="s">
        <v>35</v>
      </c>
      <c r="E46" s="14"/>
      <c r="F46" s="14"/>
      <c r="G46" s="14"/>
      <c r="H46" s="14"/>
      <c r="I46" s="14"/>
      <c r="J46" s="14"/>
      <c r="K46" s="18"/>
      <c r="L46" s="14"/>
      <c r="M46" s="14"/>
    </row>
    <row r="47" spans="1:13" ht="31.5">
      <c r="A47" s="37"/>
      <c r="B47" s="15"/>
      <c r="C47" s="24" t="s">
        <v>94</v>
      </c>
      <c r="D47" s="26" t="s">
        <v>35</v>
      </c>
      <c r="E47" s="14">
        <v>0.05</v>
      </c>
      <c r="F47" s="14"/>
      <c r="G47" s="14"/>
      <c r="H47" s="14"/>
      <c r="I47" s="14"/>
      <c r="J47" s="14"/>
      <c r="K47" s="18"/>
      <c r="L47" s="14"/>
      <c r="M47" s="14"/>
    </row>
    <row r="48" spans="1:13" ht="15.75">
      <c r="A48" s="37"/>
      <c r="B48" s="15"/>
      <c r="C48" s="30" t="s">
        <v>12</v>
      </c>
      <c r="D48" s="26" t="s">
        <v>35</v>
      </c>
      <c r="E48" s="14"/>
      <c r="F48" s="14"/>
      <c r="G48" s="14"/>
      <c r="H48" s="14"/>
      <c r="I48" s="14"/>
      <c r="J48" s="14"/>
      <c r="K48" s="18"/>
      <c r="L48" s="14"/>
      <c r="M48" s="14"/>
    </row>
    <row r="49" spans="1:13" ht="15.75">
      <c r="A49" s="143"/>
      <c r="B49" s="74"/>
      <c r="C49" s="25" t="s">
        <v>37</v>
      </c>
      <c r="D49" s="26" t="s">
        <v>35</v>
      </c>
      <c r="E49" s="27">
        <v>0.1</v>
      </c>
      <c r="F49" s="28"/>
      <c r="G49" s="29"/>
      <c r="H49" s="27"/>
      <c r="I49" s="27"/>
      <c r="J49" s="27"/>
      <c r="K49" s="27"/>
      <c r="L49" s="27"/>
      <c r="M49" s="27"/>
    </row>
    <row r="50" spans="1:13" ht="15.75">
      <c r="A50" s="144"/>
      <c r="B50" s="74"/>
      <c r="C50" s="30" t="s">
        <v>12</v>
      </c>
      <c r="D50" s="26" t="s">
        <v>35</v>
      </c>
      <c r="E50" s="31"/>
      <c r="F50" s="30"/>
      <c r="G50" s="30"/>
      <c r="H50" s="31"/>
      <c r="I50" s="31"/>
      <c r="J50" s="31"/>
      <c r="K50" s="31"/>
      <c r="L50" s="31"/>
      <c r="M50" s="31"/>
    </row>
    <row r="51" spans="1:13" ht="15.75">
      <c r="A51" s="143"/>
      <c r="B51" s="74"/>
      <c r="C51" s="24" t="s">
        <v>38</v>
      </c>
      <c r="D51" s="26" t="s">
        <v>35</v>
      </c>
      <c r="E51" s="27">
        <v>0.08</v>
      </c>
      <c r="F51" s="32"/>
      <c r="G51" s="27"/>
      <c r="H51" s="27"/>
      <c r="I51" s="27"/>
      <c r="J51" s="27"/>
      <c r="K51" s="27"/>
      <c r="L51" s="27"/>
      <c r="M51" s="27"/>
    </row>
    <row r="52" spans="1:13" ht="15.75">
      <c r="A52" s="145"/>
      <c r="B52" s="75"/>
      <c r="C52" s="33" t="s">
        <v>12</v>
      </c>
      <c r="D52" s="34" t="s">
        <v>35</v>
      </c>
      <c r="E52" s="33"/>
      <c r="F52" s="33"/>
      <c r="G52" s="33"/>
      <c r="H52" s="36"/>
      <c r="I52" s="36"/>
      <c r="J52" s="36"/>
      <c r="K52" s="36"/>
      <c r="L52" s="36"/>
      <c r="M52" s="36"/>
    </row>
  </sheetData>
  <sheetProtection/>
  <mergeCells count="24">
    <mergeCell ref="A1:M1"/>
    <mergeCell ref="A3:M3"/>
    <mergeCell ref="A4:M4"/>
    <mergeCell ref="A5:M5"/>
    <mergeCell ref="A6:M6"/>
    <mergeCell ref="B7:D7"/>
    <mergeCell ref="F7:I7"/>
    <mergeCell ref="B8:C8"/>
    <mergeCell ref="F8:I8"/>
    <mergeCell ref="A10:A13"/>
    <mergeCell ref="B10:B13"/>
    <mergeCell ref="C10:C13"/>
    <mergeCell ref="D10:F11"/>
    <mergeCell ref="G10:H11"/>
    <mergeCell ref="I10:J11"/>
    <mergeCell ref="K10:L10"/>
    <mergeCell ref="M10:M13"/>
    <mergeCell ref="K11:L11"/>
    <mergeCell ref="D12:D13"/>
    <mergeCell ref="E12:E13"/>
    <mergeCell ref="F12:F13"/>
    <mergeCell ref="H12:H13"/>
    <mergeCell ref="J12:J13"/>
    <mergeCell ref="L12:L13"/>
  </mergeCells>
  <printOptions/>
  <pageMargins left="0.7" right="0.7" top="0.75" bottom="0.75" header="0.3" footer="0.3"/>
  <pageSetup horizontalDpi="600" verticalDpi="600" orientation="portrait" scale="5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N58"/>
  <sheetViews>
    <sheetView view="pageBreakPreview" zoomScale="85" zoomScaleSheetLayoutView="85" zoomScalePageLayoutView="0" workbookViewId="0" topLeftCell="A1">
      <selection activeCell="G15" sqref="G15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3.140625" style="2" customWidth="1"/>
    <col min="4" max="4" width="8.28125" style="12" customWidth="1"/>
    <col min="5" max="5" width="9.00390625" style="12" customWidth="1"/>
    <col min="6" max="6" width="9.57421875" style="12" bestFit="1" customWidth="1"/>
    <col min="7" max="7" width="7.7109375" style="12" customWidth="1"/>
    <col min="8" max="8" width="11.28125" style="12" customWidth="1"/>
    <col min="9" max="9" width="9.00390625" style="12" customWidth="1"/>
    <col min="10" max="10" width="11.00390625" style="12" bestFit="1" customWidth="1"/>
    <col min="11" max="11" width="8.8515625" style="12" bestFit="1" customWidth="1"/>
    <col min="12" max="12" width="11.140625" style="12" customWidth="1"/>
    <col min="13" max="13" width="12.28125" style="12" customWidth="1"/>
    <col min="14" max="16384" width="9.00390625" style="17" customWidth="1"/>
  </cols>
  <sheetData>
    <row r="1" spans="1:14" ht="42" customHeight="1">
      <c r="A1" s="348" t="str">
        <f>'x.a.2'!A1</f>
        <v>tyibulis municipalitetSi, sof. muxuraSi betonis safariani gzis mowyobis samuSaoebi (gza #1)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79"/>
    </row>
    <row r="2" spans="1:14" ht="15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9"/>
    </row>
    <row r="3" spans="1:13" ht="15.75">
      <c r="A3" s="349" t="s">
        <v>91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ht="15.7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3" ht="15.75">
      <c r="A5" s="350" t="s">
        <v>117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ht="15.7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1:13" ht="31.5">
      <c r="A7" s="2"/>
      <c r="B7" s="336" t="s">
        <v>28</v>
      </c>
      <c r="C7" s="336"/>
      <c r="D7" s="353"/>
      <c r="E7" s="3"/>
      <c r="F7" s="337" t="s">
        <v>1</v>
      </c>
      <c r="G7" s="337"/>
      <c r="H7" s="337"/>
      <c r="I7" s="337"/>
      <c r="J7" s="3">
        <f>M58/1000</f>
        <v>0</v>
      </c>
      <c r="K7" s="3" t="s">
        <v>0</v>
      </c>
      <c r="L7" s="3"/>
      <c r="M7" s="3"/>
    </row>
    <row r="8" spans="1:13" ht="15.75">
      <c r="A8" s="2"/>
      <c r="B8" s="336" t="s">
        <v>97</v>
      </c>
      <c r="C8" s="336"/>
      <c r="D8" s="3"/>
      <c r="E8" s="3"/>
      <c r="F8" s="337"/>
      <c r="G8" s="337"/>
      <c r="H8" s="337"/>
      <c r="I8" s="337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338" t="s">
        <v>2</v>
      </c>
      <c r="B10" s="339" t="s">
        <v>3</v>
      </c>
      <c r="C10" s="288" t="s">
        <v>27</v>
      </c>
      <c r="D10" s="326" t="s">
        <v>4</v>
      </c>
      <c r="E10" s="342"/>
      <c r="F10" s="328"/>
      <c r="G10" s="326" t="s">
        <v>5</v>
      </c>
      <c r="H10" s="327"/>
      <c r="I10" s="326" t="s">
        <v>6</v>
      </c>
      <c r="J10" s="346"/>
      <c r="K10" s="326" t="s">
        <v>7</v>
      </c>
      <c r="L10" s="327"/>
      <c r="M10" s="328" t="s">
        <v>8</v>
      </c>
    </row>
    <row r="11" spans="1:13" ht="15.75">
      <c r="A11" s="292"/>
      <c r="B11" s="340"/>
      <c r="C11" s="289"/>
      <c r="D11" s="332"/>
      <c r="E11" s="343"/>
      <c r="F11" s="344"/>
      <c r="G11" s="345"/>
      <c r="H11" s="333"/>
      <c r="I11" s="345"/>
      <c r="J11" s="347"/>
      <c r="K11" s="332" t="s">
        <v>9</v>
      </c>
      <c r="L11" s="333"/>
      <c r="M11" s="329"/>
    </row>
    <row r="12" spans="1:13" ht="15.75">
      <c r="A12" s="292"/>
      <c r="B12" s="340"/>
      <c r="C12" s="289"/>
      <c r="D12" s="334" t="s">
        <v>10</v>
      </c>
      <c r="E12" s="334" t="s">
        <v>11</v>
      </c>
      <c r="F12" s="334" t="s">
        <v>12</v>
      </c>
      <c r="G12" s="4" t="s">
        <v>11</v>
      </c>
      <c r="H12" s="334" t="s">
        <v>12</v>
      </c>
      <c r="I12" s="4" t="s">
        <v>11</v>
      </c>
      <c r="J12" s="334" t="s">
        <v>12</v>
      </c>
      <c r="K12" s="4" t="s">
        <v>11</v>
      </c>
      <c r="L12" s="334" t="s">
        <v>12</v>
      </c>
      <c r="M12" s="330"/>
    </row>
    <row r="13" spans="1:13" ht="15.75">
      <c r="A13" s="293"/>
      <c r="B13" s="341"/>
      <c r="C13" s="290"/>
      <c r="D13" s="335"/>
      <c r="E13" s="335"/>
      <c r="F13" s="335"/>
      <c r="G13" s="5" t="s">
        <v>13</v>
      </c>
      <c r="H13" s="335"/>
      <c r="I13" s="5" t="s">
        <v>13</v>
      </c>
      <c r="J13" s="335"/>
      <c r="K13" s="5" t="s">
        <v>13</v>
      </c>
      <c r="L13" s="335"/>
      <c r="M13" s="331"/>
    </row>
    <row r="14" spans="1:13" ht="15.75">
      <c r="A14" s="51">
        <v>1</v>
      </c>
      <c r="B14" s="132" t="s">
        <v>65</v>
      </c>
      <c r="C14" s="133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  <c r="J14" s="132">
        <v>10</v>
      </c>
      <c r="K14" s="132">
        <v>11</v>
      </c>
      <c r="L14" s="132">
        <v>12</v>
      </c>
      <c r="M14" s="51">
        <v>13</v>
      </c>
    </row>
    <row r="15" spans="1:13" ht="47.25">
      <c r="A15" s="134">
        <v>1</v>
      </c>
      <c r="B15" s="96" t="s">
        <v>87</v>
      </c>
      <c r="C15" s="141" t="s">
        <v>167</v>
      </c>
      <c r="D15" s="14" t="s">
        <v>29</v>
      </c>
      <c r="E15" s="115"/>
      <c r="F15" s="139">
        <f>5505.15*0.12</f>
        <v>660.6179999999999</v>
      </c>
      <c r="G15" s="115"/>
      <c r="H15" s="115"/>
      <c r="I15" s="115"/>
      <c r="J15" s="115"/>
      <c r="K15" s="115"/>
      <c r="L15" s="115"/>
      <c r="M15" s="134"/>
    </row>
    <row r="16" spans="1:13" ht="15.75">
      <c r="A16" s="15"/>
      <c r="B16" s="15"/>
      <c r="C16" s="16" t="s">
        <v>30</v>
      </c>
      <c r="D16" s="14" t="s">
        <v>31</v>
      </c>
      <c r="E16" s="23">
        <f>21.6/100</f>
        <v>0.21600000000000003</v>
      </c>
      <c r="F16" s="14">
        <f>E16*F15</f>
        <v>142.693488</v>
      </c>
      <c r="G16" s="14"/>
      <c r="H16" s="14"/>
      <c r="I16" s="18"/>
      <c r="J16" s="18"/>
      <c r="K16" s="18"/>
      <c r="L16" s="18"/>
      <c r="M16" s="14"/>
    </row>
    <row r="17" spans="1:13" ht="31.5">
      <c r="A17" s="15"/>
      <c r="B17" s="15"/>
      <c r="C17" s="16" t="s">
        <v>85</v>
      </c>
      <c r="D17" s="14" t="s">
        <v>32</v>
      </c>
      <c r="E17" s="23">
        <f>1.24/100</f>
        <v>0.0124</v>
      </c>
      <c r="F17" s="14">
        <f>E17*F15</f>
        <v>8.191663199999999</v>
      </c>
      <c r="G17" s="14"/>
      <c r="H17" s="18"/>
      <c r="I17" s="18"/>
      <c r="J17" s="18"/>
      <c r="K17" s="14"/>
      <c r="L17" s="14"/>
      <c r="M17" s="14"/>
    </row>
    <row r="18" spans="1:13" ht="31.5">
      <c r="A18" s="15"/>
      <c r="B18" s="15"/>
      <c r="C18" s="16" t="s">
        <v>33</v>
      </c>
      <c r="D18" s="14" t="s">
        <v>31</v>
      </c>
      <c r="E18" s="14"/>
      <c r="F18" s="14">
        <f>F17</f>
        <v>8.191663199999999</v>
      </c>
      <c r="G18" s="14"/>
      <c r="H18" s="14"/>
      <c r="I18" s="14"/>
      <c r="J18" s="14"/>
      <c r="K18" s="14"/>
      <c r="L18" s="14"/>
      <c r="M18" s="14"/>
    </row>
    <row r="19" spans="1:13" ht="15.75">
      <c r="A19" s="15"/>
      <c r="B19" s="15"/>
      <c r="C19" s="16" t="s">
        <v>72</v>
      </c>
      <c r="D19" s="14" t="s">
        <v>32</v>
      </c>
      <c r="E19" s="23">
        <f>2.58/100</f>
        <v>0.0258</v>
      </c>
      <c r="F19" s="14">
        <f>E19*F15</f>
        <v>17.043944399999997</v>
      </c>
      <c r="G19" s="14"/>
      <c r="H19" s="14"/>
      <c r="I19" s="14"/>
      <c r="J19" s="14"/>
      <c r="K19" s="14"/>
      <c r="L19" s="14"/>
      <c r="M19" s="14"/>
    </row>
    <row r="20" spans="1:13" ht="31.5">
      <c r="A20" s="15"/>
      <c r="B20" s="15"/>
      <c r="C20" s="16" t="s">
        <v>33</v>
      </c>
      <c r="D20" s="14" t="s">
        <v>31</v>
      </c>
      <c r="E20" s="14"/>
      <c r="F20" s="14">
        <f>F19</f>
        <v>17.043944399999997</v>
      </c>
      <c r="G20" s="14"/>
      <c r="H20" s="14"/>
      <c r="I20" s="14"/>
      <c r="J20" s="14"/>
      <c r="K20" s="14"/>
      <c r="L20" s="14"/>
      <c r="M20" s="14"/>
    </row>
    <row r="21" spans="1:13" ht="31.5">
      <c r="A21" s="15"/>
      <c r="B21" s="15"/>
      <c r="C21" s="16" t="s">
        <v>88</v>
      </c>
      <c r="D21" s="14" t="s">
        <v>32</v>
      </c>
      <c r="E21" s="23">
        <f>0.41/100</f>
        <v>0.0040999999999999995</v>
      </c>
      <c r="F21" s="23">
        <f>E21*F15</f>
        <v>2.708533799999999</v>
      </c>
      <c r="G21" s="14"/>
      <c r="H21" s="14"/>
      <c r="I21" s="14"/>
      <c r="J21" s="14"/>
      <c r="K21" s="14"/>
      <c r="L21" s="14"/>
      <c r="M21" s="14"/>
    </row>
    <row r="22" spans="1:13" ht="31.5">
      <c r="A22" s="15"/>
      <c r="B22" s="15"/>
      <c r="C22" s="16" t="s">
        <v>33</v>
      </c>
      <c r="D22" s="14" t="s">
        <v>31</v>
      </c>
      <c r="E22" s="14"/>
      <c r="F22" s="23">
        <f>F21</f>
        <v>2.708533799999999</v>
      </c>
      <c r="G22" s="14"/>
      <c r="H22" s="14"/>
      <c r="I22" s="14"/>
      <c r="J22" s="14"/>
      <c r="K22" s="14"/>
      <c r="L22" s="14"/>
      <c r="M22" s="14"/>
    </row>
    <row r="23" spans="1:13" ht="31.5">
      <c r="A23" s="15"/>
      <c r="B23" s="15"/>
      <c r="C23" s="16" t="s">
        <v>60</v>
      </c>
      <c r="D23" s="14" t="s">
        <v>32</v>
      </c>
      <c r="E23" s="23">
        <f>7.6/100</f>
        <v>0.076</v>
      </c>
      <c r="F23" s="14">
        <f>E23*F15</f>
        <v>50.206967999999996</v>
      </c>
      <c r="G23" s="14"/>
      <c r="H23" s="14"/>
      <c r="I23" s="14"/>
      <c r="J23" s="14"/>
      <c r="K23" s="14"/>
      <c r="L23" s="14"/>
      <c r="M23" s="14"/>
    </row>
    <row r="24" spans="1:13" ht="31.5">
      <c r="A24" s="15"/>
      <c r="B24" s="15"/>
      <c r="C24" s="16" t="s">
        <v>33</v>
      </c>
      <c r="D24" s="14" t="s">
        <v>31</v>
      </c>
      <c r="E24" s="14"/>
      <c r="F24" s="14">
        <f>F23</f>
        <v>50.206967999999996</v>
      </c>
      <c r="G24" s="14"/>
      <c r="H24" s="14"/>
      <c r="I24" s="14"/>
      <c r="J24" s="14"/>
      <c r="K24" s="14"/>
      <c r="L24" s="14"/>
      <c r="M24" s="14"/>
    </row>
    <row r="25" spans="1:13" ht="15.75">
      <c r="A25" s="15"/>
      <c r="B25" s="15"/>
      <c r="C25" s="16" t="s">
        <v>61</v>
      </c>
      <c r="D25" s="14" t="s">
        <v>32</v>
      </c>
      <c r="E25" s="23">
        <f>15.1/100</f>
        <v>0.151</v>
      </c>
      <c r="F25" s="14">
        <f>E25*F15</f>
        <v>99.753318</v>
      </c>
      <c r="G25" s="14"/>
      <c r="H25" s="14"/>
      <c r="I25" s="14"/>
      <c r="J25" s="14"/>
      <c r="K25" s="14"/>
      <c r="L25" s="14"/>
      <c r="M25" s="14"/>
    </row>
    <row r="26" spans="1:13" ht="31.5">
      <c r="A26" s="15"/>
      <c r="B26" s="15"/>
      <c r="C26" s="16" t="s">
        <v>33</v>
      </c>
      <c r="D26" s="14" t="s">
        <v>31</v>
      </c>
      <c r="E26" s="14"/>
      <c r="F26" s="14">
        <f>F25</f>
        <v>99.753318</v>
      </c>
      <c r="G26" s="14"/>
      <c r="H26" s="14"/>
      <c r="I26" s="14"/>
      <c r="J26" s="14"/>
      <c r="K26" s="14"/>
      <c r="L26" s="14"/>
      <c r="M26" s="14"/>
    </row>
    <row r="27" spans="1:13" ht="31.5">
      <c r="A27" s="15"/>
      <c r="B27" s="15"/>
      <c r="C27" s="16" t="s">
        <v>34</v>
      </c>
      <c r="D27" s="14" t="s">
        <v>32</v>
      </c>
      <c r="E27" s="23">
        <f>0.97/100</f>
        <v>0.0097</v>
      </c>
      <c r="F27" s="14">
        <f>E27*F15</f>
        <v>6.407994599999999</v>
      </c>
      <c r="G27" s="14"/>
      <c r="H27" s="14"/>
      <c r="I27" s="14"/>
      <c r="J27" s="14"/>
      <c r="K27" s="14"/>
      <c r="L27" s="14"/>
      <c r="M27" s="14"/>
    </row>
    <row r="28" spans="1:13" ht="31.5">
      <c r="A28" s="15"/>
      <c r="B28" s="15"/>
      <c r="C28" s="16" t="s">
        <v>33</v>
      </c>
      <c r="D28" s="14" t="s">
        <v>31</v>
      </c>
      <c r="E28" s="14"/>
      <c r="F28" s="14">
        <f>F27</f>
        <v>6.407994599999999</v>
      </c>
      <c r="G28" s="14"/>
      <c r="H28" s="14"/>
      <c r="I28" s="14"/>
      <c r="J28" s="14"/>
      <c r="K28" s="14"/>
      <c r="L28" s="14"/>
      <c r="M28" s="14"/>
    </row>
    <row r="29" spans="1:13" ht="18.75">
      <c r="A29" s="15"/>
      <c r="B29" s="15"/>
      <c r="C29" s="16" t="s">
        <v>89</v>
      </c>
      <c r="D29" s="14" t="s">
        <v>29</v>
      </c>
      <c r="E29" s="14">
        <v>1.26</v>
      </c>
      <c r="F29" s="14">
        <f>E29*F15</f>
        <v>832.3786799999999</v>
      </c>
      <c r="G29" s="14"/>
      <c r="H29" s="14"/>
      <c r="I29" s="14"/>
      <c r="J29" s="14"/>
      <c r="K29" s="14"/>
      <c r="L29" s="14"/>
      <c r="M29" s="14"/>
    </row>
    <row r="30" spans="1:13" ht="18.75">
      <c r="A30" s="22"/>
      <c r="B30" s="22"/>
      <c r="C30" s="35" t="s">
        <v>59</v>
      </c>
      <c r="D30" s="19" t="s">
        <v>29</v>
      </c>
      <c r="E30" s="39">
        <f>7/100</f>
        <v>0.07</v>
      </c>
      <c r="F30" s="19">
        <f>E30*F15</f>
        <v>46.24326</v>
      </c>
      <c r="G30" s="19"/>
      <c r="H30" s="19"/>
      <c r="I30" s="19"/>
      <c r="J30" s="19"/>
      <c r="K30" s="19"/>
      <c r="L30" s="19"/>
      <c r="M30" s="19"/>
    </row>
    <row r="31" spans="1:13" ht="31.5">
      <c r="A31" s="15" t="s">
        <v>65</v>
      </c>
      <c r="B31" s="159" t="s">
        <v>104</v>
      </c>
      <c r="C31" s="16" t="s">
        <v>113</v>
      </c>
      <c r="D31" s="14" t="s">
        <v>58</v>
      </c>
      <c r="E31" s="23"/>
      <c r="F31" s="95">
        <v>5145</v>
      </c>
      <c r="G31" s="14"/>
      <c r="H31" s="14"/>
      <c r="I31" s="14"/>
      <c r="J31" s="14"/>
      <c r="K31" s="14"/>
      <c r="L31" s="14"/>
      <c r="M31" s="14"/>
    </row>
    <row r="32" spans="1:13" ht="15.75">
      <c r="A32" s="158"/>
      <c r="B32" s="159"/>
      <c r="C32" s="160" t="s">
        <v>30</v>
      </c>
      <c r="D32" s="14" t="s">
        <v>31</v>
      </c>
      <c r="E32" s="161">
        <v>0.182</v>
      </c>
      <c r="F32" s="31">
        <f>E32*F31</f>
        <v>936.39</v>
      </c>
      <c r="G32" s="31"/>
      <c r="H32" s="31"/>
      <c r="I32" s="31"/>
      <c r="J32" s="31"/>
      <c r="K32" s="31"/>
      <c r="L32" s="31"/>
      <c r="M32" s="31"/>
    </row>
    <row r="33" spans="1:13" ht="31.5">
      <c r="A33" s="158"/>
      <c r="B33" s="15"/>
      <c r="C33" s="24" t="s">
        <v>98</v>
      </c>
      <c r="D33" s="14" t="s">
        <v>32</v>
      </c>
      <c r="E33" s="158">
        <f>6.6/1000</f>
        <v>0.0066</v>
      </c>
      <c r="F33" s="31">
        <f>E33*F31</f>
        <v>33.957</v>
      </c>
      <c r="G33" s="31"/>
      <c r="H33" s="31"/>
      <c r="I33" s="31"/>
      <c r="J33" s="31"/>
      <c r="K33" s="31"/>
      <c r="L33" s="31"/>
      <c r="M33" s="31"/>
    </row>
    <row r="34" spans="1:13" ht="31.5">
      <c r="A34" s="158"/>
      <c r="B34" s="159"/>
      <c r="C34" s="160" t="s">
        <v>33</v>
      </c>
      <c r="D34" s="14" t="s">
        <v>31</v>
      </c>
      <c r="E34" s="30"/>
      <c r="F34" s="31">
        <f>F33</f>
        <v>33.957</v>
      </c>
      <c r="G34" s="31"/>
      <c r="H34" s="31"/>
      <c r="I34" s="31"/>
      <c r="J34" s="31"/>
      <c r="K34" s="31"/>
      <c r="L34" s="31"/>
      <c r="M34" s="31"/>
    </row>
    <row r="35" spans="1:13" ht="31.5">
      <c r="A35" s="158"/>
      <c r="B35" s="15"/>
      <c r="C35" s="160" t="s">
        <v>99</v>
      </c>
      <c r="D35" s="14" t="s">
        <v>32</v>
      </c>
      <c r="E35" s="158">
        <f>6.6/1000</f>
        <v>0.0066</v>
      </c>
      <c r="F35" s="31">
        <f>E35*F31</f>
        <v>33.957</v>
      </c>
      <c r="G35" s="31"/>
      <c r="H35" s="31"/>
      <c r="I35" s="31"/>
      <c r="J35" s="31"/>
      <c r="K35" s="31"/>
      <c r="L35" s="31"/>
      <c r="M35" s="31"/>
    </row>
    <row r="36" spans="1:13" ht="31.5">
      <c r="A36" s="158"/>
      <c r="B36" s="159"/>
      <c r="C36" s="160" t="s">
        <v>33</v>
      </c>
      <c r="D36" s="14" t="s">
        <v>31</v>
      </c>
      <c r="E36" s="30"/>
      <c r="F36" s="31">
        <f>F35</f>
        <v>33.957</v>
      </c>
      <c r="G36" s="31"/>
      <c r="H36" s="31"/>
      <c r="I36" s="31"/>
      <c r="J36" s="31"/>
      <c r="K36" s="31"/>
      <c r="L36" s="31"/>
      <c r="M36" s="31"/>
    </row>
    <row r="37" spans="1:13" ht="31.5">
      <c r="A37" s="158"/>
      <c r="B37" s="15"/>
      <c r="C37" s="24" t="s">
        <v>100</v>
      </c>
      <c r="D37" s="14" t="s">
        <v>32</v>
      </c>
      <c r="E37" s="158">
        <f>18.6/1000</f>
        <v>0.018600000000000002</v>
      </c>
      <c r="F37" s="31">
        <f>E37*F31</f>
        <v>95.69700000000002</v>
      </c>
      <c r="G37" s="31"/>
      <c r="H37" s="31"/>
      <c r="I37" s="31"/>
      <c r="J37" s="31"/>
      <c r="K37" s="31"/>
      <c r="L37" s="31"/>
      <c r="M37" s="31"/>
    </row>
    <row r="38" spans="1:13" ht="31.5">
      <c r="A38" s="158"/>
      <c r="B38" s="159"/>
      <c r="C38" s="160" t="s">
        <v>33</v>
      </c>
      <c r="D38" s="14" t="s">
        <v>31</v>
      </c>
      <c r="E38" s="30"/>
      <c r="F38" s="31">
        <f>F37</f>
        <v>95.69700000000002</v>
      </c>
      <c r="G38" s="31"/>
      <c r="H38" s="31"/>
      <c r="I38" s="31"/>
      <c r="J38" s="31"/>
      <c r="K38" s="31"/>
      <c r="L38" s="31"/>
      <c r="M38" s="31"/>
    </row>
    <row r="39" spans="1:13" ht="31.5">
      <c r="A39" s="158"/>
      <c r="B39" s="15"/>
      <c r="C39" s="24" t="s">
        <v>101</v>
      </c>
      <c r="D39" s="14" t="s">
        <v>32</v>
      </c>
      <c r="E39" s="162">
        <f>6.7/1000</f>
        <v>0.0067</v>
      </c>
      <c r="F39" s="31">
        <f>E39*F31</f>
        <v>34.4715</v>
      </c>
      <c r="G39" s="31"/>
      <c r="H39" s="31"/>
      <c r="I39" s="31"/>
      <c r="J39" s="31"/>
      <c r="K39" s="31"/>
      <c r="L39" s="31"/>
      <c r="M39" s="31"/>
    </row>
    <row r="40" spans="1:13" ht="31.5">
      <c r="A40" s="158"/>
      <c r="B40" s="159"/>
      <c r="C40" s="160" t="s">
        <v>33</v>
      </c>
      <c r="D40" s="14" t="s">
        <v>31</v>
      </c>
      <c r="E40" s="30"/>
      <c r="F40" s="31">
        <f>F39</f>
        <v>34.4715</v>
      </c>
      <c r="G40" s="31"/>
      <c r="H40" s="31"/>
      <c r="I40" s="31"/>
      <c r="J40" s="31"/>
      <c r="K40" s="31"/>
      <c r="L40" s="31"/>
      <c r="M40" s="31"/>
    </row>
    <row r="41" spans="1:13" ht="15.75">
      <c r="A41" s="158"/>
      <c r="B41" s="159"/>
      <c r="C41" s="24" t="s">
        <v>40</v>
      </c>
      <c r="D41" s="30" t="s">
        <v>35</v>
      </c>
      <c r="E41" s="30">
        <f>22.9/1000</f>
        <v>0.0229</v>
      </c>
      <c r="F41" s="31">
        <f>E41*F31</f>
        <v>117.8205</v>
      </c>
      <c r="G41" s="31"/>
      <c r="H41" s="31"/>
      <c r="I41" s="31"/>
      <c r="J41" s="31"/>
      <c r="K41" s="31"/>
      <c r="L41" s="31"/>
      <c r="M41" s="31"/>
    </row>
    <row r="42" spans="1:13" ht="18.75">
      <c r="A42" s="158"/>
      <c r="B42" s="159"/>
      <c r="C42" s="24" t="s">
        <v>114</v>
      </c>
      <c r="D42" s="30" t="s">
        <v>29</v>
      </c>
      <c r="E42" s="170" t="s">
        <v>63</v>
      </c>
      <c r="F42" s="31">
        <v>823.2</v>
      </c>
      <c r="G42" s="31"/>
      <c r="H42" s="31"/>
      <c r="I42" s="31"/>
      <c r="J42" s="31"/>
      <c r="K42" s="31"/>
      <c r="L42" s="31"/>
      <c r="M42" s="31"/>
    </row>
    <row r="43" spans="1:13" ht="15.75">
      <c r="A43" s="158"/>
      <c r="B43" s="159"/>
      <c r="C43" s="24" t="s">
        <v>105</v>
      </c>
      <c r="D43" s="30" t="s">
        <v>36</v>
      </c>
      <c r="E43" s="170" t="s">
        <v>63</v>
      </c>
      <c r="F43" s="163">
        <v>20.32</v>
      </c>
      <c r="G43" s="31"/>
      <c r="H43" s="31"/>
      <c r="I43" s="31"/>
      <c r="J43" s="31"/>
      <c r="K43" s="31"/>
      <c r="L43" s="31"/>
      <c r="M43" s="31"/>
    </row>
    <row r="44" spans="1:13" ht="15.75">
      <c r="A44" s="158"/>
      <c r="B44" s="159"/>
      <c r="C44" s="24" t="s">
        <v>102</v>
      </c>
      <c r="D44" s="30" t="s">
        <v>36</v>
      </c>
      <c r="E44" s="30">
        <f>0.11/1000</f>
        <v>0.00011</v>
      </c>
      <c r="F44" s="163">
        <f>E44*F31</f>
        <v>0.5659500000000001</v>
      </c>
      <c r="G44" s="31"/>
      <c r="H44" s="31"/>
      <c r="I44" s="31"/>
      <c r="J44" s="31"/>
      <c r="K44" s="31"/>
      <c r="L44" s="31"/>
      <c r="M44" s="31"/>
    </row>
    <row r="45" spans="1:13" ht="15.75">
      <c r="A45" s="158"/>
      <c r="B45" s="15"/>
      <c r="C45" s="24" t="s">
        <v>103</v>
      </c>
      <c r="D45" s="30" t="s">
        <v>36</v>
      </c>
      <c r="E45" s="30">
        <f>0.5/1000</f>
        <v>0.0005</v>
      </c>
      <c r="F45" s="163">
        <f>E45*F31</f>
        <v>2.5725000000000002</v>
      </c>
      <c r="G45" s="31"/>
      <c r="H45" s="31"/>
      <c r="I45" s="31"/>
      <c r="J45" s="31"/>
      <c r="K45" s="31"/>
      <c r="L45" s="31"/>
      <c r="M45" s="31"/>
    </row>
    <row r="46" spans="1:13" ht="15.75">
      <c r="A46" s="164"/>
      <c r="B46" s="165"/>
      <c r="C46" s="166" t="s">
        <v>41</v>
      </c>
      <c r="D46" s="33" t="s">
        <v>35</v>
      </c>
      <c r="E46" s="33">
        <f>18.5/1000</f>
        <v>0.0185</v>
      </c>
      <c r="F46" s="167">
        <f>E46*F31</f>
        <v>95.18249999999999</v>
      </c>
      <c r="G46" s="167"/>
      <c r="H46" s="167"/>
      <c r="I46" s="167"/>
      <c r="J46" s="167"/>
      <c r="K46" s="167"/>
      <c r="L46" s="167"/>
      <c r="M46" s="167"/>
    </row>
    <row r="47" spans="1:13" ht="47.25">
      <c r="A47" s="15" t="s">
        <v>115</v>
      </c>
      <c r="B47" s="168" t="s">
        <v>106</v>
      </c>
      <c r="C47" s="16" t="s">
        <v>151</v>
      </c>
      <c r="D47" s="14" t="s">
        <v>39</v>
      </c>
      <c r="E47" s="23"/>
      <c r="F47" s="95">
        <v>1300</v>
      </c>
      <c r="G47" s="14"/>
      <c r="H47" s="14"/>
      <c r="I47" s="14"/>
      <c r="J47" s="14"/>
      <c r="K47" s="14"/>
      <c r="L47" s="14"/>
      <c r="M47" s="14"/>
    </row>
    <row r="48" spans="1:13" ht="15.75">
      <c r="A48" s="158"/>
      <c r="B48" s="159"/>
      <c r="C48" s="160" t="s">
        <v>30</v>
      </c>
      <c r="D48" s="14" t="s">
        <v>31</v>
      </c>
      <c r="E48" s="30">
        <f>10.3/100</f>
        <v>0.10300000000000001</v>
      </c>
      <c r="F48" s="31">
        <f>E48*F47</f>
        <v>133.9</v>
      </c>
      <c r="G48" s="31"/>
      <c r="H48" s="31"/>
      <c r="I48" s="31"/>
      <c r="J48" s="31"/>
      <c r="K48" s="31"/>
      <c r="L48" s="31"/>
      <c r="M48" s="31"/>
    </row>
    <row r="49" spans="1:13" ht="47.25">
      <c r="A49" s="158"/>
      <c r="B49" s="159"/>
      <c r="C49" s="24" t="s">
        <v>107</v>
      </c>
      <c r="D49" s="14" t="s">
        <v>32</v>
      </c>
      <c r="E49" s="158">
        <f>3.79/100</f>
        <v>0.0379</v>
      </c>
      <c r="F49" s="31">
        <f>E49*F47</f>
        <v>49.27</v>
      </c>
      <c r="G49" s="31"/>
      <c r="H49" s="31"/>
      <c r="I49" s="31"/>
      <c r="J49" s="31"/>
      <c r="K49" s="31"/>
      <c r="L49" s="31"/>
      <c r="M49" s="31"/>
    </row>
    <row r="50" spans="1:13" ht="31.5">
      <c r="A50" s="158"/>
      <c r="B50" s="159"/>
      <c r="C50" s="160" t="s">
        <v>33</v>
      </c>
      <c r="D50" s="14" t="s">
        <v>31</v>
      </c>
      <c r="E50" s="30"/>
      <c r="F50" s="31">
        <f>F49</f>
        <v>49.27</v>
      </c>
      <c r="G50" s="31"/>
      <c r="H50" s="31"/>
      <c r="I50" s="31"/>
      <c r="J50" s="31"/>
      <c r="K50" s="31"/>
      <c r="L50" s="31"/>
      <c r="M50" s="31"/>
    </row>
    <row r="51" spans="1:13" ht="15.75">
      <c r="A51" s="164"/>
      <c r="B51" s="165"/>
      <c r="C51" s="35" t="s">
        <v>108</v>
      </c>
      <c r="D51" s="19" t="s">
        <v>39</v>
      </c>
      <c r="E51" s="39">
        <f>6.82/100</f>
        <v>0.0682</v>
      </c>
      <c r="F51" s="19">
        <f>E51*F47</f>
        <v>88.66</v>
      </c>
      <c r="G51" s="19"/>
      <c r="H51" s="167"/>
      <c r="I51" s="167"/>
      <c r="J51" s="167"/>
      <c r="K51" s="167"/>
      <c r="L51" s="167"/>
      <c r="M51" s="167"/>
    </row>
    <row r="52" spans="1:13" ht="15.75">
      <c r="A52" s="37"/>
      <c r="B52" s="15"/>
      <c r="C52" s="30" t="s">
        <v>12</v>
      </c>
      <c r="D52" s="26" t="s">
        <v>35</v>
      </c>
      <c r="E52" s="14"/>
      <c r="F52" s="14"/>
      <c r="G52" s="14"/>
      <c r="H52" s="14"/>
      <c r="I52" s="14"/>
      <c r="J52" s="14"/>
      <c r="K52" s="18"/>
      <c r="L52" s="14"/>
      <c r="M52" s="14"/>
    </row>
    <row r="53" spans="1:13" ht="31.5">
      <c r="A53" s="37"/>
      <c r="B53" s="15"/>
      <c r="C53" s="24" t="s">
        <v>94</v>
      </c>
      <c r="D53" s="26" t="s">
        <v>35</v>
      </c>
      <c r="E53" s="14">
        <v>0.05</v>
      </c>
      <c r="F53" s="14"/>
      <c r="G53" s="14"/>
      <c r="H53" s="14"/>
      <c r="I53" s="14"/>
      <c r="J53" s="14"/>
      <c r="K53" s="18"/>
      <c r="L53" s="14"/>
      <c r="M53" s="14"/>
    </row>
    <row r="54" spans="1:13" ht="15.75">
      <c r="A54" s="37"/>
      <c r="B54" s="15"/>
      <c r="C54" s="30" t="s">
        <v>12</v>
      </c>
      <c r="D54" s="26" t="s">
        <v>35</v>
      </c>
      <c r="E54" s="14"/>
      <c r="F54" s="14"/>
      <c r="G54" s="14"/>
      <c r="H54" s="14"/>
      <c r="I54" s="14"/>
      <c r="J54" s="14"/>
      <c r="K54" s="18"/>
      <c r="L54" s="14"/>
      <c r="M54" s="14"/>
    </row>
    <row r="55" spans="1:13" ht="15.75">
      <c r="A55" s="143"/>
      <c r="B55" s="74"/>
      <c r="C55" s="25" t="s">
        <v>37</v>
      </c>
      <c r="D55" s="26" t="s">
        <v>35</v>
      </c>
      <c r="E55" s="27">
        <v>0.1</v>
      </c>
      <c r="F55" s="28"/>
      <c r="G55" s="29"/>
      <c r="H55" s="27"/>
      <c r="I55" s="27"/>
      <c r="J55" s="27"/>
      <c r="K55" s="27"/>
      <c r="L55" s="27"/>
      <c r="M55" s="27"/>
    </row>
    <row r="56" spans="1:13" ht="15.75">
      <c r="A56" s="144"/>
      <c r="B56" s="74"/>
      <c r="C56" s="30" t="s">
        <v>12</v>
      </c>
      <c r="D56" s="26" t="s">
        <v>35</v>
      </c>
      <c r="E56" s="31"/>
      <c r="F56" s="30"/>
      <c r="G56" s="30"/>
      <c r="H56" s="31"/>
      <c r="I56" s="31"/>
      <c r="J56" s="31"/>
      <c r="K56" s="31"/>
      <c r="L56" s="31"/>
      <c r="M56" s="31"/>
    </row>
    <row r="57" spans="1:13" ht="15.75">
      <c r="A57" s="143"/>
      <c r="B57" s="74"/>
      <c r="C57" s="24" t="s">
        <v>38</v>
      </c>
      <c r="D57" s="26" t="s">
        <v>35</v>
      </c>
      <c r="E57" s="27">
        <v>0.08</v>
      </c>
      <c r="F57" s="32"/>
      <c r="G57" s="27"/>
      <c r="H57" s="27"/>
      <c r="I57" s="27"/>
      <c r="J57" s="27"/>
      <c r="K57" s="27"/>
      <c r="L57" s="27"/>
      <c r="M57" s="27"/>
    </row>
    <row r="58" spans="1:13" ht="15.75">
      <c r="A58" s="145"/>
      <c r="B58" s="75"/>
      <c r="C58" s="33" t="s">
        <v>12</v>
      </c>
      <c r="D58" s="34" t="s">
        <v>35</v>
      </c>
      <c r="E58" s="33"/>
      <c r="F58" s="33"/>
      <c r="G58" s="33"/>
      <c r="H58" s="36"/>
      <c r="I58" s="36"/>
      <c r="J58" s="36"/>
      <c r="K58" s="36"/>
      <c r="L58" s="36"/>
      <c r="M58" s="36"/>
    </row>
  </sheetData>
  <sheetProtection/>
  <mergeCells count="24">
    <mergeCell ref="A6:M6"/>
    <mergeCell ref="B7:D7"/>
    <mergeCell ref="F7:I7"/>
    <mergeCell ref="B8:C8"/>
    <mergeCell ref="F8:I8"/>
    <mergeCell ref="A1:M1"/>
    <mergeCell ref="A3:M3"/>
    <mergeCell ref="A4:M4"/>
    <mergeCell ref="A5:M5"/>
    <mergeCell ref="A10:A13"/>
    <mergeCell ref="B10:B13"/>
    <mergeCell ref="C10:C13"/>
    <mergeCell ref="D10:F11"/>
    <mergeCell ref="D12:D13"/>
    <mergeCell ref="E12:E13"/>
    <mergeCell ref="F12:F13"/>
    <mergeCell ref="G10:H11"/>
    <mergeCell ref="I10:J11"/>
    <mergeCell ref="K10:L10"/>
    <mergeCell ref="M10:M13"/>
    <mergeCell ref="K11:L11"/>
    <mergeCell ref="H12:H13"/>
    <mergeCell ref="J12:J13"/>
    <mergeCell ref="L12:L13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54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M74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3.8515625" style="191" customWidth="1"/>
    <col min="2" max="2" width="9.7109375" style="180" customWidth="1"/>
    <col min="3" max="3" width="34.140625" style="180" customWidth="1"/>
    <col min="4" max="4" width="8.28125" style="190" customWidth="1"/>
    <col min="5" max="5" width="8.140625" style="190" customWidth="1"/>
    <col min="6" max="6" width="9.140625" style="190" customWidth="1"/>
    <col min="7" max="7" width="8.57421875" style="190" customWidth="1"/>
    <col min="8" max="8" width="9.7109375" style="190" customWidth="1"/>
    <col min="9" max="9" width="8.8515625" style="190" customWidth="1"/>
    <col min="10" max="10" width="11.28125" style="190" customWidth="1"/>
    <col min="11" max="11" width="8.8515625" style="190" customWidth="1"/>
    <col min="12" max="12" width="9.8515625" style="190" customWidth="1"/>
    <col min="13" max="13" width="11.00390625" style="190" customWidth="1"/>
    <col min="14" max="16384" width="9.00390625" style="65" customWidth="1"/>
  </cols>
  <sheetData>
    <row r="1" spans="1:13" ht="34.5" customHeight="1">
      <c r="A1" s="276" t="str">
        <f>'x.a.3'!A1</f>
        <v>tyibulis municipalitetSi, sof. muxuraSi betonis safariani gzis mowyobis samuSaoebi (gza #1)</v>
      </c>
      <c r="B1" s="276"/>
      <c r="C1" s="276"/>
      <c r="D1" s="276"/>
      <c r="E1" s="276"/>
      <c r="F1" s="276"/>
      <c r="G1" s="276"/>
      <c r="H1" s="276"/>
      <c r="I1" s="276"/>
      <c r="J1" s="276"/>
      <c r="K1" s="276"/>
      <c r="L1" s="276"/>
      <c r="M1" s="276"/>
    </row>
    <row r="2" spans="1:13" ht="15.7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</row>
    <row r="3" spans="1:13" ht="15.75">
      <c r="A3" s="356" t="s">
        <v>145</v>
      </c>
      <c r="B3" s="356"/>
      <c r="C3" s="356"/>
      <c r="D3" s="356"/>
      <c r="E3" s="356"/>
      <c r="F3" s="356"/>
      <c r="G3" s="356"/>
      <c r="H3" s="356"/>
      <c r="I3" s="356"/>
      <c r="J3" s="356"/>
      <c r="K3" s="356"/>
      <c r="L3" s="356"/>
      <c r="M3" s="356"/>
    </row>
    <row r="4" spans="1:13" ht="15.75">
      <c r="A4" s="356"/>
      <c r="B4" s="356"/>
      <c r="C4" s="356"/>
      <c r="D4" s="356"/>
      <c r="E4" s="356"/>
      <c r="F4" s="356"/>
      <c r="G4" s="356"/>
      <c r="H4" s="356"/>
      <c r="I4" s="356"/>
      <c r="J4" s="356"/>
      <c r="K4" s="356"/>
      <c r="L4" s="356"/>
      <c r="M4" s="356"/>
    </row>
    <row r="5" spans="1:13" ht="15.75">
      <c r="A5" s="357" t="s">
        <v>160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6" spans="1:13" ht="15.75">
      <c r="A6" s="354"/>
      <c r="B6" s="354"/>
      <c r="C6" s="354"/>
      <c r="D6" s="354"/>
      <c r="E6" s="354"/>
      <c r="F6" s="354"/>
      <c r="G6" s="354"/>
      <c r="H6" s="354"/>
      <c r="I6" s="354"/>
      <c r="J6" s="354"/>
      <c r="K6" s="354"/>
      <c r="L6" s="354"/>
      <c r="M6" s="354"/>
    </row>
    <row r="7" spans="1:13" ht="15.75">
      <c r="A7" s="180"/>
      <c r="B7" s="253" t="s">
        <v>28</v>
      </c>
      <c r="C7" s="253"/>
      <c r="D7" s="352"/>
      <c r="E7" s="189"/>
      <c r="F7" s="355" t="s">
        <v>1</v>
      </c>
      <c r="G7" s="355"/>
      <c r="H7" s="355"/>
      <c r="I7" s="355"/>
      <c r="J7" s="189">
        <f>M74/1000</f>
        <v>0</v>
      </c>
      <c r="K7" s="192" t="s">
        <v>0</v>
      </c>
      <c r="L7" s="189"/>
      <c r="M7" s="189"/>
    </row>
    <row r="8" spans="1:13" ht="15.75">
      <c r="A8" s="180"/>
      <c r="B8" s="253" t="s">
        <v>97</v>
      </c>
      <c r="C8" s="253"/>
      <c r="D8" s="189"/>
      <c r="E8" s="189"/>
      <c r="F8" s="355"/>
      <c r="G8" s="355"/>
      <c r="H8" s="355"/>
      <c r="I8" s="355"/>
      <c r="J8" s="189"/>
      <c r="K8" s="189"/>
      <c r="L8" s="189"/>
      <c r="M8" s="189"/>
    </row>
    <row r="9" spans="1:13" ht="15.75">
      <c r="A9" s="180"/>
      <c r="D9" s="189"/>
      <c r="E9" s="189"/>
      <c r="F9" s="189"/>
      <c r="G9" s="189"/>
      <c r="H9" s="189"/>
      <c r="I9" s="189"/>
      <c r="J9" s="189"/>
      <c r="K9" s="189"/>
      <c r="L9" s="189"/>
      <c r="M9" s="189"/>
    </row>
    <row r="10" spans="1:13" ht="15.75">
      <c r="A10" s="338" t="s">
        <v>2</v>
      </c>
      <c r="B10" s="339" t="s">
        <v>3</v>
      </c>
      <c r="C10" s="288" t="s">
        <v>27</v>
      </c>
      <c r="D10" s="326" t="s">
        <v>4</v>
      </c>
      <c r="E10" s="342"/>
      <c r="F10" s="328"/>
      <c r="G10" s="326" t="s">
        <v>5</v>
      </c>
      <c r="H10" s="327"/>
      <c r="I10" s="326" t="s">
        <v>6</v>
      </c>
      <c r="J10" s="346"/>
      <c r="K10" s="326" t="s">
        <v>7</v>
      </c>
      <c r="L10" s="327"/>
      <c r="M10" s="328" t="s">
        <v>8</v>
      </c>
    </row>
    <row r="11" spans="1:13" ht="15.75">
      <c r="A11" s="292"/>
      <c r="B11" s="340"/>
      <c r="C11" s="289"/>
      <c r="D11" s="332"/>
      <c r="E11" s="343"/>
      <c r="F11" s="344"/>
      <c r="G11" s="345"/>
      <c r="H11" s="333"/>
      <c r="I11" s="345"/>
      <c r="J11" s="347"/>
      <c r="K11" s="332" t="s">
        <v>9</v>
      </c>
      <c r="L11" s="333"/>
      <c r="M11" s="329"/>
    </row>
    <row r="12" spans="1:13" ht="15.75">
      <c r="A12" s="292"/>
      <c r="B12" s="340"/>
      <c r="C12" s="289"/>
      <c r="D12" s="334" t="s">
        <v>10</v>
      </c>
      <c r="E12" s="334" t="s">
        <v>11</v>
      </c>
      <c r="F12" s="334" t="s">
        <v>12</v>
      </c>
      <c r="G12" s="4" t="s">
        <v>11</v>
      </c>
      <c r="H12" s="334" t="s">
        <v>12</v>
      </c>
      <c r="I12" s="4" t="s">
        <v>11</v>
      </c>
      <c r="J12" s="334" t="s">
        <v>12</v>
      </c>
      <c r="K12" s="4" t="s">
        <v>11</v>
      </c>
      <c r="L12" s="334" t="s">
        <v>12</v>
      </c>
      <c r="M12" s="330"/>
    </row>
    <row r="13" spans="1:13" ht="18" customHeight="1">
      <c r="A13" s="293"/>
      <c r="B13" s="341"/>
      <c r="C13" s="290"/>
      <c r="D13" s="335"/>
      <c r="E13" s="335"/>
      <c r="F13" s="335"/>
      <c r="G13" s="5" t="s">
        <v>13</v>
      </c>
      <c r="H13" s="335"/>
      <c r="I13" s="5" t="s">
        <v>13</v>
      </c>
      <c r="J13" s="335"/>
      <c r="K13" s="5" t="s">
        <v>13</v>
      </c>
      <c r="L13" s="335"/>
      <c r="M13" s="331"/>
    </row>
    <row r="14" spans="1:13" ht="15.75">
      <c r="A14" s="6" t="s">
        <v>14</v>
      </c>
      <c r="B14" s="13" t="s">
        <v>15</v>
      </c>
      <c r="C14" s="7" t="s">
        <v>16</v>
      </c>
      <c r="D14" s="8" t="s">
        <v>17</v>
      </c>
      <c r="E14" s="9" t="s">
        <v>18</v>
      </c>
      <c r="F14" s="10" t="s">
        <v>19</v>
      </c>
      <c r="G14" s="11" t="s">
        <v>20</v>
      </c>
      <c r="H14" s="8" t="s">
        <v>21</v>
      </c>
      <c r="I14" s="9" t="s">
        <v>22</v>
      </c>
      <c r="J14" s="11" t="s">
        <v>23</v>
      </c>
      <c r="K14" s="9" t="s">
        <v>24</v>
      </c>
      <c r="L14" s="8" t="s">
        <v>25</v>
      </c>
      <c r="M14" s="9" t="s">
        <v>26</v>
      </c>
    </row>
    <row r="15" spans="1:13" ht="63">
      <c r="A15" s="134">
        <v>1</v>
      </c>
      <c r="B15" s="15" t="s">
        <v>123</v>
      </c>
      <c r="C15" s="141" t="s">
        <v>152</v>
      </c>
      <c r="D15" s="115" t="s">
        <v>29</v>
      </c>
      <c r="E15" s="115"/>
      <c r="F15" s="139">
        <v>5</v>
      </c>
      <c r="G15" s="115"/>
      <c r="H15" s="115"/>
      <c r="I15" s="115"/>
      <c r="J15" s="115"/>
      <c r="K15" s="115"/>
      <c r="L15" s="115"/>
      <c r="M15" s="134"/>
    </row>
    <row r="16" spans="1:13" ht="15.75">
      <c r="A16" s="15"/>
      <c r="B16" s="15"/>
      <c r="C16" s="21" t="s">
        <v>30</v>
      </c>
      <c r="D16" s="14" t="s">
        <v>31</v>
      </c>
      <c r="E16" s="14">
        <f>13.2/1000</f>
        <v>0.0132</v>
      </c>
      <c r="F16" s="14">
        <f>E16*F15</f>
        <v>0.066</v>
      </c>
      <c r="G16" s="14"/>
      <c r="H16" s="14"/>
      <c r="I16" s="14"/>
      <c r="J16" s="14"/>
      <c r="K16" s="18"/>
      <c r="L16" s="18"/>
      <c r="M16" s="14"/>
    </row>
    <row r="17" spans="1:13" ht="34.5">
      <c r="A17" s="15"/>
      <c r="B17" s="15"/>
      <c r="C17" s="21" t="s">
        <v>122</v>
      </c>
      <c r="D17" s="14" t="s">
        <v>32</v>
      </c>
      <c r="E17" s="14">
        <f>29.5/1000</f>
        <v>0.0295</v>
      </c>
      <c r="F17" s="14">
        <f>E17*F15</f>
        <v>0.1475</v>
      </c>
      <c r="G17" s="14"/>
      <c r="H17" s="14"/>
      <c r="I17" s="14"/>
      <c r="J17" s="14"/>
      <c r="K17" s="14"/>
      <c r="L17" s="14"/>
      <c r="M17" s="14"/>
    </row>
    <row r="18" spans="1:13" ht="31.5">
      <c r="A18" s="15"/>
      <c r="B18" s="15"/>
      <c r="C18" s="21" t="s">
        <v>33</v>
      </c>
      <c r="D18" s="14" t="s">
        <v>31</v>
      </c>
      <c r="E18" s="14"/>
      <c r="F18" s="93">
        <f>F17</f>
        <v>0.1475</v>
      </c>
      <c r="G18" s="14"/>
      <c r="H18" s="14"/>
      <c r="I18" s="14"/>
      <c r="J18" s="14"/>
      <c r="K18" s="18"/>
      <c r="L18" s="18"/>
      <c r="M18" s="14"/>
    </row>
    <row r="19" spans="1:13" ht="15.75">
      <c r="A19" s="15"/>
      <c r="B19" s="15"/>
      <c r="C19" s="21" t="s">
        <v>40</v>
      </c>
      <c r="D19" s="14" t="s">
        <v>35</v>
      </c>
      <c r="E19" s="23">
        <f>2.1/1000</f>
        <v>0.0021000000000000003</v>
      </c>
      <c r="F19" s="93">
        <f>E19*F15</f>
        <v>0.010500000000000002</v>
      </c>
      <c r="G19" s="14"/>
      <c r="H19" s="14"/>
      <c r="I19" s="14"/>
      <c r="J19" s="14"/>
      <c r="K19" s="14"/>
      <c r="L19" s="14"/>
      <c r="M19" s="14"/>
    </row>
    <row r="20" spans="1:13" ht="31.5">
      <c r="A20" s="85"/>
      <c r="B20" s="71"/>
      <c r="C20" s="90" t="s">
        <v>93</v>
      </c>
      <c r="D20" s="86" t="s">
        <v>36</v>
      </c>
      <c r="E20" s="5"/>
      <c r="F20" s="87">
        <f>F15*1.8</f>
        <v>9</v>
      </c>
      <c r="G20" s="88"/>
      <c r="H20" s="86"/>
      <c r="I20" s="5"/>
      <c r="J20" s="88"/>
      <c r="K20" s="5"/>
      <c r="L20" s="86"/>
      <c r="M20" s="5"/>
    </row>
    <row r="21" spans="1:13" ht="47.25">
      <c r="A21" s="134">
        <v>2</v>
      </c>
      <c r="B21" s="152" t="s">
        <v>112</v>
      </c>
      <c r="C21" s="141" t="s">
        <v>153</v>
      </c>
      <c r="D21" s="115" t="s">
        <v>29</v>
      </c>
      <c r="E21" s="115"/>
      <c r="F21" s="139">
        <v>1</v>
      </c>
      <c r="G21" s="115"/>
      <c r="H21" s="115"/>
      <c r="I21" s="115"/>
      <c r="J21" s="115"/>
      <c r="K21" s="115"/>
      <c r="L21" s="115"/>
      <c r="M21" s="134"/>
    </row>
    <row r="22" spans="1:13" ht="15.75">
      <c r="A22" s="15"/>
      <c r="B22" s="15"/>
      <c r="C22" s="21" t="s">
        <v>30</v>
      </c>
      <c r="D22" s="14" t="s">
        <v>31</v>
      </c>
      <c r="E22" s="14">
        <f>2.06+0.87</f>
        <v>2.93</v>
      </c>
      <c r="F22" s="14">
        <f>E22*F21</f>
        <v>2.93</v>
      </c>
      <c r="G22" s="14"/>
      <c r="H22" s="14"/>
      <c r="I22" s="4"/>
      <c r="J22" s="4"/>
      <c r="K22" s="4"/>
      <c r="L22" s="4"/>
      <c r="M22" s="4"/>
    </row>
    <row r="23" spans="1:13" ht="31.5">
      <c r="A23" s="85"/>
      <c r="B23" s="71"/>
      <c r="C23" s="90" t="s">
        <v>93</v>
      </c>
      <c r="D23" s="86" t="s">
        <v>36</v>
      </c>
      <c r="E23" s="5"/>
      <c r="F23" s="87">
        <f>F21*1.8</f>
        <v>1.8</v>
      </c>
      <c r="G23" s="88"/>
      <c r="H23" s="86"/>
      <c r="I23" s="5"/>
      <c r="J23" s="88"/>
      <c r="K23" s="5"/>
      <c r="L23" s="86"/>
      <c r="M23" s="5"/>
    </row>
    <row r="24" spans="1:13" ht="18.75">
      <c r="A24" s="134">
        <v>3</v>
      </c>
      <c r="B24" s="94" t="s">
        <v>70</v>
      </c>
      <c r="C24" s="130" t="s">
        <v>86</v>
      </c>
      <c r="D24" s="148" t="s">
        <v>29</v>
      </c>
      <c r="E24" s="131"/>
      <c r="F24" s="95">
        <f>F15+F21</f>
        <v>6</v>
      </c>
      <c r="G24" s="131"/>
      <c r="H24" s="131"/>
      <c r="I24" s="131"/>
      <c r="J24" s="131"/>
      <c r="K24" s="131"/>
      <c r="L24" s="131"/>
      <c r="M24" s="131"/>
    </row>
    <row r="25" spans="1:13" ht="15.75">
      <c r="A25" s="77"/>
      <c r="B25" s="77"/>
      <c r="C25" s="21" t="s">
        <v>30</v>
      </c>
      <c r="D25" s="14" t="s">
        <v>31</v>
      </c>
      <c r="E25" s="23">
        <f>3.23/1000</f>
        <v>0.00323</v>
      </c>
      <c r="F25" s="14">
        <f>E25*F24</f>
        <v>0.019379999999999998</v>
      </c>
      <c r="G25" s="70"/>
      <c r="H25" s="70"/>
      <c r="I25" s="69"/>
      <c r="J25" s="69"/>
      <c r="K25" s="69"/>
      <c r="L25" s="69"/>
      <c r="M25" s="70"/>
    </row>
    <row r="26" spans="1:13" ht="15.75">
      <c r="A26" s="15"/>
      <c r="B26" s="15"/>
      <c r="C26" s="21" t="s">
        <v>64</v>
      </c>
      <c r="D26" s="14" t="s">
        <v>32</v>
      </c>
      <c r="E26" s="73">
        <f>3.62/1000</f>
        <v>0.00362</v>
      </c>
      <c r="F26" s="14">
        <f>E26*F24</f>
        <v>0.02172</v>
      </c>
      <c r="G26" s="14"/>
      <c r="H26" s="14"/>
      <c r="I26" s="14"/>
      <c r="J26" s="14"/>
      <c r="K26" s="14"/>
      <c r="L26" s="14"/>
      <c r="M26" s="14"/>
    </row>
    <row r="27" spans="1:13" ht="31.5">
      <c r="A27" s="15"/>
      <c r="B27" s="15"/>
      <c r="C27" s="21" t="s">
        <v>33</v>
      </c>
      <c r="D27" s="14" t="s">
        <v>31</v>
      </c>
      <c r="E27" s="14"/>
      <c r="F27" s="14">
        <f>F26</f>
        <v>0.02172</v>
      </c>
      <c r="G27" s="14"/>
      <c r="H27" s="14"/>
      <c r="I27" s="14"/>
      <c r="J27" s="14"/>
      <c r="K27" s="18"/>
      <c r="L27" s="18"/>
      <c r="M27" s="14"/>
    </row>
    <row r="28" spans="1:13" ht="15.75">
      <c r="A28" s="72"/>
      <c r="B28" s="72"/>
      <c r="C28" s="76" t="s">
        <v>40</v>
      </c>
      <c r="D28" s="76" t="s">
        <v>35</v>
      </c>
      <c r="E28" s="89">
        <f>0.18/1000</f>
        <v>0.00017999999999999998</v>
      </c>
      <c r="F28" s="19">
        <f>E28*F24</f>
        <v>0.0010799999999999998</v>
      </c>
      <c r="G28" s="72"/>
      <c r="H28" s="72"/>
      <c r="I28" s="72"/>
      <c r="J28" s="72"/>
      <c r="K28" s="78"/>
      <c r="L28" s="19"/>
      <c r="M28" s="19"/>
    </row>
    <row r="29" spans="1:13" ht="47.25">
      <c r="A29" s="80">
        <v>4</v>
      </c>
      <c r="B29" s="136" t="s">
        <v>154</v>
      </c>
      <c r="C29" s="83" t="s">
        <v>155</v>
      </c>
      <c r="D29" s="148" t="s">
        <v>29</v>
      </c>
      <c r="E29" s="4"/>
      <c r="F29" s="82">
        <v>1.05</v>
      </c>
      <c r="G29" s="181"/>
      <c r="H29" s="81"/>
      <c r="I29" s="4"/>
      <c r="J29" s="181"/>
      <c r="K29" s="4"/>
      <c r="L29" s="81"/>
      <c r="M29" s="4"/>
    </row>
    <row r="30" spans="1:13" ht="15.75">
      <c r="A30" s="77"/>
      <c r="B30" s="77"/>
      <c r="C30" s="21" t="s">
        <v>30</v>
      </c>
      <c r="D30" s="14" t="s">
        <v>31</v>
      </c>
      <c r="E30" s="14">
        <v>1.78</v>
      </c>
      <c r="F30" s="14">
        <f>E30*F29</f>
        <v>1.8690000000000002</v>
      </c>
      <c r="G30" s="70"/>
      <c r="H30" s="70"/>
      <c r="I30" s="69"/>
      <c r="J30" s="69"/>
      <c r="K30" s="69"/>
      <c r="L30" s="69"/>
      <c r="M30" s="70"/>
    </row>
    <row r="31" spans="1:13" ht="18.75">
      <c r="A31" s="85"/>
      <c r="B31" s="71"/>
      <c r="C31" s="174" t="s">
        <v>71</v>
      </c>
      <c r="D31" s="86" t="s">
        <v>29</v>
      </c>
      <c r="E31" s="5">
        <v>1.22</v>
      </c>
      <c r="F31" s="87">
        <f>E31*F29</f>
        <v>1.281</v>
      </c>
      <c r="G31" s="88"/>
      <c r="H31" s="86"/>
      <c r="I31" s="5"/>
      <c r="J31" s="88"/>
      <c r="K31" s="5"/>
      <c r="L31" s="86"/>
      <c r="M31" s="5"/>
    </row>
    <row r="32" spans="1:13" ht="31.5">
      <c r="A32" s="80">
        <v>5</v>
      </c>
      <c r="B32" s="15" t="s">
        <v>147</v>
      </c>
      <c r="C32" s="83" t="s">
        <v>156</v>
      </c>
      <c r="D32" s="81" t="s">
        <v>39</v>
      </c>
      <c r="E32" s="4"/>
      <c r="F32" s="82">
        <v>7</v>
      </c>
      <c r="G32" s="181"/>
      <c r="H32" s="81"/>
      <c r="I32" s="4"/>
      <c r="J32" s="181"/>
      <c r="K32" s="4"/>
      <c r="L32" s="81"/>
      <c r="M32" s="4"/>
    </row>
    <row r="33" spans="1:13" ht="15.75">
      <c r="A33" s="80"/>
      <c r="B33" s="136"/>
      <c r="C33" s="21" t="s">
        <v>30</v>
      </c>
      <c r="D33" s="14" t="s">
        <v>31</v>
      </c>
      <c r="E33" s="23">
        <v>0.973</v>
      </c>
      <c r="F33" s="70">
        <f>E33*F32</f>
        <v>6.811</v>
      </c>
      <c r="G33" s="70"/>
      <c r="H33" s="70"/>
      <c r="I33" s="69"/>
      <c r="J33" s="69"/>
      <c r="K33" s="69"/>
      <c r="L33" s="69"/>
      <c r="M33" s="70"/>
    </row>
    <row r="34" spans="1:13" ht="15.75">
      <c r="A34" s="80"/>
      <c r="B34" s="136"/>
      <c r="C34" s="83" t="s">
        <v>73</v>
      </c>
      <c r="D34" s="81" t="s">
        <v>35</v>
      </c>
      <c r="E34" s="23">
        <v>0.483</v>
      </c>
      <c r="F34" s="135">
        <f>E34*F32</f>
        <v>3.381</v>
      </c>
      <c r="G34" s="181"/>
      <c r="H34" s="81"/>
      <c r="I34" s="4"/>
      <c r="J34" s="181"/>
      <c r="K34" s="4"/>
      <c r="L34" s="81"/>
      <c r="M34" s="4"/>
    </row>
    <row r="35" spans="1:13" ht="15.75">
      <c r="A35" s="80"/>
      <c r="B35" s="136"/>
      <c r="C35" s="83" t="s">
        <v>148</v>
      </c>
      <c r="D35" s="81" t="s">
        <v>39</v>
      </c>
      <c r="E35" s="23">
        <v>0.995</v>
      </c>
      <c r="F35" s="135">
        <f>E35*F32</f>
        <v>6.965</v>
      </c>
      <c r="G35" s="181"/>
      <c r="H35" s="81"/>
      <c r="I35" s="4"/>
      <c r="J35" s="181"/>
      <c r="K35" s="4"/>
      <c r="L35" s="81"/>
      <c r="M35" s="4"/>
    </row>
    <row r="36" spans="1:13" ht="15.75">
      <c r="A36" s="85"/>
      <c r="B36" s="71"/>
      <c r="C36" s="174" t="s">
        <v>41</v>
      </c>
      <c r="D36" s="86" t="s">
        <v>35</v>
      </c>
      <c r="E36" s="5">
        <v>0.22</v>
      </c>
      <c r="F36" s="87">
        <f>E36*F32</f>
        <v>1.54</v>
      </c>
      <c r="G36" s="88"/>
      <c r="H36" s="86"/>
      <c r="I36" s="5"/>
      <c r="J36" s="88"/>
      <c r="K36" s="5"/>
      <c r="L36" s="86"/>
      <c r="M36" s="5"/>
    </row>
    <row r="37" spans="1:13" ht="47.25">
      <c r="A37" s="80">
        <v>6</v>
      </c>
      <c r="B37" s="16" t="s">
        <v>125</v>
      </c>
      <c r="C37" s="83" t="s">
        <v>124</v>
      </c>
      <c r="D37" s="81" t="s">
        <v>58</v>
      </c>
      <c r="E37" s="4"/>
      <c r="F37" s="82">
        <v>23.31</v>
      </c>
      <c r="G37" s="181"/>
      <c r="H37" s="81"/>
      <c r="I37" s="4"/>
      <c r="J37" s="181"/>
      <c r="K37" s="4"/>
      <c r="L37" s="81"/>
      <c r="M37" s="4"/>
    </row>
    <row r="38" spans="1:13" ht="15.75">
      <c r="A38" s="15"/>
      <c r="B38" s="15"/>
      <c r="C38" s="21" t="s">
        <v>30</v>
      </c>
      <c r="D38" s="14" t="s">
        <v>31</v>
      </c>
      <c r="E38" s="14">
        <v>0.564</v>
      </c>
      <c r="F38" s="14">
        <f>E38*F37</f>
        <v>13.146839999999997</v>
      </c>
      <c r="G38" s="70"/>
      <c r="H38" s="70"/>
      <c r="I38" s="70"/>
      <c r="J38" s="70"/>
      <c r="K38" s="70"/>
      <c r="L38" s="70"/>
      <c r="M38" s="70"/>
    </row>
    <row r="39" spans="1:13" ht="15.75">
      <c r="A39" s="18"/>
      <c r="B39" s="182"/>
      <c r="C39" s="21" t="s">
        <v>73</v>
      </c>
      <c r="D39" s="14" t="s">
        <v>35</v>
      </c>
      <c r="E39" s="172">
        <f>4.09/100</f>
        <v>0.0409</v>
      </c>
      <c r="F39" s="14">
        <f>E39*F37</f>
        <v>0.953379</v>
      </c>
      <c r="G39" s="70"/>
      <c r="H39" s="70"/>
      <c r="I39" s="70"/>
      <c r="J39" s="70"/>
      <c r="K39" s="70"/>
      <c r="L39" s="70"/>
      <c r="M39" s="183"/>
    </row>
    <row r="40" spans="1:13" ht="15.75">
      <c r="A40" s="18"/>
      <c r="B40" s="182"/>
      <c r="C40" s="21" t="s">
        <v>126</v>
      </c>
      <c r="D40" s="14" t="s">
        <v>36</v>
      </c>
      <c r="E40" s="172">
        <f>0.16/100</f>
        <v>0.0016</v>
      </c>
      <c r="F40" s="14">
        <f>E40*F37</f>
        <v>0.037296</v>
      </c>
      <c r="G40" s="70"/>
      <c r="H40" s="70"/>
      <c r="I40" s="70"/>
      <c r="J40" s="70"/>
      <c r="K40" s="70"/>
      <c r="L40" s="70"/>
      <c r="M40" s="183"/>
    </row>
    <row r="41" spans="1:13" ht="15.75">
      <c r="A41" s="18"/>
      <c r="B41" s="182"/>
      <c r="C41" s="21" t="s">
        <v>127</v>
      </c>
      <c r="D41" s="14" t="s">
        <v>36</v>
      </c>
      <c r="E41" s="172">
        <f>0.45/100</f>
        <v>0.0045000000000000005</v>
      </c>
      <c r="F41" s="14">
        <f>E41*F37</f>
        <v>0.104895</v>
      </c>
      <c r="G41" s="70"/>
      <c r="H41" s="70"/>
      <c r="I41" s="14"/>
      <c r="J41" s="14"/>
      <c r="K41" s="14"/>
      <c r="L41" s="14"/>
      <c r="M41" s="184"/>
    </row>
    <row r="42" spans="1:13" ht="18.75">
      <c r="A42" s="18"/>
      <c r="B42" s="136"/>
      <c r="C42" s="21" t="s">
        <v>128</v>
      </c>
      <c r="D42" s="14" t="s">
        <v>29</v>
      </c>
      <c r="E42" s="172">
        <f>0.75/100</f>
        <v>0.0075</v>
      </c>
      <c r="F42" s="14">
        <f>E42*F37</f>
        <v>0.17482499999999998</v>
      </c>
      <c r="G42" s="70"/>
      <c r="H42" s="70"/>
      <c r="I42" s="4"/>
      <c r="J42" s="14"/>
      <c r="K42" s="14"/>
      <c r="L42" s="14"/>
      <c r="M42" s="184"/>
    </row>
    <row r="43" spans="1:13" ht="15.75">
      <c r="A43" s="20"/>
      <c r="B43" s="185"/>
      <c r="C43" s="92" t="s">
        <v>41</v>
      </c>
      <c r="D43" s="19" t="s">
        <v>35</v>
      </c>
      <c r="E43" s="157">
        <f>26.5/100</f>
        <v>0.265</v>
      </c>
      <c r="F43" s="19">
        <f>E43*F37</f>
        <v>6.17715</v>
      </c>
      <c r="G43" s="78"/>
      <c r="H43" s="78"/>
      <c r="I43" s="78"/>
      <c r="J43" s="78"/>
      <c r="K43" s="78"/>
      <c r="L43" s="78"/>
      <c r="M43" s="186"/>
    </row>
    <row r="44" spans="1:13" ht="31.5">
      <c r="A44" s="80">
        <v>7</v>
      </c>
      <c r="B44" s="16" t="s">
        <v>129</v>
      </c>
      <c r="C44" s="83" t="s">
        <v>157</v>
      </c>
      <c r="D44" s="14" t="s">
        <v>29</v>
      </c>
      <c r="E44" s="4"/>
      <c r="F44" s="82">
        <v>2.37</v>
      </c>
      <c r="G44" s="181"/>
      <c r="H44" s="81"/>
      <c r="I44" s="4"/>
      <c r="J44" s="181"/>
      <c r="K44" s="4"/>
      <c r="L44" s="81"/>
      <c r="M44" s="4"/>
    </row>
    <row r="45" spans="1:13" ht="15.75">
      <c r="A45" s="175"/>
      <c r="B45" s="147"/>
      <c r="C45" s="97" t="s">
        <v>30</v>
      </c>
      <c r="D45" s="14" t="s">
        <v>31</v>
      </c>
      <c r="E45" s="4">
        <v>6.6</v>
      </c>
      <c r="F45" s="4">
        <f>E45*F44</f>
        <v>15.642</v>
      </c>
      <c r="G45" s="98"/>
      <c r="H45" s="98"/>
      <c r="I45" s="98"/>
      <c r="J45" s="98"/>
      <c r="K45" s="98"/>
      <c r="L45" s="98"/>
      <c r="M45" s="98"/>
    </row>
    <row r="46" spans="1:13" ht="15.75">
      <c r="A46" s="175"/>
      <c r="B46" s="136"/>
      <c r="C46" s="153" t="s">
        <v>130</v>
      </c>
      <c r="D46" s="14" t="s">
        <v>32</v>
      </c>
      <c r="E46" s="146">
        <f>9.6/100</f>
        <v>0.096</v>
      </c>
      <c r="F46" s="4">
        <f>E46*F44</f>
        <v>0.22752000000000003</v>
      </c>
      <c r="G46" s="98"/>
      <c r="H46" s="98"/>
      <c r="I46" s="98"/>
      <c r="J46" s="98"/>
      <c r="K46" s="4"/>
      <c r="L46" s="98"/>
      <c r="M46" s="98"/>
    </row>
    <row r="47" spans="1:13" ht="31.5">
      <c r="A47" s="175"/>
      <c r="B47" s="147"/>
      <c r="C47" s="21" t="s">
        <v>33</v>
      </c>
      <c r="D47" s="14" t="s">
        <v>31</v>
      </c>
      <c r="E47" s="146"/>
      <c r="F47" s="4">
        <f>F46</f>
        <v>0.22752000000000003</v>
      </c>
      <c r="G47" s="4"/>
      <c r="H47" s="4"/>
      <c r="I47" s="4"/>
      <c r="J47" s="4"/>
      <c r="K47" s="4"/>
      <c r="L47" s="4"/>
      <c r="M47" s="4"/>
    </row>
    <row r="48" spans="1:13" ht="15.75">
      <c r="A48" s="146"/>
      <c r="B48" s="147"/>
      <c r="C48" s="153" t="s">
        <v>40</v>
      </c>
      <c r="D48" s="146" t="s">
        <v>35</v>
      </c>
      <c r="E48" s="146">
        <v>0.399</v>
      </c>
      <c r="F48" s="4">
        <f>E48*F44</f>
        <v>0.9456300000000001</v>
      </c>
      <c r="G48" s="98"/>
      <c r="H48" s="98"/>
      <c r="I48" s="98"/>
      <c r="J48" s="98"/>
      <c r="K48" s="98"/>
      <c r="L48" s="98"/>
      <c r="M48" s="98"/>
    </row>
    <row r="49" spans="1:13" ht="18.75">
      <c r="A49" s="80"/>
      <c r="B49" s="147"/>
      <c r="C49" s="187" t="s">
        <v>76</v>
      </c>
      <c r="D49" s="80" t="s">
        <v>29</v>
      </c>
      <c r="E49" s="146">
        <v>1.015</v>
      </c>
      <c r="F49" s="135">
        <f>E49*F44</f>
        <v>2.40555</v>
      </c>
      <c r="G49" s="188"/>
      <c r="H49" s="176"/>
      <c r="I49" s="4"/>
      <c r="J49" s="181"/>
      <c r="K49" s="4"/>
      <c r="L49" s="81"/>
      <c r="M49" s="4"/>
    </row>
    <row r="50" spans="1:13" ht="18.75">
      <c r="A50" s="80"/>
      <c r="B50" s="147"/>
      <c r="C50" s="187" t="s">
        <v>131</v>
      </c>
      <c r="D50" s="80" t="s">
        <v>29</v>
      </c>
      <c r="E50" s="146">
        <f>2.47/100</f>
        <v>0.024700000000000003</v>
      </c>
      <c r="F50" s="135">
        <f>E50*F44</f>
        <v>0.05853900000000001</v>
      </c>
      <c r="G50" s="188"/>
      <c r="H50" s="176"/>
      <c r="I50" s="4"/>
      <c r="J50" s="181"/>
      <c r="K50" s="4"/>
      <c r="L50" s="81"/>
      <c r="M50" s="4"/>
    </row>
    <row r="51" spans="1:13" ht="18.75">
      <c r="A51" s="80"/>
      <c r="B51" s="147"/>
      <c r="C51" s="187" t="s">
        <v>77</v>
      </c>
      <c r="D51" s="80" t="s">
        <v>58</v>
      </c>
      <c r="E51" s="146">
        <v>0.39</v>
      </c>
      <c r="F51" s="135">
        <f>E51*F44</f>
        <v>0.9243000000000001</v>
      </c>
      <c r="G51" s="188"/>
      <c r="H51" s="176"/>
      <c r="I51" s="4"/>
      <c r="J51" s="181"/>
      <c r="K51" s="4"/>
      <c r="L51" s="81"/>
      <c r="M51" s="4"/>
    </row>
    <row r="52" spans="1:13" ht="18.75">
      <c r="A52" s="80"/>
      <c r="B52" s="147"/>
      <c r="C52" s="187" t="s">
        <v>78</v>
      </c>
      <c r="D52" s="80" t="s">
        <v>29</v>
      </c>
      <c r="E52" s="146">
        <f>4.68/100</f>
        <v>0.046799999999999994</v>
      </c>
      <c r="F52" s="135">
        <f>E52*F44</f>
        <v>0.11091599999999999</v>
      </c>
      <c r="G52" s="188"/>
      <c r="H52" s="176"/>
      <c r="I52" s="4"/>
      <c r="J52" s="181"/>
      <c r="K52" s="4"/>
      <c r="L52" s="81"/>
      <c r="M52" s="4"/>
    </row>
    <row r="53" spans="1:13" ht="31.5">
      <c r="A53" s="80"/>
      <c r="B53" s="147"/>
      <c r="C53" s="187" t="s">
        <v>132</v>
      </c>
      <c r="D53" s="80" t="s">
        <v>29</v>
      </c>
      <c r="E53" s="146">
        <f>(7.4+0.53)/100</f>
        <v>0.07930000000000001</v>
      </c>
      <c r="F53" s="135">
        <f>E53*F44</f>
        <v>0.18794100000000002</v>
      </c>
      <c r="G53" s="188"/>
      <c r="H53" s="176"/>
      <c r="I53" s="4"/>
      <c r="J53" s="181"/>
      <c r="K53" s="4"/>
      <c r="L53" s="81"/>
      <c r="M53" s="4"/>
    </row>
    <row r="54" spans="1:13" ht="15.75">
      <c r="A54" s="80"/>
      <c r="B54" s="147"/>
      <c r="C54" s="187" t="s">
        <v>79</v>
      </c>
      <c r="D54" s="80" t="s">
        <v>95</v>
      </c>
      <c r="E54" s="146">
        <v>1.93</v>
      </c>
      <c r="F54" s="135">
        <f>E54*F44</f>
        <v>4.5741000000000005</v>
      </c>
      <c r="G54" s="188"/>
      <c r="H54" s="176"/>
      <c r="I54" s="4"/>
      <c r="J54" s="181"/>
      <c r="K54" s="4"/>
      <c r="L54" s="81"/>
      <c r="M54" s="4"/>
    </row>
    <row r="55" spans="1:13" ht="15.75">
      <c r="A55" s="80"/>
      <c r="B55" s="147"/>
      <c r="C55" s="187" t="s">
        <v>133</v>
      </c>
      <c r="D55" s="80" t="s">
        <v>95</v>
      </c>
      <c r="E55" s="4">
        <v>11.6</v>
      </c>
      <c r="F55" s="135">
        <f>E55*F44</f>
        <v>27.492</v>
      </c>
      <c r="G55" s="188"/>
      <c r="H55" s="176"/>
      <c r="I55" s="4"/>
      <c r="J55" s="181"/>
      <c r="K55" s="4"/>
      <c r="L55" s="81"/>
      <c r="M55" s="4"/>
    </row>
    <row r="56" spans="1:13" ht="15.75">
      <c r="A56" s="85"/>
      <c r="B56" s="173"/>
      <c r="C56" s="177" t="s">
        <v>41</v>
      </c>
      <c r="D56" s="85" t="s">
        <v>35</v>
      </c>
      <c r="E56" s="154">
        <v>1.56</v>
      </c>
      <c r="F56" s="87">
        <f>E56*F44</f>
        <v>3.6972000000000005</v>
      </c>
      <c r="G56" s="178"/>
      <c r="H56" s="179"/>
      <c r="I56" s="5"/>
      <c r="J56" s="86"/>
      <c r="K56" s="5"/>
      <c r="L56" s="86"/>
      <c r="M56" s="5"/>
    </row>
    <row r="57" spans="1:13" ht="31.5">
      <c r="A57" s="80">
        <v>8</v>
      </c>
      <c r="B57" s="15" t="s">
        <v>90</v>
      </c>
      <c r="C57" s="83" t="s">
        <v>158</v>
      </c>
      <c r="D57" s="14" t="s">
        <v>29</v>
      </c>
      <c r="E57" s="4"/>
      <c r="F57" s="139">
        <v>0.5</v>
      </c>
      <c r="G57" s="4"/>
      <c r="H57" s="81"/>
      <c r="I57" s="4"/>
      <c r="J57" s="181"/>
      <c r="K57" s="4"/>
      <c r="L57" s="81"/>
      <c r="M57" s="4"/>
    </row>
    <row r="58" spans="1:13" ht="15.75">
      <c r="A58" s="140"/>
      <c r="B58" s="15"/>
      <c r="C58" s="21" t="s">
        <v>30</v>
      </c>
      <c r="D58" s="14" t="s">
        <v>31</v>
      </c>
      <c r="E58" s="4">
        <v>2.12</v>
      </c>
      <c r="F58" s="4">
        <f>E58*F57</f>
        <v>1.06</v>
      </c>
      <c r="G58" s="4"/>
      <c r="H58" s="81"/>
      <c r="I58" s="4"/>
      <c r="J58" s="181"/>
      <c r="K58" s="4"/>
      <c r="L58" s="81"/>
      <c r="M58" s="4"/>
    </row>
    <row r="59" spans="1:13" ht="15.75">
      <c r="A59" s="140"/>
      <c r="B59" s="15"/>
      <c r="C59" s="189" t="s">
        <v>40</v>
      </c>
      <c r="D59" s="93" t="s">
        <v>35</v>
      </c>
      <c r="E59" s="23">
        <v>0.101</v>
      </c>
      <c r="F59" s="14">
        <f>E59*F57</f>
        <v>0.0505</v>
      </c>
      <c r="G59" s="14"/>
      <c r="H59" s="93"/>
      <c r="I59" s="14"/>
      <c r="K59" s="14"/>
      <c r="L59" s="93"/>
      <c r="M59" s="14"/>
    </row>
    <row r="60" spans="1:13" ht="18.75">
      <c r="A60" s="142"/>
      <c r="B60" s="22"/>
      <c r="C60" s="138" t="s">
        <v>71</v>
      </c>
      <c r="D60" s="85" t="s">
        <v>29</v>
      </c>
      <c r="E60" s="19">
        <v>1.22</v>
      </c>
      <c r="F60" s="19">
        <f>E60*F57</f>
        <v>0.61</v>
      </c>
      <c r="G60" s="19"/>
      <c r="H60" s="137"/>
      <c r="I60" s="19"/>
      <c r="J60" s="116"/>
      <c r="K60" s="19"/>
      <c r="L60" s="137"/>
      <c r="M60" s="19"/>
    </row>
    <row r="61" spans="1:13" ht="47.25">
      <c r="A61" s="15" t="s">
        <v>159</v>
      </c>
      <c r="B61" s="16" t="s">
        <v>121</v>
      </c>
      <c r="C61" s="21" t="s">
        <v>161</v>
      </c>
      <c r="D61" s="146" t="s">
        <v>29</v>
      </c>
      <c r="E61" s="14"/>
      <c r="F61" s="95">
        <f>F57</f>
        <v>0.5</v>
      </c>
      <c r="G61" s="14"/>
      <c r="H61" s="14"/>
      <c r="I61" s="14"/>
      <c r="J61" s="14"/>
      <c r="K61" s="18"/>
      <c r="L61" s="14"/>
      <c r="M61" s="14"/>
    </row>
    <row r="62" spans="1:13" ht="15.75">
      <c r="A62" s="15"/>
      <c r="B62" s="15"/>
      <c r="C62" s="21" t="s">
        <v>83</v>
      </c>
      <c r="D62" s="14" t="s">
        <v>32</v>
      </c>
      <c r="E62" s="73">
        <f>1.85/1000</f>
        <v>0.00185</v>
      </c>
      <c r="F62" s="14">
        <f>E62*F61</f>
        <v>0.000925</v>
      </c>
      <c r="G62" s="14"/>
      <c r="H62" s="14"/>
      <c r="I62" s="14"/>
      <c r="J62" s="14"/>
      <c r="K62" s="14"/>
      <c r="L62" s="14"/>
      <c r="M62" s="14"/>
    </row>
    <row r="63" spans="1:13" ht="31.5">
      <c r="A63" s="15"/>
      <c r="B63" s="15"/>
      <c r="C63" s="21" t="s">
        <v>33</v>
      </c>
      <c r="D63" s="14" t="s">
        <v>31</v>
      </c>
      <c r="E63" s="14"/>
      <c r="F63" s="14">
        <f>F62</f>
        <v>0.000925</v>
      </c>
      <c r="G63" s="14"/>
      <c r="H63" s="14"/>
      <c r="I63" s="14"/>
      <c r="J63" s="14"/>
      <c r="K63" s="18"/>
      <c r="L63" s="14"/>
      <c r="M63" s="14"/>
    </row>
    <row r="64" spans="1:13" ht="15.75">
      <c r="A64" s="15"/>
      <c r="B64" s="15"/>
      <c r="C64" s="21" t="s">
        <v>72</v>
      </c>
      <c r="D64" s="14" t="s">
        <v>32</v>
      </c>
      <c r="E64" s="23">
        <f>10.5/1000</f>
        <v>0.0105</v>
      </c>
      <c r="F64" s="14">
        <f>E64*F61</f>
        <v>0.00525</v>
      </c>
      <c r="G64" s="14"/>
      <c r="H64" s="14"/>
      <c r="I64" s="14"/>
      <c r="J64" s="14"/>
      <c r="K64" s="14"/>
      <c r="L64" s="14"/>
      <c r="M64" s="14"/>
    </row>
    <row r="65" spans="1:13" ht="31.5">
      <c r="A65" s="15"/>
      <c r="B65" s="15"/>
      <c r="C65" s="21" t="s">
        <v>33</v>
      </c>
      <c r="D65" s="14" t="s">
        <v>31</v>
      </c>
      <c r="E65" s="14"/>
      <c r="F65" s="14">
        <f>F64</f>
        <v>0.00525</v>
      </c>
      <c r="G65" s="14"/>
      <c r="H65" s="14"/>
      <c r="I65" s="14"/>
      <c r="J65" s="14"/>
      <c r="K65" s="18"/>
      <c r="L65" s="14"/>
      <c r="M65" s="14"/>
    </row>
    <row r="66" spans="1:13" ht="15.75">
      <c r="A66" s="15"/>
      <c r="B66" s="15"/>
      <c r="C66" s="21" t="s">
        <v>84</v>
      </c>
      <c r="D66" s="14" t="s">
        <v>32</v>
      </c>
      <c r="E66" s="73">
        <f>1.85/1000</f>
        <v>0.00185</v>
      </c>
      <c r="F66" s="14">
        <f>E66*F61</f>
        <v>0.000925</v>
      </c>
      <c r="G66" s="14"/>
      <c r="H66" s="14"/>
      <c r="I66" s="14"/>
      <c r="J66" s="14"/>
      <c r="K66" s="14"/>
      <c r="L66" s="14"/>
      <c r="M66" s="14"/>
    </row>
    <row r="67" spans="1:13" ht="31.5">
      <c r="A67" s="22"/>
      <c r="B67" s="22"/>
      <c r="C67" s="92" t="s">
        <v>33</v>
      </c>
      <c r="D67" s="19" t="s">
        <v>31</v>
      </c>
      <c r="E67" s="19"/>
      <c r="F67" s="19">
        <f>F66</f>
        <v>0.000925</v>
      </c>
      <c r="G67" s="19"/>
      <c r="H67" s="19"/>
      <c r="I67" s="19"/>
      <c r="J67" s="19"/>
      <c r="K67" s="20"/>
      <c r="L67" s="19"/>
      <c r="M67" s="19"/>
    </row>
    <row r="68" spans="1:13" ht="15.75">
      <c r="A68" s="134"/>
      <c r="B68" s="115"/>
      <c r="C68" s="30" t="s">
        <v>12</v>
      </c>
      <c r="D68" s="115" t="s">
        <v>35</v>
      </c>
      <c r="E68" s="115"/>
      <c r="F68" s="115"/>
      <c r="G68" s="115"/>
      <c r="H68" s="4"/>
      <c r="I68" s="4"/>
      <c r="J68" s="4"/>
      <c r="K68" s="4"/>
      <c r="L68" s="4"/>
      <c r="M68" s="14"/>
    </row>
    <row r="69" spans="1:13" ht="31.5">
      <c r="A69" s="37"/>
      <c r="B69" s="15"/>
      <c r="C69" s="24" t="s">
        <v>94</v>
      </c>
      <c r="D69" s="26" t="s">
        <v>35</v>
      </c>
      <c r="E69" s="14">
        <v>0.05</v>
      </c>
      <c r="F69" s="14"/>
      <c r="G69" s="14"/>
      <c r="H69" s="14"/>
      <c r="I69" s="14"/>
      <c r="J69" s="14"/>
      <c r="K69" s="18"/>
      <c r="L69" s="14"/>
      <c r="M69" s="14"/>
    </row>
    <row r="70" spans="1:13" ht="15.75">
      <c r="A70" s="37"/>
      <c r="B70" s="15"/>
      <c r="C70" s="30" t="s">
        <v>12</v>
      </c>
      <c r="D70" s="26" t="s">
        <v>35</v>
      </c>
      <c r="E70" s="14"/>
      <c r="F70" s="14"/>
      <c r="G70" s="14"/>
      <c r="H70" s="14"/>
      <c r="I70" s="14"/>
      <c r="J70" s="14"/>
      <c r="K70" s="18"/>
      <c r="L70" s="14"/>
      <c r="M70" s="14"/>
    </row>
    <row r="71" spans="1:13" ht="15.75">
      <c r="A71" s="143"/>
      <c r="B71" s="74"/>
      <c r="C71" s="25" t="s">
        <v>37</v>
      </c>
      <c r="D71" s="26" t="s">
        <v>35</v>
      </c>
      <c r="E71" s="27">
        <v>0.1</v>
      </c>
      <c r="F71" s="28"/>
      <c r="G71" s="29"/>
      <c r="H71" s="27"/>
      <c r="I71" s="27"/>
      <c r="J71" s="27"/>
      <c r="K71" s="27"/>
      <c r="L71" s="27"/>
      <c r="M71" s="27"/>
    </row>
    <row r="72" spans="1:13" ht="15.75">
      <c r="A72" s="144"/>
      <c r="B72" s="74"/>
      <c r="C72" s="30" t="s">
        <v>12</v>
      </c>
      <c r="D72" s="26" t="s">
        <v>35</v>
      </c>
      <c r="E72" s="31"/>
      <c r="F72" s="30"/>
      <c r="G72" s="30"/>
      <c r="H72" s="31"/>
      <c r="I72" s="31"/>
      <c r="J72" s="31"/>
      <c r="K72" s="31"/>
      <c r="L72" s="31"/>
      <c r="M72" s="31"/>
    </row>
    <row r="73" spans="1:13" ht="15.75">
      <c r="A73" s="143"/>
      <c r="B73" s="74"/>
      <c r="C73" s="24" t="s">
        <v>38</v>
      </c>
      <c r="D73" s="26" t="s">
        <v>35</v>
      </c>
      <c r="E73" s="27">
        <v>0.08</v>
      </c>
      <c r="F73" s="32"/>
      <c r="G73" s="27"/>
      <c r="H73" s="27"/>
      <c r="I73" s="27"/>
      <c r="J73" s="27"/>
      <c r="K73" s="27"/>
      <c r="L73" s="27"/>
      <c r="M73" s="27"/>
    </row>
    <row r="74" spans="1:13" ht="15.75">
      <c r="A74" s="145"/>
      <c r="B74" s="75"/>
      <c r="C74" s="33" t="s">
        <v>12</v>
      </c>
      <c r="D74" s="34" t="s">
        <v>35</v>
      </c>
      <c r="E74" s="33"/>
      <c r="F74" s="33"/>
      <c r="G74" s="33"/>
      <c r="H74" s="36"/>
      <c r="I74" s="36"/>
      <c r="J74" s="36"/>
      <c r="K74" s="36"/>
      <c r="L74" s="36"/>
      <c r="M74" s="36"/>
    </row>
  </sheetData>
  <sheetProtection/>
  <mergeCells count="24">
    <mergeCell ref="A1:M1"/>
    <mergeCell ref="A6:M6"/>
    <mergeCell ref="B7:D7"/>
    <mergeCell ref="F7:I7"/>
    <mergeCell ref="B8:C8"/>
    <mergeCell ref="F8:I8"/>
    <mergeCell ref="A3:M3"/>
    <mergeCell ref="A4:M4"/>
    <mergeCell ref="A5:M5"/>
    <mergeCell ref="A10:A13"/>
    <mergeCell ref="B10:B13"/>
    <mergeCell ref="C10:C13"/>
    <mergeCell ref="D10:F11"/>
    <mergeCell ref="D12:D13"/>
    <mergeCell ref="E12:E13"/>
    <mergeCell ref="F12:F13"/>
    <mergeCell ref="G10:H11"/>
    <mergeCell ref="I10:J11"/>
    <mergeCell ref="K10:L10"/>
    <mergeCell ref="M10:M13"/>
    <mergeCell ref="K11:L11"/>
    <mergeCell ref="H12:H13"/>
    <mergeCell ref="J12:J13"/>
    <mergeCell ref="L12:L13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48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N67"/>
  <sheetViews>
    <sheetView view="pageBreakPreview" zoomScaleSheetLayoutView="100" zoomScalePageLayoutView="0" workbookViewId="0" topLeftCell="A1">
      <selection activeCell="G15" sqref="G15"/>
    </sheetView>
  </sheetViews>
  <sheetFormatPr defaultColWidth="9.00390625" defaultRowHeight="12.75"/>
  <cols>
    <col min="1" max="1" width="3.8515625" style="1" customWidth="1"/>
    <col min="2" max="2" width="9.7109375" style="2" customWidth="1"/>
    <col min="3" max="3" width="34.140625" style="2" customWidth="1"/>
    <col min="4" max="4" width="8.28125" style="12" customWidth="1"/>
    <col min="5" max="5" width="9.00390625" style="12" customWidth="1"/>
    <col min="6" max="6" width="8.7109375" style="12" customWidth="1"/>
    <col min="7" max="7" width="7.7109375" style="12" customWidth="1"/>
    <col min="8" max="8" width="11.28125" style="12" customWidth="1"/>
    <col min="9" max="9" width="9.00390625" style="12" customWidth="1"/>
    <col min="10" max="10" width="9.7109375" style="12" customWidth="1"/>
    <col min="11" max="11" width="9.421875" style="12" customWidth="1"/>
    <col min="12" max="12" width="11.140625" style="12" customWidth="1"/>
    <col min="13" max="13" width="12.28125" style="12" customWidth="1"/>
    <col min="14" max="16384" width="9.00390625" style="17" customWidth="1"/>
  </cols>
  <sheetData>
    <row r="1" spans="1:14" ht="37.5" customHeight="1">
      <c r="A1" s="348" t="str">
        <f>'x.a.4'!A1</f>
        <v>tyibulis municipalitetSi, sof. muxuraSi betonis safariani gzis mowyobis samuSaoebi (gza #1)</v>
      </c>
      <c r="B1" s="348"/>
      <c r="C1" s="348"/>
      <c r="D1" s="348"/>
      <c r="E1" s="348"/>
      <c r="F1" s="348"/>
      <c r="G1" s="348"/>
      <c r="H1" s="348"/>
      <c r="I1" s="348"/>
      <c r="J1" s="348"/>
      <c r="K1" s="348"/>
      <c r="L1" s="348"/>
      <c r="M1" s="348"/>
      <c r="N1" s="79"/>
    </row>
    <row r="2" spans="1:14" ht="15.75">
      <c r="A2" s="84"/>
      <c r="B2" s="84"/>
      <c r="C2" s="84"/>
      <c r="D2" s="84"/>
      <c r="E2" s="84"/>
      <c r="F2" s="84"/>
      <c r="G2" s="84"/>
      <c r="H2" s="84"/>
      <c r="I2" s="84"/>
      <c r="J2" s="84"/>
      <c r="K2" s="84"/>
      <c r="L2" s="84"/>
      <c r="M2" s="84"/>
      <c r="N2" s="79"/>
    </row>
    <row r="3" spans="1:13" ht="15.75">
      <c r="A3" s="349" t="s">
        <v>149</v>
      </c>
      <c r="B3" s="349"/>
      <c r="C3" s="349"/>
      <c r="D3" s="349"/>
      <c r="E3" s="349"/>
      <c r="F3" s="349"/>
      <c r="G3" s="349"/>
      <c r="H3" s="349"/>
      <c r="I3" s="349"/>
      <c r="J3" s="349"/>
      <c r="K3" s="349"/>
      <c r="L3" s="349"/>
      <c r="M3" s="349"/>
    </row>
    <row r="4" spans="1:13" ht="15.75">
      <c r="A4" s="349"/>
      <c r="B4" s="349"/>
      <c r="C4" s="349"/>
      <c r="D4" s="349"/>
      <c r="E4" s="349"/>
      <c r="F4" s="349"/>
      <c r="G4" s="349"/>
      <c r="H4" s="349"/>
      <c r="I4" s="349"/>
      <c r="J4" s="349"/>
      <c r="K4" s="349"/>
      <c r="L4" s="349"/>
      <c r="M4" s="349"/>
    </row>
    <row r="5" spans="1:13" ht="15.75">
      <c r="A5" s="350" t="s">
        <v>116</v>
      </c>
      <c r="B5" s="350"/>
      <c r="C5" s="350"/>
      <c r="D5" s="350"/>
      <c r="E5" s="350"/>
      <c r="F5" s="350"/>
      <c r="G5" s="350"/>
      <c r="H5" s="350"/>
      <c r="I5" s="350"/>
      <c r="J5" s="350"/>
      <c r="K5" s="350"/>
      <c r="L5" s="350"/>
      <c r="M5" s="350"/>
    </row>
    <row r="6" spans="1:13" ht="15.75">
      <c r="A6" s="351"/>
      <c r="B6" s="351"/>
      <c r="C6" s="351"/>
      <c r="D6" s="351"/>
      <c r="E6" s="351"/>
      <c r="F6" s="351"/>
      <c r="G6" s="351"/>
      <c r="H6" s="351"/>
      <c r="I6" s="351"/>
      <c r="J6" s="351"/>
      <c r="K6" s="351"/>
      <c r="L6" s="351"/>
      <c r="M6" s="351"/>
    </row>
    <row r="7" spans="1:13" ht="31.5">
      <c r="A7" s="2"/>
      <c r="B7" s="336" t="s">
        <v>28</v>
      </c>
      <c r="C7" s="336"/>
      <c r="D7" s="353"/>
      <c r="E7" s="3"/>
      <c r="F7" s="337" t="s">
        <v>1</v>
      </c>
      <c r="G7" s="337"/>
      <c r="H7" s="337"/>
      <c r="I7" s="337"/>
      <c r="J7" s="3">
        <f>M67/1000</f>
        <v>0</v>
      </c>
      <c r="K7" s="3" t="s">
        <v>0</v>
      </c>
      <c r="L7" s="3"/>
      <c r="M7" s="3"/>
    </row>
    <row r="8" spans="1:13" ht="15.75">
      <c r="A8" s="2"/>
      <c r="B8" s="336" t="s">
        <v>97</v>
      </c>
      <c r="C8" s="336"/>
      <c r="D8" s="3"/>
      <c r="E8" s="3"/>
      <c r="F8" s="337"/>
      <c r="G8" s="337"/>
      <c r="H8" s="337"/>
      <c r="I8" s="337"/>
      <c r="J8" s="3"/>
      <c r="K8" s="3"/>
      <c r="L8" s="3"/>
      <c r="M8" s="3"/>
    </row>
    <row r="9" spans="1:13" ht="15.75">
      <c r="A9" s="2"/>
      <c r="D9" s="3"/>
      <c r="E9" s="3"/>
      <c r="F9" s="3"/>
      <c r="G9" s="3"/>
      <c r="H9" s="3"/>
      <c r="I9" s="3"/>
      <c r="J9" s="3"/>
      <c r="K9" s="3"/>
      <c r="L9" s="3"/>
      <c r="M9" s="3"/>
    </row>
    <row r="10" spans="1:13" ht="15.75">
      <c r="A10" s="338" t="s">
        <v>2</v>
      </c>
      <c r="B10" s="339" t="s">
        <v>3</v>
      </c>
      <c r="C10" s="288" t="s">
        <v>27</v>
      </c>
      <c r="D10" s="326" t="s">
        <v>4</v>
      </c>
      <c r="E10" s="342"/>
      <c r="F10" s="328"/>
      <c r="G10" s="326" t="s">
        <v>5</v>
      </c>
      <c r="H10" s="327"/>
      <c r="I10" s="326" t="s">
        <v>6</v>
      </c>
      <c r="J10" s="346"/>
      <c r="K10" s="326" t="s">
        <v>7</v>
      </c>
      <c r="L10" s="327"/>
      <c r="M10" s="328" t="s">
        <v>8</v>
      </c>
    </row>
    <row r="11" spans="1:13" ht="15.75">
      <c r="A11" s="292"/>
      <c r="B11" s="340"/>
      <c r="C11" s="289"/>
      <c r="D11" s="332"/>
      <c r="E11" s="343"/>
      <c r="F11" s="344"/>
      <c r="G11" s="345"/>
      <c r="H11" s="333"/>
      <c r="I11" s="345"/>
      <c r="J11" s="347"/>
      <c r="K11" s="332" t="s">
        <v>9</v>
      </c>
      <c r="L11" s="333"/>
      <c r="M11" s="329"/>
    </row>
    <row r="12" spans="1:13" ht="15.75">
      <c r="A12" s="292"/>
      <c r="B12" s="340"/>
      <c r="C12" s="289"/>
      <c r="D12" s="334" t="s">
        <v>10</v>
      </c>
      <c r="E12" s="334" t="s">
        <v>11</v>
      </c>
      <c r="F12" s="334" t="s">
        <v>12</v>
      </c>
      <c r="G12" s="4" t="s">
        <v>11</v>
      </c>
      <c r="H12" s="334" t="s">
        <v>12</v>
      </c>
      <c r="I12" s="4" t="s">
        <v>11</v>
      </c>
      <c r="J12" s="334" t="s">
        <v>12</v>
      </c>
      <c r="K12" s="4" t="s">
        <v>11</v>
      </c>
      <c r="L12" s="334" t="s">
        <v>12</v>
      </c>
      <c r="M12" s="330"/>
    </row>
    <row r="13" spans="1:13" ht="18.75" customHeight="1">
      <c r="A13" s="293"/>
      <c r="B13" s="341"/>
      <c r="C13" s="290"/>
      <c r="D13" s="335"/>
      <c r="E13" s="335"/>
      <c r="F13" s="335"/>
      <c r="G13" s="5" t="s">
        <v>13</v>
      </c>
      <c r="H13" s="335"/>
      <c r="I13" s="5" t="s">
        <v>13</v>
      </c>
      <c r="J13" s="335"/>
      <c r="K13" s="5" t="s">
        <v>13</v>
      </c>
      <c r="L13" s="335"/>
      <c r="M13" s="331"/>
    </row>
    <row r="14" spans="1:13" ht="15.75">
      <c r="A14" s="51">
        <v>1</v>
      </c>
      <c r="B14" s="132" t="s">
        <v>65</v>
      </c>
      <c r="C14" s="133">
        <v>3</v>
      </c>
      <c r="D14" s="132">
        <v>4</v>
      </c>
      <c r="E14" s="132">
        <v>5</v>
      </c>
      <c r="F14" s="132">
        <v>6</v>
      </c>
      <c r="G14" s="132">
        <v>7</v>
      </c>
      <c r="H14" s="132">
        <v>8</v>
      </c>
      <c r="I14" s="132">
        <v>9</v>
      </c>
      <c r="J14" s="132">
        <v>10</v>
      </c>
      <c r="K14" s="132">
        <v>11</v>
      </c>
      <c r="L14" s="132">
        <v>12</v>
      </c>
      <c r="M14" s="51">
        <v>13</v>
      </c>
    </row>
    <row r="15" spans="1:13" ht="80.25" customHeight="1">
      <c r="A15" s="96" t="s">
        <v>119</v>
      </c>
      <c r="B15" s="96" t="s">
        <v>118</v>
      </c>
      <c r="C15" s="169" t="s">
        <v>143</v>
      </c>
      <c r="D15" s="148" t="s">
        <v>29</v>
      </c>
      <c r="E15" s="148"/>
      <c r="F15" s="171">
        <v>72.9</v>
      </c>
      <c r="G15" s="171"/>
      <c r="H15" s="148"/>
      <c r="I15" s="148"/>
      <c r="J15" s="148"/>
      <c r="K15" s="94"/>
      <c r="L15" s="94"/>
      <c r="M15" s="94"/>
    </row>
    <row r="16" spans="1:13" ht="15.75">
      <c r="A16" s="15"/>
      <c r="B16" s="15"/>
      <c r="C16" s="21" t="s">
        <v>30</v>
      </c>
      <c r="D16" s="14" t="s">
        <v>31</v>
      </c>
      <c r="E16" s="23">
        <f>15.5/1000</f>
        <v>0.0155</v>
      </c>
      <c r="F16" s="14">
        <f>E16*F15</f>
        <v>1.12995</v>
      </c>
      <c r="G16" s="149"/>
      <c r="H16" s="149"/>
      <c r="I16" s="150"/>
      <c r="J16" s="150"/>
      <c r="K16" s="150"/>
      <c r="L16" s="150"/>
      <c r="M16" s="150"/>
    </row>
    <row r="17" spans="1:13" ht="15.75">
      <c r="A17" s="15"/>
      <c r="B17" s="15"/>
      <c r="C17" s="21" t="s">
        <v>69</v>
      </c>
      <c r="D17" s="14" t="s">
        <v>32</v>
      </c>
      <c r="E17" s="23">
        <f>34.7/1000</f>
        <v>0.0347</v>
      </c>
      <c r="F17" s="14">
        <f>E17*F15</f>
        <v>2.5296300000000005</v>
      </c>
      <c r="G17" s="149"/>
      <c r="H17" s="149"/>
      <c r="I17" s="150"/>
      <c r="J17" s="91"/>
      <c r="K17" s="14"/>
      <c r="L17" s="151"/>
      <c r="M17" s="150"/>
    </row>
    <row r="18" spans="1:13" ht="31.5">
      <c r="A18" s="15"/>
      <c r="B18" s="15"/>
      <c r="C18" s="21" t="s">
        <v>33</v>
      </c>
      <c r="D18" s="14" t="s">
        <v>31</v>
      </c>
      <c r="E18" s="14"/>
      <c r="F18" s="93">
        <f>F17</f>
        <v>2.5296300000000005</v>
      </c>
      <c r="G18" s="149"/>
      <c r="H18" s="149"/>
      <c r="I18" s="150"/>
      <c r="J18" s="91"/>
      <c r="K18" s="150"/>
      <c r="L18" s="151"/>
      <c r="M18" s="150"/>
    </row>
    <row r="19" spans="1:13" ht="15.75">
      <c r="A19" s="15"/>
      <c r="B19" s="15"/>
      <c r="C19" s="21" t="s">
        <v>40</v>
      </c>
      <c r="D19" s="14" t="s">
        <v>35</v>
      </c>
      <c r="E19" s="23">
        <f>2.09/1000</f>
        <v>0.00209</v>
      </c>
      <c r="F19" s="93">
        <f>E19*F15</f>
        <v>0.152361</v>
      </c>
      <c r="G19" s="14"/>
      <c r="H19" s="14"/>
      <c r="I19" s="14"/>
      <c r="J19" s="14"/>
      <c r="K19" s="14"/>
      <c r="L19" s="14"/>
      <c r="M19" s="14"/>
    </row>
    <row r="20" spans="1:13" ht="31.5">
      <c r="A20" s="85"/>
      <c r="B20" s="71"/>
      <c r="C20" s="90" t="s">
        <v>93</v>
      </c>
      <c r="D20" s="86" t="s">
        <v>36</v>
      </c>
      <c r="E20" s="5"/>
      <c r="F20" s="87">
        <f>F15*1.6</f>
        <v>116.64000000000001</v>
      </c>
      <c r="G20" s="88"/>
      <c r="H20" s="86"/>
      <c r="I20" s="5"/>
      <c r="J20" s="88"/>
      <c r="K20" s="5"/>
      <c r="L20" s="86"/>
      <c r="M20" s="5"/>
    </row>
    <row r="21" spans="1:13" ht="63">
      <c r="A21" s="134">
        <v>2</v>
      </c>
      <c r="B21" s="152" t="s">
        <v>120</v>
      </c>
      <c r="C21" s="169" t="s">
        <v>144</v>
      </c>
      <c r="D21" s="148" t="s">
        <v>29</v>
      </c>
      <c r="E21" s="148"/>
      <c r="F21" s="171">
        <v>8.1</v>
      </c>
      <c r="G21" s="115"/>
      <c r="H21" s="115"/>
      <c r="I21" s="115"/>
      <c r="J21" s="115"/>
      <c r="K21" s="115"/>
      <c r="L21" s="115"/>
      <c r="M21" s="134"/>
    </row>
    <row r="22" spans="1:13" ht="15.75">
      <c r="A22" s="15"/>
      <c r="B22" s="15"/>
      <c r="C22" s="21" t="s">
        <v>30</v>
      </c>
      <c r="D22" s="14" t="s">
        <v>31</v>
      </c>
      <c r="E22" s="149">
        <f>1.54+0.64</f>
        <v>2.18</v>
      </c>
      <c r="F22" s="14">
        <f>E22*F21</f>
        <v>17.658</v>
      </c>
      <c r="G22" s="149"/>
      <c r="H22" s="149"/>
      <c r="I22" s="150"/>
      <c r="J22" s="150"/>
      <c r="K22" s="150"/>
      <c r="L22" s="150"/>
      <c r="M22" s="150"/>
    </row>
    <row r="23" spans="1:13" ht="31.5">
      <c r="A23" s="85"/>
      <c r="B23" s="71"/>
      <c r="C23" s="90" t="s">
        <v>93</v>
      </c>
      <c r="D23" s="86" t="s">
        <v>36</v>
      </c>
      <c r="E23" s="5"/>
      <c r="F23" s="87">
        <f>F21*1.6</f>
        <v>12.96</v>
      </c>
      <c r="G23" s="88"/>
      <c r="H23" s="86"/>
      <c r="I23" s="5"/>
      <c r="J23" s="88"/>
      <c r="K23" s="5"/>
      <c r="L23" s="86"/>
      <c r="M23" s="5"/>
    </row>
    <row r="24" spans="1:13" ht="18.75">
      <c r="A24" s="134">
        <v>3</v>
      </c>
      <c r="B24" s="94" t="s">
        <v>70</v>
      </c>
      <c r="C24" s="130" t="s">
        <v>86</v>
      </c>
      <c r="D24" s="148" t="s">
        <v>29</v>
      </c>
      <c r="E24" s="131"/>
      <c r="F24" s="171">
        <f>F15+F21</f>
        <v>81</v>
      </c>
      <c r="G24" s="131"/>
      <c r="H24" s="131"/>
      <c r="I24" s="131"/>
      <c r="J24" s="131"/>
      <c r="K24" s="131"/>
      <c r="L24" s="131"/>
      <c r="M24" s="131"/>
    </row>
    <row r="25" spans="1:13" ht="15.75">
      <c r="A25" s="77"/>
      <c r="B25" s="77"/>
      <c r="C25" s="21" t="s">
        <v>30</v>
      </c>
      <c r="D25" s="14" t="s">
        <v>31</v>
      </c>
      <c r="E25" s="23">
        <f>3.23/1000</f>
        <v>0.00323</v>
      </c>
      <c r="F25" s="14">
        <f>E25*F24</f>
        <v>0.26163</v>
      </c>
      <c r="G25" s="70"/>
      <c r="H25" s="70"/>
      <c r="I25" s="69"/>
      <c r="J25" s="69"/>
      <c r="K25" s="69"/>
      <c r="L25" s="69"/>
      <c r="M25" s="70"/>
    </row>
    <row r="26" spans="1:13" ht="15.75">
      <c r="A26" s="15"/>
      <c r="B26" s="15"/>
      <c r="C26" s="21" t="s">
        <v>64</v>
      </c>
      <c r="D26" s="14" t="s">
        <v>32</v>
      </c>
      <c r="E26" s="73">
        <f>3.62/1000</f>
        <v>0.00362</v>
      </c>
      <c r="F26" s="14">
        <f>E26*F24</f>
        <v>0.29322</v>
      </c>
      <c r="G26" s="14"/>
      <c r="H26" s="14"/>
      <c r="I26" s="14"/>
      <c r="J26" s="14"/>
      <c r="K26" s="14"/>
      <c r="L26" s="14"/>
      <c r="M26" s="14"/>
    </row>
    <row r="27" spans="1:13" ht="31.5">
      <c r="A27" s="15"/>
      <c r="B27" s="15"/>
      <c r="C27" s="21" t="s">
        <v>33</v>
      </c>
      <c r="D27" s="14" t="s">
        <v>31</v>
      </c>
      <c r="E27" s="14"/>
      <c r="F27" s="14">
        <f>F26</f>
        <v>0.29322</v>
      </c>
      <c r="G27" s="14"/>
      <c r="H27" s="14"/>
      <c r="I27" s="14"/>
      <c r="J27" s="14"/>
      <c r="K27" s="18"/>
      <c r="L27" s="18"/>
      <c r="M27" s="14"/>
    </row>
    <row r="28" spans="1:13" ht="15.75">
      <c r="A28" s="72"/>
      <c r="B28" s="72"/>
      <c r="C28" s="76" t="s">
        <v>40</v>
      </c>
      <c r="D28" s="72" t="s">
        <v>35</v>
      </c>
      <c r="E28" s="89">
        <f>0.18/1000</f>
        <v>0.00017999999999999998</v>
      </c>
      <c r="F28" s="19">
        <f>E28*F24</f>
        <v>0.01458</v>
      </c>
      <c r="G28" s="72"/>
      <c r="H28" s="72"/>
      <c r="I28" s="72"/>
      <c r="J28" s="72"/>
      <c r="K28" s="78"/>
      <c r="L28" s="19"/>
      <c r="M28" s="19"/>
    </row>
    <row r="29" spans="1:13" ht="47.25">
      <c r="A29" s="134">
        <v>4</v>
      </c>
      <c r="B29" s="96" t="s">
        <v>87</v>
      </c>
      <c r="C29" s="141" t="s">
        <v>167</v>
      </c>
      <c r="D29" s="14" t="s">
        <v>29</v>
      </c>
      <c r="E29" s="115"/>
      <c r="F29" s="139">
        <f>429.3*0.12</f>
        <v>51.516</v>
      </c>
      <c r="G29" s="115"/>
      <c r="H29" s="115"/>
      <c r="I29" s="115"/>
      <c r="J29" s="115"/>
      <c r="K29" s="115"/>
      <c r="L29" s="115"/>
      <c r="M29" s="134"/>
    </row>
    <row r="30" spans="1:13" ht="15.75">
      <c r="A30" s="15"/>
      <c r="B30" s="15"/>
      <c r="C30" s="16" t="s">
        <v>30</v>
      </c>
      <c r="D30" s="14" t="s">
        <v>31</v>
      </c>
      <c r="E30" s="23">
        <f>21.6/100</f>
        <v>0.21600000000000003</v>
      </c>
      <c r="F30" s="14">
        <f>E30*F29</f>
        <v>11.127456</v>
      </c>
      <c r="G30" s="14"/>
      <c r="H30" s="14"/>
      <c r="I30" s="18"/>
      <c r="J30" s="18"/>
      <c r="K30" s="18"/>
      <c r="L30" s="18"/>
      <c r="M30" s="14"/>
    </row>
    <row r="31" spans="1:13" ht="31.5">
      <c r="A31" s="15"/>
      <c r="B31" s="15"/>
      <c r="C31" s="16" t="s">
        <v>85</v>
      </c>
      <c r="D31" s="14" t="s">
        <v>32</v>
      </c>
      <c r="E31" s="23">
        <f>1.24/100</f>
        <v>0.0124</v>
      </c>
      <c r="F31" s="14">
        <f>E31*F29</f>
        <v>0.6387984</v>
      </c>
      <c r="G31" s="14"/>
      <c r="H31" s="18"/>
      <c r="I31" s="18"/>
      <c r="J31" s="18"/>
      <c r="K31" s="14"/>
      <c r="L31" s="14"/>
      <c r="M31" s="14"/>
    </row>
    <row r="32" spans="1:13" ht="31.5">
      <c r="A32" s="15"/>
      <c r="B32" s="15"/>
      <c r="C32" s="16" t="s">
        <v>33</v>
      </c>
      <c r="D32" s="14" t="s">
        <v>31</v>
      </c>
      <c r="E32" s="14"/>
      <c r="F32" s="14">
        <f>F31</f>
        <v>0.6387984</v>
      </c>
      <c r="G32" s="14"/>
      <c r="H32" s="14"/>
      <c r="I32" s="14"/>
      <c r="J32" s="14"/>
      <c r="K32" s="14"/>
      <c r="L32" s="14"/>
      <c r="M32" s="14"/>
    </row>
    <row r="33" spans="1:13" ht="15.75">
      <c r="A33" s="15"/>
      <c r="B33" s="15"/>
      <c r="C33" s="16" t="s">
        <v>72</v>
      </c>
      <c r="D33" s="14" t="s">
        <v>32</v>
      </c>
      <c r="E33" s="23">
        <f>2.58/100</f>
        <v>0.0258</v>
      </c>
      <c r="F33" s="14">
        <f>E33*F29</f>
        <v>1.3291127999999999</v>
      </c>
      <c r="G33" s="14"/>
      <c r="H33" s="14"/>
      <c r="I33" s="14"/>
      <c r="J33" s="14"/>
      <c r="K33" s="14"/>
      <c r="L33" s="14"/>
      <c r="M33" s="14"/>
    </row>
    <row r="34" spans="1:13" ht="31.5">
      <c r="A34" s="15"/>
      <c r="B34" s="15"/>
      <c r="C34" s="16" t="s">
        <v>33</v>
      </c>
      <c r="D34" s="14" t="s">
        <v>31</v>
      </c>
      <c r="E34" s="14"/>
      <c r="F34" s="14">
        <f>F33</f>
        <v>1.3291127999999999</v>
      </c>
      <c r="G34" s="14"/>
      <c r="H34" s="14"/>
      <c r="I34" s="14"/>
      <c r="J34" s="14"/>
      <c r="K34" s="14"/>
      <c r="L34" s="14"/>
      <c r="M34" s="14"/>
    </row>
    <row r="35" spans="1:13" ht="31.5">
      <c r="A35" s="15"/>
      <c r="B35" s="15"/>
      <c r="C35" s="16" t="s">
        <v>88</v>
      </c>
      <c r="D35" s="14" t="s">
        <v>32</v>
      </c>
      <c r="E35" s="23">
        <f>0.41/100</f>
        <v>0.0040999999999999995</v>
      </c>
      <c r="F35" s="23">
        <f>E35*F29</f>
        <v>0.21121559999999998</v>
      </c>
      <c r="G35" s="14"/>
      <c r="H35" s="14"/>
      <c r="I35" s="14"/>
      <c r="J35" s="14"/>
      <c r="K35" s="14"/>
      <c r="L35" s="14"/>
      <c r="M35" s="14"/>
    </row>
    <row r="36" spans="1:13" ht="31.5">
      <c r="A36" s="15"/>
      <c r="B36" s="15"/>
      <c r="C36" s="16" t="s">
        <v>33</v>
      </c>
      <c r="D36" s="14" t="s">
        <v>31</v>
      </c>
      <c r="E36" s="14"/>
      <c r="F36" s="23">
        <f>F35</f>
        <v>0.21121559999999998</v>
      </c>
      <c r="G36" s="14"/>
      <c r="H36" s="14"/>
      <c r="I36" s="14"/>
      <c r="J36" s="14"/>
      <c r="K36" s="14"/>
      <c r="L36" s="14"/>
      <c r="M36" s="14"/>
    </row>
    <row r="37" spans="1:13" ht="31.5">
      <c r="A37" s="15"/>
      <c r="B37" s="15"/>
      <c r="C37" s="16" t="s">
        <v>60</v>
      </c>
      <c r="D37" s="14" t="s">
        <v>32</v>
      </c>
      <c r="E37" s="23">
        <f>7.6/100</f>
        <v>0.076</v>
      </c>
      <c r="F37" s="14">
        <f>E37*F29</f>
        <v>3.9152159999999996</v>
      </c>
      <c r="G37" s="14"/>
      <c r="H37" s="14"/>
      <c r="I37" s="14"/>
      <c r="J37" s="14"/>
      <c r="K37" s="14"/>
      <c r="L37" s="14"/>
      <c r="M37" s="14"/>
    </row>
    <row r="38" spans="1:13" ht="31.5">
      <c r="A38" s="15"/>
      <c r="B38" s="15"/>
      <c r="C38" s="16" t="s">
        <v>33</v>
      </c>
      <c r="D38" s="14" t="s">
        <v>31</v>
      </c>
      <c r="E38" s="14"/>
      <c r="F38" s="14">
        <f>F37</f>
        <v>3.9152159999999996</v>
      </c>
      <c r="G38" s="14"/>
      <c r="H38" s="14"/>
      <c r="I38" s="14"/>
      <c r="J38" s="14"/>
      <c r="K38" s="14"/>
      <c r="L38" s="14"/>
      <c r="M38" s="14"/>
    </row>
    <row r="39" spans="1:13" ht="15.75">
      <c r="A39" s="15"/>
      <c r="B39" s="15"/>
      <c r="C39" s="16" t="s">
        <v>61</v>
      </c>
      <c r="D39" s="14" t="s">
        <v>32</v>
      </c>
      <c r="E39" s="23">
        <f>15.1/100</f>
        <v>0.151</v>
      </c>
      <c r="F39" s="14">
        <f>E39*F29</f>
        <v>7.778916</v>
      </c>
      <c r="G39" s="14"/>
      <c r="H39" s="14"/>
      <c r="I39" s="14"/>
      <c r="J39" s="14"/>
      <c r="K39" s="14"/>
      <c r="L39" s="14"/>
      <c r="M39" s="14"/>
    </row>
    <row r="40" spans="1:13" ht="31.5">
      <c r="A40" s="15"/>
      <c r="B40" s="15"/>
      <c r="C40" s="16" t="s">
        <v>33</v>
      </c>
      <c r="D40" s="14" t="s">
        <v>31</v>
      </c>
      <c r="E40" s="14"/>
      <c r="F40" s="14">
        <f>F39</f>
        <v>7.778916</v>
      </c>
      <c r="G40" s="14"/>
      <c r="H40" s="14"/>
      <c r="I40" s="14"/>
      <c r="J40" s="14"/>
      <c r="K40" s="14"/>
      <c r="L40" s="14"/>
      <c r="M40" s="14"/>
    </row>
    <row r="41" spans="1:13" ht="31.5">
      <c r="A41" s="15"/>
      <c r="B41" s="15"/>
      <c r="C41" s="16" t="s">
        <v>34</v>
      </c>
      <c r="D41" s="14" t="s">
        <v>32</v>
      </c>
      <c r="E41" s="23">
        <f>0.97/100</f>
        <v>0.0097</v>
      </c>
      <c r="F41" s="14">
        <f>E41*F29</f>
        <v>0.4997052</v>
      </c>
      <c r="G41" s="14"/>
      <c r="H41" s="14"/>
      <c r="I41" s="14"/>
      <c r="J41" s="14"/>
      <c r="K41" s="14"/>
      <c r="L41" s="14"/>
      <c r="M41" s="14"/>
    </row>
    <row r="42" spans="1:13" ht="31.5">
      <c r="A42" s="15"/>
      <c r="B42" s="15"/>
      <c r="C42" s="16" t="s">
        <v>33</v>
      </c>
      <c r="D42" s="14" t="s">
        <v>31</v>
      </c>
      <c r="E42" s="14"/>
      <c r="F42" s="14">
        <f>F41</f>
        <v>0.4997052</v>
      </c>
      <c r="G42" s="14"/>
      <c r="H42" s="14"/>
      <c r="I42" s="14"/>
      <c r="J42" s="14"/>
      <c r="K42" s="14"/>
      <c r="L42" s="14"/>
      <c r="M42" s="14"/>
    </row>
    <row r="43" spans="1:13" ht="18.75">
      <c r="A43" s="15"/>
      <c r="B43" s="15"/>
      <c r="C43" s="16" t="s">
        <v>89</v>
      </c>
      <c r="D43" s="14" t="s">
        <v>29</v>
      </c>
      <c r="E43" s="14">
        <v>1.26</v>
      </c>
      <c r="F43" s="14">
        <f>E43*F29</f>
        <v>64.91016</v>
      </c>
      <c r="G43" s="14"/>
      <c r="H43" s="14"/>
      <c r="I43" s="14"/>
      <c r="J43" s="14"/>
      <c r="K43" s="14"/>
      <c r="L43" s="14"/>
      <c r="M43" s="14"/>
    </row>
    <row r="44" spans="1:13" ht="18.75">
      <c r="A44" s="22"/>
      <c r="B44" s="22"/>
      <c r="C44" s="35" t="s">
        <v>59</v>
      </c>
      <c r="D44" s="19" t="s">
        <v>29</v>
      </c>
      <c r="E44" s="39">
        <f>7/100</f>
        <v>0.07</v>
      </c>
      <c r="F44" s="19">
        <f>E44*F29</f>
        <v>3.60612</v>
      </c>
      <c r="G44" s="19"/>
      <c r="H44" s="19"/>
      <c r="I44" s="19"/>
      <c r="J44" s="19"/>
      <c r="K44" s="19"/>
      <c r="L44" s="19"/>
      <c r="M44" s="19"/>
    </row>
    <row r="45" spans="1:13" ht="31.5">
      <c r="A45" s="15" t="s">
        <v>75</v>
      </c>
      <c r="B45" s="159" t="s">
        <v>104</v>
      </c>
      <c r="C45" s="16" t="s">
        <v>113</v>
      </c>
      <c r="D45" s="14" t="s">
        <v>58</v>
      </c>
      <c r="E45" s="23"/>
      <c r="F45" s="95">
        <v>405</v>
      </c>
      <c r="G45" s="14"/>
      <c r="H45" s="14"/>
      <c r="I45" s="14"/>
      <c r="J45" s="14"/>
      <c r="K45" s="14"/>
      <c r="L45" s="14"/>
      <c r="M45" s="14"/>
    </row>
    <row r="46" spans="1:13" ht="15.75">
      <c r="A46" s="158"/>
      <c r="B46" s="159"/>
      <c r="C46" s="160" t="s">
        <v>30</v>
      </c>
      <c r="D46" s="14" t="s">
        <v>31</v>
      </c>
      <c r="E46" s="161">
        <v>0.182</v>
      </c>
      <c r="F46" s="31">
        <f>E46*F45</f>
        <v>73.71</v>
      </c>
      <c r="G46" s="31"/>
      <c r="H46" s="31"/>
      <c r="I46" s="31"/>
      <c r="J46" s="31"/>
      <c r="K46" s="31"/>
      <c r="L46" s="31"/>
      <c r="M46" s="31"/>
    </row>
    <row r="47" spans="1:13" ht="15.75">
      <c r="A47" s="158"/>
      <c r="B47" s="15"/>
      <c r="C47" s="24" t="s">
        <v>98</v>
      </c>
      <c r="D47" s="14" t="s">
        <v>32</v>
      </c>
      <c r="E47" s="158">
        <f>6.6/1000</f>
        <v>0.0066</v>
      </c>
      <c r="F47" s="31">
        <f>E47*F45</f>
        <v>2.673</v>
      </c>
      <c r="G47" s="31"/>
      <c r="H47" s="31"/>
      <c r="I47" s="31"/>
      <c r="J47" s="31"/>
      <c r="K47" s="31"/>
      <c r="L47" s="31"/>
      <c r="M47" s="31"/>
    </row>
    <row r="48" spans="1:13" ht="31.5">
      <c r="A48" s="158"/>
      <c r="B48" s="159"/>
      <c r="C48" s="160" t="s">
        <v>33</v>
      </c>
      <c r="D48" s="14" t="s">
        <v>31</v>
      </c>
      <c r="E48" s="30"/>
      <c r="F48" s="31">
        <f>F47</f>
        <v>2.673</v>
      </c>
      <c r="G48" s="31"/>
      <c r="H48" s="31"/>
      <c r="I48" s="31"/>
      <c r="J48" s="31"/>
      <c r="K48" s="31"/>
      <c r="L48" s="31"/>
      <c r="M48" s="31"/>
    </row>
    <row r="49" spans="1:13" ht="31.5">
      <c r="A49" s="158"/>
      <c r="B49" s="15"/>
      <c r="C49" s="160" t="s">
        <v>99</v>
      </c>
      <c r="D49" s="14" t="s">
        <v>32</v>
      </c>
      <c r="E49" s="158">
        <f>6.6/1000</f>
        <v>0.0066</v>
      </c>
      <c r="F49" s="31">
        <f>E49*F45</f>
        <v>2.673</v>
      </c>
      <c r="G49" s="31"/>
      <c r="H49" s="31"/>
      <c r="I49" s="31"/>
      <c r="J49" s="31"/>
      <c r="K49" s="31"/>
      <c r="L49" s="31"/>
      <c r="M49" s="31"/>
    </row>
    <row r="50" spans="1:13" ht="31.5">
      <c r="A50" s="158"/>
      <c r="B50" s="159"/>
      <c r="C50" s="160" t="s">
        <v>33</v>
      </c>
      <c r="D50" s="14" t="s">
        <v>31</v>
      </c>
      <c r="E50" s="30"/>
      <c r="F50" s="31">
        <f>F49</f>
        <v>2.673</v>
      </c>
      <c r="G50" s="31"/>
      <c r="H50" s="31"/>
      <c r="I50" s="31"/>
      <c r="J50" s="31"/>
      <c r="K50" s="31"/>
      <c r="L50" s="31"/>
      <c r="M50" s="31"/>
    </row>
    <row r="51" spans="1:13" ht="31.5">
      <c r="A51" s="158"/>
      <c r="B51" s="15"/>
      <c r="C51" s="24" t="s">
        <v>100</v>
      </c>
      <c r="D51" s="14" t="s">
        <v>32</v>
      </c>
      <c r="E51" s="158">
        <f>18.6/1000</f>
        <v>0.018600000000000002</v>
      </c>
      <c r="F51" s="31">
        <f>E51*F45</f>
        <v>7.533</v>
      </c>
      <c r="G51" s="31"/>
      <c r="H51" s="31"/>
      <c r="I51" s="31"/>
      <c r="J51" s="31"/>
      <c r="K51" s="31"/>
      <c r="L51" s="31"/>
      <c r="M51" s="31"/>
    </row>
    <row r="52" spans="1:13" ht="31.5">
      <c r="A52" s="158"/>
      <c r="B52" s="159"/>
      <c r="C52" s="160" t="s">
        <v>33</v>
      </c>
      <c r="D52" s="14" t="s">
        <v>31</v>
      </c>
      <c r="E52" s="30"/>
      <c r="F52" s="31">
        <f>F51</f>
        <v>7.533</v>
      </c>
      <c r="G52" s="31"/>
      <c r="H52" s="31"/>
      <c r="I52" s="31"/>
      <c r="J52" s="31"/>
      <c r="K52" s="31"/>
      <c r="L52" s="31"/>
      <c r="M52" s="31"/>
    </row>
    <row r="53" spans="1:13" ht="31.5">
      <c r="A53" s="158"/>
      <c r="B53" s="15"/>
      <c r="C53" s="24" t="s">
        <v>101</v>
      </c>
      <c r="D53" s="14" t="s">
        <v>32</v>
      </c>
      <c r="E53" s="162">
        <f>6.7/1000</f>
        <v>0.0067</v>
      </c>
      <c r="F53" s="31">
        <f>E53*F45</f>
        <v>2.7135000000000002</v>
      </c>
      <c r="G53" s="31"/>
      <c r="H53" s="31"/>
      <c r="I53" s="31"/>
      <c r="J53" s="31"/>
      <c r="K53" s="31"/>
      <c r="L53" s="31"/>
      <c r="M53" s="31"/>
    </row>
    <row r="54" spans="1:13" ht="31.5">
      <c r="A54" s="158"/>
      <c r="B54" s="159"/>
      <c r="C54" s="160" t="s">
        <v>33</v>
      </c>
      <c r="D54" s="14" t="s">
        <v>31</v>
      </c>
      <c r="E54" s="30"/>
      <c r="F54" s="31">
        <f>F53</f>
        <v>2.7135000000000002</v>
      </c>
      <c r="G54" s="31"/>
      <c r="H54" s="31"/>
      <c r="I54" s="31"/>
      <c r="J54" s="31"/>
      <c r="K54" s="31"/>
      <c r="L54" s="31"/>
      <c r="M54" s="31"/>
    </row>
    <row r="55" spans="1:13" ht="15.75">
      <c r="A55" s="158"/>
      <c r="B55" s="159"/>
      <c r="C55" s="24" t="s">
        <v>40</v>
      </c>
      <c r="D55" s="30" t="s">
        <v>35</v>
      </c>
      <c r="E55" s="30">
        <f>22.9/1000</f>
        <v>0.0229</v>
      </c>
      <c r="F55" s="31">
        <f>E55*F45</f>
        <v>9.2745</v>
      </c>
      <c r="G55" s="31"/>
      <c r="H55" s="31"/>
      <c r="I55" s="31"/>
      <c r="J55" s="31"/>
      <c r="K55" s="31"/>
      <c r="L55" s="31"/>
      <c r="M55" s="31"/>
    </row>
    <row r="56" spans="1:13" ht="18.75">
      <c r="A56" s="158"/>
      <c r="B56" s="159"/>
      <c r="C56" s="24" t="s">
        <v>114</v>
      </c>
      <c r="D56" s="30" t="s">
        <v>29</v>
      </c>
      <c r="E56" s="170" t="s">
        <v>63</v>
      </c>
      <c r="F56" s="31">
        <v>64.8</v>
      </c>
      <c r="G56" s="31"/>
      <c r="H56" s="31"/>
      <c r="I56" s="31"/>
      <c r="J56" s="31"/>
      <c r="K56" s="31"/>
      <c r="L56" s="31"/>
      <c r="M56" s="31"/>
    </row>
    <row r="57" spans="1:13" ht="15.75">
      <c r="A57" s="158"/>
      <c r="B57" s="159"/>
      <c r="C57" s="24" t="s">
        <v>105</v>
      </c>
      <c r="D57" s="30" t="s">
        <v>36</v>
      </c>
      <c r="E57" s="170" t="s">
        <v>63</v>
      </c>
      <c r="F57" s="31">
        <v>1.6</v>
      </c>
      <c r="G57" s="31"/>
      <c r="H57" s="31"/>
      <c r="I57" s="31"/>
      <c r="J57" s="31"/>
      <c r="K57" s="31"/>
      <c r="L57" s="31"/>
      <c r="M57" s="31"/>
    </row>
    <row r="58" spans="1:13" ht="15.75">
      <c r="A58" s="158"/>
      <c r="B58" s="159"/>
      <c r="C58" s="24" t="s">
        <v>102</v>
      </c>
      <c r="D58" s="30" t="s">
        <v>36</v>
      </c>
      <c r="E58" s="30">
        <f>0.11/1000</f>
        <v>0.00011</v>
      </c>
      <c r="F58" s="163">
        <f>E58*F45</f>
        <v>0.04455</v>
      </c>
      <c r="G58" s="31"/>
      <c r="H58" s="31"/>
      <c r="I58" s="31"/>
      <c r="J58" s="31"/>
      <c r="K58" s="31"/>
      <c r="L58" s="31"/>
      <c r="M58" s="31"/>
    </row>
    <row r="59" spans="1:13" ht="15.75">
      <c r="A59" s="158"/>
      <c r="B59" s="15"/>
      <c r="C59" s="24" t="s">
        <v>103</v>
      </c>
      <c r="D59" s="30" t="s">
        <v>36</v>
      </c>
      <c r="E59" s="30">
        <f>0.5/1000</f>
        <v>0.0005</v>
      </c>
      <c r="F59" s="163">
        <f>E59*F45</f>
        <v>0.2025</v>
      </c>
      <c r="G59" s="31"/>
      <c r="H59" s="31"/>
      <c r="I59" s="31"/>
      <c r="J59" s="31"/>
      <c r="K59" s="31"/>
      <c r="L59" s="31"/>
      <c r="M59" s="31"/>
    </row>
    <row r="60" spans="1:13" ht="15.75">
      <c r="A60" s="164"/>
      <c r="B60" s="165"/>
      <c r="C60" s="166" t="s">
        <v>41</v>
      </c>
      <c r="D60" s="33" t="s">
        <v>35</v>
      </c>
      <c r="E60" s="33">
        <f>18.5/1000</f>
        <v>0.0185</v>
      </c>
      <c r="F60" s="167">
        <f>E60*F45</f>
        <v>7.4925</v>
      </c>
      <c r="G60" s="167"/>
      <c r="H60" s="167"/>
      <c r="I60" s="167"/>
      <c r="J60" s="167"/>
      <c r="K60" s="167"/>
      <c r="L60" s="167"/>
      <c r="M60" s="167"/>
    </row>
    <row r="61" spans="1:13" ht="15.75">
      <c r="A61" s="134"/>
      <c r="B61" s="115"/>
      <c r="C61" s="30" t="s">
        <v>12</v>
      </c>
      <c r="D61" s="115" t="s">
        <v>35</v>
      </c>
      <c r="E61" s="115"/>
      <c r="F61" s="115"/>
      <c r="G61" s="115"/>
      <c r="H61" s="4"/>
      <c r="I61" s="4"/>
      <c r="J61" s="4"/>
      <c r="K61" s="4"/>
      <c r="L61" s="4"/>
      <c r="M61" s="14"/>
    </row>
    <row r="62" spans="1:13" ht="31.5">
      <c r="A62" s="37"/>
      <c r="B62" s="15"/>
      <c r="C62" s="24" t="s">
        <v>94</v>
      </c>
      <c r="D62" s="26" t="s">
        <v>35</v>
      </c>
      <c r="E62" s="14">
        <v>0.05</v>
      </c>
      <c r="F62" s="14"/>
      <c r="G62" s="14"/>
      <c r="H62" s="14"/>
      <c r="I62" s="14"/>
      <c r="J62" s="14"/>
      <c r="K62" s="18"/>
      <c r="L62" s="14"/>
      <c r="M62" s="14"/>
    </row>
    <row r="63" spans="1:13" ht="15.75">
      <c r="A63" s="37"/>
      <c r="B63" s="15"/>
      <c r="C63" s="30" t="s">
        <v>12</v>
      </c>
      <c r="D63" s="26" t="s">
        <v>35</v>
      </c>
      <c r="E63" s="14"/>
      <c r="F63" s="14"/>
      <c r="G63" s="14"/>
      <c r="H63" s="14"/>
      <c r="I63" s="14"/>
      <c r="J63" s="14"/>
      <c r="K63" s="18"/>
      <c r="L63" s="14"/>
      <c r="M63" s="14"/>
    </row>
    <row r="64" spans="1:13" ht="15.75">
      <c r="A64" s="143"/>
      <c r="B64" s="74"/>
      <c r="C64" s="25" t="s">
        <v>37</v>
      </c>
      <c r="D64" s="26" t="s">
        <v>35</v>
      </c>
      <c r="E64" s="27">
        <v>0.1</v>
      </c>
      <c r="F64" s="28"/>
      <c r="G64" s="29"/>
      <c r="H64" s="27"/>
      <c r="I64" s="27"/>
      <c r="J64" s="27"/>
      <c r="K64" s="27"/>
      <c r="L64" s="27"/>
      <c r="M64" s="27"/>
    </row>
    <row r="65" spans="1:13" ht="15.75">
      <c r="A65" s="144"/>
      <c r="B65" s="74"/>
      <c r="C65" s="30" t="s">
        <v>12</v>
      </c>
      <c r="D65" s="26" t="s">
        <v>35</v>
      </c>
      <c r="E65" s="31"/>
      <c r="F65" s="30"/>
      <c r="G65" s="30"/>
      <c r="H65" s="31"/>
      <c r="I65" s="31"/>
      <c r="J65" s="31"/>
      <c r="K65" s="31"/>
      <c r="L65" s="31"/>
      <c r="M65" s="31"/>
    </row>
    <row r="66" spans="1:13" ht="15.75">
      <c r="A66" s="143"/>
      <c r="B66" s="74"/>
      <c r="C66" s="24" t="s">
        <v>38</v>
      </c>
      <c r="D66" s="26" t="s">
        <v>35</v>
      </c>
      <c r="E66" s="27">
        <v>0.08</v>
      </c>
      <c r="F66" s="32"/>
      <c r="G66" s="27"/>
      <c r="H66" s="27"/>
      <c r="I66" s="27"/>
      <c r="J66" s="27"/>
      <c r="K66" s="27"/>
      <c r="L66" s="27"/>
      <c r="M66" s="27"/>
    </row>
    <row r="67" spans="1:13" ht="15.75">
      <c r="A67" s="145"/>
      <c r="B67" s="75"/>
      <c r="C67" s="33" t="s">
        <v>12</v>
      </c>
      <c r="D67" s="34" t="s">
        <v>35</v>
      </c>
      <c r="E67" s="33"/>
      <c r="F67" s="33"/>
      <c r="G67" s="33"/>
      <c r="H67" s="36"/>
      <c r="I67" s="36"/>
      <c r="J67" s="36"/>
      <c r="K67" s="36"/>
      <c r="L67" s="36"/>
      <c r="M67" s="36"/>
    </row>
  </sheetData>
  <sheetProtection/>
  <mergeCells count="24">
    <mergeCell ref="A6:M6"/>
    <mergeCell ref="B7:D7"/>
    <mergeCell ref="F7:I7"/>
    <mergeCell ref="B8:C8"/>
    <mergeCell ref="F8:I8"/>
    <mergeCell ref="A1:M1"/>
    <mergeCell ref="A3:M3"/>
    <mergeCell ref="A4:M4"/>
    <mergeCell ref="A5:M5"/>
    <mergeCell ref="A10:A13"/>
    <mergeCell ref="B10:B13"/>
    <mergeCell ref="C10:C13"/>
    <mergeCell ref="D10:F11"/>
    <mergeCell ref="D12:D13"/>
    <mergeCell ref="E12:E13"/>
    <mergeCell ref="F12:F13"/>
    <mergeCell ref="G10:H11"/>
    <mergeCell ref="I10:J11"/>
    <mergeCell ref="K10:L10"/>
    <mergeCell ref="M10:M13"/>
    <mergeCell ref="K11:L11"/>
    <mergeCell ref="H12:H13"/>
    <mergeCell ref="J12:J13"/>
    <mergeCell ref="L12:L13"/>
  </mergeCells>
  <printOptions/>
  <pageMargins left="0.5905511811023623" right="0" top="0.5905511811023623" bottom="0.5905511811023623" header="0.5118110236220472" footer="0.5118110236220472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jondo kasrashvili</cp:lastModifiedBy>
  <cp:lastPrinted>2019-12-21T11:37:56Z</cp:lastPrinted>
  <dcterms:created xsi:type="dcterms:W3CDTF">1996-10-08T23:32:33Z</dcterms:created>
  <dcterms:modified xsi:type="dcterms:W3CDTF">2021-05-10T12:28:29Z</dcterms:modified>
  <cp:category/>
  <cp:version/>
  <cp:contentType/>
  <cp:contentStatus/>
</cp:coreProperties>
</file>