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72" tabRatio="861" activeTab="2"/>
  </bookViews>
  <sheets>
    <sheet name="krebsiti" sheetId="25" r:id="rId1"/>
    <sheet name="#1-1" sheetId="22" r:id="rId2"/>
    <sheet name="#1-2 (2)" sheetId="26" r:id="rId3"/>
  </sheets>
  <externalReferences>
    <externalReference r:id="rId4"/>
  </externalReferences>
  <definedNames>
    <definedName name="_xlnm.Print_Area" localSheetId="1">'#1-1'!$A$1:$G$218</definedName>
    <definedName name="_xlnm.Print_Area" localSheetId="2">'#1-2 (2)'!$A$1:$L$98</definedName>
    <definedName name="_xlnm.Print_Area" localSheetId="0">krebsiti!$A$1:$D$9</definedName>
    <definedName name="_xlnm.Print_Titles" localSheetId="1">'#1-1'!$6:$6</definedName>
    <definedName name="_xlnm.Print_Titles" localSheetId="2">'#1-2 (2)'!$9:$9</definedName>
    <definedName name="_xlnm.Print_Titles" localSheetId="0">krebsiti!#REF!</definedName>
  </definedNames>
  <calcPr calcId="152511"/>
</workbook>
</file>

<file path=xl/calcChain.xml><?xml version="1.0" encoding="utf-8"?>
<calcChain xmlns="http://schemas.openxmlformats.org/spreadsheetml/2006/main">
  <c r="A1" i="26" l="1"/>
  <c r="E12" i="26"/>
  <c r="E15" i="26"/>
  <c r="E16" i="26"/>
  <c r="E17" i="26"/>
  <c r="E18" i="26" s="1"/>
  <c r="E20" i="26"/>
  <c r="E21" i="26" s="1"/>
  <c r="E26" i="26"/>
  <c r="D27" i="26"/>
  <c r="E29" i="26"/>
  <c r="E30" i="26" s="1"/>
  <c r="E32" i="26"/>
  <c r="E33" i="26" s="1"/>
  <c r="E37" i="26"/>
  <c r="E39" i="26" s="1"/>
  <c r="D40" i="26"/>
  <c r="E42" i="26"/>
  <c r="E43" i="26" s="1"/>
  <c r="E46" i="26"/>
  <c r="E55" i="26"/>
  <c r="E56" i="26"/>
  <c r="E59" i="26"/>
  <c r="E60" i="26" s="1"/>
  <c r="E65" i="26"/>
  <c r="E66" i="26" s="1"/>
  <c r="E75" i="26"/>
  <c r="E79" i="26" s="1"/>
  <c r="E80" i="26"/>
  <c r="E84" i="26" s="1"/>
  <c r="E27" i="26" l="1"/>
  <c r="E81" i="26"/>
  <c r="E52" i="26"/>
  <c r="E53" i="26" s="1"/>
  <c r="E41" i="26"/>
  <c r="E40" i="26"/>
  <c r="E19" i="26"/>
  <c r="E38" i="26"/>
  <c r="E45" i="26"/>
  <c r="E77" i="26"/>
  <c r="E64" i="26"/>
  <c r="E44" i="26"/>
  <c r="E34" i="26"/>
  <c r="E35" i="26" s="1"/>
  <c r="E82" i="26"/>
  <c r="E76" i="26"/>
  <c r="E47" i="26"/>
  <c r="E54" i="26"/>
  <c r="E28" i="26"/>
  <c r="E25" i="26"/>
  <c r="E22" i="26"/>
  <c r="E18" i="22"/>
  <c r="D20" i="22"/>
  <c r="D21" i="22"/>
  <c r="D22" i="22"/>
  <c r="E58" i="26" l="1"/>
  <c r="E36" i="26"/>
  <c r="E100" i="22"/>
  <c r="E73" i="22"/>
  <c r="E86" i="22"/>
  <c r="E78" i="22"/>
  <c r="E105" i="22" l="1"/>
  <c r="E90" i="22"/>
  <c r="E19" i="22" l="1"/>
  <c r="E21" i="22" l="1"/>
  <c r="E20" i="22"/>
  <c r="E22" i="22"/>
  <c r="E91" i="22"/>
  <c r="E122" i="22" l="1"/>
  <c r="E124" i="22" s="1"/>
  <c r="E143" i="22"/>
  <c r="E140" i="22" l="1"/>
  <c r="E141" i="22" s="1"/>
  <c r="E148" i="22"/>
  <c r="E93" i="22"/>
  <c r="E96" i="22" s="1"/>
  <c r="E29" i="22" l="1"/>
  <c r="E201" i="22" l="1"/>
  <c r="E202" i="22" s="1"/>
  <c r="E200" i="22"/>
  <c r="D198" i="22"/>
  <c r="D197" i="22"/>
  <c r="E196" i="22"/>
  <c r="E195" i="22"/>
  <c r="E193" i="22"/>
  <c r="D192" i="22"/>
  <c r="E191" i="22"/>
  <c r="D187" i="22"/>
  <c r="D186" i="22"/>
  <c r="D181" i="22"/>
  <c r="E180" i="22"/>
  <c r="E177" i="22"/>
  <c r="E178" i="22" s="1"/>
  <c r="D176" i="22"/>
  <c r="D175" i="22"/>
  <c r="D170" i="22"/>
  <c r="E169" i="22"/>
  <c r="E172" i="22" s="1"/>
  <c r="E166" i="22"/>
  <c r="E167" i="22" s="1"/>
  <c r="E157" i="22"/>
  <c r="E163" i="22" s="1"/>
  <c r="E155" i="22"/>
  <c r="E156" i="22" s="1"/>
  <c r="E152" i="22"/>
  <c r="D151" i="22"/>
  <c r="E151" i="22" s="1"/>
  <c r="E150" i="22"/>
  <c r="E149" i="22"/>
  <c r="E145" i="22"/>
  <c r="E144" i="22"/>
  <c r="E142" i="22"/>
  <c r="E146" i="22"/>
  <c r="D132" i="22"/>
  <c r="E134" i="22"/>
  <c r="E116" i="22"/>
  <c r="E119" i="22" s="1"/>
  <c r="E110" i="22"/>
  <c r="D108" i="22"/>
  <c r="E107" i="22"/>
  <c r="E101" i="22"/>
  <c r="E102" i="22"/>
  <c r="D95" i="22"/>
  <c r="E95" i="22" s="1"/>
  <c r="D94" i="22"/>
  <c r="E94" i="22" s="1"/>
  <c r="E92" i="22"/>
  <c r="E83" i="22"/>
  <c r="E84" i="22" s="1"/>
  <c r="E82" i="22"/>
  <c r="D81" i="22"/>
  <c r="E81" i="22" s="1"/>
  <c r="E79" i="22"/>
  <c r="E80" i="22"/>
  <c r="E74" i="22"/>
  <c r="D70" i="22"/>
  <c r="D69" i="22"/>
  <c r="D66" i="22"/>
  <c r="E64" i="22"/>
  <c r="E68" i="22" s="1"/>
  <c r="D62" i="22"/>
  <c r="E59" i="22"/>
  <c r="E60" i="22" s="1"/>
  <c r="E54" i="22"/>
  <c r="E56" i="22" s="1"/>
  <c r="E58" i="22" s="1"/>
  <c r="D51" i="22"/>
  <c r="D50" i="22"/>
  <c r="D47" i="22"/>
  <c r="E45" i="22"/>
  <c r="D43" i="22"/>
  <c r="E40" i="22"/>
  <c r="E41" i="22" s="1"/>
  <c r="E35" i="22"/>
  <c r="E37" i="22" s="1"/>
  <c r="E39" i="22" s="1"/>
  <c r="E30" i="22"/>
  <c r="E27" i="22"/>
  <c r="E28" i="22" s="1"/>
  <c r="E25" i="22"/>
  <c r="E26" i="22" s="1"/>
  <c r="D23" i="22"/>
  <c r="E23" i="22" s="1"/>
  <c r="A1" i="22"/>
  <c r="E51" i="22" l="1"/>
  <c r="E187" i="22"/>
  <c r="E43" i="22"/>
  <c r="E135" i="22"/>
  <c r="E139" i="22"/>
  <c r="E192" i="22"/>
  <c r="E197" i="22"/>
  <c r="E115" i="22"/>
  <c r="E111" i="22"/>
  <c r="E112" i="22" s="1"/>
  <c r="E198" i="22"/>
  <c r="E158" i="22"/>
  <c r="E164" i="22"/>
  <c r="E162" i="22"/>
  <c r="E160" i="22"/>
  <c r="E165" i="22"/>
  <c r="E161" i="22"/>
  <c r="E109" i="22"/>
  <c r="E121" i="22"/>
  <c r="E108" i="22"/>
  <c r="E118" i="22"/>
  <c r="E55" i="22"/>
  <c r="E66" i="22"/>
  <c r="E61" i="22"/>
  <c r="E69" i="22"/>
  <c r="E62" i="22"/>
  <c r="E48" i="22"/>
  <c r="E36" i="22"/>
  <c r="E47" i="22"/>
  <c r="E31" i="22"/>
  <c r="E24" i="22"/>
  <c r="E65" i="22"/>
  <c r="E38" i="22"/>
  <c r="E42" i="22"/>
  <c r="E46" i="22"/>
  <c r="E49" i="22"/>
  <c r="E50" i="22"/>
  <c r="E63" i="22"/>
  <c r="E67" i="22"/>
  <c r="E70" i="22"/>
  <c r="E44" i="22"/>
  <c r="E57" i="22"/>
  <c r="E103" i="22"/>
  <c r="E104" i="22"/>
  <c r="E89" i="22"/>
  <c r="E106" i="22"/>
  <c r="E117" i="22"/>
  <c r="E129" i="22"/>
  <c r="E176" i="22"/>
  <c r="E175" i="22"/>
  <c r="E174" i="22"/>
  <c r="E170" i="22"/>
  <c r="E171" i="22"/>
  <c r="E173" i="22"/>
  <c r="E75" i="22"/>
  <c r="E88" i="22"/>
  <c r="E97" i="22"/>
  <c r="E85" i="22"/>
  <c r="E87" i="22"/>
  <c r="E120" i="22"/>
  <c r="E159" i="22"/>
  <c r="E184" i="22"/>
  <c r="E183" i="22"/>
  <c r="E168" i="22"/>
  <c r="E179" i="22"/>
  <c r="E182" i="22"/>
  <c r="E203" i="22"/>
  <c r="E181" i="22"/>
  <c r="E185" i="22"/>
  <c r="E186" i="22"/>
  <c r="E114" i="22" l="1"/>
  <c r="E113" i="22"/>
  <c r="E133" i="22"/>
  <c r="E132" i="22"/>
  <c r="E131" i="22"/>
  <c r="E130" i="22"/>
  <c r="E126" i="22"/>
  <c r="E125" i="22"/>
  <c r="E137" i="22"/>
  <c r="E138" i="22"/>
  <c r="E136" i="22"/>
  <c r="E76" i="22"/>
  <c r="E77" i="22"/>
  <c r="E128" i="22" l="1"/>
  <c r="E127" i="22"/>
</calcChain>
</file>

<file path=xl/comments1.xml><?xml version="1.0" encoding="utf-8"?>
<comments xmlns="http://schemas.openxmlformats.org/spreadsheetml/2006/main">
  <authors>
    <author>Author</author>
  </authors>
  <commentList>
    <comment ref="C117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kac/st</t>
        </r>
      </text>
    </comment>
    <comment ref="D117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13,3</t>
        </r>
      </text>
    </comment>
    <comment ref="C141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kac/st</t>
        </r>
      </text>
    </comment>
    <comment ref="D141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13,3</t>
        </r>
      </text>
    </comment>
  </commentList>
</comments>
</file>

<file path=xl/sharedStrings.xml><?xml version="1.0" encoding="utf-8"?>
<sst xmlns="http://schemas.openxmlformats.org/spreadsheetml/2006/main" count="665" uniqueCount="242">
  <si>
    <t>gauTvaliswinebeli xarjebi</t>
  </si>
  <si>
    <t>kg</t>
  </si>
  <si>
    <t>sul</t>
  </si>
  <si>
    <t>lari</t>
  </si>
  <si>
    <t>sxva manqanebi</t>
  </si>
  <si>
    <t>kac/sT</t>
  </si>
  <si>
    <t>sxva masalebi</t>
  </si>
  <si>
    <t>m3</t>
  </si>
  <si>
    <t>SromiTi resursebi</t>
  </si>
  <si>
    <t>k/sT</t>
  </si>
  <si>
    <t>m/sT</t>
  </si>
  <si>
    <t>sxva xarjebi</t>
  </si>
  <si>
    <t>manqanebi</t>
  </si>
  <si>
    <t>jami</t>
  </si>
  <si>
    <t>ლარი</t>
  </si>
  <si>
    <t>saerTo samSeneblo samuSaoebi</t>
  </si>
  <si>
    <r>
      <t>m</t>
    </r>
    <r>
      <rPr>
        <b/>
        <vertAlign val="superscript"/>
        <sz val="10"/>
        <rFont val="AcadNusx"/>
      </rPr>
      <t>2</t>
    </r>
  </si>
  <si>
    <r>
      <t>m</t>
    </r>
    <r>
      <rPr>
        <vertAlign val="superscript"/>
        <sz val="10"/>
        <rFont val="AcadNusx"/>
      </rPr>
      <t>3</t>
    </r>
  </si>
  <si>
    <t>RorRi</t>
  </si>
  <si>
    <r>
      <t>m</t>
    </r>
    <r>
      <rPr>
        <b/>
        <vertAlign val="superscript"/>
        <sz val="10"/>
        <rFont val="AcadNusx"/>
      </rPr>
      <t>3</t>
    </r>
  </si>
  <si>
    <t xml:space="preserve">SromiTi resursebi                                                </t>
  </si>
  <si>
    <t xml:space="preserve">kac/sT                                                               </t>
  </si>
  <si>
    <t>Sromis danaxarjebi</t>
  </si>
  <si>
    <t>kbm</t>
  </si>
  <si>
    <t>tn</t>
  </si>
  <si>
    <t>g/m</t>
  </si>
  <si>
    <t>manq/sT</t>
  </si>
  <si>
    <t>kvm</t>
  </si>
  <si>
    <t>sxva masala</t>
  </si>
  <si>
    <t>c</t>
  </si>
  <si>
    <t xml:space="preserve">Sromis danaxarjebi </t>
  </si>
  <si>
    <t>samSeneblo nagvis datvirTva xeliT avtoTviTmclelze</t>
  </si>
  <si>
    <t xml:space="preserve">Sromis danaxarjebi  </t>
  </si>
  <si>
    <t>3%</t>
  </si>
  <si>
    <t>18%</t>
  </si>
  <si>
    <t>grZ.m.</t>
  </si>
  <si>
    <t>ც</t>
  </si>
  <si>
    <t>შრომითი რესურსები</t>
  </si>
  <si>
    <t>კაც/სთ</t>
  </si>
  <si>
    <t>2</t>
  </si>
  <si>
    <t>damiwebis konturis mowyoba</t>
  </si>
  <si>
    <t>gegmiuri dagroveba</t>
  </si>
  <si>
    <t>kompl</t>
  </si>
  <si>
    <t>kg.</t>
  </si>
  <si>
    <t>7</t>
  </si>
  <si>
    <t>კბმ</t>
  </si>
  <si>
    <t>4</t>
  </si>
  <si>
    <t>cementis xsnari m-200</t>
  </si>
  <si>
    <t>5</t>
  </si>
  <si>
    <t>6</t>
  </si>
  <si>
    <t>1</t>
  </si>
  <si>
    <t>3</t>
  </si>
  <si>
    <t>გრძ.მ.</t>
  </si>
  <si>
    <t>სხვა მასალები</t>
  </si>
  <si>
    <t>სხვა მასალა</t>
  </si>
  <si>
    <t>wyali</t>
  </si>
  <si>
    <t>s k v e r i</t>
  </si>
  <si>
    <t>damatebiTi noyieri gruntis Semotana skveris teritoriaze</t>
  </si>
  <si>
    <t>damatebiTi gruntisGgaSla skveris teritoriaze</t>
  </si>
  <si>
    <t>qviSa-cementis xsnari  m.100</t>
  </si>
  <si>
    <t xml:space="preserve">betoni b-15  </t>
  </si>
  <si>
    <t>gamwvaneba - gazonis mowyoba</t>
  </si>
  <si>
    <t>teritoriaze balaxis daTesva</t>
  </si>
  <si>
    <t>balaxis Tesli</t>
  </si>
  <si>
    <t>სულ პირდაპირი დანახარჯები</t>
  </si>
  <si>
    <t>ქვიშის საფარის მოწყობა მილებისთვის</t>
  </si>
  <si>
    <t>კუბ.მ</t>
  </si>
  <si>
    <t>გრძ/მ</t>
  </si>
  <si>
    <t>მანქანები</t>
  </si>
  <si>
    <t>კაბელის დაფარვა სასიგნალო ლენტით</t>
  </si>
  <si>
    <t>სასიგნალო ლენტი</t>
  </si>
  <si>
    <t>გრუნტის უკან ჩაყრა ხელით და მოსწორება</t>
  </si>
  <si>
    <t>სკვერის განათების ანძების დაბეტონება</t>
  </si>
  <si>
    <t>არმატურა Ф8 АIII ბ.150</t>
  </si>
  <si>
    <t>ტნ</t>
  </si>
  <si>
    <t xml:space="preserve">სხვა მასალა </t>
  </si>
  <si>
    <t>ზედნადები ხარჯები</t>
  </si>
  <si>
    <t>სულ I თავი</t>
  </si>
  <si>
    <t>სკვერის გარე განათების დეკორატიული ლამპიონების მონტაჟი</t>
  </si>
  <si>
    <t>სპილენძის სადენების montaJi</t>
  </si>
  <si>
    <t>damiwebis Wa</t>
  </si>
  <si>
    <t>სულ II თავი</t>
  </si>
  <si>
    <t>სულ  I და  II თავი</t>
  </si>
  <si>
    <t>krebsiTi xarjTaRicxva</t>
  </si>
  <si>
    <t>saxarjTaRricxvo gaangariSebis #</t>
  </si>
  <si>
    <t>samuSaoebisa da danaxarjebis dasaxeleba</t>
  </si>
  <si>
    <t>gruntis xeliT datvirTva avtoTviTmclelze</t>
  </si>
  <si>
    <t>zedmeti gruntis datvirTva xeliT avtoTviTmclelze</t>
  </si>
  <si>
    <t>samSeneblo samuSaoebis damTavrebis Semdeg teritoriis dasufTaveba, samSeneblo narCenebis Segroveba, gamotana, avtoTviTmclelze dasatvirTavad</t>
  </si>
  <si>
    <t>საკაბელო თხრილის მოწყობა xeliT</t>
  </si>
  <si>
    <t>horizontaluri damiwebis konturis mowyoba (mrgvali  foladiT)</t>
  </si>
  <si>
    <r>
      <t xml:space="preserve">მოთუთიებული გამტარი, </t>
    </r>
    <r>
      <rPr>
        <sz val="11"/>
        <rFont val="Calibri"/>
        <family val="2"/>
        <charset val="204"/>
        <scheme val="minor"/>
      </rPr>
      <t>Ø</t>
    </r>
    <r>
      <rPr>
        <sz val="11"/>
        <rFont val="AcadNusx"/>
      </rPr>
      <t>8mm</t>
    </r>
  </si>
  <si>
    <t>damiwebis vertikaluri eleqtrodebis montaJi</t>
  </si>
  <si>
    <t>t</t>
  </si>
  <si>
    <t xml:space="preserve">გარე განათების ლამპიონების მონტაჟი  </t>
  </si>
  <si>
    <t>zednadebi xarjebi</t>
  </si>
  <si>
    <t>dagrovebiTi sapensio gadasaxadi (xelfasidan)</t>
  </si>
  <si>
    <t>dRg</t>
  </si>
  <si>
    <t xml:space="preserve">ქვიSა </t>
  </si>
  <si>
    <t>gare eleqtro montaJis samuSaoebi</t>
  </si>
  <si>
    <t>tranSeas mowyoba bordiuris  mosawyobad xeliT</t>
  </si>
  <si>
    <t>teritoriis dasufTaveba,  narCenebis Segroveba, gamotana, avtoTviTmclelze dasatvirTavad</t>
  </si>
  <si>
    <t>RorRis (0-5mm fraqciis) fenilis mowyoba, sisqiT 10sm</t>
  </si>
  <si>
    <t>RorRi  (0-5mm fraqciis)</t>
  </si>
  <si>
    <t>RorRis (0-5mm fraqciis) fenilis mowyoba bordiuris qveS</t>
  </si>
  <si>
    <t>narCenebisa da nagavis datvirTva xeliT avtoTviTmclelze</t>
  </si>
  <si>
    <t>განათების ანძების დაბეტონება</t>
  </si>
  <si>
    <r>
      <t xml:space="preserve">Zalovani faris montaJi </t>
    </r>
    <r>
      <rPr>
        <b/>
        <sz val="10"/>
        <rFont val="Calibri"/>
        <family val="2"/>
        <charset val="204"/>
        <scheme val="minor"/>
      </rPr>
      <t xml:space="preserve"> MDB   ELG1</t>
    </r>
  </si>
  <si>
    <t>qvabulis mowyoba anZis montajisaTvis</t>
  </si>
  <si>
    <t>Sromis danaxarji</t>
  </si>
  <si>
    <t>asfaltobetonis safaris mowyoba</t>
  </si>
  <si>
    <t>planireba greideriT</t>
  </si>
  <si>
    <t>buldozeri 96k.vt.(130cx.Z)</t>
  </si>
  <si>
    <t xml:space="preserve">safuZvlis mowyoba fraqciuli RorRiT (0-40) mm.KsisqiT-20 sm. </t>
  </si>
  <si>
    <t>kub</t>
  </si>
  <si>
    <t>avtogreideri saSualo tipis 79k.vt. (108cx.Z)</t>
  </si>
  <si>
    <t>satkepni sagzao TviTmavali gluvi 18 t</t>
  </si>
  <si>
    <t>satkepni sagzao TviTmavali gluvi 10 t</t>
  </si>
  <si>
    <t>mosarwyavi manqana 6000l.</t>
  </si>
  <si>
    <t>RorRisa da xreSis gamnawilebeli</t>
  </si>
  <si>
    <t>Txevadi biTumis mosxma 0,6kg/kvm²</t>
  </si>
  <si>
    <t>tona</t>
  </si>
  <si>
    <t>avtogudronatori 3500l</t>
  </si>
  <si>
    <t>Txevadi biTumi, bitumis emulsia</t>
  </si>
  <si>
    <t>msxvilmarcvlovani forovani a/b cxeli narevi, 6sm sisqiT</t>
  </si>
  <si>
    <t>100kv.m.</t>
  </si>
  <si>
    <t>a/betonis damgebi</t>
  </si>
  <si>
    <t>sagzao mtkepnavi TviTm. gluvi 5t.</t>
  </si>
  <si>
    <t>igive, 10toniani</t>
  </si>
  <si>
    <t>a/betoni msxvilmarcvlovani</t>
  </si>
  <si>
    <r>
      <t>wvrilmarcvlovani forovani a/b cxeli narevi, marka II,  tipi `b~</t>
    </r>
    <r>
      <rPr>
        <b/>
        <sz val="11"/>
        <rFont val="Cambria"/>
        <family val="1"/>
        <charset val="204"/>
      </rPr>
      <t xml:space="preserve"> h</t>
    </r>
    <r>
      <rPr>
        <b/>
        <sz val="11"/>
        <rFont val="AcadNusx"/>
      </rPr>
      <t>=4sm</t>
    </r>
  </si>
  <si>
    <t>a/betoni wvrilmarcvlovani  4sm sisqis</t>
  </si>
  <si>
    <t>ganz. erT</t>
  </si>
  <si>
    <t>sul xarjTaRricxva                       #1-2</t>
  </si>
  <si>
    <t>lokaluri ხ ა რ ჯ თ ა ღ რ ი ც ვ ხ ვ ა # 1-2</t>
  </si>
  <si>
    <t>lk #1-1</t>
  </si>
  <si>
    <t>lk #1-2</t>
  </si>
  <si>
    <t>1000kvm</t>
  </si>
  <si>
    <t>დამიწების მოთუთიებული ღერო,  d-16 sigrZe 1,50m</t>
  </si>
  <si>
    <t>sul xarjTaRricxva    #1-1</t>
  </si>
  <si>
    <t xml:space="preserve">betoni b.25 </t>
  </si>
  <si>
    <t xml:space="preserve">skveris teritoriis gare el montaJi </t>
  </si>
  <si>
    <t>sul pirdapiri danaxarjebi          #1-1</t>
  </si>
  <si>
    <t xml:space="preserve">ბეტონი ბ.25 </t>
  </si>
  <si>
    <t>teritoriis planireba xeliT</t>
  </si>
  <si>
    <t>SromiTi danaxarji</t>
  </si>
  <si>
    <t xml:space="preserve">manqanebi </t>
  </si>
  <si>
    <r>
      <t xml:space="preserve">PVC </t>
    </r>
    <r>
      <rPr>
        <b/>
        <sz val="11"/>
        <rFont val="AcadNusx"/>
      </rPr>
      <t>gofrirebuli miwisqveSa Cadebis narinJisferi sakabelo milis montaJi</t>
    </r>
  </si>
  <si>
    <r>
      <rPr>
        <sz val="11"/>
        <rFont val="Calibri"/>
        <family val="2"/>
        <charset val="204"/>
      </rPr>
      <t xml:space="preserve">PVC </t>
    </r>
    <r>
      <rPr>
        <sz val="11"/>
        <rFont val="AcadNusx"/>
      </rPr>
      <t>gofrirebuli miwisqveSa Cadebis narinJisferi sakabelo mil</t>
    </r>
    <r>
      <rPr>
        <sz val="11"/>
        <rFont val="Calibri"/>
        <family val="2"/>
        <charset val="204"/>
      </rPr>
      <t>i</t>
    </r>
    <r>
      <rPr>
        <sz val="11"/>
        <rFont val="AcadNusx"/>
      </rPr>
      <t xml:space="preserve"> </t>
    </r>
    <r>
      <rPr>
        <sz val="11"/>
        <rFont val="Calibri"/>
        <family val="2"/>
        <charset val="204"/>
      </rPr>
      <t>Ø25მმ</t>
    </r>
  </si>
  <si>
    <r>
      <t xml:space="preserve">sp. sadeni </t>
    </r>
    <r>
      <rPr>
        <sz val="11"/>
        <rFont val="Calibri"/>
        <family val="2"/>
        <charset val="204"/>
        <scheme val="minor"/>
      </rPr>
      <t xml:space="preserve">ВВГ </t>
    </r>
    <r>
      <rPr>
        <sz val="11"/>
        <rFont val="AcadNusx"/>
      </rPr>
      <t>3*4</t>
    </r>
  </si>
  <si>
    <r>
      <t xml:space="preserve">sp. sadeni </t>
    </r>
    <r>
      <rPr>
        <sz val="11"/>
        <rFont val="Calibri"/>
        <family val="2"/>
        <charset val="204"/>
        <scheme val="minor"/>
      </rPr>
      <t xml:space="preserve">ВВГ </t>
    </r>
    <r>
      <rPr>
        <sz val="11"/>
        <rFont val="AcadNusx"/>
      </rPr>
      <t>3*2,5</t>
    </r>
  </si>
  <si>
    <r>
      <t xml:space="preserve">avtomaturi amomrTveli   </t>
    </r>
    <r>
      <rPr>
        <sz val="10"/>
        <rFont val="Calibri"/>
        <family val="2"/>
        <charset val="204"/>
        <scheme val="minor"/>
      </rPr>
      <t>1p 6a 6KA</t>
    </r>
  </si>
  <si>
    <r>
      <t xml:space="preserve">avtomaturi amomrTveli  </t>
    </r>
    <r>
      <rPr>
        <sz val="10"/>
        <rFont val="Calibri"/>
        <family val="2"/>
        <charset val="204"/>
        <scheme val="minor"/>
      </rPr>
      <t>1p 16a 6KA</t>
    </r>
  </si>
  <si>
    <t>q.quTaisSi, mzeWabukis monumentis irgvliv gamyofi zolebis keTilmowyoba                                                                                                                                        s/k: 03.01.24.956-mimdebared</t>
  </si>
  <si>
    <t>arsebuli betonis bordiuris demontaJi</t>
  </si>
  <si>
    <t>gruntis moWra eqskavatoriT avtoTviTmclelze datvirTiT</t>
  </si>
  <si>
    <t>eqskavatori 0,5kbm</t>
  </si>
  <si>
    <t>bunebrivi granitis bordiuris montaJi  100X200</t>
  </si>
  <si>
    <t>bunebrivi granitis bordiuri   100*200</t>
  </si>
  <si>
    <t>anakrebi betonis bordiuris montaJi  200X400</t>
  </si>
  <si>
    <t>anakrebi betonis bordiuris montaJi 200X400</t>
  </si>
  <si>
    <t>anakrebi betonis bordiuri 200*600</t>
  </si>
  <si>
    <t xml:space="preserve">armirebuli betonis fenilis mowyoba </t>
  </si>
  <si>
    <t xml:space="preserve">betoni feradi (Savi feris) m-25 </t>
  </si>
  <si>
    <t>cveTamedegi Sris mowyoba betonis zedapirze, morkinva  (feradi pigmentaciiT - Savi feris)</t>
  </si>
  <si>
    <t>RorRis fenilis datkepna pnevmo satkepniT</t>
  </si>
  <si>
    <t>pnevmosatkepni</t>
  </si>
  <si>
    <t>cvetTamedegi xsnari (feradi pigmentaciiT - Savi feris)</t>
  </si>
  <si>
    <t>teritoriis monakveTebis (proeqtis mixedviT) mopirkeTeba bunebrivi granitis gaprialebuli zedapiriani filiT</t>
  </si>
  <si>
    <t>rk betonis zedapirebis mopirkeTeba bunebrivi granitis filiT</t>
  </si>
  <si>
    <t>teritoriis monakveTebis (proeqtis mixedviT) mopirkeTeba bunebrivi marmarilos gaprialebuli zedapiriani filiT</t>
  </si>
  <si>
    <t>rk betonis zedapirebis mopirkeTeba bunebrivi marmarilos filiT</t>
  </si>
  <si>
    <t>bunebrivi granitis fila  sisqe 30mm sisqis gaprialebuli zedapiriT</t>
  </si>
  <si>
    <r>
      <t xml:space="preserve">dekoratiuli lampioni  </t>
    </r>
    <r>
      <rPr>
        <b/>
        <sz val="11"/>
        <rFont val="Calibri"/>
        <family val="2"/>
        <charset val="204"/>
        <scheme val="minor"/>
      </rPr>
      <t>DEFNE-5 IP 67</t>
    </r>
  </si>
  <si>
    <r>
      <t xml:space="preserve">sp. sadeni </t>
    </r>
    <r>
      <rPr>
        <sz val="11"/>
        <rFont val="Calibri"/>
        <family val="2"/>
        <charset val="204"/>
        <scheme val="minor"/>
      </rPr>
      <t xml:space="preserve">ВВГ </t>
    </r>
    <r>
      <rPr>
        <sz val="11"/>
        <rFont val="AcadNusx"/>
      </rPr>
      <t>4*16</t>
    </r>
  </si>
  <si>
    <r>
      <rPr>
        <sz val="10"/>
        <rFont val="Calibri"/>
        <family val="2"/>
        <scheme val="minor"/>
      </rPr>
      <t xml:space="preserve">PVC </t>
    </r>
    <r>
      <rPr>
        <sz val="10"/>
        <rFont val="AcadNusx"/>
      </rPr>
      <t xml:space="preserve">gamanawilebeli kolofi 60X60X40mm  daxuruli tipi  </t>
    </r>
    <r>
      <rPr>
        <sz val="10"/>
        <rFont val="Calibri"/>
        <family val="2"/>
        <scheme val="minor"/>
      </rPr>
      <t xml:space="preserve"> IP  67</t>
    </r>
  </si>
  <si>
    <r>
      <t xml:space="preserve">avtomaturi amomrTveli  </t>
    </r>
    <r>
      <rPr>
        <sz val="10"/>
        <rFont val="Calibri"/>
        <family val="2"/>
        <charset val="204"/>
        <scheme val="minor"/>
      </rPr>
      <t>3p 25a 6KA</t>
    </r>
  </si>
  <si>
    <r>
      <t xml:space="preserve">polimeruli gamanawilebeli kolofi </t>
    </r>
    <r>
      <rPr>
        <sz val="11"/>
        <rFont val="Calibri"/>
        <family val="2"/>
        <scheme val="minor"/>
      </rPr>
      <t xml:space="preserve"> IP 67      45*25*18</t>
    </r>
  </si>
  <si>
    <r>
      <t xml:space="preserve">liTonis gamanawilebeli kolofi </t>
    </r>
    <r>
      <rPr>
        <sz val="11"/>
        <rFont val="Calibri"/>
        <family val="2"/>
        <scheme val="minor"/>
      </rPr>
      <t xml:space="preserve"> IP 67      15*18*8</t>
    </r>
  </si>
  <si>
    <r>
      <rPr>
        <sz val="11"/>
        <rFont val="Calibri"/>
        <family val="2"/>
        <charset val="204"/>
      </rPr>
      <t xml:space="preserve">PVC </t>
    </r>
    <r>
      <rPr>
        <sz val="11"/>
        <rFont val="AcadNusx"/>
      </rPr>
      <t xml:space="preserve">gofrirebuli miwisqveSa Cadebis narinJisferi sakabelo mili </t>
    </r>
    <r>
      <rPr>
        <sz val="11"/>
        <rFont val="Calibri"/>
        <family val="2"/>
        <charset val="204"/>
      </rPr>
      <t>Ø20მმ</t>
    </r>
  </si>
  <si>
    <t>damxmare masalebi da SemaerTebeli furnitura</t>
  </si>
  <si>
    <t>teritoriis monakveTebze (proeqtis mixedviT) kirqvis RorRis fenilis mowyoba (TeTri feris)</t>
  </si>
  <si>
    <t>kirqvis RorRis fenilis mowyoba (TeTri feris), sisqiT 5sm</t>
  </si>
  <si>
    <t>kirqvis RorRi RorRi  (TeTri feris)</t>
  </si>
  <si>
    <t xml:space="preserve">armatura Ф6 АI b.450 </t>
  </si>
  <si>
    <r>
      <t xml:space="preserve">bunebrivi marmarilos fila  sisqe 30mm sisqis gaprialebuli zedapiriT </t>
    </r>
    <r>
      <rPr>
        <sz val="11"/>
        <color rgb="FFFF0000"/>
        <rFont val="AcadNusx"/>
      </rPr>
      <t>Savi feris</t>
    </r>
  </si>
  <si>
    <r>
      <t xml:space="preserve">bunebrivi marmarilos fila  sisqe 30mm sisqis gaprialebuli zedapiriT </t>
    </r>
    <r>
      <rPr>
        <sz val="11"/>
        <color rgb="FFFF0000"/>
        <rFont val="AcadNusx"/>
      </rPr>
      <t>TeTri feris</t>
    </r>
  </si>
  <si>
    <t>armatura Ф6 АIII b.150 erTi bade</t>
  </si>
  <si>
    <t>betonis 10sm sisqis fenilis mowyoba</t>
  </si>
  <si>
    <t>fraqciuli RorRi (0-31) mm</t>
  </si>
  <si>
    <t xml:space="preserve">gatana 5 km-ze </t>
  </si>
  <si>
    <t>zedmeti gruntis transportireba 5km manZilze da gatana</t>
  </si>
  <si>
    <t>damatebiTi noyieri gruntis Semotana skveris teritoriaze 5km manZilidan</t>
  </si>
  <si>
    <t xml:space="preserve">samSeneblo nagvis gatana 5 km-ze </t>
  </si>
  <si>
    <t>armatura Ф6 АIII b.200  erTi bade</t>
  </si>
  <si>
    <t>armatura Ф6 АIII b.200</t>
  </si>
  <si>
    <t xml:space="preserve">RorRis safuZvlis mowyoba sisqiT 10 sm </t>
  </si>
  <si>
    <t>monoliTuri betonis fenilis mowyoba 10sm sisqiT</t>
  </si>
  <si>
    <t>III kategoriis gruntis damuSaveba qvabulisaTvis xeliT, 10sm sisqe</t>
  </si>
  <si>
    <r>
      <rPr>
        <b/>
        <sz val="11"/>
        <rFont val="AcadNusx"/>
      </rPr>
      <t>dioduri naTebis naTura</t>
    </r>
    <r>
      <rPr>
        <b/>
        <sz val="11"/>
        <rFont val="Calibri"/>
        <family val="2"/>
        <charset val="204"/>
        <scheme val="minor"/>
      </rPr>
      <t xml:space="preserve">   E27 220 AC/12,5W IP67</t>
    </r>
  </si>
  <si>
    <t xml:space="preserve">teritoriis gare el montaJi </t>
  </si>
  <si>
    <t>%</t>
  </si>
  <si>
    <t>erT fasi</t>
  </si>
  <si>
    <t>normativi</t>
  </si>
  <si>
    <t>ღირებულება ₾</t>
  </si>
  <si>
    <t>#</t>
  </si>
  <si>
    <t>samuშaos dasaxeleba</t>
  </si>
  <si>
    <t>რაოდენობა</t>
  </si>
  <si>
    <t>თავი 1. demontaJis samuSaaoebi</t>
  </si>
  <si>
    <t>თავი 2. teritoriis keTilmowyoba</t>
  </si>
  <si>
    <t>anakrebi betonis bordiuris montaJi 200X400 (468 გრძ.მ.)</t>
  </si>
  <si>
    <t>bunebrivi granitis bordiuris montaJi  100X200 (12 გრძ.მ.)</t>
  </si>
  <si>
    <t>asfaltobetonis safaris mowyoba (250 კვმ)</t>
  </si>
  <si>
    <t>gamwvaneba - gazonis mowyoba (825 კვმ)</t>
  </si>
  <si>
    <t>თავი 1. სამშენებლო სამუSაოები</t>
  </si>
  <si>
    <t>თავი 2. სამონტაჟო სამუშაოები</t>
  </si>
  <si>
    <r>
      <t xml:space="preserve">dioduri naTebis dekoratiuli projeqtori   </t>
    </r>
    <r>
      <rPr>
        <b/>
        <sz val="11"/>
        <rFont val="Calibri"/>
        <family val="2"/>
        <charset val="204"/>
        <scheme val="minor"/>
      </rPr>
      <t>NEW LIGHT -1643/2/063 220 AC/30W IP67</t>
    </r>
  </si>
  <si>
    <t>13</t>
  </si>
  <si>
    <t>12</t>
  </si>
  <si>
    <t>11</t>
  </si>
  <si>
    <t>10</t>
  </si>
  <si>
    <t>9</t>
  </si>
  <si>
    <t>erTeulze</t>
  </si>
  <si>
    <t>sul danaxarjebi</t>
  </si>
  <si>
    <t>manqana-meqanizmebi</t>
  </si>
  <si>
    <t>xelfasi</t>
  </si>
  <si>
    <r>
      <t xml:space="preserve">dekoratiuli lampioni  </t>
    </r>
    <r>
      <rPr>
        <b/>
        <sz val="11"/>
        <rFont val="Calibri"/>
        <family val="2"/>
        <charset val="204"/>
        <scheme val="minor"/>
      </rPr>
      <t>DEFNE-5 IP 67-ის მსგავსი ან ექვივალენტური</t>
    </r>
  </si>
  <si>
    <r>
      <t xml:space="preserve">dioduri naTebis dekoratiuli proJeqtori </t>
    </r>
    <r>
      <rPr>
        <b/>
        <sz val="11"/>
        <rFont val="Calibri"/>
        <family val="2"/>
        <charset val="204"/>
        <scheme val="minor"/>
      </rPr>
      <t>NEW LIGHT -1643/2/063-ის მსგავსი ან ექვივალენტური 220 AC/30W IP67</t>
    </r>
  </si>
  <si>
    <t>6.1</t>
  </si>
  <si>
    <t>6.2</t>
  </si>
  <si>
    <t>6.3</t>
  </si>
  <si>
    <t>6.4</t>
  </si>
  <si>
    <t>6.5</t>
  </si>
  <si>
    <t>7.1</t>
  </si>
  <si>
    <t>7.2</t>
  </si>
  <si>
    <t xml:space="preserve">გეგმიური დაგროვება </t>
  </si>
  <si>
    <t>დღგ</t>
  </si>
  <si>
    <t>ზედნადები ხარჯები ელექტრო-სამონტაჟო  სამუშაოებიდან (ხელფასიდან)</t>
  </si>
  <si>
    <t>1. გაუთვალისწინებელი ხარჯის და დღგ-ს პროცენტულობა უცვლელია, ზედნადების ხარჯები არ უნდა აღემატებოდეს 10%-ს, გეგმიური დაგროვება 8%-ს და ზედნადები ხარჯები ელექტრო-სამონტაჟო სამუშაოებიდან (ხელფასიდან) არ უნდა აღემატებოდეს 75%-ს.</t>
  </si>
  <si>
    <t>შენიშვნა:</t>
  </si>
  <si>
    <t>2. სათაურების პოზიციები არ ფასდება</t>
  </si>
  <si>
    <t>lokaluri ხ ა რ ჯ თ ა ღ რ ი ც ხ ვ ა # 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</si>
</sst>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_-;\-* #,##0.00_-;_-* &quot;-&quot;??_-;_-@_-"/>
    <numFmt numFmtId="166" formatCode="0.0"/>
    <numFmt numFmtId="167" formatCode="0.000"/>
    <numFmt numFmtId="168" formatCode="_-* #,##0.00_р_._-;\-* #,##0.00_р_._-;_-* &quot;-&quot;??_р_._-;_-@_-"/>
    <numFmt numFmtId="169" formatCode="_-* #,##0.000_-;\-* #,##0.000_-;_-* &quot;-&quot;??_-;_-@_-"/>
    <numFmt numFmtId="170" formatCode="_-* #,##0.0000_-;\-* #,##0.0000_-;_-* &quot;-&quot;??_-;_-@_-"/>
  </numFmts>
  <fonts count="10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name val="AcadNusx"/>
    </font>
    <font>
      <sz val="10"/>
      <color theme="1"/>
      <name val="AcadNusx"/>
    </font>
    <font>
      <sz val="10"/>
      <name val="AcadNusx"/>
    </font>
    <font>
      <b/>
      <sz val="12"/>
      <name val="AcadNusx"/>
    </font>
    <font>
      <b/>
      <sz val="11"/>
      <color theme="1"/>
      <name val="AcadMtav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sz val="11"/>
      <color theme="1"/>
      <name val="AcadNusx"/>
    </font>
    <font>
      <b/>
      <sz val="11"/>
      <color theme="1"/>
      <name val="AcadNusx"/>
    </font>
    <font>
      <sz val="11"/>
      <name val="Calibri"/>
      <family val="2"/>
      <charset val="204"/>
      <scheme val="minor"/>
    </font>
    <font>
      <b/>
      <sz val="10"/>
      <color theme="1"/>
      <name val="AcadNusx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1"/>
      <name val="AcadNusx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b/>
      <sz val="10"/>
      <name val="AcadNusx"/>
    </font>
    <font>
      <sz val="10"/>
      <name val="Calibri"/>
      <family val="2"/>
    </font>
    <font>
      <b/>
      <vertAlign val="superscript"/>
      <sz val="10"/>
      <name val="AcadNusx"/>
    </font>
    <font>
      <sz val="10"/>
      <name val="Calibri"/>
      <family val="2"/>
      <charset val="204"/>
    </font>
    <font>
      <vertAlign val="superscript"/>
      <sz val="10"/>
      <name val="AcadNusx"/>
    </font>
    <font>
      <sz val="10"/>
      <name val="Calibri"/>
      <family val="2"/>
      <scheme val="minor"/>
    </font>
    <font>
      <sz val="11"/>
      <color rgb="FFFF0000"/>
      <name val="AcadNusx"/>
    </font>
    <font>
      <sz val="11"/>
      <color rgb="FF000000"/>
      <name val="AcadNusx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Sylfaen"/>
      <family val="1"/>
      <charset val="204"/>
    </font>
    <font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color rgb="FF0000FF"/>
      <name val="AcadNusx"/>
    </font>
    <font>
      <b/>
      <sz val="11"/>
      <name val="AcadMtavr"/>
    </font>
    <font>
      <sz val="10"/>
      <color rgb="FF000000"/>
      <name val="AcadNusx"/>
    </font>
    <font>
      <b/>
      <sz val="11"/>
      <color rgb="FF000000"/>
      <name val="AcadNusx"/>
    </font>
    <font>
      <b/>
      <sz val="10"/>
      <name val="Calibri"/>
      <family val="2"/>
      <charset val="204"/>
      <scheme val="minor"/>
    </font>
    <font>
      <sz val="12"/>
      <color rgb="FFFF0000"/>
      <name val="AcadNusx"/>
    </font>
    <font>
      <b/>
      <sz val="12"/>
      <color rgb="FFFF0000"/>
      <name val="AcadNusx"/>
    </font>
    <font>
      <b/>
      <sz val="11"/>
      <name val="Cambria"/>
      <family val="1"/>
      <charset val="204"/>
    </font>
    <font>
      <sz val="11"/>
      <name val="AcadMtavr"/>
    </font>
    <font>
      <sz val="10"/>
      <name val="AcadMtavr"/>
    </font>
    <font>
      <b/>
      <sz val="10"/>
      <name val="AcadMtavr"/>
    </font>
    <font>
      <sz val="11"/>
      <color theme="1"/>
      <name val="AcadMtavr"/>
    </font>
    <font>
      <sz val="12"/>
      <name val="AcadMtavr"/>
    </font>
    <font>
      <sz val="12"/>
      <color theme="1"/>
      <name val="AcadMtavr"/>
    </font>
    <font>
      <b/>
      <sz val="10"/>
      <color theme="1"/>
      <name val="AcadMtavr"/>
    </font>
    <font>
      <sz val="10"/>
      <color rgb="FF000000"/>
      <name val="AcadMtavr"/>
    </font>
    <font>
      <b/>
      <sz val="11"/>
      <color rgb="FF000000"/>
      <name val="AcadMtavr"/>
    </font>
    <font>
      <sz val="11"/>
      <color rgb="FF000000"/>
      <name val="AcadMtavr"/>
    </font>
    <font>
      <i/>
      <sz val="12"/>
      <name val="AcadNusx"/>
    </font>
    <font>
      <sz val="11"/>
      <color rgb="FF333333"/>
      <name val="Arial"/>
      <family val="2"/>
      <charset val="204"/>
    </font>
    <font>
      <sz val="11"/>
      <name val="AcadNusx"/>
      <family val="2"/>
      <charset val="204"/>
    </font>
    <font>
      <sz val="10"/>
      <name val="AcadNusx"/>
      <family val="2"/>
    </font>
    <font>
      <sz val="1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FF0000"/>
      <name val="AcadNusx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rgb="FF000000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11">
    <xf numFmtId="0" fontId="0" fillId="0" borderId="0"/>
    <xf numFmtId="0" fontId="10" fillId="0" borderId="0"/>
    <xf numFmtId="0" fontId="16" fillId="0" borderId="0"/>
    <xf numFmtId="0" fontId="18" fillId="0" borderId="0"/>
    <xf numFmtId="0" fontId="20" fillId="0" borderId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1" fillId="13" borderId="0" applyNumberFormat="0" applyBorder="0" applyAlignment="0" applyProtection="0"/>
    <xf numFmtId="0" fontId="4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4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41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4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41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4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4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41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4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41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42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3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44" fillId="23" borderId="6" applyNumberFormat="0" applyAlignment="0" applyProtection="0"/>
    <xf numFmtId="0" fontId="26" fillId="23" borderId="6" applyNumberFormat="0" applyAlignment="0" applyProtection="0"/>
    <xf numFmtId="0" fontId="26" fillId="23" borderId="6" applyNumberFormat="0" applyAlignment="0" applyProtection="0"/>
    <xf numFmtId="0" fontId="26" fillId="23" borderId="6" applyNumberFormat="0" applyAlignment="0" applyProtection="0"/>
    <xf numFmtId="0" fontId="26" fillId="23" borderId="6" applyNumberFormat="0" applyAlignment="0" applyProtection="0"/>
    <xf numFmtId="0" fontId="26" fillId="23" borderId="6" applyNumberFormat="0" applyAlignment="0" applyProtection="0"/>
    <xf numFmtId="0" fontId="26" fillId="23" borderId="6" applyNumberFormat="0" applyAlignment="0" applyProtection="0"/>
    <xf numFmtId="0" fontId="26" fillId="23" borderId="6" applyNumberFormat="0" applyAlignment="0" applyProtection="0"/>
    <xf numFmtId="0" fontId="26" fillId="23" borderId="6" applyNumberFormat="0" applyAlignment="0" applyProtection="0"/>
    <xf numFmtId="0" fontId="26" fillId="23" borderId="6" applyNumberFormat="0" applyAlignment="0" applyProtection="0"/>
    <xf numFmtId="0" fontId="26" fillId="23" borderId="6" applyNumberFormat="0" applyAlignment="0" applyProtection="0"/>
    <xf numFmtId="0" fontId="26" fillId="23" borderId="6" applyNumberFormat="0" applyAlignment="0" applyProtection="0"/>
    <xf numFmtId="0" fontId="26" fillId="23" borderId="6" applyNumberFormat="0" applyAlignment="0" applyProtection="0"/>
    <xf numFmtId="0" fontId="26" fillId="23" borderId="6" applyNumberFormat="0" applyAlignment="0" applyProtection="0"/>
    <xf numFmtId="43" fontId="20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8" fontId="17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57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166" fontId="58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0" fillId="0" borderId="0" applyFont="0" applyFill="0" applyBorder="0" applyAlignment="0" applyProtection="0"/>
    <xf numFmtId="166" fontId="58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47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48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49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0" fillId="9" borderId="5" applyNumberFormat="0" applyAlignment="0" applyProtection="0"/>
    <xf numFmtId="0" fontId="32" fillId="9" borderId="5" applyNumberFormat="0" applyAlignment="0" applyProtection="0"/>
    <xf numFmtId="0" fontId="32" fillId="9" borderId="5" applyNumberFormat="0" applyAlignment="0" applyProtection="0"/>
    <xf numFmtId="0" fontId="32" fillId="9" borderId="5" applyNumberFormat="0" applyAlignment="0" applyProtection="0"/>
    <xf numFmtId="0" fontId="32" fillId="9" borderId="5" applyNumberFormat="0" applyAlignment="0" applyProtection="0"/>
    <xf numFmtId="0" fontId="32" fillId="9" borderId="5" applyNumberFormat="0" applyAlignment="0" applyProtection="0"/>
    <xf numFmtId="0" fontId="32" fillId="9" borderId="5" applyNumberFormat="0" applyAlignment="0" applyProtection="0"/>
    <xf numFmtId="0" fontId="32" fillId="9" borderId="5" applyNumberFormat="0" applyAlignment="0" applyProtection="0"/>
    <xf numFmtId="0" fontId="32" fillId="9" borderId="5" applyNumberFormat="0" applyAlignment="0" applyProtection="0"/>
    <xf numFmtId="0" fontId="32" fillId="9" borderId="5" applyNumberFormat="0" applyAlignment="0" applyProtection="0"/>
    <xf numFmtId="0" fontId="32" fillId="9" borderId="5" applyNumberFormat="0" applyAlignment="0" applyProtection="0"/>
    <xf numFmtId="0" fontId="32" fillId="9" borderId="5" applyNumberFormat="0" applyAlignment="0" applyProtection="0"/>
    <xf numFmtId="0" fontId="32" fillId="9" borderId="5" applyNumberFormat="0" applyAlignment="0" applyProtection="0"/>
    <xf numFmtId="0" fontId="32" fillId="9" borderId="5" applyNumberFormat="0" applyAlignment="0" applyProtection="0"/>
    <xf numFmtId="0" fontId="51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52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35" fillId="0" borderId="0"/>
    <xf numFmtId="0" fontId="20" fillId="0" borderId="0"/>
    <xf numFmtId="0" fontId="59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60" fillId="0" borderId="0"/>
    <xf numFmtId="0" fontId="16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6" fillId="0" borderId="0"/>
    <xf numFmtId="0" fontId="58" fillId="0" borderId="0"/>
    <xf numFmtId="0" fontId="16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5" borderId="11" applyNumberFormat="0" applyFont="0" applyAlignment="0" applyProtection="0"/>
    <xf numFmtId="0" fontId="16" fillId="25" borderId="11" applyNumberFormat="0" applyFont="0" applyAlignment="0" applyProtection="0"/>
    <xf numFmtId="0" fontId="16" fillId="25" borderId="11" applyNumberFormat="0" applyFont="0" applyAlignment="0" applyProtection="0"/>
    <xf numFmtId="0" fontId="16" fillId="25" borderId="11" applyNumberFormat="0" applyFont="0" applyAlignment="0" applyProtection="0"/>
    <xf numFmtId="0" fontId="16" fillId="25" borderId="11" applyNumberFormat="0" applyFont="0" applyAlignment="0" applyProtection="0"/>
    <xf numFmtId="0" fontId="16" fillId="25" borderId="11" applyNumberFormat="0" applyFont="0" applyAlignment="0" applyProtection="0"/>
    <xf numFmtId="0" fontId="16" fillId="25" borderId="11" applyNumberFormat="0" applyFont="0" applyAlignment="0" applyProtection="0"/>
    <xf numFmtId="0" fontId="16" fillId="25" borderId="11" applyNumberFormat="0" applyFont="0" applyAlignment="0" applyProtection="0"/>
    <xf numFmtId="0" fontId="16" fillId="25" borderId="11" applyNumberFormat="0" applyFont="0" applyAlignment="0" applyProtection="0"/>
    <xf numFmtId="0" fontId="16" fillId="25" borderId="11" applyNumberFormat="0" applyFont="0" applyAlignment="0" applyProtection="0"/>
    <xf numFmtId="0" fontId="16" fillId="25" borderId="11" applyNumberFormat="0" applyFont="0" applyAlignment="0" applyProtection="0"/>
    <xf numFmtId="0" fontId="16" fillId="25" borderId="11" applyNumberFormat="0" applyFont="0" applyAlignment="0" applyProtection="0"/>
    <xf numFmtId="0" fontId="16" fillId="25" borderId="11" applyNumberFormat="0" applyFont="0" applyAlignment="0" applyProtection="0"/>
    <xf numFmtId="0" fontId="16" fillId="25" borderId="11" applyNumberFormat="0" applyFont="0" applyAlignment="0" applyProtection="0"/>
    <xf numFmtId="0" fontId="53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7" fillId="0" borderId="0"/>
    <xf numFmtId="0" fontId="5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/>
    <xf numFmtId="0" fontId="20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9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0" fillId="0" borderId="0"/>
    <xf numFmtId="0" fontId="20" fillId="0" borderId="0"/>
    <xf numFmtId="0" fontId="16" fillId="0" borderId="0"/>
    <xf numFmtId="0" fontId="16" fillId="0" borderId="0"/>
    <xf numFmtId="0" fontId="58" fillId="0" borderId="0"/>
    <xf numFmtId="0" fontId="3" fillId="0" borderId="0"/>
    <xf numFmtId="0" fontId="3" fillId="0" borderId="0"/>
    <xf numFmtId="0" fontId="16" fillId="0" borderId="0"/>
    <xf numFmtId="0" fontId="62" fillId="3" borderId="0" applyNumberFormat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4" fontId="9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58" fillId="0" borderId="0"/>
    <xf numFmtId="0" fontId="20" fillId="0" borderId="0"/>
    <xf numFmtId="0" fontId="16" fillId="0" borderId="0"/>
    <xf numFmtId="0" fontId="16" fillId="0" borderId="0"/>
    <xf numFmtId="0" fontId="1" fillId="0" borderId="0"/>
    <xf numFmtId="0" fontId="1" fillId="0" borderId="0"/>
  </cellStyleXfs>
  <cellXfs count="506">
    <xf numFmtId="0" fontId="0" fillId="0" borderId="0" xfId="0"/>
    <xf numFmtId="0" fontId="12" fillId="0" borderId="0" xfId="0" applyNumberFormat="1" applyFont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2" fontId="11" fillId="0" borderId="1" xfId="903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2" fontId="11" fillId="0" borderId="1" xfId="901" applyNumberFormat="1" applyFont="1" applyFill="1" applyBorder="1" applyAlignment="1">
      <alignment horizontal="center" vertical="center" wrapText="1"/>
    </xf>
    <xf numFmtId="49" fontId="11" fillId="0" borderId="1" xfId="901" applyNumberFormat="1" applyFont="1" applyFill="1" applyBorder="1" applyAlignment="1">
      <alignment horizontal="left" vertical="center" wrapText="1"/>
    </xf>
    <xf numFmtId="0" fontId="6" fillId="0" borderId="1" xfId="901" applyNumberFormat="1" applyFont="1" applyFill="1" applyBorder="1" applyAlignment="1">
      <alignment horizontal="center" vertical="center" wrapText="1"/>
    </xf>
    <xf numFmtId="0" fontId="11" fillId="0" borderId="1" xfId="901" applyNumberFormat="1" applyFont="1" applyFill="1" applyBorder="1" applyAlignment="1">
      <alignment horizontal="center" vertical="center" wrapText="1"/>
    </xf>
    <xf numFmtId="0" fontId="19" fillId="0" borderId="1" xfId="901" applyNumberFormat="1" applyFont="1" applyFill="1" applyBorder="1" applyAlignment="1">
      <alignment horizontal="center" vertical="center" wrapText="1"/>
    </xf>
    <xf numFmtId="49" fontId="11" fillId="0" borderId="1" xfId="901" applyNumberFormat="1" applyFont="1" applyFill="1" applyBorder="1" applyAlignment="1">
      <alignment vertical="center" wrapText="1"/>
    </xf>
    <xf numFmtId="2" fontId="12" fillId="0" borderId="1" xfId="90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2" fontId="19" fillId="2" borderId="1" xfId="903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49" fontId="6" fillId="0" borderId="1" xfId="870" applyNumberFormat="1" applyFont="1" applyFill="1" applyBorder="1" applyAlignment="1">
      <alignment horizontal="center" vertical="center" wrapText="1"/>
    </xf>
    <xf numFmtId="49" fontId="11" fillId="0" borderId="1" xfId="870" applyNumberFormat="1" applyFont="1" applyFill="1" applyBorder="1" applyAlignment="1">
      <alignment horizontal="left" vertical="center" wrapText="1"/>
    </xf>
    <xf numFmtId="0" fontId="11" fillId="0" borderId="1" xfId="87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left" vertical="center" wrapText="1"/>
    </xf>
    <xf numFmtId="2" fontId="69" fillId="0" borderId="1" xfId="0" applyNumberFormat="1" applyFont="1" applyFill="1" applyBorder="1" applyAlignment="1">
      <alignment horizontal="center" vertical="center" wrapText="1"/>
    </xf>
    <xf numFmtId="49" fontId="6" fillId="0" borderId="1" xfId="901" applyNumberFormat="1" applyFont="1" applyFill="1" applyBorder="1" applyAlignment="1">
      <alignment horizontal="center" vertical="center"/>
    </xf>
    <xf numFmtId="0" fontId="11" fillId="0" borderId="1" xfId="901" applyNumberFormat="1" applyFont="1" applyFill="1" applyBorder="1" applyAlignment="1">
      <alignment horizontal="center" vertical="center"/>
    </xf>
    <xf numFmtId="49" fontId="6" fillId="0" borderId="1" xfId="901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Border="1" applyAlignment="1">
      <alignment horizontal="left" vertical="center" wrapText="1"/>
    </xf>
    <xf numFmtId="2" fontId="13" fillId="26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9" fontId="63" fillId="2" borderId="1" xfId="0" applyNumberFormat="1" applyFont="1" applyFill="1" applyBorder="1" applyAlignment="1">
      <alignment vertical="center" wrapText="1"/>
    </xf>
    <xf numFmtId="49" fontId="63" fillId="2" borderId="1" xfId="0" applyNumberFormat="1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49" fontId="63" fillId="0" borderId="4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11" fillId="0" borderId="1" xfId="633" applyNumberFormat="1" applyFont="1" applyFill="1" applyBorder="1" applyAlignment="1">
      <alignment horizontal="center" vertical="center" wrapText="1"/>
    </xf>
    <xf numFmtId="49" fontId="11" fillId="0" borderId="1" xfId="633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Alignment="1">
      <alignment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49" fontId="11" fillId="0" borderId="1" xfId="902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901" applyNumberFormat="1" applyFont="1" applyFill="1" applyBorder="1" applyAlignment="1">
      <alignment horizontal="left" vertical="center" wrapText="1"/>
    </xf>
    <xf numFmtId="49" fontId="11" fillId="0" borderId="1" xfId="901" applyNumberFormat="1" applyFont="1" applyFill="1" applyBorder="1" applyAlignment="1">
      <alignment horizontal="left" vertical="top" wrapText="1"/>
    </xf>
    <xf numFmtId="49" fontId="11" fillId="0" borderId="4" xfId="0" applyNumberFormat="1" applyFont="1" applyFill="1" applyBorder="1" applyAlignment="1">
      <alignment horizontal="center" vertical="center" wrapText="1"/>
    </xf>
    <xf numFmtId="2" fontId="19" fillId="0" borderId="4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75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0" fontId="19" fillId="26" borderId="1" xfId="0" applyNumberFormat="1" applyFont="1" applyFill="1" applyBorder="1" applyAlignment="1">
      <alignment vertical="center" wrapText="1"/>
    </xf>
    <xf numFmtId="0" fontId="11" fillId="0" borderId="1" xfId="902" applyNumberFormat="1" applyFont="1" applyFill="1" applyBorder="1" applyAlignment="1">
      <alignment horizontal="center" vertical="center" wrapText="1"/>
    </xf>
    <xf numFmtId="49" fontId="6" fillId="0" borderId="1" xfId="902" applyNumberFormat="1" applyFont="1" applyFill="1" applyBorder="1" applyAlignment="1">
      <alignment horizontal="center" vertical="center" wrapText="1"/>
    </xf>
    <xf numFmtId="49" fontId="11" fillId="0" borderId="1" xfId="904" applyNumberFormat="1" applyFont="1" applyFill="1" applyBorder="1" applyAlignment="1">
      <alignment horizontal="left" vertical="center" wrapText="1"/>
    </xf>
    <xf numFmtId="49" fontId="63" fillId="0" borderId="1" xfId="904" applyNumberFormat="1" applyFont="1" applyFill="1" applyBorder="1" applyAlignment="1">
      <alignment horizontal="center" vertical="center" wrapText="1"/>
    </xf>
    <xf numFmtId="0" fontId="11" fillId="0" borderId="1" xfId="904" applyNumberFormat="1" applyFont="1" applyFill="1" applyBorder="1" applyAlignment="1">
      <alignment horizontal="center" vertical="center" wrapText="1"/>
    </xf>
    <xf numFmtId="49" fontId="11" fillId="0" borderId="2" xfId="870" applyNumberFormat="1" applyFont="1" applyFill="1" applyBorder="1" applyAlignment="1">
      <alignment horizontal="left" vertical="center" wrapText="1"/>
    </xf>
    <xf numFmtId="49" fontId="6" fillId="0" borderId="4" xfId="870" applyNumberFormat="1" applyFont="1" applyFill="1" applyBorder="1" applyAlignment="1">
      <alignment horizontal="center" vertical="center" wrapText="1"/>
    </xf>
    <xf numFmtId="49" fontId="63" fillId="2" borderId="18" xfId="0" applyNumberFormat="1" applyFont="1" applyFill="1" applyBorder="1" applyAlignment="1">
      <alignment horizontal="center" vertical="center" wrapText="1"/>
    </xf>
    <xf numFmtId="49" fontId="63" fillId="2" borderId="16" xfId="0" applyNumberFormat="1" applyFont="1" applyFill="1" applyBorder="1" applyAlignment="1">
      <alignment horizontal="center" vertical="center" wrapText="1"/>
    </xf>
    <xf numFmtId="49" fontId="19" fillId="2" borderId="16" xfId="0" applyNumberFormat="1" applyFont="1" applyFill="1" applyBorder="1" applyAlignment="1">
      <alignment horizontal="center" vertical="center" wrapText="1"/>
    </xf>
    <xf numFmtId="0" fontId="19" fillId="2" borderId="16" xfId="0" applyNumberFormat="1" applyFont="1" applyFill="1" applyBorder="1" applyAlignment="1">
      <alignment horizontal="center" vertical="center" wrapText="1"/>
    </xf>
    <xf numFmtId="2" fontId="19" fillId="2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3" fillId="26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2" fontId="19" fillId="26" borderId="1" xfId="0" applyNumberFormat="1" applyFont="1" applyFill="1" applyBorder="1" applyAlignment="1">
      <alignment vertical="center" wrapText="1"/>
    </xf>
    <xf numFmtId="2" fontId="0" fillId="0" borderId="0" xfId="0" applyNumberFormat="1"/>
    <xf numFmtId="0" fontId="6" fillId="0" borderId="1" xfId="902" applyNumberFormat="1" applyFont="1" applyFill="1" applyBorder="1" applyAlignment="1">
      <alignment horizontal="center" vertical="center" wrapText="1"/>
    </xf>
    <xf numFmtId="0" fontId="6" fillId="0" borderId="1" xfId="870" applyNumberFormat="1" applyFont="1" applyFill="1" applyBorder="1" applyAlignment="1">
      <alignment horizontal="center" vertical="center" wrapText="1"/>
    </xf>
    <xf numFmtId="0" fontId="6" fillId="0" borderId="1" xfId="901" applyNumberFormat="1" applyFont="1" applyFill="1" applyBorder="1" applyAlignment="1">
      <alignment horizontal="center" vertical="center"/>
    </xf>
    <xf numFmtId="0" fontId="73" fillId="0" borderId="1" xfId="901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vertical="center" wrapText="1"/>
    </xf>
    <xf numFmtId="49" fontId="11" fillId="27" borderId="1" xfId="0" applyNumberFormat="1" applyFont="1" applyFill="1" applyBorder="1" applyAlignment="1">
      <alignment horizontal="left" vertical="center" wrapText="1"/>
    </xf>
    <xf numFmtId="0" fontId="12" fillId="26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/>
    <xf numFmtId="2" fontId="0" fillId="0" borderId="0" xfId="0" applyNumberFormat="1" applyAlignment="1">
      <alignment horizontal="center" vertical="center"/>
    </xf>
    <xf numFmtId="49" fontId="63" fillId="29" borderId="1" xfId="0" applyNumberFormat="1" applyFont="1" applyFill="1" applyBorder="1" applyAlignment="1">
      <alignment horizontal="center" vertical="center" wrapText="1"/>
    </xf>
    <xf numFmtId="49" fontId="63" fillId="0" borderId="1" xfId="0" applyNumberFormat="1" applyFont="1" applyFill="1" applyBorder="1" applyAlignment="1">
      <alignment horizontal="center" vertical="center" wrapText="1"/>
    </xf>
    <xf numFmtId="49" fontId="75" fillId="0" borderId="1" xfId="0" applyNumberFormat="1" applyFont="1" applyFill="1" applyBorder="1" applyAlignment="1">
      <alignment horizontal="left" vertical="center" wrapText="1"/>
    </xf>
    <xf numFmtId="49" fontId="6" fillId="0" borderId="17" xfId="870" applyNumberFormat="1" applyFont="1" applyFill="1" applyBorder="1" applyAlignment="1">
      <alignment horizontal="center" vertical="center" wrapText="1"/>
    </xf>
    <xf numFmtId="49" fontId="19" fillId="2" borderId="1" xfId="902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63" fillId="27" borderId="1" xfId="0" applyNumberFormat="1" applyFont="1" applyFill="1" applyBorder="1" applyAlignment="1">
      <alignment horizontal="center" vertical="center" wrapText="1"/>
    </xf>
    <xf numFmtId="49" fontId="6" fillId="27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85" fillId="27" borderId="1" xfId="0" applyNumberFormat="1" applyFont="1" applyFill="1" applyBorder="1" applyAlignment="1">
      <alignment horizontal="center" vertical="center" wrapText="1"/>
    </xf>
    <xf numFmtId="0" fontId="78" fillId="27" borderId="1" xfId="0" applyNumberFormat="1" applyFont="1" applyFill="1" applyBorder="1" applyAlignment="1">
      <alignment horizontal="center" vertical="center" wrapText="1"/>
    </xf>
    <xf numFmtId="0" fontId="78" fillId="26" borderId="1" xfId="0" applyNumberFormat="1" applyFont="1" applyFill="1" applyBorder="1" applyAlignment="1">
      <alignment horizontal="center" vertical="center" wrapText="1"/>
    </xf>
    <xf numFmtId="0" fontId="96" fillId="0" borderId="0" xfId="0" applyFont="1" applyAlignment="1">
      <alignment vertical="center" wrapText="1"/>
    </xf>
    <xf numFmtId="0" fontId="82" fillId="0" borderId="0" xfId="0" applyFont="1" applyFill="1" applyAlignment="1">
      <alignment horizontal="center" vertical="center" wrapText="1"/>
    </xf>
    <xf numFmtId="0" fontId="11" fillId="27" borderId="1" xfId="0" applyFont="1" applyFill="1" applyBorder="1" applyAlignment="1">
      <alignment horizontal="center" vertical="center" wrapText="1"/>
    </xf>
    <xf numFmtId="49" fontId="19" fillId="0" borderId="1" xfId="901" applyNumberFormat="1" applyFont="1" applyFill="1" applyBorder="1" applyAlignment="1">
      <alignment vertical="center" wrapText="1"/>
    </xf>
    <xf numFmtId="0" fontId="19" fillId="27" borderId="1" xfId="901" applyNumberFormat="1" applyFont="1" applyFill="1" applyBorder="1" applyAlignment="1">
      <alignment horizontal="center" vertical="center" wrapText="1"/>
    </xf>
    <xf numFmtId="0" fontId="11" fillId="27" borderId="1" xfId="2" applyFont="1" applyFill="1" applyBorder="1" applyAlignment="1">
      <alignment horizontal="center" vertical="center" wrapText="1"/>
    </xf>
    <xf numFmtId="49" fontId="97" fillId="0" borderId="1" xfId="681" applyNumberFormat="1" applyFont="1" applyFill="1" applyBorder="1" applyAlignment="1">
      <alignment horizontal="left" vertical="center" wrapText="1"/>
    </xf>
    <xf numFmtId="49" fontId="98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9" fillId="27" borderId="18" xfId="901" applyNumberFormat="1" applyFont="1" applyFill="1" applyBorder="1" applyAlignment="1">
      <alignment horizontal="center" vertical="center" wrapText="1"/>
    </xf>
    <xf numFmtId="0" fontId="11" fillId="27" borderId="18" xfId="901" applyNumberFormat="1" applyFont="1" applyFill="1" applyBorder="1" applyAlignment="1">
      <alignment horizontal="center" vertical="center" wrapText="1"/>
    </xf>
    <xf numFmtId="49" fontId="19" fillId="29" borderId="1" xfId="0" applyNumberFormat="1" applyFont="1" applyFill="1" applyBorder="1" applyAlignment="1">
      <alignment horizontal="left" vertical="center" wrapText="1"/>
    </xf>
    <xf numFmtId="0" fontId="4" fillId="29" borderId="1" xfId="0" applyFont="1" applyFill="1" applyBorder="1" applyAlignment="1">
      <alignment horizontal="center" vertical="center" wrapText="1"/>
    </xf>
    <xf numFmtId="0" fontId="19" fillId="29" borderId="1" xfId="0" applyNumberFormat="1" applyFont="1" applyFill="1" applyBorder="1" applyAlignment="1">
      <alignment horizontal="center" vertical="center" wrapText="1"/>
    </xf>
    <xf numFmtId="49" fontId="63" fillId="0" borderId="1" xfId="901" applyNumberFormat="1" applyFont="1" applyFill="1" applyBorder="1" applyAlignment="1" applyProtection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3" fillId="30" borderId="1" xfId="0" applyNumberFormat="1" applyFont="1" applyFill="1" applyBorder="1" applyAlignment="1">
      <alignment horizontal="center" vertical="center" wrapText="1"/>
    </xf>
    <xf numFmtId="0" fontId="14" fillId="27" borderId="0" xfId="0" applyFont="1" applyFill="1" applyAlignment="1">
      <alignment horizontal="center" vertical="center" wrapText="1"/>
    </xf>
    <xf numFmtId="0" fontId="11" fillId="27" borderId="0" xfId="0" applyFont="1" applyFill="1" applyAlignment="1">
      <alignment horizontal="center" vertical="center" wrapText="1"/>
    </xf>
    <xf numFmtId="0" fontId="11" fillId="27" borderId="0" xfId="0" applyFont="1" applyFill="1" applyAlignment="1">
      <alignment horizontal="center" wrapText="1"/>
    </xf>
    <xf numFmtId="49" fontId="86" fillId="27" borderId="1" xfId="0" applyNumberFormat="1" applyFont="1" applyFill="1" applyBorder="1" applyAlignment="1">
      <alignment horizontal="center" vertical="center" wrapText="1"/>
    </xf>
    <xf numFmtId="0" fontId="86" fillId="27" borderId="1" xfId="0" applyNumberFormat="1" applyFont="1" applyFill="1" applyBorder="1" applyAlignment="1">
      <alignment horizontal="center" vertical="center" wrapText="1"/>
    </xf>
    <xf numFmtId="2" fontId="86" fillId="27" borderId="1" xfId="0" applyNumberFormat="1" applyFont="1" applyFill="1" applyBorder="1" applyAlignment="1">
      <alignment horizontal="center" vertical="center" wrapText="1"/>
    </xf>
    <xf numFmtId="0" fontId="89" fillId="27" borderId="0" xfId="0" applyFont="1" applyFill="1" applyAlignment="1">
      <alignment horizontal="center" wrapText="1"/>
    </xf>
    <xf numFmtId="0" fontId="89" fillId="27" borderId="0" xfId="0" applyFont="1" applyFill="1" applyAlignment="1">
      <alignment horizontal="center" vertical="center" wrapText="1"/>
    </xf>
    <xf numFmtId="49" fontId="19" fillId="27" borderId="1" xfId="0" applyNumberFormat="1" applyFont="1" applyFill="1" applyBorder="1" applyAlignment="1">
      <alignment horizontal="center" vertical="center" wrapText="1"/>
    </xf>
    <xf numFmtId="2" fontId="85" fillId="27" borderId="1" xfId="0" applyNumberFormat="1" applyFont="1" applyFill="1" applyBorder="1" applyAlignment="1">
      <alignment horizontal="center" vertical="center" wrapText="1"/>
    </xf>
    <xf numFmtId="49" fontId="19" fillId="27" borderId="1" xfId="0" applyNumberFormat="1" applyFont="1" applyFill="1" applyBorder="1" applyAlignment="1">
      <alignment horizontal="left" vertical="center" wrapText="1"/>
    </xf>
    <xf numFmtId="0" fontId="6" fillId="27" borderId="1" xfId="0" applyNumberFormat="1" applyFont="1" applyFill="1" applyBorder="1" applyAlignment="1">
      <alignment horizontal="left" vertical="center" wrapText="1"/>
    </xf>
    <xf numFmtId="0" fontId="6" fillId="27" borderId="1" xfId="0" applyNumberFormat="1" applyFont="1" applyFill="1" applyBorder="1" applyAlignment="1">
      <alignment horizontal="center" vertical="center" wrapText="1"/>
    </xf>
    <xf numFmtId="2" fontId="6" fillId="27" borderId="1" xfId="0" applyNumberFormat="1" applyFont="1" applyFill="1" applyBorder="1" applyAlignment="1">
      <alignment horizontal="center" vertical="center" wrapText="1"/>
    </xf>
    <xf numFmtId="0" fontId="11" fillId="27" borderId="1" xfId="0" applyNumberFormat="1" applyFont="1" applyFill="1" applyBorder="1" applyAlignment="1">
      <alignment horizontal="left" vertical="center" wrapText="1"/>
    </xf>
    <xf numFmtId="49" fontId="19" fillId="27" borderId="1" xfId="0" applyNumberFormat="1" applyFont="1" applyFill="1" applyBorder="1" applyAlignment="1" applyProtection="1">
      <alignment vertical="center" wrapText="1"/>
    </xf>
    <xf numFmtId="0" fontId="85" fillId="27" borderId="1" xfId="1" applyNumberFormat="1" applyFont="1" applyFill="1" applyBorder="1" applyAlignment="1" applyProtection="1">
      <alignment horizontal="center" vertical="center" wrapText="1"/>
    </xf>
    <xf numFmtId="0" fontId="78" fillId="27" borderId="1" xfId="901" applyNumberFormat="1" applyFont="1" applyFill="1" applyBorder="1" applyAlignment="1" applyProtection="1">
      <alignment horizontal="center" vertical="center" wrapText="1"/>
    </xf>
    <xf numFmtId="2" fontId="85" fillId="27" borderId="1" xfId="901" applyNumberFormat="1" applyFont="1" applyFill="1" applyBorder="1" applyAlignment="1" applyProtection="1">
      <alignment horizontal="center" vertical="center" wrapText="1"/>
    </xf>
    <xf numFmtId="49" fontId="11" fillId="27" borderId="1" xfId="1" applyNumberFormat="1" applyFont="1" applyFill="1" applyBorder="1" applyAlignment="1" applyProtection="1">
      <alignment horizontal="left" vertical="center" wrapText="1"/>
    </xf>
    <xf numFmtId="49" fontId="6" fillId="27" borderId="1" xfId="1" applyNumberFormat="1" applyFont="1" applyFill="1" applyBorder="1" applyAlignment="1" applyProtection="1">
      <alignment horizontal="center" vertical="center" wrapText="1"/>
    </xf>
    <xf numFmtId="0" fontId="85" fillId="27" borderId="1" xfId="901" applyNumberFormat="1" applyFont="1" applyFill="1" applyBorder="1" applyAlignment="1" applyProtection="1">
      <alignment horizontal="center" vertical="center" wrapText="1"/>
    </xf>
    <xf numFmtId="49" fontId="11" fillId="27" borderId="1" xfId="1" applyNumberFormat="1" applyFont="1" applyFill="1" applyBorder="1" applyAlignment="1" applyProtection="1">
      <alignment vertical="center" wrapText="1"/>
    </xf>
    <xf numFmtId="2" fontId="69" fillId="27" borderId="0" xfId="0" applyNumberFormat="1" applyFont="1" applyFill="1" applyAlignment="1">
      <alignment horizontal="right" wrapText="1"/>
    </xf>
    <xf numFmtId="49" fontId="11" fillId="27" borderId="1" xfId="633" applyNumberFormat="1" applyFont="1" applyFill="1" applyBorder="1" applyAlignment="1">
      <alignment horizontal="left" vertical="center" wrapText="1"/>
    </xf>
    <xf numFmtId="49" fontId="6" fillId="27" borderId="1" xfId="633" applyNumberFormat="1" applyFont="1" applyFill="1" applyBorder="1" applyAlignment="1">
      <alignment horizontal="center" vertical="center" wrapText="1"/>
    </xf>
    <xf numFmtId="0" fontId="85" fillId="27" borderId="18" xfId="633" applyNumberFormat="1" applyFont="1" applyFill="1" applyBorder="1" applyAlignment="1">
      <alignment horizontal="center" vertical="center" wrapText="1"/>
    </xf>
    <xf numFmtId="2" fontId="85" fillId="27" borderId="18" xfId="901" applyNumberFormat="1" applyFont="1" applyFill="1" applyBorder="1" applyAlignment="1">
      <alignment horizontal="center" vertical="center" wrapText="1"/>
    </xf>
    <xf numFmtId="49" fontId="19" fillId="27" borderId="2" xfId="0" applyNumberFormat="1" applyFont="1" applyFill="1" applyBorder="1" applyAlignment="1">
      <alignment vertical="center" wrapText="1"/>
    </xf>
    <xf numFmtId="0" fontId="85" fillId="27" borderId="1" xfId="901" applyNumberFormat="1" applyFont="1" applyFill="1" applyBorder="1" applyAlignment="1">
      <alignment horizontal="center" vertical="center" wrapText="1"/>
    </xf>
    <xf numFmtId="49" fontId="11" fillId="27" borderId="1" xfId="901" applyNumberFormat="1" applyFont="1" applyFill="1" applyBorder="1" applyAlignment="1">
      <alignment horizontal="left" vertical="top" wrapText="1"/>
    </xf>
    <xf numFmtId="49" fontId="6" fillId="27" borderId="1" xfId="901" applyNumberFormat="1" applyFont="1" applyFill="1" applyBorder="1" applyAlignment="1">
      <alignment horizontal="center" vertical="center" wrapText="1"/>
    </xf>
    <xf numFmtId="2" fontId="85" fillId="27" borderId="1" xfId="901" applyNumberFormat="1" applyFont="1" applyFill="1" applyBorder="1" applyAlignment="1">
      <alignment horizontal="center" vertical="center" wrapText="1"/>
    </xf>
    <xf numFmtId="49" fontId="11" fillId="27" borderId="1" xfId="3" applyNumberFormat="1" applyFont="1" applyFill="1" applyBorder="1" applyAlignment="1">
      <alignment vertical="top" wrapText="1"/>
    </xf>
    <xf numFmtId="0" fontId="11" fillId="27" borderId="1" xfId="2" applyNumberFormat="1" applyFont="1" applyFill="1" applyBorder="1" applyAlignment="1">
      <alignment horizontal="center" vertical="center" wrapText="1"/>
    </xf>
    <xf numFmtId="0" fontId="19" fillId="27" borderId="1" xfId="2" applyNumberFormat="1" applyFont="1" applyFill="1" applyBorder="1" applyAlignment="1">
      <alignment horizontal="center" vertical="center" wrapText="1"/>
    </xf>
    <xf numFmtId="2" fontId="11" fillId="27" borderId="1" xfId="0" applyNumberFormat="1" applyFont="1" applyFill="1" applyBorder="1" applyAlignment="1">
      <alignment horizontal="center" vertical="center" wrapText="1"/>
    </xf>
    <xf numFmtId="0" fontId="11" fillId="27" borderId="1" xfId="0" applyNumberFormat="1" applyFont="1" applyFill="1" applyBorder="1" applyAlignment="1">
      <alignment horizontal="center" vertical="center" wrapText="1"/>
    </xf>
    <xf numFmtId="0" fontId="11" fillId="27" borderId="1" xfId="901" applyNumberFormat="1" applyFont="1" applyFill="1" applyBorder="1" applyAlignment="1">
      <alignment horizontal="center" vertical="center" wrapText="1"/>
    </xf>
    <xf numFmtId="2" fontId="11" fillId="27" borderId="1" xfId="901" applyNumberFormat="1" applyFont="1" applyFill="1" applyBorder="1" applyAlignment="1">
      <alignment horizontal="center" vertical="center" wrapText="1"/>
    </xf>
    <xf numFmtId="49" fontId="63" fillId="27" borderId="1" xfId="901" applyNumberFormat="1" applyFont="1" applyFill="1" applyBorder="1" applyAlignment="1">
      <alignment horizontal="center" vertical="center" wrapText="1"/>
    </xf>
    <xf numFmtId="49" fontId="11" fillId="27" borderId="1" xfId="901" applyNumberFormat="1" applyFont="1" applyFill="1" applyBorder="1" applyAlignment="1">
      <alignment horizontal="left" vertical="center" wrapText="1"/>
    </xf>
    <xf numFmtId="49" fontId="6" fillId="27" borderId="1" xfId="901" applyNumberFormat="1" applyFont="1" applyFill="1" applyBorder="1" applyAlignment="1">
      <alignment horizontal="left" vertical="center" wrapText="1"/>
    </xf>
    <xf numFmtId="0" fontId="78" fillId="27" borderId="2" xfId="0" applyNumberFormat="1" applyFont="1" applyFill="1" applyBorder="1" applyAlignment="1">
      <alignment horizontal="center" vertical="center" wrapText="1"/>
    </xf>
    <xf numFmtId="49" fontId="11" fillId="27" borderId="1" xfId="0" applyNumberFormat="1" applyFont="1" applyFill="1" applyBorder="1" applyAlignment="1" applyProtection="1">
      <alignment vertical="center" wrapText="1"/>
    </xf>
    <xf numFmtId="49" fontId="6" fillId="27" borderId="1" xfId="0" applyNumberFormat="1" applyFont="1" applyFill="1" applyBorder="1" applyAlignment="1" applyProtection="1">
      <alignment horizontal="center" vertical="center" wrapText="1"/>
    </xf>
    <xf numFmtId="0" fontId="86" fillId="27" borderId="1" xfId="0" applyNumberFormat="1" applyFont="1" applyFill="1" applyBorder="1" applyAlignment="1" applyProtection="1">
      <alignment horizontal="center" vertical="center" wrapText="1"/>
    </xf>
    <xf numFmtId="0" fontId="85" fillId="27" borderId="2" xfId="0" applyNumberFormat="1" applyFont="1" applyFill="1" applyBorder="1" applyAlignment="1">
      <alignment horizontal="center" vertical="center" wrapText="1"/>
    </xf>
    <xf numFmtId="0" fontId="87" fillId="27" borderId="2" xfId="0" applyNumberFormat="1" applyFont="1" applyFill="1" applyBorder="1" applyAlignment="1">
      <alignment horizontal="center" vertical="center" wrapText="1"/>
    </xf>
    <xf numFmtId="49" fontId="19" fillId="27" borderId="1" xfId="0" applyNumberFormat="1" applyFont="1" applyFill="1" applyBorder="1" applyAlignment="1">
      <alignment vertical="center" wrapText="1"/>
    </xf>
    <xf numFmtId="2" fontId="85" fillId="27" borderId="1" xfId="899" applyNumberFormat="1" applyFont="1" applyFill="1" applyBorder="1" applyAlignment="1">
      <alignment horizontal="center" vertical="center" wrapText="1"/>
    </xf>
    <xf numFmtId="49" fontId="11" fillId="27" borderId="1" xfId="0" applyNumberFormat="1" applyFont="1" applyFill="1" applyBorder="1" applyAlignment="1">
      <alignment vertical="center" wrapText="1"/>
    </xf>
    <xf numFmtId="0" fontId="6" fillId="27" borderId="1" xfId="0" applyFont="1" applyFill="1" applyBorder="1" applyAlignment="1">
      <alignment horizontal="center" vertical="center" wrapText="1"/>
    </xf>
    <xf numFmtId="0" fontId="4" fillId="27" borderId="0" xfId="0" applyFont="1" applyFill="1" applyAlignment="1">
      <alignment horizontal="center" vertical="center" wrapText="1"/>
    </xf>
    <xf numFmtId="0" fontId="63" fillId="27" borderId="1" xfId="901" applyNumberFormat="1" applyFont="1" applyFill="1" applyBorder="1" applyAlignment="1">
      <alignment horizontal="center" vertical="center" wrapText="1"/>
    </xf>
    <xf numFmtId="2" fontId="11" fillId="27" borderId="3" xfId="901" applyNumberFormat="1" applyFont="1" applyFill="1" applyBorder="1" applyAlignment="1">
      <alignment horizontal="center" vertical="center" wrapText="1"/>
    </xf>
    <xf numFmtId="0" fontId="6" fillId="27" borderId="1" xfId="901" applyNumberFormat="1" applyFont="1" applyFill="1" applyBorder="1" applyAlignment="1">
      <alignment horizontal="center" vertical="center" wrapText="1"/>
    </xf>
    <xf numFmtId="49" fontId="11" fillId="27" borderId="1" xfId="901" applyNumberFormat="1" applyFont="1" applyFill="1" applyBorder="1" applyAlignment="1">
      <alignment vertical="center" wrapText="1"/>
    </xf>
    <xf numFmtId="49" fontId="68" fillId="27" borderId="2" xfId="901" applyNumberFormat="1" applyFont="1" applyFill="1" applyBorder="1" applyAlignment="1">
      <alignment horizontal="center" vertical="center" wrapText="1"/>
    </xf>
    <xf numFmtId="0" fontId="4" fillId="27" borderId="0" xfId="0" applyFont="1" applyFill="1" applyAlignment="1">
      <alignment horizontal="center" vertical="center" wrapText="1"/>
    </xf>
    <xf numFmtId="49" fontId="11" fillId="27" borderId="1" xfId="2" applyNumberFormat="1" applyFont="1" applyFill="1" applyBorder="1" applyAlignment="1">
      <alignment vertical="center" wrapText="1"/>
    </xf>
    <xf numFmtId="0" fontId="6" fillId="27" borderId="1" xfId="2" applyFont="1" applyFill="1" applyBorder="1" applyAlignment="1">
      <alignment horizontal="center" vertical="center" wrapText="1"/>
    </xf>
    <xf numFmtId="49" fontId="68" fillId="27" borderId="1" xfId="901" applyNumberFormat="1" applyFont="1" applyFill="1" applyBorder="1" applyAlignment="1">
      <alignment horizontal="center" vertical="center" wrapText="1"/>
    </xf>
    <xf numFmtId="0" fontId="6" fillId="27" borderId="18" xfId="2" applyFont="1" applyFill="1" applyBorder="1" applyAlignment="1">
      <alignment horizontal="center" vertical="center" wrapText="1"/>
    </xf>
    <xf numFmtId="49" fontId="6" fillId="27" borderId="1" xfId="630" applyNumberFormat="1" applyFont="1" applyFill="1" applyBorder="1" applyAlignment="1">
      <alignment horizontal="center" vertical="center" wrapText="1"/>
    </xf>
    <xf numFmtId="2" fontId="85" fillId="27" borderId="1" xfId="900" applyNumberFormat="1" applyFont="1" applyFill="1" applyBorder="1" applyAlignment="1">
      <alignment horizontal="center" vertical="center" wrapText="1"/>
    </xf>
    <xf numFmtId="2" fontId="90" fillId="27" borderId="1" xfId="0" applyNumberFormat="1" applyFont="1" applyFill="1" applyBorder="1" applyAlignment="1">
      <alignment horizontal="center" vertical="center" wrapText="1"/>
    </xf>
    <xf numFmtId="0" fontId="19" fillId="27" borderId="2" xfId="0" applyNumberFormat="1" applyFont="1" applyFill="1" applyBorder="1" applyAlignment="1">
      <alignment horizontal="center" vertical="center" wrapText="1"/>
    </xf>
    <xf numFmtId="0" fontId="11" fillId="27" borderId="1" xfId="0" applyNumberFormat="1" applyFont="1" applyFill="1" applyBorder="1" applyAlignment="1" applyProtection="1">
      <alignment horizontal="center" vertical="center" wrapText="1"/>
    </xf>
    <xf numFmtId="0" fontId="11" fillId="27" borderId="2" xfId="0" applyNumberFormat="1" applyFont="1" applyFill="1" applyBorder="1" applyAlignment="1">
      <alignment horizontal="center" vertical="center" wrapText="1"/>
    </xf>
    <xf numFmtId="2" fontId="11" fillId="27" borderId="1" xfId="899" applyNumberFormat="1" applyFont="1" applyFill="1" applyBorder="1" applyAlignment="1">
      <alignment horizontal="center" vertical="center" wrapText="1"/>
    </xf>
    <xf numFmtId="2" fontId="74" fillId="27" borderId="1" xfId="0" applyNumberFormat="1" applyFont="1" applyFill="1" applyBorder="1" applyAlignment="1">
      <alignment horizontal="center" vertical="center"/>
    </xf>
    <xf numFmtId="0" fontId="19" fillId="27" borderId="0" xfId="0" applyFont="1" applyFill="1" applyAlignment="1">
      <alignment horizontal="center" vertical="center" wrapText="1"/>
    </xf>
    <xf numFmtId="49" fontId="19" fillId="27" borderId="18" xfId="0" applyNumberFormat="1" applyFont="1" applyFill="1" applyBorder="1" applyAlignment="1">
      <alignment horizontal="center" vertical="center" wrapText="1"/>
    </xf>
    <xf numFmtId="0" fontId="87" fillId="27" borderId="18" xfId="0" applyNumberFormat="1" applyFont="1" applyFill="1" applyBorder="1" applyAlignment="1">
      <alignment horizontal="center" vertical="center" wrapText="1"/>
    </xf>
    <xf numFmtId="0" fontId="11" fillId="27" borderId="0" xfId="0" applyFont="1" applyFill="1" applyAlignment="1">
      <alignment horizontal="right" vertical="center" wrapText="1"/>
    </xf>
    <xf numFmtId="49" fontId="11" fillId="27" borderId="2" xfId="0" applyNumberFormat="1" applyFont="1" applyFill="1" applyBorder="1" applyAlignment="1">
      <alignment horizontal="left" vertical="center" wrapText="1"/>
    </xf>
    <xf numFmtId="49" fontId="6" fillId="27" borderId="2" xfId="0" applyNumberFormat="1" applyFont="1" applyFill="1" applyBorder="1" applyAlignment="1">
      <alignment horizontal="center" vertical="center" wrapText="1"/>
    </xf>
    <xf numFmtId="0" fontId="86" fillId="27" borderId="2" xfId="0" applyNumberFormat="1" applyFont="1" applyFill="1" applyBorder="1" applyAlignment="1">
      <alignment horizontal="center" vertical="center" wrapText="1"/>
    </xf>
    <xf numFmtId="2" fontId="85" fillId="27" borderId="2" xfId="0" applyNumberFormat="1" applyFont="1" applyFill="1" applyBorder="1" applyAlignment="1">
      <alignment horizontal="center" vertical="center" wrapText="1"/>
    </xf>
    <xf numFmtId="49" fontId="11" fillId="27" borderId="1" xfId="681" applyNumberFormat="1" applyFont="1" applyFill="1" applyBorder="1" applyAlignment="1">
      <alignment horizontal="left" vertical="center" wrapText="1"/>
    </xf>
    <xf numFmtId="49" fontId="6" fillId="27" borderId="1" xfId="681" applyNumberFormat="1" applyFont="1" applyFill="1" applyBorder="1" applyAlignment="1">
      <alignment horizontal="center" vertical="center" wrapText="1"/>
    </xf>
    <xf numFmtId="49" fontId="6" fillId="27" borderId="1" xfId="677" applyNumberFormat="1" applyFont="1" applyFill="1" applyBorder="1" applyAlignment="1">
      <alignment horizontal="center" vertical="center" wrapText="1"/>
    </xf>
    <xf numFmtId="0" fontId="86" fillId="27" borderId="1" xfId="677" applyNumberFormat="1" applyFont="1" applyFill="1" applyBorder="1" applyAlignment="1">
      <alignment horizontal="center" vertical="center" wrapText="1"/>
    </xf>
    <xf numFmtId="49" fontId="11" fillId="27" borderId="1" xfId="677" applyNumberFormat="1" applyFont="1" applyFill="1" applyBorder="1" applyAlignment="1">
      <alignment horizontal="left" vertical="center" wrapText="1"/>
    </xf>
    <xf numFmtId="0" fontId="85" fillId="27" borderId="1" xfId="677" applyNumberFormat="1" applyFont="1" applyFill="1" applyBorder="1" applyAlignment="1">
      <alignment horizontal="center" vertical="center" wrapText="1"/>
    </xf>
    <xf numFmtId="49" fontId="11" fillId="27" borderId="2" xfId="677" applyNumberFormat="1" applyFont="1" applyFill="1" applyBorder="1" applyAlignment="1">
      <alignment horizontal="left" vertical="center" wrapText="1"/>
    </xf>
    <xf numFmtId="49" fontId="6" fillId="27" borderId="2" xfId="677" applyNumberFormat="1" applyFont="1" applyFill="1" applyBorder="1" applyAlignment="1">
      <alignment horizontal="center" vertical="center" wrapText="1"/>
    </xf>
    <xf numFmtId="0" fontId="86" fillId="27" borderId="2" xfId="677" applyNumberFormat="1" applyFont="1" applyFill="1" applyBorder="1" applyAlignment="1">
      <alignment horizontal="center" vertical="center" wrapText="1"/>
    </xf>
    <xf numFmtId="0" fontId="85" fillId="27" borderId="2" xfId="677" applyNumberFormat="1" applyFont="1" applyFill="1" applyBorder="1" applyAlignment="1">
      <alignment horizontal="center" vertical="center" wrapText="1"/>
    </xf>
    <xf numFmtId="0" fontId="86" fillId="27" borderId="1" xfId="630" applyNumberFormat="1" applyFont="1" applyFill="1" applyBorder="1" applyAlignment="1">
      <alignment horizontal="center" vertical="center" wrapText="1"/>
    </xf>
    <xf numFmtId="49" fontId="11" fillId="27" borderId="1" xfId="630" applyNumberFormat="1" applyFont="1" applyFill="1" applyBorder="1" applyAlignment="1">
      <alignment horizontal="left" vertical="center" wrapText="1"/>
    </xf>
    <xf numFmtId="0" fontId="85" fillId="27" borderId="1" xfId="630" applyNumberFormat="1" applyFont="1" applyFill="1" applyBorder="1" applyAlignment="1">
      <alignment horizontal="center" vertical="center" wrapText="1"/>
    </xf>
    <xf numFmtId="2" fontId="85" fillId="27" borderId="1" xfId="630" applyNumberFormat="1" applyFont="1" applyFill="1" applyBorder="1" applyAlignment="1">
      <alignment horizontal="center" vertical="center" wrapText="1"/>
    </xf>
    <xf numFmtId="0" fontId="4" fillId="27" borderId="0" xfId="0" applyFont="1" applyFill="1" applyAlignment="1">
      <alignment horizontal="center" wrapText="1"/>
    </xf>
    <xf numFmtId="49" fontId="6" fillId="27" borderId="4" xfId="0" applyNumberFormat="1" applyFont="1" applyFill="1" applyBorder="1" applyAlignment="1">
      <alignment horizontal="left" vertical="center" wrapText="1"/>
    </xf>
    <xf numFmtId="49" fontId="63" fillId="27" borderId="1" xfId="654" applyNumberFormat="1" applyFont="1" applyFill="1" applyBorder="1" applyAlignment="1">
      <alignment horizontal="center" vertical="center" wrapText="1"/>
    </xf>
    <xf numFmtId="49" fontId="6" fillId="27" borderId="1" xfId="0" applyNumberFormat="1" applyFont="1" applyFill="1" applyBorder="1" applyAlignment="1">
      <alignment vertical="center" wrapText="1"/>
    </xf>
    <xf numFmtId="49" fontId="19" fillId="27" borderId="2" xfId="902" applyNumberFormat="1" applyFont="1" applyFill="1" applyBorder="1" applyAlignment="1">
      <alignment vertical="center" wrapText="1"/>
    </xf>
    <xf numFmtId="0" fontId="85" fillId="27" borderId="1" xfId="654" applyNumberFormat="1" applyFont="1" applyFill="1" applyBorder="1" applyAlignment="1">
      <alignment horizontal="center" vertical="center" wrapText="1"/>
    </xf>
    <xf numFmtId="0" fontId="78" fillId="27" borderId="1" xfId="654" applyNumberFormat="1" applyFont="1" applyFill="1" applyBorder="1" applyAlignment="1">
      <alignment horizontal="center" vertical="center" wrapText="1"/>
    </xf>
    <xf numFmtId="2" fontId="85" fillId="27" borderId="1" xfId="903" applyNumberFormat="1" applyFont="1" applyFill="1" applyBorder="1" applyAlignment="1">
      <alignment horizontal="center" vertical="center" wrapText="1"/>
    </xf>
    <xf numFmtId="49" fontId="11" fillId="27" borderId="1" xfId="902" applyNumberFormat="1" applyFont="1" applyFill="1" applyBorder="1" applyAlignment="1">
      <alignment horizontal="left" vertical="center" wrapText="1"/>
    </xf>
    <xf numFmtId="49" fontId="6" fillId="27" borderId="1" xfId="654" applyNumberFormat="1" applyFont="1" applyFill="1" applyBorder="1" applyAlignment="1">
      <alignment horizontal="center" vertical="center" wrapText="1"/>
    </xf>
    <xf numFmtId="167" fontId="4" fillId="27" borderId="0" xfId="0" applyNumberFormat="1" applyFont="1" applyFill="1" applyAlignment="1">
      <alignment horizontal="center" vertical="center" wrapText="1"/>
    </xf>
    <xf numFmtId="0" fontId="85" fillId="27" borderId="1" xfId="633" applyNumberFormat="1" applyFont="1" applyFill="1" applyBorder="1" applyAlignment="1">
      <alignment horizontal="center" vertical="center" wrapText="1"/>
    </xf>
    <xf numFmtId="2" fontId="82" fillId="27" borderId="0" xfId="0" applyNumberFormat="1" applyFont="1" applyFill="1" applyAlignment="1">
      <alignment horizontal="right" wrapText="1"/>
    </xf>
    <xf numFmtId="0" fontId="4" fillId="27" borderId="0" xfId="0" applyNumberFormat="1" applyFont="1" applyFill="1" applyAlignment="1">
      <alignment horizontal="center" wrapText="1"/>
    </xf>
    <xf numFmtId="0" fontId="4" fillId="27" borderId="0" xfId="0" applyNumberFormat="1" applyFont="1" applyFill="1" applyAlignment="1">
      <alignment horizontal="center" vertical="center" wrapText="1"/>
    </xf>
    <xf numFmtId="49" fontId="13" fillId="27" borderId="1" xfId="0" applyNumberFormat="1" applyFont="1" applyFill="1" applyBorder="1" applyAlignment="1">
      <alignment horizontal="center" vertical="center" wrapText="1"/>
    </xf>
    <xf numFmtId="49" fontId="15" fillId="27" borderId="1" xfId="0" applyNumberFormat="1" applyFont="1" applyFill="1" applyBorder="1" applyAlignment="1">
      <alignment horizontal="center" vertical="center" wrapText="1"/>
    </xf>
    <xf numFmtId="0" fontId="91" fillId="27" borderId="1" xfId="0" applyNumberFormat="1" applyFont="1" applyFill="1" applyBorder="1" applyAlignment="1">
      <alignment horizontal="center" vertical="center" wrapText="1"/>
    </xf>
    <xf numFmtId="0" fontId="8" fillId="27" borderId="1" xfId="0" applyNumberFormat="1" applyFont="1" applyFill="1" applyBorder="1" applyAlignment="1">
      <alignment horizontal="center" vertical="center" wrapText="1"/>
    </xf>
    <xf numFmtId="2" fontId="8" fillId="27" borderId="1" xfId="0" applyNumberFormat="1" applyFont="1" applyFill="1" applyBorder="1" applyAlignment="1">
      <alignment horizontal="center" vertical="center" wrapText="1"/>
    </xf>
    <xf numFmtId="2" fontId="83" fillId="27" borderId="0" xfId="0" applyNumberFormat="1" applyFont="1" applyFill="1" applyAlignment="1">
      <alignment horizontal="center" vertical="center" wrapText="1"/>
    </xf>
    <xf numFmtId="2" fontId="4" fillId="27" borderId="0" xfId="0" applyNumberFormat="1" applyFont="1" applyFill="1" applyAlignment="1">
      <alignment horizontal="center" vertical="center" wrapText="1"/>
    </xf>
    <xf numFmtId="49" fontId="15" fillId="27" borderId="4" xfId="0" applyNumberFormat="1" applyFont="1" applyFill="1" applyBorder="1" applyAlignment="1">
      <alignment horizontal="center" vertical="center" wrapText="1"/>
    </xf>
    <xf numFmtId="0" fontId="91" fillId="27" borderId="4" xfId="0" applyNumberFormat="1" applyFont="1" applyFill="1" applyBorder="1" applyAlignment="1">
      <alignment horizontal="center" vertical="center" wrapText="1"/>
    </xf>
    <xf numFmtId="2" fontId="8" fillId="27" borderId="4" xfId="0" applyNumberFormat="1" applyFont="1" applyFill="1" applyBorder="1" applyAlignment="1">
      <alignment horizontal="center" vertical="center" wrapText="1"/>
    </xf>
    <xf numFmtId="0" fontId="8" fillId="27" borderId="4" xfId="0" applyNumberFormat="1" applyFont="1" applyFill="1" applyBorder="1" applyAlignment="1">
      <alignment horizontal="center" vertical="center" wrapText="1"/>
    </xf>
    <xf numFmtId="49" fontId="70" fillId="27" borderId="4" xfId="0" applyNumberFormat="1" applyFont="1" applyFill="1" applyBorder="1" applyAlignment="1">
      <alignment horizontal="center" vertical="center" wrapText="1"/>
    </xf>
    <xf numFmtId="49" fontId="79" fillId="27" borderId="4" xfId="0" applyNumberFormat="1" applyFont="1" applyFill="1" applyBorder="1" applyAlignment="1">
      <alignment horizontal="center" vertical="center" wrapText="1"/>
    </xf>
    <xf numFmtId="0" fontId="92" fillId="27" borderId="4" xfId="0" applyNumberFormat="1" applyFont="1" applyFill="1" applyBorder="1" applyAlignment="1">
      <alignment horizontal="center" vertical="center" wrapText="1"/>
    </xf>
    <xf numFmtId="0" fontId="93" fillId="27" borderId="4" xfId="0" applyNumberFormat="1" applyFont="1" applyFill="1" applyBorder="1" applyAlignment="1">
      <alignment horizontal="center" vertical="center" wrapText="1"/>
    </xf>
    <xf numFmtId="2" fontId="94" fillId="27" borderId="4" xfId="0" applyNumberFormat="1" applyFont="1" applyFill="1" applyBorder="1" applyAlignment="1">
      <alignment horizontal="center" vertical="center" wrapText="1"/>
    </xf>
    <xf numFmtId="49" fontId="79" fillId="27" borderId="16" xfId="0" applyNumberFormat="1" applyFont="1" applyFill="1" applyBorder="1" applyAlignment="1">
      <alignment horizontal="center" vertical="center" wrapText="1"/>
    </xf>
    <xf numFmtId="0" fontId="92" fillId="27" borderId="16" xfId="0" applyNumberFormat="1" applyFont="1" applyFill="1" applyBorder="1" applyAlignment="1">
      <alignment horizontal="center" vertical="center" wrapText="1"/>
    </xf>
    <xf numFmtId="0" fontId="93" fillId="27" borderId="16" xfId="0" applyNumberFormat="1" applyFont="1" applyFill="1" applyBorder="1" applyAlignment="1">
      <alignment horizontal="center" vertical="center" wrapText="1"/>
    </xf>
    <xf numFmtId="2" fontId="94" fillId="27" borderId="16" xfId="0" applyNumberFormat="1" applyFont="1" applyFill="1" applyBorder="1" applyAlignment="1">
      <alignment horizontal="center" vertical="center" wrapText="1"/>
    </xf>
    <xf numFmtId="0" fontId="7" fillId="27" borderId="0" xfId="0" applyFont="1" applyFill="1" applyAlignment="1">
      <alignment horizontal="center" wrapText="1"/>
    </xf>
    <xf numFmtId="0" fontId="7" fillId="27" borderId="0" xfId="0" applyFont="1" applyFill="1" applyAlignment="1">
      <alignment horizontal="center" vertical="center" wrapText="1"/>
    </xf>
    <xf numFmtId="49" fontId="70" fillId="27" borderId="16" xfId="0" applyNumberFormat="1" applyFont="1" applyFill="1" applyBorder="1" applyAlignment="1">
      <alignment horizontal="center" vertical="center" wrapText="1"/>
    </xf>
    <xf numFmtId="0" fontId="93" fillId="31" borderId="16" xfId="0" applyNumberFormat="1" applyFont="1" applyFill="1" applyBorder="1" applyAlignment="1">
      <alignment horizontal="center" vertical="center" wrapText="1"/>
    </xf>
    <xf numFmtId="49" fontId="12" fillId="27" borderId="1" xfId="0" applyNumberFormat="1" applyFont="1" applyFill="1" applyBorder="1" applyAlignment="1">
      <alignment horizontal="center" vertical="center" wrapText="1"/>
    </xf>
    <xf numFmtId="9" fontId="93" fillId="31" borderId="16" xfId="0" applyNumberFormat="1" applyFont="1" applyFill="1" applyBorder="1" applyAlignment="1">
      <alignment horizontal="center" vertical="center" wrapText="1"/>
    </xf>
    <xf numFmtId="49" fontId="70" fillId="27" borderId="1" xfId="0" applyNumberFormat="1" applyFont="1" applyFill="1" applyBorder="1" applyAlignment="1">
      <alignment horizontal="center" vertical="center" wrapText="1"/>
    </xf>
    <xf numFmtId="49" fontId="4" fillId="27" borderId="0" xfId="0" applyNumberFormat="1" applyFont="1" applyFill="1" applyAlignment="1">
      <alignment horizontal="center" vertical="center" wrapText="1"/>
    </xf>
    <xf numFmtId="49" fontId="63" fillId="27" borderId="0" xfId="0" applyNumberFormat="1" applyFont="1" applyFill="1" applyAlignment="1">
      <alignment horizontal="center" vertical="center" wrapText="1"/>
    </xf>
    <xf numFmtId="0" fontId="85" fillId="27" borderId="0" xfId="0" applyNumberFormat="1" applyFont="1" applyFill="1" applyAlignment="1">
      <alignment horizontal="center" vertical="center" wrapText="1"/>
    </xf>
    <xf numFmtId="2" fontId="85" fillId="27" borderId="0" xfId="0" applyNumberFormat="1" applyFont="1" applyFill="1" applyAlignment="1">
      <alignment horizontal="center" vertical="center" wrapText="1"/>
    </xf>
    <xf numFmtId="2" fontId="85" fillId="27" borderId="0" xfId="0" applyNumberFormat="1" applyFont="1" applyFill="1" applyAlignment="1">
      <alignment vertical="center" wrapText="1"/>
    </xf>
    <xf numFmtId="49" fontId="0" fillId="27" borderId="0" xfId="0" applyNumberFormat="1" applyFill="1"/>
    <xf numFmtId="0" fontId="88" fillId="27" borderId="0" xfId="0" applyNumberFormat="1" applyFont="1" applyFill="1"/>
    <xf numFmtId="2" fontId="88" fillId="27" borderId="0" xfId="0" applyNumberFormat="1" applyFont="1" applyFill="1"/>
    <xf numFmtId="0" fontId="0" fillId="27" borderId="0" xfId="0" applyFill="1" applyAlignment="1">
      <alignment horizontal="center"/>
    </xf>
    <xf numFmtId="0" fontId="0" fillId="27" borderId="0" xfId="0" applyFill="1"/>
    <xf numFmtId="49" fontId="95" fillId="27" borderId="0" xfId="0" applyNumberFormat="1" applyFont="1" applyFill="1" applyBorder="1" applyAlignment="1">
      <alignment horizontal="left" vertical="center" wrapText="1"/>
    </xf>
    <xf numFmtId="49" fontId="6" fillId="27" borderId="0" xfId="0" applyNumberFormat="1" applyFont="1" applyFill="1" applyBorder="1" applyAlignment="1">
      <alignment horizontal="center" vertical="center" wrapText="1"/>
    </xf>
    <xf numFmtId="0" fontId="85" fillId="27" borderId="0" xfId="0" applyNumberFormat="1" applyFont="1" applyFill="1" applyBorder="1" applyAlignment="1">
      <alignment horizontal="center" vertical="center" wrapText="1"/>
    </xf>
    <xf numFmtId="49" fontId="4" fillId="27" borderId="0" xfId="0" applyNumberFormat="1" applyFont="1" applyFill="1" applyBorder="1" applyAlignment="1">
      <alignment vertical="center" wrapText="1"/>
    </xf>
    <xf numFmtId="49" fontId="4" fillId="27" borderId="0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 vertical="top" wrapText="1"/>
    </xf>
    <xf numFmtId="49" fontId="6" fillId="0" borderId="1" xfId="901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8" fillId="32" borderId="1" xfId="0" applyNumberFormat="1" applyFont="1" applyFill="1" applyBorder="1" applyAlignment="1">
      <alignment horizontal="center" vertical="center" wrapText="1"/>
    </xf>
    <xf numFmtId="49" fontId="87" fillId="32" borderId="1" xfId="0" applyNumberFormat="1" applyFont="1" applyFill="1" applyBorder="1" applyAlignment="1">
      <alignment horizontal="center" vertical="center" wrapText="1"/>
    </xf>
    <xf numFmtId="0" fontId="87" fillId="32" borderId="1" xfId="0" applyNumberFormat="1" applyFont="1" applyFill="1" applyBorder="1" applyAlignment="1">
      <alignment horizontal="center" vertical="center" wrapText="1"/>
    </xf>
    <xf numFmtId="2" fontId="86" fillId="32" borderId="1" xfId="0" applyNumberFormat="1" applyFont="1" applyFill="1" applyBorder="1" applyAlignment="1">
      <alignment horizontal="center" vertical="center" wrapText="1"/>
    </xf>
    <xf numFmtId="49" fontId="19" fillId="28" borderId="1" xfId="0" applyNumberFormat="1" applyFont="1" applyFill="1" applyBorder="1" applyAlignment="1">
      <alignment horizontal="center" vertical="center" wrapText="1"/>
    </xf>
    <xf numFmtId="49" fontId="63" fillId="28" borderId="1" xfId="0" applyNumberFormat="1" applyFont="1" applyFill="1" applyBorder="1" applyAlignment="1">
      <alignment horizontal="center" vertical="center" wrapText="1"/>
    </xf>
    <xf numFmtId="0" fontId="78" fillId="28" borderId="1" xfId="0" applyNumberFormat="1" applyFont="1" applyFill="1" applyBorder="1" applyAlignment="1">
      <alignment horizontal="center" vertical="center" wrapText="1"/>
    </xf>
    <xf numFmtId="2" fontId="85" fillId="28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left" vertical="center" wrapText="1"/>
    </xf>
    <xf numFmtId="0" fontId="78" fillId="2" borderId="1" xfId="0" applyNumberFormat="1" applyFont="1" applyFill="1" applyBorder="1" applyAlignment="1">
      <alignment horizontal="center" vertical="center" wrapText="1"/>
    </xf>
    <xf numFmtId="2" fontId="85" fillId="2" borderId="1" xfId="0" applyNumberFormat="1" applyFont="1" applyFill="1" applyBorder="1" applyAlignment="1">
      <alignment horizontal="center" vertical="center" wrapText="1"/>
    </xf>
    <xf numFmtId="0" fontId="63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78" fillId="2" borderId="1" xfId="901" applyNumberFormat="1" applyFont="1" applyFill="1" applyBorder="1" applyAlignment="1" applyProtection="1">
      <alignment horizontal="center" vertical="center" wrapText="1"/>
    </xf>
    <xf numFmtId="0" fontId="85" fillId="2" borderId="1" xfId="0" applyNumberFormat="1" applyFont="1" applyFill="1" applyBorder="1" applyAlignment="1">
      <alignment horizontal="center" vertical="center" wrapText="1"/>
    </xf>
    <xf numFmtId="49" fontId="19" fillId="2" borderId="1" xfId="1" applyNumberFormat="1" applyFont="1" applyFill="1" applyBorder="1" applyAlignment="1" applyProtection="1">
      <alignment vertical="center" wrapText="1"/>
    </xf>
    <xf numFmtId="0" fontId="85" fillId="2" borderId="1" xfId="1" applyNumberFormat="1" applyFont="1" applyFill="1" applyBorder="1" applyAlignment="1" applyProtection="1">
      <alignment horizontal="center" vertical="center" wrapText="1"/>
    </xf>
    <xf numFmtId="2" fontId="85" fillId="2" borderId="1" xfId="901" applyNumberFormat="1" applyFont="1" applyFill="1" applyBorder="1" applyAlignment="1" applyProtection="1">
      <alignment horizontal="center" vertical="center" wrapText="1"/>
    </xf>
    <xf numFmtId="49" fontId="19" fillId="2" borderId="1" xfId="0" applyNumberFormat="1" applyFont="1" applyFill="1" applyBorder="1" applyAlignment="1" applyProtection="1">
      <alignment vertical="center" wrapText="1"/>
    </xf>
    <xf numFmtId="49" fontId="64" fillId="27" borderId="18" xfId="0" applyNumberFormat="1" applyFont="1" applyFill="1" applyBorder="1" applyAlignment="1">
      <alignment horizontal="center" vertical="center" wrapText="1"/>
    </xf>
    <xf numFmtId="49" fontId="6" fillId="27" borderId="2" xfId="901" applyNumberFormat="1" applyFont="1" applyFill="1" applyBorder="1" applyAlignment="1">
      <alignment horizontal="center" vertical="center" wrapText="1"/>
    </xf>
    <xf numFmtId="49" fontId="19" fillId="2" borderId="1" xfId="901" applyNumberFormat="1" applyFont="1" applyFill="1" applyBorder="1" applyAlignment="1">
      <alignment vertical="center" wrapText="1"/>
    </xf>
    <xf numFmtId="49" fontId="63" fillId="2" borderId="1" xfId="901" applyNumberFormat="1" applyFont="1" applyFill="1" applyBorder="1" applyAlignment="1">
      <alignment horizontal="center" vertical="center" wrapText="1"/>
    </xf>
    <xf numFmtId="0" fontId="6" fillId="2" borderId="1" xfId="901" applyNumberFormat="1" applyFont="1" applyFill="1" applyBorder="1" applyAlignment="1">
      <alignment horizontal="center" vertical="center" wrapText="1"/>
    </xf>
    <xf numFmtId="0" fontId="19" fillId="2" borderId="1" xfId="901" applyNumberFormat="1" applyFont="1" applyFill="1" applyBorder="1" applyAlignment="1">
      <alignment horizontal="center" vertical="center" wrapText="1"/>
    </xf>
    <xf numFmtId="2" fontId="19" fillId="2" borderId="1" xfId="901" applyNumberFormat="1" applyFont="1" applyFill="1" applyBorder="1" applyAlignment="1">
      <alignment horizontal="center" vertical="center" wrapText="1"/>
    </xf>
    <xf numFmtId="2" fontId="11" fillId="2" borderId="1" xfId="901" applyNumberFormat="1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 applyProtection="1">
      <alignment vertical="center" wrapText="1"/>
    </xf>
    <xf numFmtId="49" fontId="63" fillId="2" borderId="1" xfId="0" applyNumberFormat="1" applyFont="1" applyFill="1" applyBorder="1" applyAlignment="1" applyProtection="1">
      <alignment horizontal="center" vertical="center" wrapText="1"/>
    </xf>
    <xf numFmtId="0" fontId="87" fillId="2" borderId="1" xfId="0" applyNumberFormat="1" applyFont="1" applyFill="1" applyBorder="1" applyAlignment="1" applyProtection="1">
      <alignment horizontal="center" vertical="center" wrapText="1"/>
    </xf>
    <xf numFmtId="0" fontId="78" fillId="2" borderId="2" xfId="0" applyNumberFormat="1" applyFont="1" applyFill="1" applyBorder="1" applyAlignment="1">
      <alignment horizontal="center" vertical="center" wrapText="1"/>
    </xf>
    <xf numFmtId="0" fontId="63" fillId="2" borderId="1" xfId="901" applyNumberFormat="1" applyFont="1" applyFill="1" applyBorder="1" applyAlignment="1">
      <alignment horizontal="center" vertical="center" wrapText="1"/>
    </xf>
    <xf numFmtId="49" fontId="19" fillId="2" borderId="1" xfId="901" applyNumberFormat="1" applyFont="1" applyFill="1" applyBorder="1" applyAlignment="1">
      <alignment horizontal="left" vertical="top" wrapText="1"/>
    </xf>
    <xf numFmtId="0" fontId="87" fillId="2" borderId="1" xfId="0" applyNumberFormat="1" applyFont="1" applyFill="1" applyBorder="1" applyAlignment="1">
      <alignment horizontal="center" vertical="center" wrapText="1"/>
    </xf>
    <xf numFmtId="0" fontId="78" fillId="2" borderId="1" xfId="901" applyNumberFormat="1" applyFont="1" applyFill="1" applyBorder="1" applyAlignment="1">
      <alignment horizontal="center" vertical="center" wrapText="1"/>
    </xf>
    <xf numFmtId="2" fontId="85" fillId="2" borderId="1" xfId="901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vertical="center" wrapText="1"/>
    </xf>
    <xf numFmtId="0" fontId="63" fillId="2" borderId="1" xfId="2" applyFont="1" applyFill="1" applyBorder="1" applyAlignment="1">
      <alignment horizontal="center" vertical="center" wrapText="1"/>
    </xf>
    <xf numFmtId="49" fontId="19" fillId="2" borderId="1" xfId="901" applyNumberFormat="1" applyFont="1" applyFill="1" applyBorder="1" applyAlignment="1">
      <alignment horizontal="left" vertical="center" wrapText="1"/>
    </xf>
    <xf numFmtId="0" fontId="11" fillId="2" borderId="1" xfId="901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 applyProtection="1">
      <alignment horizontal="center" vertical="center" wrapText="1"/>
    </xf>
    <xf numFmtId="0" fontId="19" fillId="2" borderId="2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49" fontId="19" fillId="2" borderId="1" xfId="0" applyNumberFormat="1" applyFont="1" applyFill="1" applyBorder="1" applyAlignment="1">
      <alignment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2" fontId="11" fillId="2" borderId="1" xfId="899" applyNumberFormat="1" applyFont="1" applyFill="1" applyBorder="1" applyAlignment="1">
      <alignment horizontal="center" vertical="center" wrapText="1"/>
    </xf>
    <xf numFmtId="49" fontId="63" fillId="2" borderId="1" xfId="2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67" fontId="11" fillId="27" borderId="1" xfId="901" applyNumberFormat="1" applyFont="1" applyFill="1" applyBorder="1" applyAlignment="1">
      <alignment horizontal="center" vertical="center" wrapText="1"/>
    </xf>
    <xf numFmtId="49" fontId="19" fillId="2" borderId="1" xfId="677" applyNumberFormat="1" applyFont="1" applyFill="1" applyBorder="1" applyAlignment="1">
      <alignment horizontal="left" vertical="center" wrapText="1"/>
    </xf>
    <xf numFmtId="49" fontId="6" fillId="2" borderId="1" xfId="677" applyNumberFormat="1" applyFont="1" applyFill="1" applyBorder="1" applyAlignment="1">
      <alignment horizontal="center" vertical="center" wrapText="1"/>
    </xf>
    <xf numFmtId="0" fontId="86" fillId="2" borderId="1" xfId="677" applyNumberFormat="1" applyFont="1" applyFill="1" applyBorder="1" applyAlignment="1">
      <alignment horizontal="center" vertical="center" wrapText="1"/>
    </xf>
    <xf numFmtId="2" fontId="85" fillId="2" borderId="1" xfId="899" applyNumberFormat="1" applyFont="1" applyFill="1" applyBorder="1" applyAlignment="1">
      <alignment horizontal="center" vertical="center" wrapText="1"/>
    </xf>
    <xf numFmtId="49" fontId="19" fillId="2" borderId="1" xfId="630" applyNumberFormat="1" applyFont="1" applyFill="1" applyBorder="1" applyAlignment="1">
      <alignment horizontal="left" vertical="center" wrapText="1"/>
    </xf>
    <xf numFmtId="49" fontId="63" fillId="2" borderId="1" xfId="630" applyNumberFormat="1" applyFont="1" applyFill="1" applyBorder="1" applyAlignment="1">
      <alignment horizontal="center" vertical="center" wrapText="1"/>
    </xf>
    <xf numFmtId="0" fontId="86" fillId="2" borderId="1" xfId="630" applyNumberFormat="1" applyFont="1" applyFill="1" applyBorder="1" applyAlignment="1">
      <alignment horizontal="center" vertical="center" wrapText="1"/>
    </xf>
    <xf numFmtId="2" fontId="78" fillId="2" borderId="1" xfId="0" applyNumberFormat="1" applyFont="1" applyFill="1" applyBorder="1" applyAlignment="1">
      <alignment horizontal="center" vertical="center" wrapText="1"/>
    </xf>
    <xf numFmtId="2" fontId="85" fillId="2" borderId="1" xfId="900" applyNumberFormat="1" applyFont="1" applyFill="1" applyBorder="1" applyAlignment="1">
      <alignment horizontal="center" vertical="center" wrapText="1"/>
    </xf>
    <xf numFmtId="49" fontId="6" fillId="2" borderId="1" xfId="630" applyNumberFormat="1" applyFont="1" applyFill="1" applyBorder="1" applyAlignment="1">
      <alignment horizontal="center" vertical="center" wrapText="1"/>
    </xf>
    <xf numFmtId="49" fontId="63" fillId="2" borderId="1" xfId="654" applyNumberFormat="1" applyFont="1" applyFill="1" applyBorder="1" applyAlignment="1">
      <alignment horizontal="center" vertical="center" wrapText="1"/>
    </xf>
    <xf numFmtId="0" fontId="86" fillId="2" borderId="1" xfId="654" applyNumberFormat="1" applyFont="1" applyFill="1" applyBorder="1" applyAlignment="1">
      <alignment horizontal="center" vertical="center" wrapText="1"/>
    </xf>
    <xf numFmtId="2" fontId="86" fillId="2" borderId="1" xfId="903" applyNumberFormat="1" applyFont="1" applyFill="1" applyBorder="1" applyAlignment="1">
      <alignment horizontal="center" vertical="center" wrapText="1"/>
    </xf>
    <xf numFmtId="2" fontId="86" fillId="2" borderId="1" xfId="0" applyNumberFormat="1" applyFont="1" applyFill="1" applyBorder="1" applyAlignment="1">
      <alignment horizontal="center" vertical="center" wrapText="1"/>
    </xf>
    <xf numFmtId="0" fontId="85" fillId="2" borderId="1" xfId="654" applyNumberFormat="1" applyFont="1" applyFill="1" applyBorder="1" applyAlignment="1">
      <alignment horizontal="center" vertical="center" wrapText="1"/>
    </xf>
    <xf numFmtId="2" fontId="85" fillId="2" borderId="1" xfId="903" applyNumberFormat="1" applyFont="1" applyFill="1" applyBorder="1" applyAlignment="1">
      <alignment horizontal="center" vertical="center" wrapText="1"/>
    </xf>
    <xf numFmtId="49" fontId="19" fillId="2" borderId="1" xfId="633" applyNumberFormat="1" applyFont="1" applyFill="1" applyBorder="1" applyAlignment="1">
      <alignment horizontal="left" vertical="center" wrapText="1"/>
    </xf>
    <xf numFmtId="49" fontId="63" fillId="2" borderId="1" xfId="633" applyNumberFormat="1" applyFont="1" applyFill="1" applyBorder="1" applyAlignment="1">
      <alignment horizontal="center" vertical="center" wrapText="1"/>
    </xf>
    <xf numFmtId="0" fontId="78" fillId="2" borderId="1" xfId="633" applyNumberFormat="1" applyFont="1" applyFill="1" applyBorder="1" applyAlignment="1">
      <alignment horizontal="center" vertical="center" wrapText="1"/>
    </xf>
    <xf numFmtId="49" fontId="13" fillId="27" borderId="4" xfId="0" applyNumberFormat="1" applyFont="1" applyFill="1" applyBorder="1" applyAlignment="1">
      <alignment horizontal="center" vertical="center" wrapText="1"/>
    </xf>
    <xf numFmtId="49" fontId="6" fillId="27" borderId="18" xfId="0" applyNumberFormat="1" applyFont="1" applyFill="1" applyBorder="1" applyAlignment="1">
      <alignment horizontal="center" vertical="center" wrapText="1"/>
    </xf>
    <xf numFmtId="49" fontId="6" fillId="28" borderId="1" xfId="0" applyNumberFormat="1" applyFont="1" applyFill="1" applyBorder="1" applyAlignment="1">
      <alignment horizontal="center" vertical="center" wrapText="1"/>
    </xf>
    <xf numFmtId="49" fontId="6" fillId="28" borderId="18" xfId="0" applyNumberFormat="1" applyFont="1" applyFill="1" applyBorder="1" applyAlignment="1">
      <alignment horizontal="center" vertical="center" wrapText="1"/>
    </xf>
    <xf numFmtId="49" fontId="63" fillId="27" borderId="18" xfId="0" applyNumberFormat="1" applyFont="1" applyFill="1" applyBorder="1" applyAlignment="1">
      <alignment horizontal="center" vertical="center" wrapText="1"/>
    </xf>
    <xf numFmtId="49" fontId="63" fillId="27" borderId="17" xfId="0" applyNumberFormat="1" applyFont="1" applyFill="1" applyBorder="1" applyAlignment="1">
      <alignment horizontal="center" vertical="center" wrapText="1"/>
    </xf>
    <xf numFmtId="49" fontId="64" fillId="27" borderId="2" xfId="0" applyNumberFormat="1" applyFont="1" applyFill="1" applyBorder="1" applyAlignment="1">
      <alignment horizontal="center" vertical="center" wrapText="1"/>
    </xf>
    <xf numFmtId="49" fontId="5" fillId="27" borderId="1" xfId="0" applyNumberFormat="1" applyFont="1" applyFill="1" applyBorder="1" applyAlignment="1">
      <alignment horizontal="center" vertical="center" wrapText="1"/>
    </xf>
    <xf numFmtId="49" fontId="79" fillId="27" borderId="1" xfId="0" applyNumberFormat="1" applyFont="1" applyFill="1" applyBorder="1" applyAlignment="1">
      <alignment horizontal="center" vertical="center" wrapText="1"/>
    </xf>
    <xf numFmtId="49" fontId="79" fillId="27" borderId="18" xfId="0" applyNumberFormat="1" applyFont="1" applyFill="1" applyBorder="1" applyAlignment="1">
      <alignment horizontal="center" vertical="center" wrapText="1"/>
    </xf>
    <xf numFmtId="49" fontId="6" fillId="27" borderId="0" xfId="0" applyNumberFormat="1" applyFont="1" applyFill="1" applyAlignment="1">
      <alignment horizontal="center" vertical="center" wrapText="1"/>
    </xf>
    <xf numFmtId="49" fontId="0" fillId="27" borderId="0" xfId="0" applyNumberFormat="1" applyFill="1" applyAlignment="1">
      <alignment horizontal="center" vertical="center"/>
    </xf>
    <xf numFmtId="49" fontId="63" fillId="2" borderId="1" xfId="902" applyNumberFormat="1" applyFont="1" applyFill="1" applyBorder="1" applyAlignment="1">
      <alignment horizontal="center" vertical="center" wrapText="1"/>
    </xf>
    <xf numFmtId="0" fontId="11" fillId="2" borderId="1" xfId="902" applyNumberFormat="1" applyFont="1" applyFill="1" applyBorder="1" applyAlignment="1">
      <alignment horizontal="center" vertical="center" wrapText="1"/>
    </xf>
    <xf numFmtId="0" fontId="19" fillId="2" borderId="1" xfId="902" applyNumberFormat="1" applyFont="1" applyFill="1" applyBorder="1" applyAlignment="1">
      <alignment horizontal="center" vertical="center" wrapText="1"/>
    </xf>
    <xf numFmtId="2" fontId="11" fillId="2" borderId="1" xfId="903" applyNumberFormat="1" applyFont="1" applyFill="1" applyBorder="1" applyAlignment="1">
      <alignment horizontal="center" vertical="center" wrapText="1"/>
    </xf>
    <xf numFmtId="49" fontId="71" fillId="2" borderId="1" xfId="681" applyNumberFormat="1" applyFont="1" applyFill="1" applyBorder="1" applyAlignment="1">
      <alignment horizontal="left" vertical="center" wrapText="1"/>
    </xf>
    <xf numFmtId="0" fontId="6" fillId="2" borderId="1" xfId="902" applyNumberFormat="1" applyFont="1" applyFill="1" applyBorder="1" applyAlignment="1">
      <alignment horizontal="center" vertical="center" wrapText="1"/>
    </xf>
    <xf numFmtId="0" fontId="19" fillId="2" borderId="1" xfId="633" applyNumberFormat="1" applyFont="1" applyFill="1" applyBorder="1" applyAlignment="1">
      <alignment horizontal="center" vertical="center" wrapText="1"/>
    </xf>
    <xf numFmtId="49" fontId="19" fillId="2" borderId="1" xfId="870" applyNumberFormat="1" applyFont="1" applyFill="1" applyBorder="1" applyAlignment="1">
      <alignment horizontal="left" vertical="center" wrapText="1"/>
    </xf>
    <xf numFmtId="49" fontId="63" fillId="2" borderId="1" xfId="870" applyNumberFormat="1" applyFont="1" applyFill="1" applyBorder="1" applyAlignment="1">
      <alignment horizontal="center" vertical="center" wrapText="1"/>
    </xf>
    <xf numFmtId="0" fontId="11" fillId="2" borderId="1" xfId="870" applyNumberFormat="1" applyFont="1" applyFill="1" applyBorder="1" applyAlignment="1">
      <alignment horizontal="center" vertical="center" wrapText="1"/>
    </xf>
    <xf numFmtId="0" fontId="19" fillId="2" borderId="1" xfId="87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63" fillId="2" borderId="1" xfId="0" applyNumberFormat="1" applyFont="1" applyFill="1" applyBorder="1" applyAlignment="1" applyProtection="1">
      <alignment horizontal="center" vertical="center" wrapText="1"/>
    </xf>
    <xf numFmtId="49" fontId="6" fillId="28" borderId="2" xfId="900" applyNumberFormat="1" applyFont="1" applyFill="1" applyBorder="1" applyAlignment="1">
      <alignment horizontal="center" vertical="center" wrapText="1"/>
    </xf>
    <xf numFmtId="49" fontId="19" fillId="28" borderId="2" xfId="900" applyNumberFormat="1" applyFont="1" applyFill="1" applyBorder="1" applyAlignment="1">
      <alignment horizontal="center" vertical="center" wrapText="1"/>
    </xf>
    <xf numFmtId="49" fontId="63" fillId="28" borderId="2" xfId="900" applyNumberFormat="1" applyFont="1" applyFill="1" applyBorder="1" applyAlignment="1">
      <alignment horizontal="center" vertical="center" wrapText="1"/>
    </xf>
    <xf numFmtId="0" fontId="11" fillId="28" borderId="2" xfId="900" applyNumberFormat="1" applyFont="1" applyFill="1" applyBorder="1" applyAlignment="1">
      <alignment horizontal="center" vertical="center" wrapText="1"/>
    </xf>
    <xf numFmtId="2" fontId="11" fillId="28" borderId="2" xfId="903" applyNumberFormat="1" applyFont="1" applyFill="1" applyBorder="1" applyAlignment="1">
      <alignment horizontal="center" vertical="center" wrapText="1"/>
    </xf>
    <xf numFmtId="2" fontId="11" fillId="28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2" fontId="80" fillId="33" borderId="16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2" fontId="69" fillId="0" borderId="0" xfId="0" applyNumberFormat="1" applyFont="1" applyFill="1" applyAlignment="1">
      <alignment horizontal="right" vertical="center" wrapText="1"/>
    </xf>
    <xf numFmtId="2" fontId="69" fillId="0" borderId="1" xfId="903" applyNumberFormat="1" applyFont="1" applyFill="1" applyBorder="1" applyAlignment="1">
      <alignment horizontal="center" vertical="center" wrapText="1"/>
    </xf>
    <xf numFmtId="2" fontId="11" fillId="0" borderId="1" xfId="908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2" fontId="11" fillId="0" borderId="2" xfId="908" applyNumberFormat="1" applyFont="1" applyFill="1" applyBorder="1" applyAlignment="1">
      <alignment horizontal="center" vertical="center" wrapText="1"/>
    </xf>
    <xf numFmtId="2" fontId="11" fillId="0" borderId="2" xfId="903" applyNumberFormat="1" applyFont="1" applyFill="1" applyBorder="1" applyAlignment="1">
      <alignment horizontal="center" vertical="center" wrapText="1"/>
    </xf>
    <xf numFmtId="2" fontId="19" fillId="2" borderId="1" xfId="908" applyNumberFormat="1" applyFont="1" applyFill="1" applyBorder="1" applyAlignment="1">
      <alignment horizontal="center" vertical="center" wrapText="1"/>
    </xf>
    <xf numFmtId="0" fontId="19" fillId="2" borderId="1" xfId="909" applyNumberFormat="1" applyFont="1" applyFill="1" applyBorder="1" applyAlignment="1">
      <alignment horizontal="center" vertical="center" wrapText="1"/>
    </xf>
    <xf numFmtId="49" fontId="63" fillId="2" borderId="1" xfId="909" applyNumberFormat="1" applyFont="1" applyFill="1" applyBorder="1" applyAlignment="1">
      <alignment horizontal="center" vertical="center" wrapText="1"/>
    </xf>
    <xf numFmtId="2" fontId="11" fillId="0" borderId="1" xfId="901" applyNumberFormat="1" applyFont="1" applyFill="1" applyBorder="1" applyAlignment="1" applyProtection="1">
      <alignment horizontal="center" vertical="center" wrapText="1"/>
    </xf>
    <xf numFmtId="0" fontId="11" fillId="0" borderId="1" xfId="910" applyNumberFormat="1" applyFont="1" applyFill="1" applyBorder="1" applyAlignment="1">
      <alignment horizontal="center" vertical="center" wrapText="1"/>
    </xf>
    <xf numFmtId="49" fontId="6" fillId="0" borderId="1" xfId="910" applyNumberFormat="1" applyFont="1" applyFill="1" applyBorder="1" applyAlignment="1">
      <alignment horizontal="center" vertical="center" wrapText="1"/>
    </xf>
    <xf numFmtId="49" fontId="11" fillId="0" borderId="1" xfId="91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4" fillId="26" borderId="0" xfId="0" applyFont="1" applyFill="1" applyAlignment="1">
      <alignment horizontal="center" vertical="center" wrapText="1"/>
    </xf>
    <xf numFmtId="49" fontId="6" fillId="28" borderId="1" xfId="900" applyNumberFormat="1" applyFont="1" applyFill="1" applyBorder="1" applyAlignment="1">
      <alignment horizontal="center" vertical="center" wrapText="1"/>
    </xf>
    <xf numFmtId="49" fontId="19" fillId="28" borderId="1" xfId="900" applyNumberFormat="1" applyFont="1" applyFill="1" applyBorder="1" applyAlignment="1">
      <alignment horizontal="center" vertical="center" wrapText="1"/>
    </xf>
    <xf numFmtId="49" fontId="63" fillId="28" borderId="1" xfId="900" applyNumberFormat="1" applyFont="1" applyFill="1" applyBorder="1" applyAlignment="1">
      <alignment horizontal="center" vertical="center" wrapText="1"/>
    </xf>
    <xf numFmtId="0" fontId="11" fillId="28" borderId="1" xfId="900" applyNumberFormat="1" applyFont="1" applyFill="1" applyBorder="1" applyAlignment="1">
      <alignment horizontal="center" vertical="center" wrapText="1"/>
    </xf>
    <xf numFmtId="2" fontId="11" fillId="28" borderId="1" xfId="903" applyNumberFormat="1" applyFont="1" applyFill="1" applyBorder="1" applyAlignment="1">
      <alignment horizontal="center" vertical="center" wrapText="1"/>
    </xf>
    <xf numFmtId="2" fontId="11" fillId="28" borderId="1" xfId="0" applyNumberFormat="1" applyFont="1" applyFill="1" applyBorder="1" applyAlignment="1">
      <alignment horizontal="center" vertical="center" wrapText="1"/>
    </xf>
    <xf numFmtId="49" fontId="19" fillId="2" borderId="1" xfId="910" applyNumberFormat="1" applyFont="1" applyFill="1" applyBorder="1" applyAlignment="1">
      <alignment horizontal="left" vertical="center" wrapText="1"/>
    </xf>
    <xf numFmtId="49" fontId="63" fillId="2" borderId="1" xfId="910" applyNumberFormat="1" applyFont="1" applyFill="1" applyBorder="1" applyAlignment="1">
      <alignment horizontal="center" vertical="center" wrapText="1"/>
    </xf>
    <xf numFmtId="0" fontId="11" fillId="2" borderId="1" xfId="910" applyNumberFormat="1" applyFont="1" applyFill="1" applyBorder="1" applyAlignment="1">
      <alignment horizontal="center" vertical="center" wrapText="1"/>
    </xf>
    <xf numFmtId="0" fontId="19" fillId="2" borderId="1" xfId="910" applyNumberFormat="1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vertical="center" wrapText="1"/>
    </xf>
    <xf numFmtId="0" fontId="63" fillId="2" borderId="2" xfId="0" applyNumberFormat="1" applyFont="1" applyFill="1" applyBorder="1" applyAlignment="1">
      <alignment horizontal="center" vertical="center" wrapText="1"/>
    </xf>
    <xf numFmtId="0" fontId="11" fillId="34" borderId="1" xfId="0" applyNumberFormat="1" applyFont="1" applyFill="1" applyBorder="1" applyAlignment="1">
      <alignment horizontal="center" vertical="center" wrapText="1"/>
    </xf>
    <xf numFmtId="49" fontId="11" fillId="34" borderId="1" xfId="0" applyNumberFormat="1" applyFont="1" applyFill="1" applyBorder="1" applyAlignment="1">
      <alignment horizontal="left" vertical="center" wrapText="1"/>
    </xf>
    <xf numFmtId="49" fontId="6" fillId="34" borderId="1" xfId="0" applyNumberFormat="1" applyFont="1" applyFill="1" applyBorder="1" applyAlignment="1">
      <alignment horizontal="center" vertical="center" wrapText="1"/>
    </xf>
    <xf numFmtId="49" fontId="19" fillId="2" borderId="1" xfId="909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center" vertical="center" wrapText="1"/>
    </xf>
    <xf numFmtId="49" fontId="6" fillId="2" borderId="1" xfId="901" applyNumberFormat="1" applyFont="1" applyFill="1" applyBorder="1" applyAlignment="1">
      <alignment horizontal="center" vertical="center"/>
    </xf>
    <xf numFmtId="0" fontId="6" fillId="2" borderId="1" xfId="901" applyNumberFormat="1" applyFont="1" applyFill="1" applyBorder="1" applyAlignment="1">
      <alignment horizontal="center" vertical="center"/>
    </xf>
    <xf numFmtId="2" fontId="12" fillId="2" borderId="1" xfId="901" applyNumberFormat="1" applyFont="1" applyFill="1" applyBorder="1" applyAlignment="1">
      <alignment horizontal="center" vertical="center" wrapText="1"/>
    </xf>
    <xf numFmtId="49" fontId="6" fillId="2" borderId="1" xfId="901" applyNumberFormat="1" applyFont="1" applyFill="1" applyBorder="1" applyAlignment="1" applyProtection="1">
      <alignment horizontal="center" vertical="center" wrapText="1"/>
    </xf>
    <xf numFmtId="0" fontId="63" fillId="2" borderId="1" xfId="901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 wrapText="1"/>
    </xf>
    <xf numFmtId="49" fontId="6" fillId="27" borderId="2" xfId="0" applyNumberFormat="1" applyFont="1" applyFill="1" applyBorder="1" applyAlignment="1">
      <alignment horizontal="center" vertical="center" wrapText="1"/>
    </xf>
    <xf numFmtId="49" fontId="6" fillId="27" borderId="18" xfId="0" applyNumberFormat="1" applyFont="1" applyFill="1" applyBorder="1" applyAlignment="1">
      <alignment horizontal="center" vertical="center" wrapText="1"/>
    </xf>
    <xf numFmtId="49" fontId="6" fillId="27" borderId="1" xfId="0" applyNumberFormat="1" applyFont="1" applyFill="1" applyBorder="1" applyAlignment="1">
      <alignment horizontal="center" vertical="center" wrapText="1"/>
    </xf>
    <xf numFmtId="2" fontId="11" fillId="27" borderId="2" xfId="0" applyNumberFormat="1" applyFont="1" applyFill="1" applyBorder="1" applyAlignment="1">
      <alignment horizontal="center" vertical="center" wrapText="1"/>
    </xf>
    <xf numFmtId="2" fontId="11" fillId="27" borderId="18" xfId="0" applyNumberFormat="1" applyFont="1" applyFill="1" applyBorder="1" applyAlignment="1">
      <alignment horizontal="center" vertical="center" wrapText="1"/>
    </xf>
    <xf numFmtId="0" fontId="11" fillId="27" borderId="2" xfId="0" applyNumberFormat="1" applyFont="1" applyFill="1" applyBorder="1" applyAlignment="1">
      <alignment horizontal="center" vertical="center" wrapText="1"/>
    </xf>
    <xf numFmtId="0" fontId="11" fillId="27" borderId="18" xfId="0" applyNumberFormat="1" applyFont="1" applyFill="1" applyBorder="1" applyAlignment="1">
      <alignment horizontal="center" vertical="center" wrapText="1"/>
    </xf>
    <xf numFmtId="49" fontId="6" fillId="27" borderId="17" xfId="0" applyNumberFormat="1" applyFont="1" applyFill="1" applyBorder="1" applyAlignment="1">
      <alignment horizontal="center" vertical="center" wrapText="1"/>
    </xf>
    <xf numFmtId="0" fontId="78" fillId="27" borderId="0" xfId="0" applyNumberFormat="1" applyFont="1" applyFill="1" applyAlignment="1">
      <alignment horizontal="center" vertical="center" wrapText="1"/>
    </xf>
    <xf numFmtId="0" fontId="19" fillId="27" borderId="0" xfId="0" applyNumberFormat="1" applyFont="1" applyFill="1" applyAlignment="1">
      <alignment horizontal="center" vertical="center" wrapText="1"/>
    </xf>
    <xf numFmtId="49" fontId="11" fillId="27" borderId="1" xfId="0" applyNumberFormat="1" applyFont="1" applyFill="1" applyBorder="1" applyAlignment="1">
      <alignment horizontal="center" vertical="center" wrapText="1"/>
    </xf>
    <xf numFmtId="49" fontId="11" fillId="27" borderId="2" xfId="0" applyNumberFormat="1" applyFont="1" applyFill="1" applyBorder="1" applyAlignment="1">
      <alignment horizontal="center" vertical="center" wrapText="1"/>
    </xf>
    <xf numFmtId="49" fontId="11" fillId="27" borderId="18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 wrapText="1"/>
    </xf>
    <xf numFmtId="49" fontId="66" fillId="27" borderId="2" xfId="901" applyNumberFormat="1" applyFont="1" applyFill="1" applyBorder="1" applyAlignment="1">
      <alignment horizontal="center" vertical="center" wrapText="1"/>
    </xf>
    <xf numFmtId="49" fontId="66" fillId="27" borderId="18" xfId="901" applyNumberFormat="1" applyFont="1" applyFill="1" applyBorder="1" applyAlignment="1">
      <alignment horizontal="center" vertical="center" wrapText="1"/>
    </xf>
    <xf numFmtId="49" fontId="6" fillId="27" borderId="2" xfId="630" applyNumberFormat="1" applyFont="1" applyFill="1" applyBorder="1" applyAlignment="1">
      <alignment horizontal="center" vertical="center" wrapText="1"/>
    </xf>
    <xf numFmtId="49" fontId="6" fillId="27" borderId="17" xfId="630" applyNumberFormat="1" applyFont="1" applyFill="1" applyBorder="1" applyAlignment="1">
      <alignment horizontal="center" vertical="center" wrapText="1"/>
    </xf>
    <xf numFmtId="49" fontId="6" fillId="27" borderId="18" xfId="630" applyNumberFormat="1" applyFont="1" applyFill="1" applyBorder="1" applyAlignment="1">
      <alignment horizontal="center" vertical="center" wrapText="1"/>
    </xf>
    <xf numFmtId="49" fontId="64" fillId="27" borderId="1" xfId="0" applyNumberFormat="1" applyFont="1" applyFill="1" applyBorder="1" applyAlignment="1">
      <alignment horizontal="center" vertical="center" wrapText="1"/>
    </xf>
    <xf numFmtId="0" fontId="4" fillId="27" borderId="0" xfId="0" applyFont="1" applyFill="1" applyAlignment="1">
      <alignment horizontal="center" vertical="center" wrapText="1"/>
    </xf>
    <xf numFmtId="49" fontId="68" fillId="27" borderId="2" xfId="901" applyNumberFormat="1" applyFont="1" applyFill="1" applyBorder="1" applyAlignment="1">
      <alignment horizontal="center" vertical="center" wrapText="1"/>
    </xf>
    <xf numFmtId="49" fontId="68" fillId="27" borderId="17" xfId="901" applyNumberFormat="1" applyFont="1" applyFill="1" applyBorder="1" applyAlignment="1">
      <alignment horizontal="center" vertical="center" wrapText="1"/>
    </xf>
    <xf numFmtId="49" fontId="68" fillId="27" borderId="18" xfId="901" applyNumberFormat="1" applyFont="1" applyFill="1" applyBorder="1" applyAlignment="1">
      <alignment horizontal="center" vertical="center" wrapText="1"/>
    </xf>
    <xf numFmtId="49" fontId="66" fillId="27" borderId="17" xfId="901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vertical="center" wrapText="1"/>
    </xf>
    <xf numFmtId="49" fontId="6" fillId="27" borderId="14" xfId="0" applyNumberFormat="1" applyFont="1" applyFill="1" applyBorder="1" applyAlignment="1">
      <alignment horizontal="center" vertical="center" wrapText="1"/>
    </xf>
    <xf numFmtId="49" fontId="6" fillId="27" borderId="15" xfId="0" applyNumberFormat="1" applyFont="1" applyFill="1" applyBorder="1" applyAlignment="1">
      <alignment horizontal="center" vertical="center" wrapText="1"/>
    </xf>
    <xf numFmtId="49" fontId="6" fillId="27" borderId="16" xfId="0" applyNumberFormat="1" applyFont="1" applyFill="1" applyBorder="1" applyAlignment="1">
      <alignment horizontal="center" vertical="center" wrapText="1"/>
    </xf>
    <xf numFmtId="49" fontId="19" fillId="27" borderId="3" xfId="0" applyNumberFormat="1" applyFont="1" applyFill="1" applyBorder="1" applyAlignment="1">
      <alignment horizontal="center" vertical="center" wrapText="1"/>
    </xf>
    <xf numFmtId="49" fontId="19" fillId="27" borderId="19" xfId="0" applyNumberFormat="1" applyFont="1" applyFill="1" applyBorder="1" applyAlignment="1">
      <alignment horizontal="center" vertical="center" wrapText="1"/>
    </xf>
    <xf numFmtId="49" fontId="19" fillId="27" borderId="4" xfId="0" applyNumberFormat="1" applyFont="1" applyFill="1" applyBorder="1" applyAlignment="1">
      <alignment horizontal="center" vertical="center" wrapText="1"/>
    </xf>
    <xf numFmtId="49" fontId="64" fillId="27" borderId="2" xfId="0" applyNumberFormat="1" applyFont="1" applyFill="1" applyBorder="1" applyAlignment="1">
      <alignment horizontal="center" vertical="center" wrapText="1"/>
    </xf>
    <xf numFmtId="49" fontId="64" fillId="27" borderId="18" xfId="0" applyNumberFormat="1" applyFont="1" applyFill="1" applyBorder="1" applyAlignment="1">
      <alignment horizontal="center" vertical="center" wrapText="1"/>
    </xf>
    <xf numFmtId="49" fontId="68" fillId="27" borderId="1" xfId="901" applyNumberFormat="1" applyFont="1" applyFill="1" applyBorder="1" applyAlignment="1">
      <alignment horizontal="center" vertical="center" wrapText="1"/>
    </xf>
    <xf numFmtId="49" fontId="102" fillId="0" borderId="0" xfId="0" applyNumberFormat="1" applyFont="1" applyFill="1" applyAlignment="1">
      <alignment horizontal="left" vertical="center" wrapText="1"/>
    </xf>
    <xf numFmtId="49" fontId="6" fillId="27" borderId="2" xfId="677" applyNumberFormat="1" applyFont="1" applyFill="1" applyBorder="1" applyAlignment="1">
      <alignment horizontal="center" vertical="center" wrapText="1"/>
    </xf>
    <xf numFmtId="49" fontId="6" fillId="27" borderId="17" xfId="677" applyNumberFormat="1" applyFont="1" applyFill="1" applyBorder="1" applyAlignment="1">
      <alignment horizontal="center" vertical="center" wrapText="1"/>
    </xf>
    <xf numFmtId="49" fontId="6" fillId="27" borderId="18" xfId="677" applyNumberFormat="1" applyFont="1" applyFill="1" applyBorder="1" applyAlignment="1">
      <alignment horizontal="center" vertical="center" wrapText="1"/>
    </xf>
    <xf numFmtId="49" fontId="6" fillId="27" borderId="2" xfId="633" applyNumberFormat="1" applyFont="1" applyFill="1" applyBorder="1" applyAlignment="1">
      <alignment horizontal="center" vertical="center" wrapText="1"/>
    </xf>
    <xf numFmtId="49" fontId="6" fillId="27" borderId="17" xfId="633" applyNumberFormat="1" applyFont="1" applyFill="1" applyBorder="1" applyAlignment="1">
      <alignment horizontal="center" vertical="center" wrapText="1"/>
    </xf>
    <xf numFmtId="49" fontId="6" fillId="27" borderId="18" xfId="633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902" applyNumberFormat="1" applyFont="1" applyFill="1" applyBorder="1" applyAlignment="1">
      <alignment horizontal="center" vertical="center" wrapText="1"/>
    </xf>
    <xf numFmtId="49" fontId="6" fillId="0" borderId="17" xfId="902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2" fontId="11" fillId="0" borderId="2" xfId="903" applyNumberFormat="1" applyFont="1" applyFill="1" applyBorder="1" applyAlignment="1">
      <alignment horizontal="center" vertical="center" wrapText="1"/>
    </xf>
    <xf numFmtId="2" fontId="11" fillId="0" borderId="17" xfId="903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" xfId="910" applyNumberFormat="1" applyFont="1" applyFill="1" applyBorder="1" applyAlignment="1">
      <alignment horizontal="center" vertical="center" wrapText="1"/>
    </xf>
    <xf numFmtId="49" fontId="6" fillId="0" borderId="17" xfId="910" applyNumberFormat="1" applyFont="1" applyFill="1" applyBorder="1" applyAlignment="1">
      <alignment horizontal="center" vertical="center" wrapText="1"/>
    </xf>
    <xf numFmtId="49" fontId="6" fillId="0" borderId="18" xfId="910" applyNumberFormat="1" applyFont="1" applyFill="1" applyBorder="1" applyAlignment="1">
      <alignment horizontal="center" vertical="center" wrapText="1"/>
    </xf>
    <xf numFmtId="49" fontId="6" fillId="0" borderId="18" xfId="902" applyNumberFormat="1" applyFont="1" applyFill="1" applyBorder="1" applyAlignment="1">
      <alignment horizontal="center" vertical="center" wrapText="1"/>
    </xf>
    <xf numFmtId="49" fontId="6" fillId="0" borderId="2" xfId="633" applyNumberFormat="1" applyFont="1" applyFill="1" applyBorder="1" applyAlignment="1">
      <alignment horizontal="center" vertical="center" wrapText="1"/>
    </xf>
    <xf numFmtId="49" fontId="6" fillId="0" borderId="17" xfId="633" applyNumberFormat="1" applyFont="1" applyFill="1" applyBorder="1" applyAlignment="1">
      <alignment horizontal="center" vertical="center" wrapText="1"/>
    </xf>
    <xf numFmtId="49" fontId="6" fillId="0" borderId="18" xfId="633" applyNumberFormat="1" applyFont="1" applyFill="1" applyBorder="1" applyAlignment="1">
      <alignment horizontal="center" vertical="center" wrapText="1"/>
    </xf>
    <xf numFmtId="49" fontId="6" fillId="0" borderId="2" xfId="870" applyNumberFormat="1" applyFont="1" applyFill="1" applyBorder="1" applyAlignment="1">
      <alignment horizontal="center" vertical="center" wrapText="1"/>
    </xf>
    <xf numFmtId="49" fontId="6" fillId="0" borderId="18" xfId="870" applyNumberFormat="1" applyFont="1" applyFill="1" applyBorder="1" applyAlignment="1">
      <alignment horizontal="center" vertical="center" wrapText="1"/>
    </xf>
    <xf numFmtId="49" fontId="19" fillId="27" borderId="3" xfId="902" applyNumberFormat="1" applyFont="1" applyFill="1" applyBorder="1" applyAlignment="1">
      <alignment horizontal="center" vertical="center" wrapText="1"/>
    </xf>
    <xf numFmtId="49" fontId="19" fillId="27" borderId="19" xfId="902" applyNumberFormat="1" applyFont="1" applyFill="1" applyBorder="1" applyAlignment="1">
      <alignment horizontal="center" vertical="center" wrapText="1"/>
    </xf>
    <xf numFmtId="49" fontId="19" fillId="27" borderId="4" xfId="902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2" xfId="901" applyNumberFormat="1" applyFont="1" applyFill="1" applyBorder="1" applyAlignment="1">
      <alignment horizontal="center" vertical="center" wrapText="1"/>
    </xf>
    <xf numFmtId="49" fontId="6" fillId="0" borderId="17" xfId="901" applyNumberFormat="1" applyFont="1" applyFill="1" applyBorder="1" applyAlignment="1">
      <alignment horizontal="center" vertical="center" wrapText="1"/>
    </xf>
    <xf numFmtId="49" fontId="6" fillId="0" borderId="18" xfId="901" applyNumberFormat="1" applyFont="1" applyFill="1" applyBorder="1" applyAlignment="1">
      <alignment horizontal="center" vertical="center" wrapText="1"/>
    </xf>
    <xf numFmtId="0" fontId="78" fillId="0" borderId="0" xfId="0" applyNumberFormat="1" applyFont="1" applyFill="1" applyAlignment="1">
      <alignment horizontal="center" vertical="center" wrapText="1"/>
    </xf>
    <xf numFmtId="49" fontId="77" fillId="0" borderId="0" xfId="0" applyNumberFormat="1" applyFont="1" applyFill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0" fontId="63" fillId="26" borderId="1" xfId="0" applyNumberFormat="1" applyFont="1" applyFill="1" applyBorder="1" applyAlignment="1">
      <alignment vertical="center" wrapText="1"/>
    </xf>
  </cellXfs>
  <cellStyles count="911">
    <cellStyle name="20% - Accent1" xfId="5"/>
    <cellStyle name="20% - Accent1 2" xfId="6"/>
    <cellStyle name="20% - Accent1 2 2" xfId="7"/>
    <cellStyle name="20% - Accent1 2 2 2" xfId="8"/>
    <cellStyle name="20% - Accent1 2 3" xfId="9"/>
    <cellStyle name="20% - Accent1 2 3 2" xfId="10"/>
    <cellStyle name="20% - Accent1 2 4" xfId="11"/>
    <cellStyle name="20% - Accent1 2 4 2" xfId="12"/>
    <cellStyle name="20% - Accent1 2 5" xfId="13"/>
    <cellStyle name="20% - Accent1 2 5 2" xfId="14"/>
    <cellStyle name="20% - Accent1 2 6" xfId="15"/>
    <cellStyle name="20% - Accent1 3" xfId="16"/>
    <cellStyle name="20% - Accent1 3 2" xfId="17"/>
    <cellStyle name="20% - Accent1 4" xfId="18"/>
    <cellStyle name="20% - Accent1 4 2" xfId="19"/>
    <cellStyle name="20% - Accent1 4 2 2" xfId="20"/>
    <cellStyle name="20% - Accent1 4 3" xfId="21"/>
    <cellStyle name="20% - Accent1 5" xfId="22"/>
    <cellStyle name="20% - Accent1 5 2" xfId="23"/>
    <cellStyle name="20% - Accent1 6" xfId="24"/>
    <cellStyle name="20% - Accent1 6 2" xfId="25"/>
    <cellStyle name="20% - Accent1 7" xfId="26"/>
    <cellStyle name="20% - Accent1 7 2" xfId="27"/>
    <cellStyle name="20% - Accent1_Q.W. ADMINISTRACIULI SENOBA" xfId="28"/>
    <cellStyle name="20% - Accent2" xfId="29"/>
    <cellStyle name="20% - Accent2 2" xfId="30"/>
    <cellStyle name="20% - Accent2 2 2" xfId="31"/>
    <cellStyle name="20% - Accent2 2 2 2" xfId="32"/>
    <cellStyle name="20% - Accent2 2 3" xfId="33"/>
    <cellStyle name="20% - Accent2 2 3 2" xfId="34"/>
    <cellStyle name="20% - Accent2 2 4" xfId="35"/>
    <cellStyle name="20% - Accent2 2 4 2" xfId="36"/>
    <cellStyle name="20% - Accent2 2 5" xfId="37"/>
    <cellStyle name="20% - Accent2 2 5 2" xfId="38"/>
    <cellStyle name="20% - Accent2 2 6" xfId="39"/>
    <cellStyle name="20% - Accent2 3" xfId="40"/>
    <cellStyle name="20% - Accent2 3 2" xfId="41"/>
    <cellStyle name="20% - Accent2 4" xfId="42"/>
    <cellStyle name="20% - Accent2 4 2" xfId="43"/>
    <cellStyle name="20% - Accent2 4 2 2" xfId="44"/>
    <cellStyle name="20% - Accent2 4 3" xfId="45"/>
    <cellStyle name="20% - Accent2 5" xfId="46"/>
    <cellStyle name="20% - Accent2 5 2" xfId="47"/>
    <cellStyle name="20% - Accent2 6" xfId="48"/>
    <cellStyle name="20% - Accent2 6 2" xfId="49"/>
    <cellStyle name="20% - Accent2 7" xfId="50"/>
    <cellStyle name="20% - Accent2 7 2" xfId="51"/>
    <cellStyle name="20% - Accent2_Q.W. ADMINISTRACIULI SENOBA" xfId="52"/>
    <cellStyle name="20% - Accent3" xfId="53"/>
    <cellStyle name="20% - Accent3 2" xfId="54"/>
    <cellStyle name="20% - Accent3 2 2" xfId="55"/>
    <cellStyle name="20% - Accent3 2 2 2" xfId="56"/>
    <cellStyle name="20% - Accent3 2 3" xfId="57"/>
    <cellStyle name="20% - Accent3 2 3 2" xfId="58"/>
    <cellStyle name="20% - Accent3 2 4" xfId="59"/>
    <cellStyle name="20% - Accent3 2 4 2" xfId="60"/>
    <cellStyle name="20% - Accent3 2 5" xfId="61"/>
    <cellStyle name="20% - Accent3 2 5 2" xfId="62"/>
    <cellStyle name="20% - Accent3 2 6" xfId="63"/>
    <cellStyle name="20% - Accent3 3" xfId="64"/>
    <cellStyle name="20% - Accent3 3 2" xfId="65"/>
    <cellStyle name="20% - Accent3 4" xfId="66"/>
    <cellStyle name="20% - Accent3 4 2" xfId="67"/>
    <cellStyle name="20% - Accent3 4 2 2" xfId="68"/>
    <cellStyle name="20% - Accent3 4 3" xfId="69"/>
    <cellStyle name="20% - Accent3 5" xfId="70"/>
    <cellStyle name="20% - Accent3 5 2" xfId="71"/>
    <cellStyle name="20% - Accent3 6" xfId="72"/>
    <cellStyle name="20% - Accent3 6 2" xfId="73"/>
    <cellStyle name="20% - Accent3 7" xfId="74"/>
    <cellStyle name="20% - Accent3 7 2" xfId="75"/>
    <cellStyle name="20% - Accent3_Q.W. ADMINISTRACIULI SENOBA" xfId="76"/>
    <cellStyle name="20% - Accent4" xfId="77"/>
    <cellStyle name="20% - Accent4 2" xfId="78"/>
    <cellStyle name="20% - Accent4 2 2" xfId="79"/>
    <cellStyle name="20% - Accent4 2 2 2" xfId="80"/>
    <cellStyle name="20% - Accent4 2 3" xfId="81"/>
    <cellStyle name="20% - Accent4 2 3 2" xfId="82"/>
    <cellStyle name="20% - Accent4 2 4" xfId="83"/>
    <cellStyle name="20% - Accent4 2 4 2" xfId="84"/>
    <cellStyle name="20% - Accent4 2 5" xfId="85"/>
    <cellStyle name="20% - Accent4 2 5 2" xfId="86"/>
    <cellStyle name="20% - Accent4 2 6" xfId="87"/>
    <cellStyle name="20% - Accent4 3" xfId="88"/>
    <cellStyle name="20% - Accent4 3 2" xfId="89"/>
    <cellStyle name="20% - Accent4 4" xfId="90"/>
    <cellStyle name="20% - Accent4 4 2" xfId="91"/>
    <cellStyle name="20% - Accent4 4 2 2" xfId="92"/>
    <cellStyle name="20% - Accent4 4 3" xfId="93"/>
    <cellStyle name="20% - Accent4 5" xfId="94"/>
    <cellStyle name="20% - Accent4 5 2" xfId="95"/>
    <cellStyle name="20% - Accent4 6" xfId="96"/>
    <cellStyle name="20% - Accent4 6 2" xfId="97"/>
    <cellStyle name="20% - Accent4 7" xfId="98"/>
    <cellStyle name="20% - Accent4 7 2" xfId="99"/>
    <cellStyle name="20% - Accent4_Q.W. ADMINISTRACIULI SENOBA" xfId="100"/>
    <cellStyle name="20% - Accent5" xfId="101"/>
    <cellStyle name="20% - Accent5 2" xfId="102"/>
    <cellStyle name="20% - Accent5 2 2" xfId="103"/>
    <cellStyle name="20% - Accent5 2 2 2" xfId="104"/>
    <cellStyle name="20% - Accent5 2 3" xfId="105"/>
    <cellStyle name="20% - Accent5 2 3 2" xfId="106"/>
    <cellStyle name="20% - Accent5 2 4" xfId="107"/>
    <cellStyle name="20% - Accent5 2 4 2" xfId="108"/>
    <cellStyle name="20% - Accent5 2 5" xfId="109"/>
    <cellStyle name="20% - Accent5 2 5 2" xfId="110"/>
    <cellStyle name="20% - Accent5 2 6" xfId="111"/>
    <cellStyle name="20% - Accent5 3" xfId="112"/>
    <cellStyle name="20% - Accent5 3 2" xfId="113"/>
    <cellStyle name="20% - Accent5 4" xfId="114"/>
    <cellStyle name="20% - Accent5 4 2" xfId="115"/>
    <cellStyle name="20% - Accent5 4 2 2" xfId="116"/>
    <cellStyle name="20% - Accent5 4 3" xfId="117"/>
    <cellStyle name="20% - Accent5 5" xfId="118"/>
    <cellStyle name="20% - Accent5 5 2" xfId="119"/>
    <cellStyle name="20% - Accent5 6" xfId="120"/>
    <cellStyle name="20% - Accent5 6 2" xfId="121"/>
    <cellStyle name="20% - Accent5 7" xfId="122"/>
    <cellStyle name="20% - Accent5 7 2" xfId="123"/>
    <cellStyle name="20% - Accent5_Q.W. ADMINISTRACIULI SENOBA" xfId="124"/>
    <cellStyle name="20% - Accent6" xfId="125"/>
    <cellStyle name="20% - Accent6 2" xfId="126"/>
    <cellStyle name="20% - Accent6 2 2" xfId="127"/>
    <cellStyle name="20% - Accent6 2 2 2" xfId="128"/>
    <cellStyle name="20% - Accent6 2 3" xfId="129"/>
    <cellStyle name="20% - Accent6 2 3 2" xfId="130"/>
    <cellStyle name="20% - Accent6 2 4" xfId="131"/>
    <cellStyle name="20% - Accent6 2 4 2" xfId="132"/>
    <cellStyle name="20% - Accent6 2 5" xfId="133"/>
    <cellStyle name="20% - Accent6 2 5 2" xfId="134"/>
    <cellStyle name="20% - Accent6 2 6" xfId="135"/>
    <cellStyle name="20% - Accent6 3" xfId="136"/>
    <cellStyle name="20% - Accent6 3 2" xfId="137"/>
    <cellStyle name="20% - Accent6 4" xfId="138"/>
    <cellStyle name="20% - Accent6 4 2" xfId="139"/>
    <cellStyle name="20% - Accent6 4 2 2" xfId="140"/>
    <cellStyle name="20% - Accent6 4 3" xfId="141"/>
    <cellStyle name="20% - Accent6 5" xfId="142"/>
    <cellStyle name="20% - Accent6 5 2" xfId="143"/>
    <cellStyle name="20% - Accent6 6" xfId="144"/>
    <cellStyle name="20% - Accent6 6 2" xfId="145"/>
    <cellStyle name="20% - Accent6 7" xfId="146"/>
    <cellStyle name="20% - Accent6 7 2" xfId="147"/>
    <cellStyle name="20% - Accent6_Q.W. ADMINISTRACIULI SENOBA" xfId="148"/>
    <cellStyle name="40% - Accent1" xfId="149"/>
    <cellStyle name="40% - Accent1 2" xfId="150"/>
    <cellStyle name="40% - Accent1 2 2" xfId="151"/>
    <cellStyle name="40% - Accent1 2 2 2" xfId="152"/>
    <cellStyle name="40% - Accent1 2 3" xfId="153"/>
    <cellStyle name="40% - Accent1 2 3 2" xfId="154"/>
    <cellStyle name="40% - Accent1 2 4" xfId="155"/>
    <cellStyle name="40% - Accent1 2 4 2" xfId="156"/>
    <cellStyle name="40% - Accent1 2 5" xfId="157"/>
    <cellStyle name="40% - Accent1 2 5 2" xfId="158"/>
    <cellStyle name="40% - Accent1 2 6" xfId="159"/>
    <cellStyle name="40% - Accent1 3" xfId="160"/>
    <cellStyle name="40% - Accent1 3 2" xfId="161"/>
    <cellStyle name="40% - Accent1 4" xfId="162"/>
    <cellStyle name="40% - Accent1 4 2" xfId="163"/>
    <cellStyle name="40% - Accent1 4 2 2" xfId="164"/>
    <cellStyle name="40% - Accent1 4 3" xfId="165"/>
    <cellStyle name="40% - Accent1 5" xfId="166"/>
    <cellStyle name="40% - Accent1 5 2" xfId="167"/>
    <cellStyle name="40% - Accent1 6" xfId="168"/>
    <cellStyle name="40% - Accent1 6 2" xfId="169"/>
    <cellStyle name="40% - Accent1 7" xfId="170"/>
    <cellStyle name="40% - Accent1 7 2" xfId="171"/>
    <cellStyle name="40% - Accent1_Q.W. ADMINISTRACIULI SENOBA" xfId="172"/>
    <cellStyle name="40% - Accent2" xfId="173"/>
    <cellStyle name="40% - Accent2 2" xfId="174"/>
    <cellStyle name="40% - Accent2 2 2" xfId="175"/>
    <cellStyle name="40% - Accent2 2 2 2" xfId="176"/>
    <cellStyle name="40% - Accent2 2 3" xfId="177"/>
    <cellStyle name="40% - Accent2 2 3 2" xfId="178"/>
    <cellStyle name="40% - Accent2 2 4" xfId="179"/>
    <cellStyle name="40% - Accent2 2 4 2" xfId="180"/>
    <cellStyle name="40% - Accent2 2 5" xfId="181"/>
    <cellStyle name="40% - Accent2 2 5 2" xfId="182"/>
    <cellStyle name="40% - Accent2 2 6" xfId="183"/>
    <cellStyle name="40% - Accent2 3" xfId="184"/>
    <cellStyle name="40% - Accent2 3 2" xfId="185"/>
    <cellStyle name="40% - Accent2 4" xfId="186"/>
    <cellStyle name="40% - Accent2 4 2" xfId="187"/>
    <cellStyle name="40% - Accent2 4 2 2" xfId="188"/>
    <cellStyle name="40% - Accent2 4 3" xfId="189"/>
    <cellStyle name="40% - Accent2 5" xfId="190"/>
    <cellStyle name="40% - Accent2 5 2" xfId="191"/>
    <cellStyle name="40% - Accent2 6" xfId="192"/>
    <cellStyle name="40% - Accent2 6 2" xfId="193"/>
    <cellStyle name="40% - Accent2 7" xfId="194"/>
    <cellStyle name="40% - Accent2 7 2" xfId="195"/>
    <cellStyle name="40% - Accent2_Q.W. ADMINISTRACIULI SENOBA" xfId="196"/>
    <cellStyle name="40% - Accent3" xfId="197"/>
    <cellStyle name="40% - Accent3 2" xfId="198"/>
    <cellStyle name="40% - Accent3 2 2" xfId="199"/>
    <cellStyle name="40% - Accent3 2 2 2" xfId="200"/>
    <cellStyle name="40% - Accent3 2 3" xfId="201"/>
    <cellStyle name="40% - Accent3 2 3 2" xfId="202"/>
    <cellStyle name="40% - Accent3 2 4" xfId="203"/>
    <cellStyle name="40% - Accent3 2 4 2" xfId="204"/>
    <cellStyle name="40% - Accent3 2 5" xfId="205"/>
    <cellStyle name="40% - Accent3 2 5 2" xfId="206"/>
    <cellStyle name="40% - Accent3 2 6" xfId="207"/>
    <cellStyle name="40% - Accent3 3" xfId="208"/>
    <cellStyle name="40% - Accent3 3 2" xfId="209"/>
    <cellStyle name="40% - Accent3 4" xfId="210"/>
    <cellStyle name="40% - Accent3 4 2" xfId="211"/>
    <cellStyle name="40% - Accent3 4 2 2" xfId="212"/>
    <cellStyle name="40% - Accent3 4 3" xfId="213"/>
    <cellStyle name="40% - Accent3 5" xfId="214"/>
    <cellStyle name="40% - Accent3 5 2" xfId="215"/>
    <cellStyle name="40% - Accent3 6" xfId="216"/>
    <cellStyle name="40% - Accent3 6 2" xfId="217"/>
    <cellStyle name="40% - Accent3 7" xfId="218"/>
    <cellStyle name="40% - Accent3 7 2" xfId="219"/>
    <cellStyle name="40% - Accent3_Q.W. ADMINISTRACIULI SENOBA" xfId="220"/>
    <cellStyle name="40% - Accent4" xfId="221"/>
    <cellStyle name="40% - Accent4 2" xfId="222"/>
    <cellStyle name="40% - Accent4 2 2" xfId="223"/>
    <cellStyle name="40% - Accent4 2 2 2" xfId="224"/>
    <cellStyle name="40% - Accent4 2 3" xfId="225"/>
    <cellStyle name="40% - Accent4 2 3 2" xfId="226"/>
    <cellStyle name="40% - Accent4 2 4" xfId="227"/>
    <cellStyle name="40% - Accent4 2 4 2" xfId="228"/>
    <cellStyle name="40% - Accent4 2 5" xfId="229"/>
    <cellStyle name="40% - Accent4 2 5 2" xfId="230"/>
    <cellStyle name="40% - Accent4 2 6" xfId="231"/>
    <cellStyle name="40% - Accent4 3" xfId="232"/>
    <cellStyle name="40% - Accent4 3 2" xfId="233"/>
    <cellStyle name="40% - Accent4 4" xfId="234"/>
    <cellStyle name="40% - Accent4 4 2" xfId="235"/>
    <cellStyle name="40% - Accent4 4 2 2" xfId="236"/>
    <cellStyle name="40% - Accent4 4 3" xfId="237"/>
    <cellStyle name="40% - Accent4 5" xfId="238"/>
    <cellStyle name="40% - Accent4 5 2" xfId="239"/>
    <cellStyle name="40% - Accent4 6" xfId="240"/>
    <cellStyle name="40% - Accent4 6 2" xfId="241"/>
    <cellStyle name="40% - Accent4 7" xfId="242"/>
    <cellStyle name="40% - Accent4 7 2" xfId="243"/>
    <cellStyle name="40% - Accent4_Q.W. ADMINISTRACIULI SENOBA" xfId="244"/>
    <cellStyle name="40% - Accent5" xfId="245"/>
    <cellStyle name="40% - Accent5 2" xfId="246"/>
    <cellStyle name="40% - Accent5 2 2" xfId="247"/>
    <cellStyle name="40% - Accent5 2 2 2" xfId="248"/>
    <cellStyle name="40% - Accent5 2 3" xfId="249"/>
    <cellStyle name="40% - Accent5 2 3 2" xfId="250"/>
    <cellStyle name="40% - Accent5 2 4" xfId="251"/>
    <cellStyle name="40% - Accent5 2 4 2" xfId="252"/>
    <cellStyle name="40% - Accent5 2 5" xfId="253"/>
    <cellStyle name="40% - Accent5 2 5 2" xfId="254"/>
    <cellStyle name="40% - Accent5 2 6" xfId="255"/>
    <cellStyle name="40% - Accent5 3" xfId="256"/>
    <cellStyle name="40% - Accent5 3 2" xfId="257"/>
    <cellStyle name="40% - Accent5 4" xfId="258"/>
    <cellStyle name="40% - Accent5 4 2" xfId="259"/>
    <cellStyle name="40% - Accent5 4 2 2" xfId="260"/>
    <cellStyle name="40% - Accent5 4 3" xfId="261"/>
    <cellStyle name="40% - Accent5 5" xfId="262"/>
    <cellStyle name="40% - Accent5 5 2" xfId="263"/>
    <cellStyle name="40% - Accent5 6" xfId="264"/>
    <cellStyle name="40% - Accent5 6 2" xfId="265"/>
    <cellStyle name="40% - Accent5 7" xfId="266"/>
    <cellStyle name="40% - Accent5 7 2" xfId="267"/>
    <cellStyle name="40% - Accent5_Q.W. ADMINISTRACIULI SENOBA" xfId="268"/>
    <cellStyle name="40% - Accent6" xfId="269"/>
    <cellStyle name="40% - Accent6 2" xfId="270"/>
    <cellStyle name="40% - Accent6 2 2" xfId="271"/>
    <cellStyle name="40% - Accent6 2 2 2" xfId="272"/>
    <cellStyle name="40% - Accent6 2 3" xfId="273"/>
    <cellStyle name="40% - Accent6 2 3 2" xfId="274"/>
    <cellStyle name="40% - Accent6 2 4" xfId="275"/>
    <cellStyle name="40% - Accent6 2 4 2" xfId="276"/>
    <cellStyle name="40% - Accent6 2 5" xfId="277"/>
    <cellStyle name="40% - Accent6 2 5 2" xfId="278"/>
    <cellStyle name="40% - Accent6 2 6" xfId="279"/>
    <cellStyle name="40% - Accent6 3" xfId="280"/>
    <cellStyle name="40% - Accent6 3 2" xfId="281"/>
    <cellStyle name="40% - Accent6 4" xfId="282"/>
    <cellStyle name="40% - Accent6 4 2" xfId="283"/>
    <cellStyle name="40% - Accent6 4 2 2" xfId="284"/>
    <cellStyle name="40% - Accent6 4 3" xfId="285"/>
    <cellStyle name="40% - Accent6 5" xfId="286"/>
    <cellStyle name="40% - Accent6 5 2" xfId="287"/>
    <cellStyle name="40% - Accent6 6" xfId="288"/>
    <cellStyle name="40% - Accent6 6 2" xfId="289"/>
    <cellStyle name="40% - Accent6 7" xfId="290"/>
    <cellStyle name="40% - Accent6 7 2" xfId="291"/>
    <cellStyle name="40% - Accent6_Q.W. ADMINISTRACIULI SENOBA" xfId="292"/>
    <cellStyle name="60% - Accent1" xfId="293"/>
    <cellStyle name="60% - Accent1 2" xfId="294"/>
    <cellStyle name="60% - Accent1 2 2" xfId="295"/>
    <cellStyle name="60% - Accent1 2 3" xfId="296"/>
    <cellStyle name="60% - Accent1 2 4" xfId="297"/>
    <cellStyle name="60% - Accent1 2 5" xfId="298"/>
    <cellStyle name="60% - Accent1 3" xfId="299"/>
    <cellStyle name="60% - Accent1 4" xfId="300"/>
    <cellStyle name="60% - Accent1 4 2" xfId="301"/>
    <cellStyle name="60% - Accent1 5" xfId="302"/>
    <cellStyle name="60% - Accent1 6" xfId="303"/>
    <cellStyle name="60% - Accent1 7" xfId="304"/>
    <cellStyle name="60% - Accent2" xfId="305"/>
    <cellStyle name="60% - Accent2 2" xfId="306"/>
    <cellStyle name="60% - Accent2 2 2" xfId="307"/>
    <cellStyle name="60% - Accent2 2 3" xfId="308"/>
    <cellStyle name="60% - Accent2 2 4" xfId="309"/>
    <cellStyle name="60% - Accent2 2 5" xfId="310"/>
    <cellStyle name="60% - Accent2 3" xfId="311"/>
    <cellStyle name="60% - Accent2 4" xfId="312"/>
    <cellStyle name="60% - Accent2 4 2" xfId="313"/>
    <cellStyle name="60% - Accent2 5" xfId="314"/>
    <cellStyle name="60% - Accent2 6" xfId="315"/>
    <cellStyle name="60% - Accent2 7" xfId="316"/>
    <cellStyle name="60% - Accent3" xfId="317"/>
    <cellStyle name="60% - Accent3 2" xfId="318"/>
    <cellStyle name="60% - Accent3 2 2" xfId="319"/>
    <cellStyle name="60% - Accent3 2 3" xfId="320"/>
    <cellStyle name="60% - Accent3 2 4" xfId="321"/>
    <cellStyle name="60% - Accent3 2 5" xfId="322"/>
    <cellStyle name="60% - Accent3 3" xfId="323"/>
    <cellStyle name="60% - Accent3 4" xfId="324"/>
    <cellStyle name="60% - Accent3 4 2" xfId="325"/>
    <cellStyle name="60% - Accent3 5" xfId="326"/>
    <cellStyle name="60% - Accent3 6" xfId="327"/>
    <cellStyle name="60% - Accent3 7" xfId="328"/>
    <cellStyle name="60% - Accent4" xfId="329"/>
    <cellStyle name="60% - Accent4 2" xfId="330"/>
    <cellStyle name="60% - Accent4 2 2" xfId="331"/>
    <cellStyle name="60% - Accent4 2 3" xfId="332"/>
    <cellStyle name="60% - Accent4 2 4" xfId="333"/>
    <cellStyle name="60% - Accent4 2 5" xfId="334"/>
    <cellStyle name="60% - Accent4 3" xfId="335"/>
    <cellStyle name="60% - Accent4 4" xfId="336"/>
    <cellStyle name="60% - Accent4 4 2" xfId="337"/>
    <cellStyle name="60% - Accent4 5" xfId="338"/>
    <cellStyle name="60% - Accent4 6" xfId="339"/>
    <cellStyle name="60% - Accent4 7" xfId="340"/>
    <cellStyle name="60% - Accent5" xfId="341"/>
    <cellStyle name="60% - Accent5 2" xfId="342"/>
    <cellStyle name="60% - Accent5 2 2" xfId="343"/>
    <cellStyle name="60% - Accent5 2 3" xfId="344"/>
    <cellStyle name="60% - Accent5 2 4" xfId="345"/>
    <cellStyle name="60% - Accent5 2 5" xfId="346"/>
    <cellStyle name="60% - Accent5 3" xfId="347"/>
    <cellStyle name="60% - Accent5 4" xfId="348"/>
    <cellStyle name="60% - Accent5 4 2" xfId="349"/>
    <cellStyle name="60% - Accent5 5" xfId="350"/>
    <cellStyle name="60% - Accent5 6" xfId="351"/>
    <cellStyle name="60% - Accent5 7" xfId="352"/>
    <cellStyle name="60% - Accent6" xfId="353"/>
    <cellStyle name="60% - Accent6 2" xfId="354"/>
    <cellStyle name="60% - Accent6 2 2" xfId="355"/>
    <cellStyle name="60% - Accent6 2 3" xfId="356"/>
    <cellStyle name="60% - Accent6 2 4" xfId="357"/>
    <cellStyle name="60% - Accent6 2 5" xfId="358"/>
    <cellStyle name="60% - Accent6 3" xfId="359"/>
    <cellStyle name="60% - Accent6 4" xfId="360"/>
    <cellStyle name="60% - Accent6 4 2" xfId="361"/>
    <cellStyle name="60% - Accent6 5" xfId="362"/>
    <cellStyle name="60% - Accent6 6" xfId="363"/>
    <cellStyle name="60% - Accent6 7" xfId="364"/>
    <cellStyle name="Accent1" xfId="365"/>
    <cellStyle name="Accent1 2" xfId="366"/>
    <cellStyle name="Accent1 2 2" xfId="367"/>
    <cellStyle name="Accent1 2 3" xfId="368"/>
    <cellStyle name="Accent1 2 4" xfId="369"/>
    <cellStyle name="Accent1 2 5" xfId="370"/>
    <cellStyle name="Accent1 3" xfId="371"/>
    <cellStyle name="Accent1 4" xfId="372"/>
    <cellStyle name="Accent1 4 2" xfId="373"/>
    <cellStyle name="Accent1 5" xfId="374"/>
    <cellStyle name="Accent1 6" xfId="375"/>
    <cellStyle name="Accent1 7" xfId="376"/>
    <cellStyle name="Accent2" xfId="377"/>
    <cellStyle name="Accent2 2" xfId="378"/>
    <cellStyle name="Accent2 2 2" xfId="379"/>
    <cellStyle name="Accent2 2 3" xfId="380"/>
    <cellStyle name="Accent2 2 4" xfId="381"/>
    <cellStyle name="Accent2 2 5" xfId="382"/>
    <cellStyle name="Accent2 3" xfId="383"/>
    <cellStyle name="Accent2 4" xfId="384"/>
    <cellStyle name="Accent2 4 2" xfId="385"/>
    <cellStyle name="Accent2 5" xfId="386"/>
    <cellStyle name="Accent2 6" xfId="387"/>
    <cellStyle name="Accent2 7" xfId="388"/>
    <cellStyle name="Accent3" xfId="389"/>
    <cellStyle name="Accent3 2" xfId="390"/>
    <cellStyle name="Accent3 2 2" xfId="391"/>
    <cellStyle name="Accent3 2 3" xfId="392"/>
    <cellStyle name="Accent3 2 4" xfId="393"/>
    <cellStyle name="Accent3 2 5" xfId="394"/>
    <cellStyle name="Accent3 3" xfId="395"/>
    <cellStyle name="Accent3 4" xfId="396"/>
    <cellStyle name="Accent3 4 2" xfId="397"/>
    <cellStyle name="Accent3 5" xfId="398"/>
    <cellStyle name="Accent3 6" xfId="399"/>
    <cellStyle name="Accent3 7" xfId="400"/>
    <cellStyle name="Accent4" xfId="401"/>
    <cellStyle name="Accent4 2" xfId="402"/>
    <cellStyle name="Accent4 2 2" xfId="403"/>
    <cellStyle name="Accent4 2 3" xfId="404"/>
    <cellStyle name="Accent4 2 4" xfId="405"/>
    <cellStyle name="Accent4 2 5" xfId="406"/>
    <cellStyle name="Accent4 3" xfId="407"/>
    <cellStyle name="Accent4 4" xfId="408"/>
    <cellStyle name="Accent4 4 2" xfId="409"/>
    <cellStyle name="Accent4 5" xfId="410"/>
    <cellStyle name="Accent4 6" xfId="411"/>
    <cellStyle name="Accent4 7" xfId="412"/>
    <cellStyle name="Accent5" xfId="413"/>
    <cellStyle name="Accent5 2" xfId="414"/>
    <cellStyle name="Accent5 2 2" xfId="415"/>
    <cellStyle name="Accent5 2 3" xfId="416"/>
    <cellStyle name="Accent5 2 4" xfId="417"/>
    <cellStyle name="Accent5 2 5" xfId="418"/>
    <cellStyle name="Accent5 3" xfId="419"/>
    <cellStyle name="Accent5 4" xfId="420"/>
    <cellStyle name="Accent5 4 2" xfId="421"/>
    <cellStyle name="Accent5 5" xfId="422"/>
    <cellStyle name="Accent5 6" xfId="423"/>
    <cellStyle name="Accent5 7" xfId="424"/>
    <cellStyle name="Accent6" xfId="425"/>
    <cellStyle name="Accent6 2" xfId="426"/>
    <cellStyle name="Accent6 2 2" xfId="427"/>
    <cellStyle name="Accent6 2 3" xfId="428"/>
    <cellStyle name="Accent6 2 4" xfId="429"/>
    <cellStyle name="Accent6 2 5" xfId="430"/>
    <cellStyle name="Accent6 3" xfId="431"/>
    <cellStyle name="Accent6 4" xfId="432"/>
    <cellStyle name="Accent6 4 2" xfId="433"/>
    <cellStyle name="Accent6 5" xfId="434"/>
    <cellStyle name="Accent6 6" xfId="435"/>
    <cellStyle name="Accent6 7" xfId="436"/>
    <cellStyle name="Bad" xfId="437"/>
    <cellStyle name="Bad 2" xfId="438"/>
    <cellStyle name="Bad 2 2" xfId="439"/>
    <cellStyle name="Bad 2 3" xfId="440"/>
    <cellStyle name="Bad 2 4" xfId="441"/>
    <cellStyle name="Bad 2 5" xfId="442"/>
    <cellStyle name="Bad 3" xfId="443"/>
    <cellStyle name="Bad 4" xfId="444"/>
    <cellStyle name="Bad 4 2" xfId="445"/>
    <cellStyle name="Bad 5" xfId="446"/>
    <cellStyle name="Bad 6" xfId="447"/>
    <cellStyle name="Bad 7" xfId="448"/>
    <cellStyle name="Calculation" xfId="449"/>
    <cellStyle name="Calculation 2" xfId="450"/>
    <cellStyle name="Calculation 2 2" xfId="451"/>
    <cellStyle name="Calculation 2 3" xfId="452"/>
    <cellStyle name="Calculation 2 4" xfId="453"/>
    <cellStyle name="Calculation 2 5" xfId="454"/>
    <cellStyle name="Calculation 2_anakia II etapi.xls sm. defeqturi" xfId="455"/>
    <cellStyle name="Calculation 3" xfId="456"/>
    <cellStyle name="Calculation 4" xfId="457"/>
    <cellStyle name="Calculation 4 2" xfId="458"/>
    <cellStyle name="Calculation 4_anakia II etapi.xls sm. defeqturi" xfId="459"/>
    <cellStyle name="Calculation 5" xfId="460"/>
    <cellStyle name="Calculation 6" xfId="461"/>
    <cellStyle name="Calculation 7" xfId="462"/>
    <cellStyle name="Check Cell" xfId="463"/>
    <cellStyle name="Check Cell 2" xfId="464"/>
    <cellStyle name="Check Cell 2 2" xfId="465"/>
    <cellStyle name="Check Cell 2 3" xfId="466"/>
    <cellStyle name="Check Cell 2 4" xfId="467"/>
    <cellStyle name="Check Cell 2 5" xfId="468"/>
    <cellStyle name="Check Cell 2_anakia II etapi.xls sm. defeqturi" xfId="469"/>
    <cellStyle name="Check Cell 3" xfId="470"/>
    <cellStyle name="Check Cell 4" xfId="471"/>
    <cellStyle name="Check Cell 4 2" xfId="472"/>
    <cellStyle name="Check Cell 4_anakia II etapi.xls sm. defeqturi" xfId="473"/>
    <cellStyle name="Check Cell 5" xfId="474"/>
    <cellStyle name="Check Cell 6" xfId="475"/>
    <cellStyle name="Check Cell 7" xfId="476"/>
    <cellStyle name="Comma" xfId="901" builtinId="3"/>
    <cellStyle name="Comma 10" xfId="478"/>
    <cellStyle name="Comma 10 2" xfId="479"/>
    <cellStyle name="Comma 11" xfId="480"/>
    <cellStyle name="Comma 12" xfId="481"/>
    <cellStyle name="Comma 12 2" xfId="482"/>
    <cellStyle name="Comma 12 3" xfId="483"/>
    <cellStyle name="Comma 12 4" xfId="484"/>
    <cellStyle name="Comma 12 5" xfId="485"/>
    <cellStyle name="Comma 12 6" xfId="486"/>
    <cellStyle name="Comma 12 7" xfId="487"/>
    <cellStyle name="Comma 12 8" xfId="488"/>
    <cellStyle name="Comma 13" xfId="489"/>
    <cellStyle name="Comma 14" xfId="490"/>
    <cellStyle name="Comma 15" xfId="491"/>
    <cellStyle name="Comma 15 2" xfId="492"/>
    <cellStyle name="Comma 16" xfId="493"/>
    <cellStyle name="Comma 17" xfId="494"/>
    <cellStyle name="Comma 17 2" xfId="495"/>
    <cellStyle name="Comma 18" xfId="496"/>
    <cellStyle name="Comma 19" xfId="497"/>
    <cellStyle name="Comma 2" xfId="498"/>
    <cellStyle name="Comma 2 2" xfId="499"/>
    <cellStyle name="Comma 2 2 2" xfId="500"/>
    <cellStyle name="Comma 2 2 3" xfId="501"/>
    <cellStyle name="Comma 2 3" xfId="502"/>
    <cellStyle name="Comma 20" xfId="503"/>
    <cellStyle name="Comma 3" xfId="504"/>
    <cellStyle name="Comma 4" xfId="505"/>
    <cellStyle name="Comma 5" xfId="506"/>
    <cellStyle name="Comma 6" xfId="507"/>
    <cellStyle name="Comma 7" xfId="508"/>
    <cellStyle name="Comma 8" xfId="509"/>
    <cellStyle name="Comma 9" xfId="510"/>
    <cellStyle name="Explanatory Text" xfId="511"/>
    <cellStyle name="Explanatory Text 2" xfId="512"/>
    <cellStyle name="Explanatory Text 2 2" xfId="513"/>
    <cellStyle name="Explanatory Text 2 3" xfId="514"/>
    <cellStyle name="Explanatory Text 2 4" xfId="515"/>
    <cellStyle name="Explanatory Text 2 5" xfId="516"/>
    <cellStyle name="Explanatory Text 3" xfId="517"/>
    <cellStyle name="Explanatory Text 4" xfId="518"/>
    <cellStyle name="Explanatory Text 4 2" xfId="519"/>
    <cellStyle name="Explanatory Text 5" xfId="520"/>
    <cellStyle name="Explanatory Text 6" xfId="521"/>
    <cellStyle name="Explanatory Text 7" xfId="522"/>
    <cellStyle name="Good" xfId="523"/>
    <cellStyle name="Good 2" xfId="524"/>
    <cellStyle name="Good 2 2" xfId="525"/>
    <cellStyle name="Good 2 3" xfId="526"/>
    <cellStyle name="Good 2 4" xfId="527"/>
    <cellStyle name="Good 2 5" xfId="528"/>
    <cellStyle name="Good 3" xfId="529"/>
    <cellStyle name="Good 4" xfId="530"/>
    <cellStyle name="Good 4 2" xfId="531"/>
    <cellStyle name="Good 5" xfId="532"/>
    <cellStyle name="Good 6" xfId="533"/>
    <cellStyle name="Good 7" xfId="534"/>
    <cellStyle name="Heading 1" xfId="535"/>
    <cellStyle name="Heading 1 2" xfId="536"/>
    <cellStyle name="Heading 1 2 2" xfId="537"/>
    <cellStyle name="Heading 1 2 3" xfId="538"/>
    <cellStyle name="Heading 1 2 4" xfId="539"/>
    <cellStyle name="Heading 1 2 5" xfId="540"/>
    <cellStyle name="Heading 1 2_anakia II etapi.xls sm. defeqturi" xfId="541"/>
    <cellStyle name="Heading 1 3" xfId="542"/>
    <cellStyle name="Heading 1 4" xfId="543"/>
    <cellStyle name="Heading 1 4 2" xfId="544"/>
    <cellStyle name="Heading 1 4_anakia II etapi.xls sm. defeqturi" xfId="545"/>
    <cellStyle name="Heading 1 5" xfId="546"/>
    <cellStyle name="Heading 1 6" xfId="547"/>
    <cellStyle name="Heading 1 7" xfId="548"/>
    <cellStyle name="Heading 2" xfId="549"/>
    <cellStyle name="Heading 2 2" xfId="550"/>
    <cellStyle name="Heading 2 2 2" xfId="551"/>
    <cellStyle name="Heading 2 2 3" xfId="552"/>
    <cellStyle name="Heading 2 2 4" xfId="553"/>
    <cellStyle name="Heading 2 2 5" xfId="554"/>
    <cellStyle name="Heading 2 2_anakia II etapi.xls sm. defeqturi" xfId="555"/>
    <cellStyle name="Heading 2 3" xfId="556"/>
    <cellStyle name="Heading 2 4" xfId="557"/>
    <cellStyle name="Heading 2 4 2" xfId="558"/>
    <cellStyle name="Heading 2 4_anakia II etapi.xls sm. defeqturi" xfId="559"/>
    <cellStyle name="Heading 2 5" xfId="560"/>
    <cellStyle name="Heading 2 6" xfId="561"/>
    <cellStyle name="Heading 2 7" xfId="562"/>
    <cellStyle name="Heading 3" xfId="563"/>
    <cellStyle name="Heading 3 2" xfId="564"/>
    <cellStyle name="Heading 3 2 2" xfId="565"/>
    <cellStyle name="Heading 3 2 3" xfId="566"/>
    <cellStyle name="Heading 3 2 4" xfId="567"/>
    <cellStyle name="Heading 3 2 5" xfId="568"/>
    <cellStyle name="Heading 3 2_anakia II etapi.xls sm. defeqturi" xfId="569"/>
    <cellStyle name="Heading 3 3" xfId="570"/>
    <cellStyle name="Heading 3 4" xfId="571"/>
    <cellStyle name="Heading 3 4 2" xfId="572"/>
    <cellStyle name="Heading 3 4_anakia II etapi.xls sm. defeqturi" xfId="573"/>
    <cellStyle name="Heading 3 5" xfId="574"/>
    <cellStyle name="Heading 3 6" xfId="575"/>
    <cellStyle name="Heading 3 7" xfId="576"/>
    <cellStyle name="Heading 4" xfId="577"/>
    <cellStyle name="Heading 4 2" xfId="578"/>
    <cellStyle name="Heading 4 2 2" xfId="579"/>
    <cellStyle name="Heading 4 2 3" xfId="580"/>
    <cellStyle name="Heading 4 2 4" xfId="581"/>
    <cellStyle name="Heading 4 2 5" xfId="582"/>
    <cellStyle name="Heading 4 3" xfId="583"/>
    <cellStyle name="Heading 4 4" xfId="584"/>
    <cellStyle name="Heading 4 4 2" xfId="585"/>
    <cellStyle name="Heading 4 5" xfId="586"/>
    <cellStyle name="Heading 4 6" xfId="587"/>
    <cellStyle name="Heading 4 7" xfId="588"/>
    <cellStyle name="Hyperlink 2" xfId="589"/>
    <cellStyle name="Input" xfId="590"/>
    <cellStyle name="Input 2" xfId="591"/>
    <cellStyle name="Input 2 2" xfId="592"/>
    <cellStyle name="Input 2 3" xfId="593"/>
    <cellStyle name="Input 2 4" xfId="594"/>
    <cellStyle name="Input 2 5" xfId="595"/>
    <cellStyle name="Input 2_anakia II etapi.xls sm. defeqturi" xfId="596"/>
    <cellStyle name="Input 3" xfId="597"/>
    <cellStyle name="Input 4" xfId="598"/>
    <cellStyle name="Input 4 2" xfId="599"/>
    <cellStyle name="Input 4_anakia II etapi.xls sm. defeqturi" xfId="600"/>
    <cellStyle name="Input 5" xfId="601"/>
    <cellStyle name="Input 6" xfId="602"/>
    <cellStyle name="Input 7" xfId="603"/>
    <cellStyle name="Linked Cell" xfId="604"/>
    <cellStyle name="Linked Cell 2" xfId="605"/>
    <cellStyle name="Linked Cell 2 2" xfId="606"/>
    <cellStyle name="Linked Cell 2 3" xfId="607"/>
    <cellStyle name="Linked Cell 2 4" xfId="608"/>
    <cellStyle name="Linked Cell 2 5" xfId="609"/>
    <cellStyle name="Linked Cell 2_anakia II etapi.xls sm. defeqturi" xfId="610"/>
    <cellStyle name="Linked Cell 3" xfId="611"/>
    <cellStyle name="Linked Cell 4" xfId="612"/>
    <cellStyle name="Linked Cell 4 2" xfId="613"/>
    <cellStyle name="Linked Cell 4_anakia II etapi.xls sm. defeqturi" xfId="614"/>
    <cellStyle name="Linked Cell 5" xfId="615"/>
    <cellStyle name="Linked Cell 6" xfId="616"/>
    <cellStyle name="Linked Cell 7" xfId="617"/>
    <cellStyle name="Neutral" xfId="618"/>
    <cellStyle name="Neutral 2" xfId="619"/>
    <cellStyle name="Neutral 2 2" xfId="620"/>
    <cellStyle name="Neutral 2 3" xfId="621"/>
    <cellStyle name="Neutral 2 4" xfId="622"/>
    <cellStyle name="Neutral 2 5" xfId="623"/>
    <cellStyle name="Neutral 3" xfId="624"/>
    <cellStyle name="Neutral 4" xfId="625"/>
    <cellStyle name="Neutral 4 2" xfId="626"/>
    <cellStyle name="Neutral 5" xfId="627"/>
    <cellStyle name="Neutral 6" xfId="628"/>
    <cellStyle name="Neutral 7" xfId="629"/>
    <cellStyle name="Normal" xfId="0" builtinId="0"/>
    <cellStyle name="Normal 10" xfId="630"/>
    <cellStyle name="Normal 10 2" xfId="631"/>
    <cellStyle name="Normal 11" xfId="632"/>
    <cellStyle name="Normal 11 2" xfId="633"/>
    <cellStyle name="Normal 11 2 2" xfId="634"/>
    <cellStyle name="Normal 11 3" xfId="635"/>
    <cellStyle name="Normal 11_GAZI-2010" xfId="636"/>
    <cellStyle name="Normal 12" xfId="637"/>
    <cellStyle name="Normal 12 2" xfId="638"/>
    <cellStyle name="Normal 12_gazis gare qseli" xfId="639"/>
    <cellStyle name="Normal 13" xfId="640"/>
    <cellStyle name="Normal 13 2" xfId="641"/>
    <cellStyle name="Normal 13 2 2" xfId="642"/>
    <cellStyle name="Normal 13 2 3" xfId="643"/>
    <cellStyle name="Normal 13 3" xfId="644"/>
    <cellStyle name="Normal 13 3 2" xfId="645"/>
    <cellStyle name="Normal 13 3 3" xfId="646"/>
    <cellStyle name="Normal 13 3 3 2" xfId="647"/>
    <cellStyle name="Normal 13 3 3 2 2" xfId="906"/>
    <cellStyle name="Normal 13 3 3 3" xfId="648"/>
    <cellStyle name="Normal 13 3 3 4" xfId="909"/>
    <cellStyle name="Normal 13 3 4" xfId="649"/>
    <cellStyle name="Normal 13 3 5" xfId="650"/>
    <cellStyle name="Normal 13 4" xfId="651"/>
    <cellStyle name="Normal 13 5" xfId="652"/>
    <cellStyle name="Normal 13 5 2" xfId="653"/>
    <cellStyle name="Normal 13 5 3" xfId="654"/>
    <cellStyle name="Normal 13 5 3 2" xfId="655"/>
    <cellStyle name="Normal 13 5 3 3" xfId="656"/>
    <cellStyle name="Normal 13 5 3 4" xfId="657"/>
    <cellStyle name="Normal 13 5 4" xfId="658"/>
    <cellStyle name="Normal 13 6" xfId="659"/>
    <cellStyle name="Normal 13 7" xfId="660"/>
    <cellStyle name="Normal 13 8" xfId="661"/>
    <cellStyle name="Normal 13_# 6-1 27.01.12 - копия (1)" xfId="662"/>
    <cellStyle name="Normal 14" xfId="663"/>
    <cellStyle name="Normal 14 2" xfId="664"/>
    <cellStyle name="Normal 14 3" xfId="665"/>
    <cellStyle name="Normal 14 3 2" xfId="666"/>
    <cellStyle name="Normal 14 4" xfId="667"/>
    <cellStyle name="Normal 14 5" xfId="668"/>
    <cellStyle name="Normal 14 6" xfId="669"/>
    <cellStyle name="Normal 14_anakia II etapi.xls sm. defeqturi" xfId="670"/>
    <cellStyle name="Normal 15" xfId="671"/>
    <cellStyle name="Normal 16" xfId="672"/>
    <cellStyle name="Normal 16 2" xfId="673"/>
    <cellStyle name="Normal 16 3" xfId="674"/>
    <cellStyle name="Normal 16 4" xfId="675"/>
    <cellStyle name="Normal 16_# 6-1 27.01.12 - копия (1)" xfId="676"/>
    <cellStyle name="Normal 17" xfId="677"/>
    <cellStyle name="Normal 18" xfId="678"/>
    <cellStyle name="Normal 19" xfId="679"/>
    <cellStyle name="Normal 2" xfId="3"/>
    <cellStyle name="Normal 2 10" xfId="681"/>
    <cellStyle name="Normal 2 11" xfId="682"/>
    <cellStyle name="Normal 2 12" xfId="680"/>
    <cellStyle name="Normal 2 2" xfId="683"/>
    <cellStyle name="Normal 2 2 2" xfId="684"/>
    <cellStyle name="Normal 2 2 3" xfId="685"/>
    <cellStyle name="Normal 2 2 4" xfId="686"/>
    <cellStyle name="Normal 2 2 5" xfId="687"/>
    <cellStyle name="Normal 2 2 6" xfId="688"/>
    <cellStyle name="Normal 2 2 7" xfId="689"/>
    <cellStyle name="Normal 2 2_2D4CD000" xfId="690"/>
    <cellStyle name="Normal 2 3" xfId="691"/>
    <cellStyle name="Normal 2 4" xfId="692"/>
    <cellStyle name="Normal 2 5" xfId="693"/>
    <cellStyle name="Normal 2 6" xfId="694"/>
    <cellStyle name="Normal 2 7" xfId="695"/>
    <cellStyle name="Normal 2 7 2" xfId="696"/>
    <cellStyle name="Normal 2 7 3" xfId="697"/>
    <cellStyle name="Normal 2 7_anakia II etapi.xls sm. defeqturi" xfId="698"/>
    <cellStyle name="Normal 2 8" xfId="699"/>
    <cellStyle name="Normal 2 9" xfId="700"/>
    <cellStyle name="Normal 2_anakia II etapi.xls sm. defeqturi" xfId="701"/>
    <cellStyle name="Normal 20" xfId="702"/>
    <cellStyle name="Normal 21" xfId="703"/>
    <cellStyle name="Normal 22" xfId="704"/>
    <cellStyle name="Normal 23" xfId="705"/>
    <cellStyle name="Normal 24" xfId="706"/>
    <cellStyle name="Normal 25" xfId="707"/>
    <cellStyle name="Normal 26" xfId="708"/>
    <cellStyle name="Normal 27" xfId="709"/>
    <cellStyle name="Normal 28" xfId="710"/>
    <cellStyle name="Normal 29" xfId="711"/>
    <cellStyle name="Normal 29 2" xfId="712"/>
    <cellStyle name="Normal 3" xfId="1"/>
    <cellStyle name="Normal 3 2" xfId="713"/>
    <cellStyle name="Normal 3 2 2" xfId="714"/>
    <cellStyle name="Normal 3 2_anakia II etapi.xls sm. defeqturi" xfId="715"/>
    <cellStyle name="Normal 3 3" xfId="716"/>
    <cellStyle name="Normal 30" xfId="717"/>
    <cellStyle name="Normal 30 2" xfId="718"/>
    <cellStyle name="Normal 31" xfId="719"/>
    <cellStyle name="Normal 32" xfId="720"/>
    <cellStyle name="Normal 32 2" xfId="721"/>
    <cellStyle name="Normal 32 2 2" xfId="722"/>
    <cellStyle name="Normal 32 3" xfId="723"/>
    <cellStyle name="Normal 32 3 2" xfId="724"/>
    <cellStyle name="Normal 32 3 2 2" xfId="725"/>
    <cellStyle name="Normal 32 4" xfId="726"/>
    <cellStyle name="Normal 32_# 6-1 27.01.12 - копия (1)" xfId="727"/>
    <cellStyle name="Normal 33" xfId="728"/>
    <cellStyle name="Normal 33 2" xfId="729"/>
    <cellStyle name="Normal 34" xfId="730"/>
    <cellStyle name="Normal 35" xfId="731"/>
    <cellStyle name="Normal 35 2" xfId="732"/>
    <cellStyle name="Normal 35 3" xfId="733"/>
    <cellStyle name="Normal 36" xfId="734"/>
    <cellStyle name="Normal 36 2" xfId="735"/>
    <cellStyle name="Normal 36 2 2" xfId="736"/>
    <cellStyle name="Normal 36 2 2 2" xfId="902"/>
    <cellStyle name="Normal 36 2 3" xfId="737"/>
    <cellStyle name="Normal 36 2 4" xfId="738"/>
    <cellStyle name="Normal 36 2 5" xfId="910"/>
    <cellStyle name="Normal 36 3" xfId="739"/>
    <cellStyle name="Normal 36 4" xfId="740"/>
    <cellStyle name="Normal 37" xfId="741"/>
    <cellStyle name="Normal 37 2" xfId="742"/>
    <cellStyle name="Normal 38" xfId="743"/>
    <cellStyle name="Normal 38 2" xfId="744"/>
    <cellStyle name="Normal 38 2 2" xfId="745"/>
    <cellStyle name="Normal 38 3" xfId="746"/>
    <cellStyle name="Normal 38 3 2" xfId="747"/>
    <cellStyle name="Normal 38 4" xfId="748"/>
    <cellStyle name="Normal 39" xfId="749"/>
    <cellStyle name="Normal 39 2" xfId="750"/>
    <cellStyle name="Normal 4" xfId="751"/>
    <cellStyle name="Normal 4 2" xfId="752"/>
    <cellStyle name="Normal 4 3" xfId="753"/>
    <cellStyle name="Normal 40" xfId="754"/>
    <cellStyle name="Normal 40 2" xfId="755"/>
    <cellStyle name="Normal 40 3" xfId="756"/>
    <cellStyle name="Normal 41" xfId="757"/>
    <cellStyle name="Normal 41 2" xfId="758"/>
    <cellStyle name="Normal 42" xfId="759"/>
    <cellStyle name="Normal 42 2" xfId="760"/>
    <cellStyle name="Normal 42 3" xfId="761"/>
    <cellStyle name="Normal 43" xfId="762"/>
    <cellStyle name="Normal 44" xfId="763"/>
    <cellStyle name="Normal 45" xfId="764"/>
    <cellStyle name="Normal 46" xfId="765"/>
    <cellStyle name="Normal 47" xfId="766"/>
    <cellStyle name="Normal 47 2" xfId="767"/>
    <cellStyle name="Normal 47 3" xfId="768"/>
    <cellStyle name="Normal 47 3 2" xfId="769"/>
    <cellStyle name="Normal 47 3 3" xfId="770"/>
    <cellStyle name="Normal 47 4" xfId="771"/>
    <cellStyle name="Normal 5" xfId="772"/>
    <cellStyle name="Normal 5 2" xfId="773"/>
    <cellStyle name="Normal 5 2 2" xfId="774"/>
    <cellStyle name="Normal 5 3" xfId="775"/>
    <cellStyle name="Normal 5 4" xfId="776"/>
    <cellStyle name="Normal 5 4 2" xfId="777"/>
    <cellStyle name="Normal 5 4 3" xfId="778"/>
    <cellStyle name="Normal 5 5" xfId="779"/>
    <cellStyle name="Normal 5_Copy of SAN2010" xfId="780"/>
    <cellStyle name="Normal 50" xfId="905"/>
    <cellStyle name="Normal 6" xfId="781"/>
    <cellStyle name="Normal 7" xfId="782"/>
    <cellStyle name="Normal 75" xfId="783"/>
    <cellStyle name="Normal 8" xfId="784"/>
    <cellStyle name="Normal 8 2" xfId="785"/>
    <cellStyle name="Normal 8_2D4CD000" xfId="786"/>
    <cellStyle name="Normal 9" xfId="787"/>
    <cellStyle name="Normal 9 2" xfId="788"/>
    <cellStyle name="Normal 9 2 2" xfId="789"/>
    <cellStyle name="Normal 9 2 3" xfId="790"/>
    <cellStyle name="Normal 9 2 4" xfId="791"/>
    <cellStyle name="Normal 9 2_anakia II etapi.xls sm. defeqturi" xfId="792"/>
    <cellStyle name="Normal 9_2D4CD000" xfId="793"/>
    <cellStyle name="Normal_Book1_axalqalaqis skola " xfId="904"/>
    <cellStyle name="Normal_gare wyalsadfenigagarini 10" xfId="899"/>
    <cellStyle name="Normal_gare wyalsadfenigagarini 2 2" xfId="900"/>
    <cellStyle name="Normal_gare wyalsadfenigagarini_SUSTI DENEBI_axalqalaqis skola " xfId="908"/>
    <cellStyle name="Normal_SUSTI DENEBI" xfId="903"/>
    <cellStyle name="Note" xfId="794"/>
    <cellStyle name="Note 2" xfId="795"/>
    <cellStyle name="Note 2 2" xfId="796"/>
    <cellStyle name="Note 2 3" xfId="797"/>
    <cellStyle name="Note 2 4" xfId="798"/>
    <cellStyle name="Note 2 5" xfId="799"/>
    <cellStyle name="Note 2_anakia II etapi.xls sm. defeqturi" xfId="800"/>
    <cellStyle name="Note 3" xfId="801"/>
    <cellStyle name="Note 4" xfId="802"/>
    <cellStyle name="Note 4 2" xfId="803"/>
    <cellStyle name="Note 4_anakia II etapi.xls sm. defeqturi" xfId="804"/>
    <cellStyle name="Note 5" xfId="805"/>
    <cellStyle name="Note 6" xfId="806"/>
    <cellStyle name="Note 7" xfId="807"/>
    <cellStyle name="Output" xfId="808"/>
    <cellStyle name="Output 2" xfId="809"/>
    <cellStyle name="Output 2 2" xfId="810"/>
    <cellStyle name="Output 2 3" xfId="811"/>
    <cellStyle name="Output 2 4" xfId="812"/>
    <cellStyle name="Output 2 5" xfId="813"/>
    <cellStyle name="Output 2_anakia II etapi.xls sm. defeqturi" xfId="814"/>
    <cellStyle name="Output 3" xfId="815"/>
    <cellStyle name="Output 4" xfId="816"/>
    <cellStyle name="Output 4 2" xfId="817"/>
    <cellStyle name="Output 4_anakia II etapi.xls sm. defeqturi" xfId="818"/>
    <cellStyle name="Output 5" xfId="819"/>
    <cellStyle name="Output 6" xfId="820"/>
    <cellStyle name="Output 7" xfId="821"/>
    <cellStyle name="Percent 2" xfId="822"/>
    <cellStyle name="Percent 3" xfId="823"/>
    <cellStyle name="Percent 3 2" xfId="824"/>
    <cellStyle name="Percent 4" xfId="825"/>
    <cellStyle name="Percent 5" xfId="826"/>
    <cellStyle name="Percent 6" xfId="827"/>
    <cellStyle name="Style 1" xfId="828"/>
    <cellStyle name="Title" xfId="829"/>
    <cellStyle name="Title 2" xfId="830"/>
    <cellStyle name="Title 2 2" xfId="831"/>
    <cellStyle name="Title 2 3" xfId="832"/>
    <cellStyle name="Title 2 4" xfId="833"/>
    <cellStyle name="Title 2 5" xfId="834"/>
    <cellStyle name="Title 3" xfId="835"/>
    <cellStyle name="Title 4" xfId="836"/>
    <cellStyle name="Title 4 2" xfId="837"/>
    <cellStyle name="Title 5" xfId="838"/>
    <cellStyle name="Title 6" xfId="839"/>
    <cellStyle name="Title 7" xfId="840"/>
    <cellStyle name="Total" xfId="841"/>
    <cellStyle name="Total 2" xfId="842"/>
    <cellStyle name="Total 2 2" xfId="843"/>
    <cellStyle name="Total 2 3" xfId="844"/>
    <cellStyle name="Total 2 4" xfId="845"/>
    <cellStyle name="Total 2 5" xfId="846"/>
    <cellStyle name="Total 2_anakia II etapi.xls sm. defeqturi" xfId="847"/>
    <cellStyle name="Total 3" xfId="848"/>
    <cellStyle name="Total 4" xfId="849"/>
    <cellStyle name="Total 4 2" xfId="850"/>
    <cellStyle name="Total 4_anakia II etapi.xls sm. defeqturi" xfId="851"/>
    <cellStyle name="Total 5" xfId="852"/>
    <cellStyle name="Total 6" xfId="853"/>
    <cellStyle name="Total 7" xfId="854"/>
    <cellStyle name="Warning Text" xfId="855"/>
    <cellStyle name="Warning Text 2" xfId="856"/>
    <cellStyle name="Warning Text 2 2" xfId="857"/>
    <cellStyle name="Warning Text 2 3" xfId="858"/>
    <cellStyle name="Warning Text 2 4" xfId="859"/>
    <cellStyle name="Warning Text 2 5" xfId="860"/>
    <cellStyle name="Warning Text 3" xfId="861"/>
    <cellStyle name="Warning Text 4" xfId="862"/>
    <cellStyle name="Warning Text 4 2" xfId="863"/>
    <cellStyle name="Warning Text 5" xfId="864"/>
    <cellStyle name="Warning Text 6" xfId="865"/>
    <cellStyle name="Warning Text 7" xfId="866"/>
    <cellStyle name="Обычный 10" xfId="867"/>
    <cellStyle name="Обычный 10 2" xfId="868"/>
    <cellStyle name="Обычный 11" xfId="4"/>
    <cellStyle name="Обычный 2" xfId="2"/>
    <cellStyle name="Обычный 2 2" xfId="869"/>
    <cellStyle name="Обычный 3" xfId="870"/>
    <cellStyle name="Обычный 3 2" xfId="871"/>
    <cellStyle name="Обычный 3 3" xfId="872"/>
    <cellStyle name="Обычный 4" xfId="873"/>
    <cellStyle name="Обычный 4 2" xfId="874"/>
    <cellStyle name="Обычный 4 3" xfId="875"/>
    <cellStyle name="Обычный 4 4" xfId="876"/>
    <cellStyle name="Обычный 5" xfId="877"/>
    <cellStyle name="Обычный 5 2" xfId="878"/>
    <cellStyle name="Обычный 5 2 2" xfId="879"/>
    <cellStyle name="Обычный 5 3" xfId="880"/>
    <cellStyle name="Обычный 5 4" xfId="881"/>
    <cellStyle name="Обычный 5 4 2" xfId="882"/>
    <cellStyle name="Обычный 5 5" xfId="883"/>
    <cellStyle name="Обычный 6" xfId="884"/>
    <cellStyle name="Обычный 6 2" xfId="885"/>
    <cellStyle name="Обычный 7" xfId="886"/>
    <cellStyle name="Обычный 8" xfId="887"/>
    <cellStyle name="Обычный 8 2" xfId="888"/>
    <cellStyle name="Обычный 9" xfId="889"/>
    <cellStyle name="Обычный_Лист1" xfId="907"/>
    <cellStyle name="Плохой 2" xfId="890"/>
    <cellStyle name="Процентный 2" xfId="891"/>
    <cellStyle name="Процентный 3" xfId="892"/>
    <cellStyle name="Процентный 3 2" xfId="893"/>
    <cellStyle name="Финансовый 2" xfId="894"/>
    <cellStyle name="Финансовый 2 2" xfId="895"/>
    <cellStyle name="Финансовый 3" xfId="896"/>
    <cellStyle name="Финансовый 4" xfId="897"/>
    <cellStyle name="Финансовый 5" xfId="898"/>
    <cellStyle name="Финансовый 6" xfId="477"/>
  </cellStyles>
  <dxfs count="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CCFF33"/>
      <color rgb="FFFFFFCC"/>
      <color rgb="FFFFCCFF"/>
      <color rgb="FFCCCC00"/>
      <color rgb="FF0000FF"/>
      <color rgb="FF00FF99"/>
      <color rgb="FFFF99FF"/>
      <color rgb="FFFF66FF"/>
      <color rgb="FF6666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.adeishvili\Desktop\0000-qutaisi-mzewabuki-dr-3-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bsiti"/>
      <sheetName val="#1-1"/>
      <sheetName val="moc.uwy."/>
      <sheetName val="kal. gr."/>
    </sheetNames>
    <sheetDataSet>
      <sheetData sheetId="0">
        <row r="3">
          <cell r="A3" t="str">
            <v>q.quTaisSi, mzeWabukis monumentis irgvliv gamyofi zolebis keTilmowyoba                                                                                                                                        s/k: 03.01.24.956-mimdebared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F19"/>
  <sheetViews>
    <sheetView topLeftCell="A2" zoomScale="110" zoomScaleNormal="110" workbookViewId="0">
      <selection activeCell="C7" sqref="C7"/>
    </sheetView>
  </sheetViews>
  <sheetFormatPr defaultRowHeight="14.4"/>
  <cols>
    <col min="2" max="2" width="22.44140625" customWidth="1"/>
    <col min="3" max="3" width="43.5546875" customWidth="1"/>
    <col min="4" max="4" width="23.109375" style="89" customWidth="1"/>
    <col min="5" max="5" width="19" customWidth="1"/>
  </cols>
  <sheetData>
    <row r="1" spans="1:6" s="67" customFormat="1" ht="15">
      <c r="A1" s="425" t="s">
        <v>83</v>
      </c>
      <c r="B1" s="425"/>
      <c r="C1" s="425"/>
      <c r="D1" s="425"/>
    </row>
    <row r="2" spans="1:6" s="67" customFormat="1" ht="16.2">
      <c r="A2" s="1"/>
      <c r="B2" s="1"/>
      <c r="C2" s="1"/>
      <c r="D2" s="87"/>
    </row>
    <row r="3" spans="1:6" s="67" customFormat="1" ht="59.25" customHeight="1">
      <c r="A3" s="425" t="s">
        <v>153</v>
      </c>
      <c r="B3" s="425"/>
      <c r="C3" s="425"/>
      <c r="D3" s="425"/>
    </row>
    <row r="4" spans="1:6" s="67" customFormat="1" ht="16.2">
      <c r="A4" s="1"/>
      <c r="B4" s="1"/>
      <c r="C4" s="1"/>
      <c r="D4" s="87"/>
    </row>
    <row r="5" spans="1:6" s="67" customFormat="1" ht="23.25" customHeight="1">
      <c r="A5" s="426" t="s">
        <v>205</v>
      </c>
      <c r="B5" s="426" t="s">
        <v>84</v>
      </c>
      <c r="C5" s="426" t="s">
        <v>85</v>
      </c>
      <c r="D5" s="427" t="s">
        <v>204</v>
      </c>
    </row>
    <row r="6" spans="1:6" s="67" customFormat="1">
      <c r="A6" s="426"/>
      <c r="B6" s="426"/>
      <c r="C6" s="426"/>
      <c r="D6" s="428"/>
    </row>
    <row r="7" spans="1:6" s="67" customFormat="1" ht="16.2">
      <c r="A7" s="2">
        <v>1</v>
      </c>
      <c r="B7" s="2" t="s">
        <v>135</v>
      </c>
      <c r="C7" s="28" t="s">
        <v>15</v>
      </c>
      <c r="D7" s="70"/>
      <c r="F7" s="68"/>
    </row>
    <row r="8" spans="1:6" s="67" customFormat="1" ht="16.2">
      <c r="A8" s="2">
        <v>2</v>
      </c>
      <c r="B8" s="99" t="s">
        <v>136</v>
      </c>
      <c r="C8" s="28" t="s">
        <v>200</v>
      </c>
      <c r="D8" s="70"/>
    </row>
    <row r="9" spans="1:6" s="67" customFormat="1" ht="16.2">
      <c r="A9" s="85"/>
      <c r="B9" s="85"/>
      <c r="C9" s="69" t="s">
        <v>13</v>
      </c>
      <c r="D9" s="29"/>
    </row>
    <row r="10" spans="1:6">
      <c r="C10" s="86"/>
    </row>
    <row r="11" spans="1:6">
      <c r="C11" s="88"/>
    </row>
    <row r="12" spans="1:6" ht="16.2">
      <c r="C12" s="43"/>
    </row>
    <row r="19" spans="3:3">
      <c r="C19" s="103"/>
    </row>
  </sheetData>
  <mergeCells count="6">
    <mergeCell ref="A1:D1"/>
    <mergeCell ref="A3:D3"/>
    <mergeCell ref="A5:A6"/>
    <mergeCell ref="B5:B6"/>
    <mergeCell ref="C5:C6"/>
    <mergeCell ref="D5:D6"/>
  </mergeCells>
  <pageMargins left="0.87" right="0.70866141732283472" top="0.9" bottom="0.69" header="0.43" footer="0.37"/>
  <pageSetup paperSize="9" orientation="landscape" horizontalDpi="1200" verticalDpi="1200" r:id="rId1"/>
  <headerFooter>
    <oddHeader>&amp;R&amp;P--&amp;N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M228"/>
  <sheetViews>
    <sheetView zoomScale="115" zoomScaleNormal="115" workbookViewId="0">
      <selection activeCell="B32" sqref="B32"/>
    </sheetView>
  </sheetViews>
  <sheetFormatPr defaultColWidth="9.109375" defaultRowHeight="15"/>
  <cols>
    <col min="1" max="1" width="5.6640625" style="359" customWidth="1"/>
    <col min="2" max="2" width="49.5546875" style="262" customWidth="1"/>
    <col min="3" max="3" width="9.44140625" style="262" customWidth="1"/>
    <col min="4" max="4" width="12" style="263" bestFit="1" customWidth="1"/>
    <col min="5" max="5" width="12.6640625" style="263" customWidth="1"/>
    <col min="6" max="6" width="9.109375" style="264"/>
    <col min="7" max="7" width="12" style="264" customWidth="1"/>
    <col min="8" max="8" width="20.6640625" style="265" customWidth="1"/>
    <col min="9" max="9" width="32.88671875" style="266" customWidth="1"/>
    <col min="10" max="16384" width="9.109375" style="266"/>
  </cols>
  <sheetData>
    <row r="1" spans="1:8" s="122" customFormat="1" ht="37.200000000000003" customHeight="1">
      <c r="A1" s="437" t="str">
        <f>krebsiti!A3</f>
        <v>q.quTaisSi, mzeWabukis monumentis irgvliv gamyofi zolebis keTilmowyoba                                                                                                                                        s/k: 03.01.24.956-mimdebared</v>
      </c>
      <c r="B1" s="437"/>
      <c r="C1" s="437"/>
      <c r="D1" s="437"/>
      <c r="E1" s="437"/>
      <c r="F1" s="437"/>
      <c r="G1" s="437"/>
      <c r="H1" s="121"/>
    </row>
    <row r="2" spans="1:8" s="122" customFormat="1" ht="23.4" customHeight="1">
      <c r="A2" s="438" t="s">
        <v>15</v>
      </c>
      <c r="B2" s="438"/>
      <c r="C2" s="438"/>
      <c r="D2" s="438"/>
      <c r="E2" s="438"/>
      <c r="F2" s="438"/>
      <c r="G2" s="438"/>
      <c r="H2" s="123"/>
    </row>
    <row r="3" spans="1:8" s="122" customFormat="1" ht="16.2" customHeight="1">
      <c r="A3" s="442" t="s">
        <v>241</v>
      </c>
      <c r="B3" s="442"/>
      <c r="C3" s="442"/>
      <c r="D3" s="442"/>
      <c r="E3" s="442"/>
      <c r="F3" s="442"/>
      <c r="G3" s="442"/>
      <c r="H3" s="123"/>
    </row>
    <row r="4" spans="1:8" s="122" customFormat="1" ht="34.950000000000003" customHeight="1">
      <c r="A4" s="439" t="s">
        <v>205</v>
      </c>
      <c r="B4" s="440" t="s">
        <v>206</v>
      </c>
      <c r="C4" s="439" t="s">
        <v>132</v>
      </c>
      <c r="D4" s="434" t="s">
        <v>203</v>
      </c>
      <c r="E4" s="434" t="s">
        <v>207</v>
      </c>
      <c r="F4" s="432" t="s">
        <v>202</v>
      </c>
      <c r="G4" s="432" t="s">
        <v>2</v>
      </c>
      <c r="H4" s="123"/>
    </row>
    <row r="5" spans="1:8" s="122" customFormat="1" ht="46.95" customHeight="1">
      <c r="A5" s="439"/>
      <c r="B5" s="441"/>
      <c r="C5" s="439"/>
      <c r="D5" s="435"/>
      <c r="E5" s="435"/>
      <c r="F5" s="433"/>
      <c r="G5" s="433"/>
      <c r="H5" s="123"/>
    </row>
    <row r="6" spans="1:8" s="128" customFormat="1" ht="16.2">
      <c r="A6" s="124" t="s">
        <v>50</v>
      </c>
      <c r="B6" s="124" t="s">
        <v>39</v>
      </c>
      <c r="C6" s="124" t="s">
        <v>51</v>
      </c>
      <c r="D6" s="125">
        <v>4</v>
      </c>
      <c r="E6" s="125">
        <v>5</v>
      </c>
      <c r="F6" s="124">
        <v>6</v>
      </c>
      <c r="G6" s="124">
        <v>7</v>
      </c>
      <c r="H6" s="127"/>
    </row>
    <row r="7" spans="1:8" s="128" customFormat="1" ht="28.8">
      <c r="A7" s="279" t="s">
        <v>135</v>
      </c>
      <c r="B7" s="278" t="s">
        <v>15</v>
      </c>
      <c r="C7" s="279"/>
      <c r="D7" s="280"/>
      <c r="E7" s="280"/>
      <c r="F7" s="281"/>
      <c r="G7" s="281"/>
      <c r="H7" s="127"/>
    </row>
    <row r="8" spans="1:8" s="122" customFormat="1" ht="16.2" hidden="1">
      <c r="A8" s="98"/>
      <c r="B8" s="129"/>
      <c r="C8" s="97"/>
      <c r="D8" s="101"/>
      <c r="E8" s="101"/>
      <c r="F8" s="130"/>
      <c r="G8" s="130"/>
      <c r="H8" s="123"/>
    </row>
    <row r="9" spans="1:8" s="122" customFormat="1" ht="16.2" hidden="1">
      <c r="A9" s="429"/>
      <c r="B9" s="131"/>
      <c r="C9" s="97"/>
      <c r="D9" s="101"/>
      <c r="E9" s="101"/>
      <c r="F9" s="130"/>
      <c r="G9" s="130"/>
      <c r="H9" s="123"/>
    </row>
    <row r="10" spans="1:8" s="122" customFormat="1" ht="16.2" hidden="1">
      <c r="A10" s="436"/>
      <c r="B10" s="84"/>
      <c r="C10" s="98"/>
      <c r="D10" s="100"/>
      <c r="E10" s="100"/>
      <c r="F10" s="130"/>
      <c r="G10" s="130"/>
      <c r="H10" s="123"/>
    </row>
    <row r="11" spans="1:8" s="122" customFormat="1" ht="16.2" hidden="1">
      <c r="A11" s="436"/>
      <c r="B11" s="84"/>
      <c r="C11" s="98"/>
      <c r="D11" s="100"/>
      <c r="E11" s="100"/>
      <c r="F11" s="130"/>
      <c r="G11" s="130"/>
      <c r="H11" s="123"/>
    </row>
    <row r="12" spans="1:8" s="122" customFormat="1" ht="16.2" hidden="1">
      <c r="A12" s="430"/>
      <c r="B12" s="84"/>
      <c r="C12" s="98"/>
      <c r="D12" s="100"/>
      <c r="E12" s="100"/>
      <c r="F12" s="130"/>
      <c r="G12" s="130"/>
      <c r="H12" s="123"/>
    </row>
    <row r="13" spans="1:8" s="122" customFormat="1" ht="16.2" hidden="1">
      <c r="A13" s="429"/>
      <c r="B13" s="131"/>
      <c r="C13" s="97"/>
      <c r="D13" s="101"/>
      <c r="E13" s="101"/>
      <c r="F13" s="130"/>
      <c r="G13" s="130"/>
      <c r="H13" s="123"/>
    </row>
    <row r="14" spans="1:8" s="122" customFormat="1" ht="16.2" hidden="1">
      <c r="A14" s="430"/>
      <c r="B14" s="84"/>
      <c r="C14" s="98"/>
      <c r="D14" s="100"/>
      <c r="E14" s="100"/>
      <c r="F14" s="130"/>
      <c r="G14" s="130"/>
      <c r="H14" s="123"/>
    </row>
    <row r="15" spans="1:8" s="122" customFormat="1" ht="16.2" hidden="1">
      <c r="A15" s="349"/>
      <c r="B15" s="84"/>
      <c r="C15" s="98"/>
      <c r="D15" s="100"/>
      <c r="E15" s="100"/>
      <c r="F15" s="130"/>
      <c r="G15" s="130"/>
      <c r="H15" s="123"/>
    </row>
    <row r="16" spans="1:8" s="122" customFormat="1" ht="16.2">
      <c r="A16" s="350"/>
      <c r="B16" s="282" t="s">
        <v>208</v>
      </c>
      <c r="C16" s="283"/>
      <c r="D16" s="284"/>
      <c r="E16" s="284"/>
      <c r="F16" s="285"/>
      <c r="G16" s="285"/>
      <c r="H16" s="123"/>
    </row>
    <row r="17" spans="1:8" s="122" customFormat="1" ht="16.2">
      <c r="A17" s="429" t="s">
        <v>50</v>
      </c>
      <c r="B17" s="286" t="s">
        <v>154</v>
      </c>
      <c r="C17" s="34" t="s">
        <v>25</v>
      </c>
      <c r="D17" s="287"/>
      <c r="E17" s="287">
        <v>490</v>
      </c>
      <c r="F17" s="288"/>
      <c r="G17" s="288"/>
      <c r="H17" s="123"/>
    </row>
    <row r="18" spans="1:8" s="122" customFormat="1" ht="16.2">
      <c r="A18" s="430"/>
      <c r="B18" s="132" t="s">
        <v>30</v>
      </c>
      <c r="C18" s="133" t="s">
        <v>5</v>
      </c>
      <c r="D18" s="133">
        <v>0.78500000000000003</v>
      </c>
      <c r="E18" s="133">
        <f>E17*D18</f>
        <v>384.65000000000003</v>
      </c>
      <c r="F18" s="134"/>
      <c r="G18" s="134"/>
      <c r="H18" s="123"/>
    </row>
    <row r="19" spans="1:8" s="122" customFormat="1" ht="32.4">
      <c r="A19" s="431" t="s">
        <v>39</v>
      </c>
      <c r="B19" s="286" t="s">
        <v>155</v>
      </c>
      <c r="C19" s="289" t="s">
        <v>23</v>
      </c>
      <c r="D19" s="290"/>
      <c r="E19" s="287">
        <f>250*0.4</f>
        <v>100</v>
      </c>
      <c r="F19" s="291"/>
      <c r="G19" s="291"/>
      <c r="H19" s="123"/>
    </row>
    <row r="20" spans="1:8" s="122" customFormat="1" ht="16.2">
      <c r="A20" s="431"/>
      <c r="B20" s="132" t="s">
        <v>30</v>
      </c>
      <c r="C20" s="133" t="s">
        <v>5</v>
      </c>
      <c r="D20" s="133">
        <f>20/1000</f>
        <v>0.02</v>
      </c>
      <c r="E20" s="133">
        <f>E19*D20</f>
        <v>2</v>
      </c>
      <c r="F20" s="134"/>
      <c r="G20" s="134"/>
      <c r="H20" s="123"/>
    </row>
    <row r="21" spans="1:8" s="122" customFormat="1" ht="16.2">
      <c r="A21" s="431"/>
      <c r="B21" s="135" t="s">
        <v>156</v>
      </c>
      <c r="C21" s="133" t="s">
        <v>26</v>
      </c>
      <c r="D21" s="133">
        <f>44.8/1000</f>
        <v>4.48E-2</v>
      </c>
      <c r="E21" s="133">
        <f>E19*D21</f>
        <v>4.4799999999999995</v>
      </c>
      <c r="F21" s="134"/>
      <c r="G21" s="134"/>
      <c r="H21" s="123"/>
    </row>
    <row r="22" spans="1:8" s="122" customFormat="1" ht="16.2">
      <c r="A22" s="431"/>
      <c r="B22" s="135" t="s">
        <v>4</v>
      </c>
      <c r="C22" s="133" t="s">
        <v>3</v>
      </c>
      <c r="D22" s="133">
        <f>2.1/1000</f>
        <v>2.1000000000000003E-3</v>
      </c>
      <c r="E22" s="133">
        <f>E19*D22</f>
        <v>0.21000000000000002</v>
      </c>
      <c r="F22" s="134"/>
      <c r="G22" s="134"/>
      <c r="H22" s="123"/>
    </row>
    <row r="23" spans="1:8" s="122" customFormat="1" ht="16.2" hidden="1">
      <c r="A23" s="431"/>
      <c r="B23" s="135" t="s">
        <v>18</v>
      </c>
      <c r="C23" s="133" t="s">
        <v>23</v>
      </c>
      <c r="D23" s="133">
        <f>0.05/1000</f>
        <v>5.0000000000000002E-5</v>
      </c>
      <c r="E23" s="133">
        <f>E19*D23</f>
        <v>5.0000000000000001E-3</v>
      </c>
      <c r="F23" s="134"/>
      <c r="G23" s="134"/>
      <c r="H23" s="123"/>
    </row>
    <row r="24" spans="1:8" s="122" customFormat="1" ht="16.2">
      <c r="A24" s="98" t="s">
        <v>51</v>
      </c>
      <c r="B24" s="136" t="s">
        <v>190</v>
      </c>
      <c r="C24" s="97" t="s">
        <v>24</v>
      </c>
      <c r="D24" s="137"/>
      <c r="E24" s="138">
        <f>E19*1.95</f>
        <v>195</v>
      </c>
      <c r="F24" s="139"/>
      <c r="G24" s="130"/>
      <c r="H24" s="123"/>
    </row>
    <row r="25" spans="1:8" s="122" customFormat="1" ht="16.2">
      <c r="A25" s="429" t="s">
        <v>46</v>
      </c>
      <c r="B25" s="286" t="s">
        <v>144</v>
      </c>
      <c r="C25" s="34" t="s">
        <v>137</v>
      </c>
      <c r="D25" s="287"/>
      <c r="E25" s="292">
        <f>3000/1000</f>
        <v>3</v>
      </c>
      <c r="F25" s="288"/>
      <c r="G25" s="288"/>
      <c r="H25" s="123"/>
    </row>
    <row r="26" spans="1:8" s="122" customFormat="1" ht="16.2">
      <c r="A26" s="430"/>
      <c r="B26" s="84" t="s">
        <v>22</v>
      </c>
      <c r="C26" s="98" t="s">
        <v>5</v>
      </c>
      <c r="D26" s="100">
        <v>180</v>
      </c>
      <c r="E26" s="100">
        <f>E25*D26</f>
        <v>540</v>
      </c>
      <c r="F26" s="130"/>
      <c r="G26" s="130"/>
      <c r="H26" s="123"/>
    </row>
    <row r="27" spans="1:8" s="122" customFormat="1" ht="48.6">
      <c r="A27" s="429" t="s">
        <v>48</v>
      </c>
      <c r="B27" s="286" t="s">
        <v>101</v>
      </c>
      <c r="C27" s="34" t="s">
        <v>23</v>
      </c>
      <c r="D27" s="293"/>
      <c r="E27" s="287">
        <f>E17*0.15*0.3+5</f>
        <v>27.05</v>
      </c>
      <c r="F27" s="288"/>
      <c r="G27" s="288"/>
      <c r="H27" s="123"/>
    </row>
    <row r="28" spans="1:8" s="122" customFormat="1" ht="16.2">
      <c r="A28" s="430"/>
      <c r="B28" s="140" t="s">
        <v>30</v>
      </c>
      <c r="C28" s="141" t="s">
        <v>5</v>
      </c>
      <c r="D28" s="137">
        <v>0.6</v>
      </c>
      <c r="E28" s="142">
        <f>E27*D28</f>
        <v>16.23</v>
      </c>
      <c r="F28" s="139"/>
      <c r="G28" s="130"/>
      <c r="H28" s="123"/>
    </row>
    <row r="29" spans="1:8" s="122" customFormat="1" ht="32.4">
      <c r="A29" s="429" t="s">
        <v>49</v>
      </c>
      <c r="B29" s="294" t="s">
        <v>105</v>
      </c>
      <c r="C29" s="34" t="s">
        <v>24</v>
      </c>
      <c r="D29" s="295"/>
      <c r="E29" s="292">
        <f>E17*0.15*0.3*2.4+5*1.65</f>
        <v>61.17</v>
      </c>
      <c r="F29" s="296"/>
      <c r="G29" s="288"/>
      <c r="H29" s="123"/>
    </row>
    <row r="30" spans="1:8" s="122" customFormat="1" ht="16.2">
      <c r="A30" s="430"/>
      <c r="B30" s="143" t="s">
        <v>32</v>
      </c>
      <c r="C30" s="141" t="s">
        <v>5</v>
      </c>
      <c r="D30" s="137">
        <v>0.53</v>
      </c>
      <c r="E30" s="142">
        <f>E29*D30</f>
        <v>32.420100000000005</v>
      </c>
      <c r="F30" s="139"/>
      <c r="G30" s="130"/>
      <c r="H30" s="123"/>
    </row>
    <row r="31" spans="1:8" s="122" customFormat="1" ht="16.2">
      <c r="A31" s="98" t="s">
        <v>44</v>
      </c>
      <c r="B31" s="297" t="s">
        <v>190</v>
      </c>
      <c r="C31" s="34" t="s">
        <v>24</v>
      </c>
      <c r="D31" s="295"/>
      <c r="E31" s="292">
        <f>E29</f>
        <v>61.17</v>
      </c>
      <c r="F31" s="296"/>
      <c r="G31" s="288"/>
      <c r="H31" s="144"/>
    </row>
    <row r="32" spans="1:8" s="122" customFormat="1" ht="27.6" customHeight="1">
      <c r="A32" s="351"/>
      <c r="B32" s="282" t="s">
        <v>209</v>
      </c>
      <c r="C32" s="283"/>
      <c r="D32" s="284"/>
      <c r="E32" s="284"/>
      <c r="F32" s="285"/>
      <c r="G32" s="285"/>
      <c r="H32" s="123"/>
    </row>
    <row r="33" spans="1:8" s="122" customFormat="1" ht="32.4" hidden="1">
      <c r="A33" s="183"/>
      <c r="B33" s="129" t="s">
        <v>157</v>
      </c>
      <c r="C33" s="97" t="s">
        <v>25</v>
      </c>
      <c r="D33" s="155"/>
      <c r="E33" s="156">
        <v>12</v>
      </c>
      <c r="F33" s="130"/>
      <c r="G33" s="130"/>
      <c r="H33" s="123"/>
    </row>
    <row r="34" spans="1:8" s="122" customFormat="1" ht="32.4" customHeight="1">
      <c r="A34" s="179"/>
      <c r="B34" s="458" t="s">
        <v>211</v>
      </c>
      <c r="C34" s="459"/>
      <c r="D34" s="459"/>
      <c r="E34" s="459"/>
      <c r="F34" s="459"/>
      <c r="G34" s="460"/>
      <c r="H34" s="123"/>
    </row>
    <row r="35" spans="1:8" s="122" customFormat="1" ht="32.4">
      <c r="A35" s="429" t="s">
        <v>50</v>
      </c>
      <c r="B35" s="286" t="s">
        <v>100</v>
      </c>
      <c r="C35" s="34" t="s">
        <v>23</v>
      </c>
      <c r="D35" s="293"/>
      <c r="E35" s="287">
        <f>0.15*(0.1+0.1)*E33</f>
        <v>0.36</v>
      </c>
      <c r="F35" s="288"/>
      <c r="G35" s="288"/>
      <c r="H35" s="123"/>
    </row>
    <row r="36" spans="1:8" s="122" customFormat="1" ht="16.2">
      <c r="A36" s="430"/>
      <c r="B36" s="145" t="s">
        <v>22</v>
      </c>
      <c r="C36" s="146" t="s">
        <v>5</v>
      </c>
      <c r="D36" s="147">
        <v>2.06</v>
      </c>
      <c r="E36" s="147">
        <f>D36*E35</f>
        <v>0.74160000000000004</v>
      </c>
      <c r="F36" s="148"/>
      <c r="G36" s="130"/>
      <c r="H36" s="123"/>
    </row>
    <row r="37" spans="1:8" s="122" customFormat="1" ht="32.4">
      <c r="A37" s="448" t="s">
        <v>39</v>
      </c>
      <c r="B37" s="294" t="s">
        <v>87</v>
      </c>
      <c r="C37" s="34" t="s">
        <v>24</v>
      </c>
      <c r="D37" s="295"/>
      <c r="E37" s="292">
        <f>E35*1.95</f>
        <v>0.70199999999999996</v>
      </c>
      <c r="F37" s="296"/>
      <c r="G37" s="288"/>
      <c r="H37" s="123"/>
    </row>
    <row r="38" spans="1:8" s="122" customFormat="1" ht="16.2">
      <c r="A38" s="448"/>
      <c r="B38" s="143" t="s">
        <v>32</v>
      </c>
      <c r="C38" s="141" t="s">
        <v>5</v>
      </c>
      <c r="D38" s="137">
        <v>0.53</v>
      </c>
      <c r="E38" s="142">
        <f>E37*D38</f>
        <v>0.37206</v>
      </c>
      <c r="F38" s="139"/>
      <c r="G38" s="130"/>
      <c r="H38" s="123"/>
    </row>
    <row r="39" spans="1:8" s="122" customFormat="1" ht="32.4">
      <c r="A39" s="298" t="s">
        <v>51</v>
      </c>
      <c r="B39" s="149" t="s">
        <v>191</v>
      </c>
      <c r="C39" s="97" t="s">
        <v>24</v>
      </c>
      <c r="D39" s="137"/>
      <c r="E39" s="138">
        <f>E37</f>
        <v>0.70199999999999996</v>
      </c>
      <c r="F39" s="139"/>
      <c r="G39" s="130"/>
      <c r="H39" s="123"/>
    </row>
    <row r="40" spans="1:8" s="122" customFormat="1" ht="32.4">
      <c r="A40" s="448" t="s">
        <v>46</v>
      </c>
      <c r="B40" s="286" t="s">
        <v>104</v>
      </c>
      <c r="C40" s="34" t="s">
        <v>23</v>
      </c>
      <c r="D40" s="293"/>
      <c r="E40" s="287">
        <f>0.15*0.1*E33</f>
        <v>0.18</v>
      </c>
      <c r="F40" s="288"/>
      <c r="G40" s="288"/>
      <c r="H40" s="123"/>
    </row>
    <row r="41" spans="1:8" s="122" customFormat="1" ht="16.2">
      <c r="A41" s="448"/>
      <c r="B41" s="84" t="s">
        <v>8</v>
      </c>
      <c r="C41" s="98" t="s">
        <v>9</v>
      </c>
      <c r="D41" s="125">
        <v>3.52</v>
      </c>
      <c r="E41" s="150">
        <f>D41*E40</f>
        <v>0.63359999999999994</v>
      </c>
      <c r="F41" s="130"/>
      <c r="G41" s="130"/>
      <c r="H41" s="123"/>
    </row>
    <row r="42" spans="1:8" s="122" customFormat="1" ht="16.2">
      <c r="A42" s="448"/>
      <c r="B42" s="84" t="s">
        <v>12</v>
      </c>
      <c r="C42" s="98" t="s">
        <v>3</v>
      </c>
      <c r="D42" s="125">
        <v>1.06</v>
      </c>
      <c r="E42" s="150">
        <f>E40*D42</f>
        <v>0.1908</v>
      </c>
      <c r="F42" s="130"/>
      <c r="G42" s="130"/>
      <c r="H42" s="123"/>
    </row>
    <row r="43" spans="1:8" s="122" customFormat="1" ht="16.2">
      <c r="A43" s="448"/>
      <c r="B43" s="84" t="s">
        <v>103</v>
      </c>
      <c r="C43" s="98" t="s">
        <v>23</v>
      </c>
      <c r="D43" s="125">
        <f>0.18+0.09+0.97</f>
        <v>1.24</v>
      </c>
      <c r="E43" s="150">
        <f>D43*E40</f>
        <v>0.22319999999999998</v>
      </c>
      <c r="F43" s="130"/>
      <c r="G43" s="130"/>
      <c r="H43" s="123"/>
    </row>
    <row r="44" spans="1:8" s="122" customFormat="1" ht="16.2">
      <c r="A44" s="448"/>
      <c r="B44" s="151" t="s">
        <v>28</v>
      </c>
      <c r="C44" s="152" t="s">
        <v>3</v>
      </c>
      <c r="D44" s="125">
        <v>0.02</v>
      </c>
      <c r="E44" s="150">
        <f>E40*D44</f>
        <v>3.5999999999999999E-3</v>
      </c>
      <c r="F44" s="153"/>
      <c r="G44" s="130"/>
      <c r="H44" s="123"/>
    </row>
    <row r="45" spans="1:8" s="122" customFormat="1" ht="32.4">
      <c r="A45" s="431" t="s">
        <v>48</v>
      </c>
      <c r="B45" s="286" t="s">
        <v>157</v>
      </c>
      <c r="C45" s="34" t="s">
        <v>35</v>
      </c>
      <c r="D45" s="287"/>
      <c r="E45" s="287">
        <f>E33</f>
        <v>12</v>
      </c>
      <c r="F45" s="288"/>
      <c r="G45" s="288"/>
      <c r="H45" s="123"/>
    </row>
    <row r="46" spans="1:8" s="122" customFormat="1" ht="16.2">
      <c r="A46" s="431"/>
      <c r="B46" s="84" t="s">
        <v>8</v>
      </c>
      <c r="C46" s="98" t="s">
        <v>9</v>
      </c>
      <c r="D46" s="100">
        <v>1.1100000000000001</v>
      </c>
      <c r="E46" s="100">
        <f>D46*E45</f>
        <v>13.32</v>
      </c>
      <c r="F46" s="130"/>
      <c r="G46" s="130"/>
      <c r="H46" s="123"/>
    </row>
    <row r="47" spans="1:8" s="122" customFormat="1" ht="16.2">
      <c r="A47" s="431"/>
      <c r="B47" s="84" t="s">
        <v>4</v>
      </c>
      <c r="C47" s="98" t="s">
        <v>10</v>
      </c>
      <c r="D47" s="100">
        <f>0.71*0.01</f>
        <v>7.0999999999999995E-3</v>
      </c>
      <c r="E47" s="100">
        <f>D47*E45</f>
        <v>8.5199999999999998E-2</v>
      </c>
      <c r="F47" s="130"/>
      <c r="G47" s="130"/>
      <c r="H47" s="123"/>
    </row>
    <row r="48" spans="1:8" s="122" customFormat="1" ht="16.2">
      <c r="A48" s="431"/>
      <c r="B48" s="84" t="s">
        <v>158</v>
      </c>
      <c r="C48" s="98" t="s">
        <v>25</v>
      </c>
      <c r="D48" s="100">
        <v>1</v>
      </c>
      <c r="E48" s="101">
        <f>E45</f>
        <v>12</v>
      </c>
      <c r="F48" s="130"/>
      <c r="G48" s="130"/>
      <c r="H48" s="123"/>
    </row>
    <row r="49" spans="1:8" s="122" customFormat="1" ht="16.2">
      <c r="A49" s="431"/>
      <c r="B49" s="154" t="s">
        <v>60</v>
      </c>
      <c r="C49" s="98" t="s">
        <v>23</v>
      </c>
      <c r="D49" s="100">
        <v>3.9E-2</v>
      </c>
      <c r="E49" s="100">
        <f>E45*D49</f>
        <v>0.46799999999999997</v>
      </c>
      <c r="F49" s="130"/>
      <c r="G49" s="130"/>
      <c r="H49" s="123"/>
    </row>
    <row r="50" spans="1:8" s="122" customFormat="1" ht="16.2">
      <c r="A50" s="431"/>
      <c r="B50" s="84" t="s">
        <v>59</v>
      </c>
      <c r="C50" s="98" t="s">
        <v>23</v>
      </c>
      <c r="D50" s="100">
        <f>0.06*0.01</f>
        <v>5.9999999999999995E-4</v>
      </c>
      <c r="E50" s="100">
        <f>D50*E45</f>
        <v>7.1999999999999998E-3</v>
      </c>
      <c r="F50" s="130"/>
      <c r="G50" s="130"/>
      <c r="H50" s="123"/>
    </row>
    <row r="51" spans="1:8" s="122" customFormat="1" ht="16.2">
      <c r="A51" s="431"/>
      <c r="B51" s="84" t="s">
        <v>6</v>
      </c>
      <c r="C51" s="98" t="s">
        <v>3</v>
      </c>
      <c r="D51" s="100">
        <f>9.6*0.01</f>
        <v>9.6000000000000002E-2</v>
      </c>
      <c r="E51" s="100">
        <f>D51*E45</f>
        <v>1.1520000000000001</v>
      </c>
      <c r="F51" s="130"/>
      <c r="G51" s="130"/>
      <c r="H51" s="144"/>
    </row>
    <row r="52" spans="1:8" s="122" customFormat="1" ht="32.4" hidden="1">
      <c r="A52" s="183"/>
      <c r="B52" s="129" t="s">
        <v>159</v>
      </c>
      <c r="C52" s="97" t="s">
        <v>25</v>
      </c>
      <c r="D52" s="155"/>
      <c r="E52" s="156">
        <v>468</v>
      </c>
      <c r="F52" s="130"/>
      <c r="G52" s="130"/>
      <c r="H52" s="123"/>
    </row>
    <row r="53" spans="1:8" s="122" customFormat="1" ht="32.4" customHeight="1">
      <c r="A53" s="179"/>
      <c r="B53" s="458" t="s">
        <v>210</v>
      </c>
      <c r="C53" s="459"/>
      <c r="D53" s="459"/>
      <c r="E53" s="459"/>
      <c r="F53" s="459"/>
      <c r="G53" s="460"/>
      <c r="H53" s="123"/>
    </row>
    <row r="54" spans="1:8" s="122" customFormat="1" ht="32.4">
      <c r="A54" s="429" t="s">
        <v>50</v>
      </c>
      <c r="B54" s="286" t="s">
        <v>100</v>
      </c>
      <c r="C54" s="34" t="s">
        <v>23</v>
      </c>
      <c r="D54" s="293"/>
      <c r="E54" s="287">
        <f>0.25*(0.1+0.1)*E52</f>
        <v>23.400000000000002</v>
      </c>
      <c r="F54" s="288"/>
      <c r="G54" s="288"/>
      <c r="H54" s="123"/>
    </row>
    <row r="55" spans="1:8" s="122" customFormat="1" ht="16.2">
      <c r="A55" s="430"/>
      <c r="B55" s="145" t="s">
        <v>22</v>
      </c>
      <c r="C55" s="146" t="s">
        <v>5</v>
      </c>
      <c r="D55" s="147">
        <v>2.06</v>
      </c>
      <c r="E55" s="147">
        <f>D55*E54</f>
        <v>48.204000000000008</v>
      </c>
      <c r="F55" s="148"/>
      <c r="G55" s="130"/>
      <c r="H55" s="123"/>
    </row>
    <row r="56" spans="1:8" s="122" customFormat="1" ht="32.4">
      <c r="A56" s="461" t="s">
        <v>39</v>
      </c>
      <c r="B56" s="294" t="s">
        <v>87</v>
      </c>
      <c r="C56" s="34" t="s">
        <v>24</v>
      </c>
      <c r="D56" s="295"/>
      <c r="E56" s="292">
        <f>E54*1.95</f>
        <v>45.63</v>
      </c>
      <c r="F56" s="296"/>
      <c r="G56" s="288"/>
      <c r="H56" s="123"/>
    </row>
    <row r="57" spans="1:8" s="122" customFormat="1" ht="16.2">
      <c r="A57" s="462"/>
      <c r="B57" s="143" t="s">
        <v>32</v>
      </c>
      <c r="C57" s="141" t="s">
        <v>5</v>
      </c>
      <c r="D57" s="137">
        <v>0.53</v>
      </c>
      <c r="E57" s="142">
        <f>E56*D57</f>
        <v>24.183900000000001</v>
      </c>
      <c r="F57" s="139"/>
      <c r="G57" s="130"/>
      <c r="H57" s="123"/>
    </row>
    <row r="58" spans="1:8" s="122" customFormat="1" ht="32.4">
      <c r="A58" s="298" t="s">
        <v>51</v>
      </c>
      <c r="B58" s="149" t="s">
        <v>191</v>
      </c>
      <c r="C58" s="97" t="s">
        <v>24</v>
      </c>
      <c r="D58" s="137"/>
      <c r="E58" s="138">
        <f>E56</f>
        <v>45.63</v>
      </c>
      <c r="F58" s="139"/>
      <c r="G58" s="130"/>
      <c r="H58" s="123"/>
    </row>
    <row r="59" spans="1:8" s="122" customFormat="1" ht="32.4">
      <c r="A59" s="448" t="s">
        <v>46</v>
      </c>
      <c r="B59" s="286" t="s">
        <v>104</v>
      </c>
      <c r="C59" s="34" t="s">
        <v>19</v>
      </c>
      <c r="D59" s="293"/>
      <c r="E59" s="287">
        <f>0.25*0.1*E52</f>
        <v>11.700000000000001</v>
      </c>
      <c r="F59" s="288"/>
      <c r="G59" s="288"/>
      <c r="H59" s="123"/>
    </row>
    <row r="60" spans="1:8" s="122" customFormat="1" ht="16.2">
      <c r="A60" s="448"/>
      <c r="B60" s="84" t="s">
        <v>8</v>
      </c>
      <c r="C60" s="98" t="s">
        <v>9</v>
      </c>
      <c r="D60" s="125">
        <v>3.52</v>
      </c>
      <c r="E60" s="150">
        <f>D60*E59</f>
        <v>41.184000000000005</v>
      </c>
      <c r="F60" s="130"/>
      <c r="G60" s="130"/>
      <c r="H60" s="123"/>
    </row>
    <row r="61" spans="1:8" s="122" customFormat="1" ht="16.2">
      <c r="A61" s="448"/>
      <c r="B61" s="84" t="s">
        <v>12</v>
      </c>
      <c r="C61" s="98" t="s">
        <v>3</v>
      </c>
      <c r="D61" s="125">
        <v>1.06</v>
      </c>
      <c r="E61" s="150">
        <f>E59*D61</f>
        <v>12.402000000000001</v>
      </c>
      <c r="F61" s="130"/>
      <c r="G61" s="130"/>
      <c r="H61" s="123"/>
    </row>
    <row r="62" spans="1:8" s="122" customFormat="1" ht="16.2">
      <c r="A62" s="448"/>
      <c r="B62" s="84" t="s">
        <v>103</v>
      </c>
      <c r="C62" s="98" t="s">
        <v>23</v>
      </c>
      <c r="D62" s="125">
        <f>0.18+0.09+0.97</f>
        <v>1.24</v>
      </c>
      <c r="E62" s="150">
        <f>D62*E59</f>
        <v>14.508000000000001</v>
      </c>
      <c r="F62" s="130"/>
      <c r="G62" s="130"/>
      <c r="H62" s="123"/>
    </row>
    <row r="63" spans="1:8" s="122" customFormat="1" ht="16.2">
      <c r="A63" s="448"/>
      <c r="B63" s="151" t="s">
        <v>28</v>
      </c>
      <c r="C63" s="152" t="s">
        <v>3</v>
      </c>
      <c r="D63" s="125">
        <v>0.02</v>
      </c>
      <c r="E63" s="150">
        <f>E59*D63</f>
        <v>0.23400000000000001</v>
      </c>
      <c r="F63" s="153"/>
      <c r="G63" s="130"/>
      <c r="H63" s="123"/>
    </row>
    <row r="64" spans="1:8" s="122" customFormat="1" ht="32.4">
      <c r="A64" s="431" t="s">
        <v>48</v>
      </c>
      <c r="B64" s="286" t="s">
        <v>160</v>
      </c>
      <c r="C64" s="34" t="s">
        <v>35</v>
      </c>
      <c r="D64" s="287"/>
      <c r="E64" s="287">
        <f>E52</f>
        <v>468</v>
      </c>
      <c r="F64" s="288"/>
      <c r="G64" s="288"/>
      <c r="H64" s="123"/>
    </row>
    <row r="65" spans="1:8" s="122" customFormat="1" ht="16.2">
      <c r="A65" s="431"/>
      <c r="B65" s="84" t="s">
        <v>8</v>
      </c>
      <c r="C65" s="98" t="s">
        <v>9</v>
      </c>
      <c r="D65" s="100">
        <v>0.74</v>
      </c>
      <c r="E65" s="100">
        <f>D65*E64</f>
        <v>346.32</v>
      </c>
      <c r="F65" s="130"/>
      <c r="G65" s="130"/>
      <c r="H65" s="123"/>
    </row>
    <row r="66" spans="1:8" s="122" customFormat="1" ht="16.2">
      <c r="A66" s="431"/>
      <c r="B66" s="84" t="s">
        <v>4</v>
      </c>
      <c r="C66" s="98" t="s">
        <v>10</v>
      </c>
      <c r="D66" s="100">
        <f>0.71*0.01</f>
        <v>7.0999999999999995E-3</v>
      </c>
      <c r="E66" s="100">
        <f>D66*E64</f>
        <v>3.3228</v>
      </c>
      <c r="F66" s="130"/>
      <c r="G66" s="130"/>
      <c r="H66" s="123"/>
    </row>
    <row r="67" spans="1:8" s="122" customFormat="1" ht="16.2">
      <c r="A67" s="431"/>
      <c r="B67" s="84" t="s">
        <v>161</v>
      </c>
      <c r="C67" s="98" t="s">
        <v>25</v>
      </c>
      <c r="D67" s="100">
        <v>1</v>
      </c>
      <c r="E67" s="101">
        <f>E64</f>
        <v>468</v>
      </c>
      <c r="F67" s="130"/>
      <c r="G67" s="130"/>
      <c r="H67" s="123"/>
    </row>
    <row r="68" spans="1:8" s="122" customFormat="1" ht="16.2">
      <c r="A68" s="431"/>
      <c r="B68" s="154" t="s">
        <v>60</v>
      </c>
      <c r="C68" s="98" t="s">
        <v>23</v>
      </c>
      <c r="D68" s="100">
        <v>3.9E-2</v>
      </c>
      <c r="E68" s="100">
        <f>E64*D68</f>
        <v>18.251999999999999</v>
      </c>
      <c r="F68" s="130"/>
      <c r="G68" s="130"/>
      <c r="H68" s="123"/>
    </row>
    <row r="69" spans="1:8" s="122" customFormat="1" ht="16.2">
      <c r="A69" s="431"/>
      <c r="B69" s="84" t="s">
        <v>59</v>
      </c>
      <c r="C69" s="98" t="s">
        <v>23</v>
      </c>
      <c r="D69" s="100">
        <f>0.06*0.01</f>
        <v>5.9999999999999995E-4</v>
      </c>
      <c r="E69" s="100">
        <f>D69*E64</f>
        <v>0.28079999999999999</v>
      </c>
      <c r="F69" s="130"/>
      <c r="G69" s="130"/>
      <c r="H69" s="123"/>
    </row>
    <row r="70" spans="1:8" s="122" customFormat="1" ht="16.2">
      <c r="A70" s="431"/>
      <c r="B70" s="84" t="s">
        <v>6</v>
      </c>
      <c r="C70" s="98" t="s">
        <v>3</v>
      </c>
      <c r="D70" s="100">
        <f>9.6*0.01</f>
        <v>9.6000000000000002E-2</v>
      </c>
      <c r="E70" s="100">
        <f>D70*E64</f>
        <v>44.928000000000004</v>
      </c>
      <c r="F70" s="130"/>
      <c r="G70" s="130"/>
      <c r="H70" s="144"/>
    </row>
    <row r="71" spans="1:8" s="174" customFormat="1" ht="17.399999999999999" hidden="1">
      <c r="A71" s="152"/>
      <c r="B71" s="129" t="s">
        <v>162</v>
      </c>
      <c r="C71" s="161"/>
      <c r="D71" s="175"/>
      <c r="E71" s="107">
        <v>237</v>
      </c>
      <c r="F71" s="176"/>
      <c r="G71" s="160"/>
    </row>
    <row r="72" spans="1:8" s="180" customFormat="1" ht="31.8" customHeight="1">
      <c r="A72" s="299"/>
      <c r="B72" s="458" t="s">
        <v>162</v>
      </c>
      <c r="C72" s="459"/>
      <c r="D72" s="459"/>
      <c r="E72" s="459"/>
      <c r="F72" s="459"/>
      <c r="G72" s="460"/>
    </row>
    <row r="73" spans="1:8" s="174" customFormat="1" ht="32.4">
      <c r="A73" s="443" t="s">
        <v>50</v>
      </c>
      <c r="B73" s="300" t="s">
        <v>198</v>
      </c>
      <c r="C73" s="301" t="s">
        <v>23</v>
      </c>
      <c r="D73" s="302"/>
      <c r="E73" s="303">
        <f>E71*0.1</f>
        <v>23.700000000000003</v>
      </c>
      <c r="F73" s="304"/>
      <c r="G73" s="305"/>
    </row>
    <row r="74" spans="1:8" s="174" customFormat="1" ht="17.399999999999999">
      <c r="A74" s="453"/>
      <c r="B74" s="178" t="s">
        <v>20</v>
      </c>
      <c r="C74" s="163" t="s">
        <v>5</v>
      </c>
      <c r="D74" s="177">
        <v>3.88</v>
      </c>
      <c r="E74" s="105">
        <f>E73*D74</f>
        <v>91.956000000000003</v>
      </c>
      <c r="F74" s="160"/>
      <c r="G74" s="160"/>
    </row>
    <row r="75" spans="1:8" s="174" customFormat="1" ht="32.4">
      <c r="A75" s="431" t="s">
        <v>39</v>
      </c>
      <c r="B75" s="306" t="s">
        <v>87</v>
      </c>
      <c r="C75" s="307" t="s">
        <v>93</v>
      </c>
      <c r="D75" s="308"/>
      <c r="E75" s="309">
        <f>E73*1.95</f>
        <v>46.215000000000003</v>
      </c>
      <c r="F75" s="288"/>
      <c r="G75" s="288"/>
    </row>
    <row r="76" spans="1:8" s="174" customFormat="1" ht="17.399999999999999">
      <c r="A76" s="431"/>
      <c r="B76" s="165" t="s">
        <v>30</v>
      </c>
      <c r="C76" s="166" t="s">
        <v>5</v>
      </c>
      <c r="D76" s="167">
        <v>0.53</v>
      </c>
      <c r="E76" s="168">
        <f>E75*D76</f>
        <v>24.493950000000002</v>
      </c>
      <c r="F76" s="130"/>
      <c r="G76" s="130"/>
    </row>
    <row r="77" spans="1:8" s="174" customFormat="1" ht="32.4">
      <c r="A77" s="349" t="s">
        <v>51</v>
      </c>
      <c r="B77" s="149" t="s">
        <v>191</v>
      </c>
      <c r="C77" s="97" t="s">
        <v>24</v>
      </c>
      <c r="D77" s="169"/>
      <c r="E77" s="164">
        <f>E75</f>
        <v>46.215000000000003</v>
      </c>
      <c r="F77" s="130"/>
      <c r="G77" s="130"/>
    </row>
    <row r="78" spans="1:8" s="174" customFormat="1" ht="17.399999999999999">
      <c r="A78" s="450" t="s">
        <v>46</v>
      </c>
      <c r="B78" s="300" t="s">
        <v>196</v>
      </c>
      <c r="C78" s="301" t="s">
        <v>23</v>
      </c>
      <c r="D78" s="310"/>
      <c r="E78" s="303">
        <f>E71*0.1</f>
        <v>23.700000000000003</v>
      </c>
      <c r="F78" s="304"/>
      <c r="G78" s="305"/>
    </row>
    <row r="79" spans="1:8" s="174" customFormat="1" ht="17.399999999999999">
      <c r="A79" s="451"/>
      <c r="B79" s="84" t="s">
        <v>8</v>
      </c>
      <c r="C79" s="98" t="s">
        <v>9</v>
      </c>
      <c r="D79" s="125">
        <v>3.52</v>
      </c>
      <c r="E79" s="150">
        <f>D79*E78</f>
        <v>83.424000000000007</v>
      </c>
      <c r="F79" s="130"/>
      <c r="G79" s="130"/>
    </row>
    <row r="80" spans="1:8" s="174" customFormat="1" ht="17.399999999999999">
      <c r="A80" s="451"/>
      <c r="B80" s="84" t="s">
        <v>12</v>
      </c>
      <c r="C80" s="98" t="s">
        <v>3</v>
      </c>
      <c r="D80" s="125">
        <v>1.06</v>
      </c>
      <c r="E80" s="150">
        <f>E78*D80</f>
        <v>25.122000000000003</v>
      </c>
      <c r="F80" s="130"/>
      <c r="G80" s="130"/>
    </row>
    <row r="81" spans="1:13" s="174" customFormat="1" ht="17.399999999999999">
      <c r="A81" s="451"/>
      <c r="B81" s="84" t="s">
        <v>103</v>
      </c>
      <c r="C81" s="98" t="s">
        <v>23</v>
      </c>
      <c r="D81" s="125">
        <f>0.18+0.09+0.97</f>
        <v>1.24</v>
      </c>
      <c r="E81" s="150">
        <f>D81*E78</f>
        <v>29.388000000000002</v>
      </c>
      <c r="F81" s="130"/>
      <c r="G81" s="130"/>
    </row>
    <row r="82" spans="1:13" s="174" customFormat="1" ht="17.399999999999999">
      <c r="A82" s="452"/>
      <c r="B82" s="151" t="s">
        <v>28</v>
      </c>
      <c r="C82" s="152" t="s">
        <v>3</v>
      </c>
      <c r="D82" s="125">
        <v>0.02</v>
      </c>
      <c r="E82" s="150">
        <f>E78*D82</f>
        <v>0.47400000000000009</v>
      </c>
      <c r="F82" s="153"/>
      <c r="G82" s="130"/>
    </row>
    <row r="83" spans="1:13" s="174" customFormat="1" ht="32.4">
      <c r="A83" s="450" t="s">
        <v>48</v>
      </c>
      <c r="B83" s="311" t="s">
        <v>165</v>
      </c>
      <c r="C83" s="301" t="s">
        <v>23</v>
      </c>
      <c r="D83" s="312"/>
      <c r="E83" s="313">
        <f>E78</f>
        <v>23.700000000000003</v>
      </c>
      <c r="F83" s="314"/>
      <c r="G83" s="288"/>
    </row>
    <row r="84" spans="1:13" s="174" customFormat="1" ht="17.399999999999999">
      <c r="A84" s="451"/>
      <c r="B84" s="84" t="s">
        <v>8</v>
      </c>
      <c r="C84" s="98" t="s">
        <v>9</v>
      </c>
      <c r="D84" s="125">
        <v>0.13400000000000001</v>
      </c>
      <c r="E84" s="150">
        <f>D84*E83</f>
        <v>3.1758000000000006</v>
      </c>
      <c r="F84" s="130"/>
      <c r="G84" s="130"/>
    </row>
    <row r="85" spans="1:13" s="174" customFormat="1" ht="17.399999999999999">
      <c r="A85" s="452"/>
      <c r="B85" s="151" t="s">
        <v>166</v>
      </c>
      <c r="C85" s="152" t="s">
        <v>26</v>
      </c>
      <c r="D85" s="125">
        <v>0.13</v>
      </c>
      <c r="E85" s="150">
        <f>E83*D85</f>
        <v>3.0810000000000004</v>
      </c>
      <c r="F85" s="153"/>
      <c r="G85" s="130"/>
    </row>
    <row r="86" spans="1:13" s="174" customFormat="1" ht="32.4">
      <c r="A86" s="450" t="s">
        <v>49</v>
      </c>
      <c r="B86" s="300" t="s">
        <v>197</v>
      </c>
      <c r="C86" s="301" t="s">
        <v>23</v>
      </c>
      <c r="D86" s="302"/>
      <c r="E86" s="303">
        <f>E71*0.1</f>
        <v>23.700000000000003</v>
      </c>
      <c r="F86" s="305"/>
      <c r="G86" s="305"/>
      <c r="I86" s="449"/>
      <c r="J86" s="449"/>
      <c r="K86" s="449"/>
      <c r="L86" s="449"/>
      <c r="M86" s="449"/>
    </row>
    <row r="87" spans="1:13" s="174" customFormat="1" ht="17.399999999999999">
      <c r="A87" s="451"/>
      <c r="B87" s="181" t="s">
        <v>109</v>
      </c>
      <c r="C87" s="98" t="s">
        <v>9</v>
      </c>
      <c r="D87" s="182">
        <v>8.4</v>
      </c>
      <c r="E87" s="108">
        <f>D87*E86</f>
        <v>199.08000000000004</v>
      </c>
      <c r="F87" s="160"/>
      <c r="G87" s="160"/>
    </row>
    <row r="88" spans="1:13" s="174" customFormat="1" ht="17.399999999999999">
      <c r="A88" s="451"/>
      <c r="B88" s="172" t="s">
        <v>4</v>
      </c>
      <c r="C88" s="98" t="s">
        <v>3</v>
      </c>
      <c r="D88" s="182">
        <v>0.81</v>
      </c>
      <c r="E88" s="108">
        <f>D88*E86</f>
        <v>19.197000000000003</v>
      </c>
      <c r="F88" s="160"/>
      <c r="G88" s="160"/>
    </row>
    <row r="89" spans="1:13" s="174" customFormat="1" ht="17.399999999999999">
      <c r="A89" s="451"/>
      <c r="B89" s="181" t="s">
        <v>163</v>
      </c>
      <c r="C89" s="98" t="s">
        <v>23</v>
      </c>
      <c r="D89" s="182">
        <v>1.0149999999999999</v>
      </c>
      <c r="E89" s="108">
        <f>D89*E86</f>
        <v>24.055500000000002</v>
      </c>
      <c r="F89" s="160"/>
      <c r="G89" s="160"/>
    </row>
    <row r="90" spans="1:13" s="174" customFormat="1" ht="17.399999999999999">
      <c r="A90" s="451"/>
      <c r="B90" s="172" t="s">
        <v>187</v>
      </c>
      <c r="C90" s="98" t="s">
        <v>24</v>
      </c>
      <c r="D90" s="173">
        <v>1.03</v>
      </c>
      <c r="E90" s="105">
        <f>E71*16*1*1.03*0.222/1000</f>
        <v>0.86707872000000008</v>
      </c>
      <c r="F90" s="157"/>
      <c r="G90" s="157"/>
    </row>
    <row r="91" spans="1:13" s="174" customFormat="1" ht="17.399999999999999" hidden="1">
      <c r="A91" s="451"/>
      <c r="B91" s="172" t="s">
        <v>184</v>
      </c>
      <c r="C91" s="98" t="s">
        <v>24</v>
      </c>
      <c r="D91" s="173">
        <v>1.03</v>
      </c>
      <c r="E91" s="105">
        <f>E71*9*0.2*1.03*0.222/1000*   0</f>
        <v>0</v>
      </c>
      <c r="F91" s="157"/>
      <c r="G91" s="157"/>
    </row>
    <row r="92" spans="1:13" s="174" customFormat="1" ht="17.399999999999999">
      <c r="A92" s="452"/>
      <c r="B92" s="172" t="s">
        <v>6</v>
      </c>
      <c r="C92" s="98" t="s">
        <v>3</v>
      </c>
      <c r="D92" s="182">
        <v>0.62</v>
      </c>
      <c r="E92" s="108">
        <f>D92*E86</f>
        <v>14.694000000000001</v>
      </c>
      <c r="F92" s="160"/>
      <c r="G92" s="160"/>
    </row>
    <row r="93" spans="1:13" s="174" customFormat="1" ht="48.6">
      <c r="A93" s="463" t="s">
        <v>44</v>
      </c>
      <c r="B93" s="315" t="s">
        <v>164</v>
      </c>
      <c r="C93" s="34" t="s">
        <v>27</v>
      </c>
      <c r="D93" s="316"/>
      <c r="E93" s="303">
        <f>E71</f>
        <v>237</v>
      </c>
      <c r="F93" s="305"/>
      <c r="G93" s="305"/>
    </row>
    <row r="94" spans="1:13" s="174" customFormat="1" ht="17.399999999999999">
      <c r="A94" s="463"/>
      <c r="B94" s="181" t="s">
        <v>109</v>
      </c>
      <c r="C94" s="98" t="s">
        <v>9</v>
      </c>
      <c r="D94" s="182">
        <f>0.126+0.811</f>
        <v>0.93700000000000006</v>
      </c>
      <c r="E94" s="108">
        <f>D94*E93</f>
        <v>222.06900000000002</v>
      </c>
      <c r="F94" s="160"/>
      <c r="G94" s="160"/>
    </row>
    <row r="95" spans="1:13" s="174" customFormat="1" ht="17.399999999999999">
      <c r="A95" s="463"/>
      <c r="B95" s="172" t="s">
        <v>4</v>
      </c>
      <c r="C95" s="98" t="s">
        <v>3</v>
      </c>
      <c r="D95" s="182">
        <f>0.0008+0.013</f>
        <v>1.38E-2</v>
      </c>
      <c r="E95" s="108">
        <f>D95*E93</f>
        <v>3.2706</v>
      </c>
      <c r="F95" s="160"/>
      <c r="G95" s="160"/>
    </row>
    <row r="96" spans="1:13" s="174" customFormat="1" ht="32.4">
      <c r="A96" s="463"/>
      <c r="B96" s="172" t="s">
        <v>167</v>
      </c>
      <c r="C96" s="98" t="s">
        <v>1</v>
      </c>
      <c r="D96" s="184">
        <v>1</v>
      </c>
      <c r="E96" s="113">
        <f>E93*D96</f>
        <v>237</v>
      </c>
      <c r="F96" s="160"/>
      <c r="G96" s="160"/>
    </row>
    <row r="97" spans="1:8" s="174" customFormat="1" ht="17.399999999999999">
      <c r="A97" s="463"/>
      <c r="B97" s="172" t="s">
        <v>28</v>
      </c>
      <c r="C97" s="98" t="s">
        <v>3</v>
      </c>
      <c r="D97" s="184">
        <v>0.156</v>
      </c>
      <c r="E97" s="114">
        <f>E93*D97</f>
        <v>36.972000000000001</v>
      </c>
      <c r="F97" s="160"/>
      <c r="G97" s="160"/>
    </row>
    <row r="98" spans="1:8" s="122" customFormat="1" ht="64.8" hidden="1">
      <c r="A98" s="152"/>
      <c r="B98" s="129" t="s">
        <v>168</v>
      </c>
      <c r="C98" s="161"/>
      <c r="D98" s="175"/>
      <c r="E98" s="107">
        <v>90</v>
      </c>
      <c r="F98" s="130"/>
      <c r="G98" s="187"/>
      <c r="H98" s="144"/>
    </row>
    <row r="99" spans="1:8" s="122" customFormat="1" ht="64.8" customHeight="1">
      <c r="A99" s="299"/>
      <c r="B99" s="458" t="s">
        <v>168</v>
      </c>
      <c r="C99" s="459"/>
      <c r="D99" s="459"/>
      <c r="E99" s="459"/>
      <c r="F99" s="459"/>
      <c r="G99" s="460"/>
      <c r="H99" s="144"/>
    </row>
    <row r="100" spans="1:8" s="122" customFormat="1" ht="32.4">
      <c r="A100" s="443" t="s">
        <v>50</v>
      </c>
      <c r="B100" s="317" t="s">
        <v>198</v>
      </c>
      <c r="C100" s="301" t="s">
        <v>23</v>
      </c>
      <c r="D100" s="318"/>
      <c r="E100" s="303">
        <f>E98*0.1</f>
        <v>9</v>
      </c>
      <c r="F100" s="304"/>
      <c r="G100" s="305"/>
      <c r="H100" s="123"/>
    </row>
    <row r="101" spans="1:8" s="122" customFormat="1" ht="16.2">
      <c r="A101" s="444"/>
      <c r="B101" s="162" t="s">
        <v>20</v>
      </c>
      <c r="C101" s="163" t="s">
        <v>5</v>
      </c>
      <c r="D101" s="159">
        <v>3.88</v>
      </c>
      <c r="E101" s="159">
        <f>E100*D101</f>
        <v>34.92</v>
      </c>
      <c r="F101" s="160"/>
      <c r="G101" s="160"/>
      <c r="H101" s="123"/>
    </row>
    <row r="102" spans="1:8" s="122" customFormat="1" ht="32.4">
      <c r="A102" s="436" t="s">
        <v>39</v>
      </c>
      <c r="B102" s="306" t="s">
        <v>87</v>
      </c>
      <c r="C102" s="307" t="s">
        <v>93</v>
      </c>
      <c r="D102" s="319"/>
      <c r="E102" s="320">
        <f>E100*1.95</f>
        <v>17.55</v>
      </c>
      <c r="F102" s="321"/>
      <c r="G102" s="321"/>
      <c r="H102" s="123"/>
    </row>
    <row r="103" spans="1:8" s="122" customFormat="1" ht="16.2">
      <c r="A103" s="430"/>
      <c r="B103" s="165" t="s">
        <v>30</v>
      </c>
      <c r="C103" s="166" t="s">
        <v>5</v>
      </c>
      <c r="D103" s="189">
        <v>0.53</v>
      </c>
      <c r="E103" s="190">
        <f>E102*D103</f>
        <v>9.3015000000000008</v>
      </c>
      <c r="F103" s="157"/>
      <c r="G103" s="157"/>
      <c r="H103" s="123"/>
    </row>
    <row r="104" spans="1:8" s="122" customFormat="1" ht="32.4">
      <c r="A104" s="349" t="s">
        <v>51</v>
      </c>
      <c r="B104" s="149" t="s">
        <v>191</v>
      </c>
      <c r="C104" s="97" t="s">
        <v>24</v>
      </c>
      <c r="D104" s="158"/>
      <c r="E104" s="188">
        <f>E102</f>
        <v>17.55</v>
      </c>
      <c r="F104" s="157"/>
      <c r="G104" s="157"/>
      <c r="H104" s="123"/>
    </row>
    <row r="105" spans="1:8" s="122" customFormat="1" ht="32.4">
      <c r="A105" s="429" t="s">
        <v>46</v>
      </c>
      <c r="B105" s="315" t="s">
        <v>102</v>
      </c>
      <c r="C105" s="34" t="s">
        <v>23</v>
      </c>
      <c r="D105" s="322"/>
      <c r="E105" s="303">
        <f>E98*0.1</f>
        <v>9</v>
      </c>
      <c r="F105" s="321"/>
      <c r="G105" s="321"/>
      <c r="H105" s="123"/>
    </row>
    <row r="106" spans="1:8" s="122" customFormat="1" ht="16.2">
      <c r="A106" s="436"/>
      <c r="B106" s="84" t="s">
        <v>8</v>
      </c>
      <c r="C106" s="98" t="s">
        <v>9</v>
      </c>
      <c r="D106" s="158">
        <v>3.52</v>
      </c>
      <c r="E106" s="159">
        <f>D106*E105</f>
        <v>31.68</v>
      </c>
      <c r="F106" s="157"/>
      <c r="G106" s="157"/>
      <c r="H106" s="123"/>
    </row>
    <row r="107" spans="1:8" s="122" customFormat="1" ht="16.2">
      <c r="A107" s="436"/>
      <c r="B107" s="84" t="s">
        <v>12</v>
      </c>
      <c r="C107" s="98" t="s">
        <v>3</v>
      </c>
      <c r="D107" s="158">
        <v>1.06</v>
      </c>
      <c r="E107" s="159">
        <f>E105*D107</f>
        <v>9.5400000000000009</v>
      </c>
      <c r="F107" s="157"/>
      <c r="G107" s="157"/>
      <c r="H107" s="123"/>
    </row>
    <row r="108" spans="1:8" s="122" customFormat="1" ht="16.2">
      <c r="A108" s="436"/>
      <c r="B108" s="84" t="s">
        <v>103</v>
      </c>
      <c r="C108" s="98" t="s">
        <v>23</v>
      </c>
      <c r="D108" s="158">
        <f>0.18+0.09+0.97</f>
        <v>1.24</v>
      </c>
      <c r="E108" s="159">
        <f>D108*E105</f>
        <v>11.16</v>
      </c>
      <c r="F108" s="157"/>
      <c r="G108" s="157"/>
      <c r="H108" s="123"/>
    </row>
    <row r="109" spans="1:8" s="122" customFormat="1" ht="16.2">
      <c r="A109" s="430"/>
      <c r="B109" s="151" t="s">
        <v>28</v>
      </c>
      <c r="C109" s="152" t="s">
        <v>3</v>
      </c>
      <c r="D109" s="158">
        <v>0.02</v>
      </c>
      <c r="E109" s="159">
        <f>E105*D109</f>
        <v>0.18</v>
      </c>
      <c r="F109" s="160"/>
      <c r="G109" s="157"/>
      <c r="H109" s="123"/>
    </row>
    <row r="110" spans="1:8" s="122" customFormat="1" ht="16.2">
      <c r="A110" s="431" t="s">
        <v>48</v>
      </c>
      <c r="B110" s="454" t="s">
        <v>188</v>
      </c>
      <c r="C110" s="34" t="s">
        <v>27</v>
      </c>
      <c r="D110" s="324"/>
      <c r="E110" s="303">
        <f>E98</f>
        <v>90</v>
      </c>
      <c r="F110" s="325"/>
      <c r="G110" s="321"/>
      <c r="H110" s="123"/>
    </row>
    <row r="111" spans="1:8" s="122" customFormat="1" ht="16.2">
      <c r="A111" s="431"/>
      <c r="B111" s="454"/>
      <c r="C111" s="34" t="s">
        <v>23</v>
      </c>
      <c r="D111" s="324"/>
      <c r="E111" s="303">
        <f>E110*0.1</f>
        <v>9</v>
      </c>
      <c r="F111" s="325"/>
      <c r="G111" s="321"/>
      <c r="H111" s="123"/>
    </row>
    <row r="112" spans="1:8" s="122" customFormat="1" ht="16.2">
      <c r="A112" s="431"/>
      <c r="B112" s="172" t="s">
        <v>22</v>
      </c>
      <c r="C112" s="98" t="s">
        <v>5</v>
      </c>
      <c r="D112" s="158">
        <v>2.9</v>
      </c>
      <c r="E112" s="159">
        <f>E111*D112</f>
        <v>26.099999999999998</v>
      </c>
      <c r="F112" s="157"/>
      <c r="G112" s="157"/>
      <c r="H112" s="123"/>
    </row>
    <row r="113" spans="1:8" s="122" customFormat="1" ht="16.2">
      <c r="A113" s="431"/>
      <c r="B113" s="172" t="s">
        <v>140</v>
      </c>
      <c r="C113" s="98" t="s">
        <v>23</v>
      </c>
      <c r="D113" s="158">
        <v>1.02</v>
      </c>
      <c r="E113" s="159">
        <f>E111*D113</f>
        <v>9.18</v>
      </c>
      <c r="F113" s="191"/>
      <c r="G113" s="157"/>
      <c r="H113" s="123"/>
    </row>
    <row r="114" spans="1:8" s="122" customFormat="1" ht="16.2">
      <c r="A114" s="431"/>
      <c r="B114" s="172" t="s">
        <v>11</v>
      </c>
      <c r="C114" s="98" t="s">
        <v>3</v>
      </c>
      <c r="D114" s="158">
        <v>0.88</v>
      </c>
      <c r="E114" s="159">
        <f>E111*D114</f>
        <v>7.92</v>
      </c>
      <c r="F114" s="191"/>
      <c r="G114" s="157"/>
      <c r="H114" s="123"/>
    </row>
    <row r="115" spans="1:8" s="122" customFormat="1" ht="16.2">
      <c r="A115" s="431"/>
      <c r="B115" s="172" t="s">
        <v>194</v>
      </c>
      <c r="C115" s="98" t="s">
        <v>24</v>
      </c>
      <c r="D115" s="158"/>
      <c r="E115" s="159">
        <f>E110*12*1*1.03*0.222/1000</f>
        <v>0.24695280000000003</v>
      </c>
      <c r="F115" s="157"/>
      <c r="G115" s="157"/>
      <c r="H115" s="123"/>
    </row>
    <row r="116" spans="1:8" s="122" customFormat="1" ht="32.4">
      <c r="A116" s="455" t="s">
        <v>49</v>
      </c>
      <c r="B116" s="286" t="s">
        <v>169</v>
      </c>
      <c r="C116" s="326" t="s">
        <v>27</v>
      </c>
      <c r="D116" s="17"/>
      <c r="E116" s="287">
        <f>E98</f>
        <v>90</v>
      </c>
      <c r="F116" s="327"/>
      <c r="G116" s="327"/>
      <c r="H116" s="144"/>
    </row>
    <row r="117" spans="1:8" s="122" customFormat="1" ht="16.2">
      <c r="A117" s="456"/>
      <c r="B117" s="84" t="s">
        <v>145</v>
      </c>
      <c r="C117" s="98" t="s">
        <v>27</v>
      </c>
      <c r="D117" s="158">
        <v>1</v>
      </c>
      <c r="E117" s="158">
        <f>D117*E116</f>
        <v>90</v>
      </c>
      <c r="F117" s="192"/>
      <c r="G117" s="192"/>
      <c r="H117" s="144"/>
    </row>
    <row r="118" spans="1:8" s="122" customFormat="1" ht="16.2">
      <c r="A118" s="456"/>
      <c r="B118" s="84" t="s">
        <v>146</v>
      </c>
      <c r="C118" s="98" t="s">
        <v>3</v>
      </c>
      <c r="D118" s="158">
        <v>0.05</v>
      </c>
      <c r="E118" s="158">
        <f>D118*E116</f>
        <v>4.5</v>
      </c>
      <c r="F118" s="192"/>
      <c r="G118" s="192"/>
      <c r="H118" s="144"/>
    </row>
    <row r="119" spans="1:8" s="122" customFormat="1" ht="32.4">
      <c r="A119" s="456"/>
      <c r="B119" s="84" t="s">
        <v>172</v>
      </c>
      <c r="C119" s="98" t="s">
        <v>27</v>
      </c>
      <c r="D119" s="158">
        <v>1.05</v>
      </c>
      <c r="E119" s="158">
        <f>D119*E116</f>
        <v>94.5</v>
      </c>
      <c r="F119" s="157"/>
      <c r="G119" s="157"/>
      <c r="H119" s="144"/>
    </row>
    <row r="120" spans="1:8" s="122" customFormat="1" ht="16.2">
      <c r="A120" s="456"/>
      <c r="B120" s="84" t="s">
        <v>47</v>
      </c>
      <c r="C120" s="98" t="s">
        <v>23</v>
      </c>
      <c r="D120" s="158">
        <v>3.5000000000000003E-2</v>
      </c>
      <c r="E120" s="158">
        <f>D120*E116</f>
        <v>3.1500000000000004</v>
      </c>
      <c r="F120" s="157"/>
      <c r="G120" s="157"/>
      <c r="H120" s="144"/>
    </row>
    <row r="121" spans="1:8" s="122" customFormat="1" ht="16.2">
      <c r="A121" s="457"/>
      <c r="B121" s="84" t="s">
        <v>28</v>
      </c>
      <c r="C121" s="98" t="s">
        <v>14</v>
      </c>
      <c r="D121" s="158">
        <v>0.92</v>
      </c>
      <c r="E121" s="158">
        <f>D121*E116</f>
        <v>82.8</v>
      </c>
      <c r="F121" s="157"/>
      <c r="G121" s="157"/>
      <c r="H121" s="144"/>
    </row>
    <row r="122" spans="1:8" s="122" customFormat="1" ht="64.8" hidden="1">
      <c r="A122" s="152"/>
      <c r="B122" s="129" t="s">
        <v>170</v>
      </c>
      <c r="C122" s="161"/>
      <c r="D122" s="175"/>
      <c r="E122" s="107">
        <f>67+18</f>
        <v>85</v>
      </c>
      <c r="F122" s="130"/>
      <c r="G122" s="187"/>
      <c r="H122" s="144"/>
    </row>
    <row r="123" spans="1:8" s="122" customFormat="1" ht="64.8" customHeight="1">
      <c r="A123" s="299"/>
      <c r="B123" s="458" t="s">
        <v>170</v>
      </c>
      <c r="C123" s="459"/>
      <c r="D123" s="459"/>
      <c r="E123" s="459"/>
      <c r="F123" s="459"/>
      <c r="G123" s="460"/>
      <c r="H123" s="144"/>
    </row>
    <row r="124" spans="1:8" s="122" customFormat="1" ht="32.4">
      <c r="A124" s="443" t="s">
        <v>50</v>
      </c>
      <c r="B124" s="317" t="s">
        <v>198</v>
      </c>
      <c r="C124" s="301" t="s">
        <v>23</v>
      </c>
      <c r="D124" s="318"/>
      <c r="E124" s="303">
        <f>E122*0.1</f>
        <v>8.5</v>
      </c>
      <c r="F124" s="304"/>
      <c r="G124" s="305"/>
      <c r="H124" s="123"/>
    </row>
    <row r="125" spans="1:8" s="122" customFormat="1" ht="16.2">
      <c r="A125" s="444"/>
      <c r="B125" s="162" t="s">
        <v>20</v>
      </c>
      <c r="C125" s="163" t="s">
        <v>5</v>
      </c>
      <c r="D125" s="159">
        <v>3.88</v>
      </c>
      <c r="E125" s="159">
        <f>E124*D125</f>
        <v>32.979999999999997</v>
      </c>
      <c r="F125" s="160"/>
      <c r="G125" s="160"/>
      <c r="H125" s="123"/>
    </row>
    <row r="126" spans="1:8" s="122" customFormat="1" ht="32.4">
      <c r="A126" s="436" t="s">
        <v>39</v>
      </c>
      <c r="B126" s="306" t="s">
        <v>87</v>
      </c>
      <c r="C126" s="307" t="s">
        <v>93</v>
      </c>
      <c r="D126" s="319"/>
      <c r="E126" s="320">
        <f>E124*1.95</f>
        <v>16.574999999999999</v>
      </c>
      <c r="F126" s="321"/>
      <c r="G126" s="321"/>
      <c r="H126" s="123"/>
    </row>
    <row r="127" spans="1:8" s="122" customFormat="1" ht="16.2">
      <c r="A127" s="430"/>
      <c r="B127" s="165" t="s">
        <v>30</v>
      </c>
      <c r="C127" s="166" t="s">
        <v>5</v>
      </c>
      <c r="D127" s="189">
        <v>0.53</v>
      </c>
      <c r="E127" s="190">
        <f>E126*D127</f>
        <v>8.7847500000000007</v>
      </c>
      <c r="F127" s="157"/>
      <c r="G127" s="157"/>
      <c r="H127" s="123"/>
    </row>
    <row r="128" spans="1:8" s="122" customFormat="1" ht="32.4">
      <c r="A128" s="349" t="s">
        <v>51</v>
      </c>
      <c r="B128" s="149" t="s">
        <v>191</v>
      </c>
      <c r="C128" s="97" t="s">
        <v>24</v>
      </c>
      <c r="D128" s="188"/>
      <c r="E128" s="188">
        <f>E126</f>
        <v>16.574999999999999</v>
      </c>
      <c r="F128" s="157"/>
      <c r="G128" s="157"/>
      <c r="H128" s="123"/>
    </row>
    <row r="129" spans="1:9" s="122" customFormat="1" ht="32.4">
      <c r="A129" s="429" t="s">
        <v>46</v>
      </c>
      <c r="B129" s="315" t="s">
        <v>102</v>
      </c>
      <c r="C129" s="34" t="s">
        <v>23</v>
      </c>
      <c r="D129" s="324"/>
      <c r="E129" s="303">
        <f>E122*0.1</f>
        <v>8.5</v>
      </c>
      <c r="F129" s="321"/>
      <c r="G129" s="321"/>
      <c r="H129" s="123"/>
    </row>
    <row r="130" spans="1:9" s="122" customFormat="1" ht="16.2">
      <c r="A130" s="436"/>
      <c r="B130" s="84" t="s">
        <v>8</v>
      </c>
      <c r="C130" s="98" t="s">
        <v>9</v>
      </c>
      <c r="D130" s="158">
        <v>3.52</v>
      </c>
      <c r="E130" s="159">
        <f>D130*E129</f>
        <v>29.92</v>
      </c>
      <c r="F130" s="157"/>
      <c r="G130" s="157"/>
      <c r="H130" s="123"/>
    </row>
    <row r="131" spans="1:9" s="122" customFormat="1" ht="16.2">
      <c r="A131" s="436"/>
      <c r="B131" s="84" t="s">
        <v>12</v>
      </c>
      <c r="C131" s="98" t="s">
        <v>3</v>
      </c>
      <c r="D131" s="158">
        <v>1.06</v>
      </c>
      <c r="E131" s="159">
        <f>E129*D131</f>
        <v>9.01</v>
      </c>
      <c r="F131" s="157"/>
      <c r="G131" s="157"/>
      <c r="H131" s="123"/>
    </row>
    <row r="132" spans="1:9" s="122" customFormat="1" ht="16.2">
      <c r="A132" s="436"/>
      <c r="B132" s="84" t="s">
        <v>103</v>
      </c>
      <c r="C132" s="98" t="s">
        <v>23</v>
      </c>
      <c r="D132" s="158">
        <f>0.18+0.09+0.97</f>
        <v>1.24</v>
      </c>
      <c r="E132" s="159">
        <f>D132*E129</f>
        <v>10.54</v>
      </c>
      <c r="F132" s="157"/>
      <c r="G132" s="157"/>
      <c r="H132" s="123"/>
    </row>
    <row r="133" spans="1:9" s="122" customFormat="1" ht="16.2">
      <c r="A133" s="430"/>
      <c r="B133" s="151" t="s">
        <v>28</v>
      </c>
      <c r="C133" s="152" t="s">
        <v>3</v>
      </c>
      <c r="D133" s="158">
        <v>0.02</v>
      </c>
      <c r="E133" s="159">
        <f>E129*D133</f>
        <v>0.17</v>
      </c>
      <c r="F133" s="160"/>
      <c r="G133" s="157"/>
      <c r="H133" s="123"/>
    </row>
    <row r="134" spans="1:9" s="122" customFormat="1" ht="16.2">
      <c r="A134" s="431" t="s">
        <v>48</v>
      </c>
      <c r="B134" s="454" t="s">
        <v>188</v>
      </c>
      <c r="C134" s="34" t="s">
        <v>27</v>
      </c>
      <c r="D134" s="324"/>
      <c r="E134" s="303">
        <f>E122</f>
        <v>85</v>
      </c>
      <c r="F134" s="325"/>
      <c r="G134" s="321"/>
      <c r="H134" s="123"/>
    </row>
    <row r="135" spans="1:9" s="122" customFormat="1" ht="16.2">
      <c r="A135" s="431"/>
      <c r="B135" s="454"/>
      <c r="C135" s="34" t="s">
        <v>23</v>
      </c>
      <c r="D135" s="324"/>
      <c r="E135" s="303">
        <f>E134*0.1</f>
        <v>8.5</v>
      </c>
      <c r="F135" s="325"/>
      <c r="G135" s="321"/>
      <c r="H135" s="123"/>
    </row>
    <row r="136" spans="1:9" s="122" customFormat="1" ht="16.2">
      <c r="A136" s="431"/>
      <c r="B136" s="172" t="s">
        <v>22</v>
      </c>
      <c r="C136" s="98" t="s">
        <v>5</v>
      </c>
      <c r="D136" s="158">
        <v>2.9</v>
      </c>
      <c r="E136" s="159">
        <f>E135*D136</f>
        <v>24.65</v>
      </c>
      <c r="F136" s="157"/>
      <c r="G136" s="157"/>
      <c r="H136" s="123"/>
      <c r="I136" s="193"/>
    </row>
    <row r="137" spans="1:9" s="122" customFormat="1" ht="16.2">
      <c r="A137" s="431"/>
      <c r="B137" s="172" t="s">
        <v>140</v>
      </c>
      <c r="C137" s="98" t="s">
        <v>23</v>
      </c>
      <c r="D137" s="158">
        <v>1.02</v>
      </c>
      <c r="E137" s="159">
        <f>E135*D137</f>
        <v>8.67</v>
      </c>
      <c r="F137" s="191"/>
      <c r="G137" s="157"/>
      <c r="H137" s="123"/>
    </row>
    <row r="138" spans="1:9" s="122" customFormat="1" ht="16.2">
      <c r="A138" s="431"/>
      <c r="B138" s="172" t="s">
        <v>11</v>
      </c>
      <c r="C138" s="98" t="s">
        <v>3</v>
      </c>
      <c r="D138" s="158">
        <v>0.88</v>
      </c>
      <c r="E138" s="159">
        <f>E135*D138</f>
        <v>7.48</v>
      </c>
      <c r="F138" s="191"/>
      <c r="G138" s="157"/>
      <c r="H138" s="123"/>
    </row>
    <row r="139" spans="1:9" s="122" customFormat="1" ht="16.2">
      <c r="A139" s="431"/>
      <c r="B139" s="172" t="s">
        <v>195</v>
      </c>
      <c r="C139" s="98" t="s">
        <v>24</v>
      </c>
      <c r="D139" s="158"/>
      <c r="E139" s="328">
        <f>E134*12*1*1.03*0.222/1000</f>
        <v>0.23323320000000003</v>
      </c>
      <c r="F139" s="157"/>
      <c r="G139" s="157"/>
      <c r="H139" s="123"/>
    </row>
    <row r="140" spans="1:9" s="122" customFormat="1" ht="32.4">
      <c r="A140" s="455" t="s">
        <v>49</v>
      </c>
      <c r="B140" s="286" t="s">
        <v>171</v>
      </c>
      <c r="C140" s="326" t="s">
        <v>27</v>
      </c>
      <c r="D140" s="17"/>
      <c r="E140" s="287">
        <f>E122</f>
        <v>85</v>
      </c>
      <c r="F140" s="327"/>
      <c r="G140" s="327"/>
      <c r="H140" s="144"/>
    </row>
    <row r="141" spans="1:9" s="122" customFormat="1" ht="16.2">
      <c r="A141" s="456"/>
      <c r="B141" s="84" t="s">
        <v>145</v>
      </c>
      <c r="C141" s="98" t="s">
        <v>27</v>
      </c>
      <c r="D141" s="158">
        <v>1</v>
      </c>
      <c r="E141" s="158">
        <f>D141*E140</f>
        <v>85</v>
      </c>
      <c r="F141" s="192"/>
      <c r="G141" s="192"/>
      <c r="H141" s="144"/>
    </row>
    <row r="142" spans="1:9" s="122" customFormat="1" ht="16.2">
      <c r="A142" s="456"/>
      <c r="B142" s="84" t="s">
        <v>146</v>
      </c>
      <c r="C142" s="98" t="s">
        <v>3</v>
      </c>
      <c r="D142" s="158">
        <v>0.05</v>
      </c>
      <c r="E142" s="158">
        <f>D142*E140</f>
        <v>4.25</v>
      </c>
      <c r="F142" s="192"/>
      <c r="G142" s="192"/>
      <c r="H142" s="144"/>
    </row>
    <row r="143" spans="1:9" s="122" customFormat="1" ht="48.6">
      <c r="A143" s="456"/>
      <c r="B143" s="84" t="s">
        <v>186</v>
      </c>
      <c r="C143" s="98" t="s">
        <v>27</v>
      </c>
      <c r="D143" s="158">
        <v>1.1000000000000001</v>
      </c>
      <c r="E143" s="158">
        <f>67*D143</f>
        <v>73.7</v>
      </c>
      <c r="F143" s="157"/>
      <c r="G143" s="157"/>
      <c r="H143" s="144"/>
    </row>
    <row r="144" spans="1:9" s="122" customFormat="1" ht="32.4">
      <c r="A144" s="456"/>
      <c r="B144" s="84" t="s">
        <v>185</v>
      </c>
      <c r="C144" s="98" t="s">
        <v>27</v>
      </c>
      <c r="D144" s="158">
        <v>1.1000000000000001</v>
      </c>
      <c r="E144" s="158">
        <f>18*D144</f>
        <v>19.8</v>
      </c>
      <c r="F144" s="157"/>
      <c r="G144" s="157"/>
      <c r="H144" s="144"/>
    </row>
    <row r="145" spans="1:8" s="122" customFormat="1" ht="16.2">
      <c r="A145" s="456"/>
      <c r="B145" s="84" t="s">
        <v>47</v>
      </c>
      <c r="C145" s="98" t="s">
        <v>23</v>
      </c>
      <c r="D145" s="158">
        <v>3.5000000000000003E-2</v>
      </c>
      <c r="E145" s="158">
        <f>D145*E140</f>
        <v>2.9750000000000001</v>
      </c>
      <c r="F145" s="157"/>
      <c r="G145" s="157"/>
      <c r="H145" s="144"/>
    </row>
    <row r="146" spans="1:8" s="122" customFormat="1" ht="16.2">
      <c r="A146" s="457"/>
      <c r="B146" s="84" t="s">
        <v>28</v>
      </c>
      <c r="C146" s="98" t="s">
        <v>14</v>
      </c>
      <c r="D146" s="158">
        <v>0.92</v>
      </c>
      <c r="E146" s="158">
        <f>D146*E140</f>
        <v>78.2</v>
      </c>
      <c r="F146" s="157"/>
      <c r="G146" s="157"/>
      <c r="H146" s="144"/>
    </row>
    <row r="147" spans="1:8" s="122" customFormat="1" ht="48.6" customHeight="1">
      <c r="A147" s="152"/>
      <c r="B147" s="458" t="s">
        <v>181</v>
      </c>
      <c r="C147" s="459"/>
      <c r="D147" s="459"/>
      <c r="E147" s="459"/>
      <c r="F147" s="459"/>
      <c r="G147" s="460"/>
      <c r="H147" s="144"/>
    </row>
    <row r="148" spans="1:8" s="122" customFormat="1" ht="32.4">
      <c r="A148" s="429" t="s">
        <v>50</v>
      </c>
      <c r="B148" s="315" t="s">
        <v>182</v>
      </c>
      <c r="C148" s="34" t="s">
        <v>23</v>
      </c>
      <c r="D148" s="324"/>
      <c r="E148" s="303">
        <f>450*0.05</f>
        <v>22.5</v>
      </c>
      <c r="F148" s="321"/>
      <c r="G148" s="321"/>
      <c r="H148" s="144"/>
    </row>
    <row r="149" spans="1:8" s="122" customFormat="1" ht="16.2">
      <c r="A149" s="436"/>
      <c r="B149" s="84" t="s">
        <v>8</v>
      </c>
      <c r="C149" s="98" t="s">
        <v>9</v>
      </c>
      <c r="D149" s="158">
        <v>3.52</v>
      </c>
      <c r="E149" s="159">
        <f>D149*E148</f>
        <v>79.2</v>
      </c>
      <c r="F149" s="157"/>
      <c r="G149" s="157"/>
      <c r="H149" s="144"/>
    </row>
    <row r="150" spans="1:8" s="122" customFormat="1" ht="16.2">
      <c r="A150" s="436"/>
      <c r="B150" s="84" t="s">
        <v>12</v>
      </c>
      <c r="C150" s="98" t="s">
        <v>3</v>
      </c>
      <c r="D150" s="158">
        <v>1.06</v>
      </c>
      <c r="E150" s="159">
        <f>E148*D150</f>
        <v>23.85</v>
      </c>
      <c r="F150" s="157"/>
      <c r="G150" s="157"/>
      <c r="H150" s="144"/>
    </row>
    <row r="151" spans="1:8" s="122" customFormat="1" ht="16.2">
      <c r="A151" s="436"/>
      <c r="B151" s="84" t="s">
        <v>183</v>
      </c>
      <c r="C151" s="98" t="s">
        <v>23</v>
      </c>
      <c r="D151" s="158">
        <f>0.18+0.09+0.97</f>
        <v>1.24</v>
      </c>
      <c r="E151" s="159">
        <f>D151*E148</f>
        <v>27.9</v>
      </c>
      <c r="F151" s="157"/>
      <c r="G151" s="157"/>
      <c r="H151" s="144"/>
    </row>
    <row r="152" spans="1:8" s="122" customFormat="1" ht="16.2">
      <c r="A152" s="430"/>
      <c r="B152" s="151" t="s">
        <v>28</v>
      </c>
      <c r="C152" s="152" t="s">
        <v>3</v>
      </c>
      <c r="D152" s="158">
        <v>0.02</v>
      </c>
      <c r="E152" s="159">
        <f>E148*D152</f>
        <v>0.45</v>
      </c>
      <c r="F152" s="160"/>
      <c r="G152" s="157"/>
      <c r="H152" s="144"/>
    </row>
    <row r="153" spans="1:8" s="122" customFormat="1" ht="25.2" hidden="1" customHeight="1">
      <c r="A153" s="352"/>
      <c r="B153" s="194" t="s">
        <v>110</v>
      </c>
      <c r="C153" s="97" t="s">
        <v>27</v>
      </c>
      <c r="D153" s="195"/>
      <c r="E153" s="101">
        <v>250</v>
      </c>
      <c r="F153" s="130"/>
      <c r="G153" s="130"/>
      <c r="H153" s="196"/>
    </row>
    <row r="154" spans="1:8" s="122" customFormat="1" ht="25.2" customHeight="1">
      <c r="A154" s="353"/>
      <c r="B154" s="458" t="s">
        <v>212</v>
      </c>
      <c r="C154" s="459"/>
      <c r="D154" s="459"/>
      <c r="E154" s="459"/>
      <c r="F154" s="459"/>
      <c r="G154" s="460"/>
      <c r="H154" s="196"/>
    </row>
    <row r="155" spans="1:8" s="122" customFormat="1" ht="16.2">
      <c r="A155" s="429" t="s">
        <v>50</v>
      </c>
      <c r="B155" s="286" t="s">
        <v>111</v>
      </c>
      <c r="C155" s="34" t="s">
        <v>27</v>
      </c>
      <c r="D155" s="312"/>
      <c r="E155" s="287">
        <f>E153</f>
        <v>250</v>
      </c>
      <c r="F155" s="288"/>
      <c r="G155" s="288"/>
      <c r="H155" s="196"/>
    </row>
    <row r="156" spans="1:8" s="122" customFormat="1" ht="16.2">
      <c r="A156" s="436"/>
      <c r="B156" s="197" t="s">
        <v>112</v>
      </c>
      <c r="C156" s="198" t="s">
        <v>26</v>
      </c>
      <c r="D156" s="199">
        <v>2.7999999999999998E-4</v>
      </c>
      <c r="E156" s="168">
        <f>E155*D156</f>
        <v>6.9999999999999993E-2</v>
      </c>
      <c r="F156" s="200"/>
      <c r="G156" s="130"/>
      <c r="H156" s="196"/>
    </row>
    <row r="157" spans="1:8" s="122" customFormat="1" ht="32.4">
      <c r="A157" s="429" t="s">
        <v>39</v>
      </c>
      <c r="B157" s="286" t="s">
        <v>113</v>
      </c>
      <c r="C157" s="34" t="s">
        <v>114</v>
      </c>
      <c r="D157" s="312"/>
      <c r="E157" s="287">
        <f>E153*0.2</f>
        <v>50</v>
      </c>
      <c r="F157" s="288"/>
      <c r="G157" s="288"/>
      <c r="H157" s="196"/>
    </row>
    <row r="158" spans="1:8" s="122" customFormat="1" ht="16.2">
      <c r="A158" s="436"/>
      <c r="B158" s="84" t="s">
        <v>109</v>
      </c>
      <c r="C158" s="98" t="s">
        <v>5</v>
      </c>
      <c r="D158" s="125">
        <v>0.15</v>
      </c>
      <c r="E158" s="100">
        <f>D158*E157</f>
        <v>7.5</v>
      </c>
      <c r="F158" s="130"/>
      <c r="G158" s="130"/>
      <c r="H158" s="196"/>
    </row>
    <row r="159" spans="1:8" s="122" customFormat="1" ht="16.2">
      <c r="A159" s="436"/>
      <c r="B159" s="201" t="s">
        <v>115</v>
      </c>
      <c r="C159" s="202" t="s">
        <v>26</v>
      </c>
      <c r="D159" s="125">
        <v>2.4199999999999999E-2</v>
      </c>
      <c r="E159" s="100">
        <f>D159*E157</f>
        <v>1.21</v>
      </c>
      <c r="F159" s="130"/>
      <c r="G159" s="130"/>
      <c r="H159" s="196"/>
    </row>
    <row r="160" spans="1:8" s="122" customFormat="1" ht="16.2">
      <c r="A160" s="436"/>
      <c r="B160" s="201" t="s">
        <v>116</v>
      </c>
      <c r="C160" s="202" t="s">
        <v>26</v>
      </c>
      <c r="D160" s="125">
        <v>4.1000000000000003E-3</v>
      </c>
      <c r="E160" s="100">
        <f>D160*E157</f>
        <v>0.20500000000000002</v>
      </c>
      <c r="F160" s="130"/>
      <c r="G160" s="130"/>
      <c r="H160" s="196"/>
    </row>
    <row r="161" spans="1:8" s="122" customFormat="1" ht="16.2">
      <c r="A161" s="436"/>
      <c r="B161" s="201" t="s">
        <v>117</v>
      </c>
      <c r="C161" s="202" t="s">
        <v>26</v>
      </c>
      <c r="D161" s="125">
        <v>0.19</v>
      </c>
      <c r="E161" s="100">
        <f>D161*E157</f>
        <v>9.5</v>
      </c>
      <c r="F161" s="130"/>
      <c r="G161" s="130"/>
      <c r="H161" s="196"/>
    </row>
    <row r="162" spans="1:8" s="122" customFormat="1" ht="16.2">
      <c r="A162" s="436"/>
      <c r="B162" s="201" t="s">
        <v>118</v>
      </c>
      <c r="C162" s="202" t="s">
        <v>26</v>
      </c>
      <c r="D162" s="125">
        <v>2.07E-2</v>
      </c>
      <c r="E162" s="100">
        <f>D162*E157</f>
        <v>1.0349999999999999</v>
      </c>
      <c r="F162" s="130"/>
      <c r="G162" s="130"/>
      <c r="H162" s="196"/>
    </row>
    <row r="163" spans="1:8" s="122" customFormat="1" ht="16.2">
      <c r="A163" s="436"/>
      <c r="B163" s="84" t="s">
        <v>119</v>
      </c>
      <c r="C163" s="202" t="s">
        <v>26</v>
      </c>
      <c r="D163" s="125">
        <v>5.2999999999999998E-4</v>
      </c>
      <c r="E163" s="100">
        <f>D163*E157</f>
        <v>2.6499999999999999E-2</v>
      </c>
      <c r="F163" s="130"/>
      <c r="G163" s="130"/>
      <c r="H163" s="196"/>
    </row>
    <row r="164" spans="1:8" s="122" customFormat="1" ht="16.2">
      <c r="A164" s="436"/>
      <c r="B164" s="84" t="s">
        <v>189</v>
      </c>
      <c r="C164" s="98" t="s">
        <v>23</v>
      </c>
      <c r="D164" s="125">
        <v>1.53</v>
      </c>
      <c r="E164" s="100">
        <f>D164*E157</f>
        <v>76.5</v>
      </c>
      <c r="F164" s="130"/>
      <c r="G164" s="130"/>
      <c r="H164" s="196"/>
    </row>
    <row r="165" spans="1:8" s="122" customFormat="1" ht="16.2">
      <c r="A165" s="430"/>
      <c r="B165" s="84" t="s">
        <v>55</v>
      </c>
      <c r="C165" s="98" t="s">
        <v>23</v>
      </c>
      <c r="D165" s="125">
        <v>0.14899999999999999</v>
      </c>
      <c r="E165" s="100">
        <f>D165*E157</f>
        <v>7.4499999999999993</v>
      </c>
      <c r="F165" s="130"/>
      <c r="G165" s="130"/>
      <c r="H165" s="196"/>
    </row>
    <row r="166" spans="1:8" s="122" customFormat="1" ht="16.2">
      <c r="A166" s="465" t="s">
        <v>51</v>
      </c>
      <c r="B166" s="329" t="s">
        <v>120</v>
      </c>
      <c r="C166" s="330" t="s">
        <v>121</v>
      </c>
      <c r="D166" s="331"/>
      <c r="E166" s="287">
        <f>E153*0.0006</f>
        <v>0.15</v>
      </c>
      <c r="F166" s="332"/>
      <c r="G166" s="288"/>
      <c r="H166" s="196"/>
    </row>
    <row r="167" spans="1:8" s="122" customFormat="1" ht="16.2">
      <c r="A167" s="466"/>
      <c r="B167" s="205" t="s">
        <v>122</v>
      </c>
      <c r="C167" s="203" t="s">
        <v>10</v>
      </c>
      <c r="D167" s="204">
        <v>0.3</v>
      </c>
      <c r="E167" s="206">
        <f>E166*D167</f>
        <v>4.4999999999999998E-2</v>
      </c>
      <c r="F167" s="171"/>
      <c r="G167" s="130"/>
      <c r="H167" s="196"/>
    </row>
    <row r="168" spans="1:8" s="122" customFormat="1" ht="16.2">
      <c r="A168" s="467"/>
      <c r="B168" s="207" t="s">
        <v>123</v>
      </c>
      <c r="C168" s="208" t="s">
        <v>121</v>
      </c>
      <c r="D168" s="209">
        <v>1.03</v>
      </c>
      <c r="E168" s="210">
        <f>E166*D168</f>
        <v>0.1545</v>
      </c>
      <c r="F168" s="171"/>
      <c r="G168" s="130"/>
      <c r="H168" s="196"/>
    </row>
    <row r="169" spans="1:8" s="122" customFormat="1" ht="32.4">
      <c r="A169" s="445" t="s">
        <v>46</v>
      </c>
      <c r="B169" s="333" t="s">
        <v>124</v>
      </c>
      <c r="C169" s="334" t="s">
        <v>125</v>
      </c>
      <c r="D169" s="335"/>
      <c r="E169" s="336">
        <f>E153/100</f>
        <v>2.5</v>
      </c>
      <c r="F169" s="337"/>
      <c r="G169" s="288"/>
      <c r="H169" s="196"/>
    </row>
    <row r="170" spans="1:8" s="122" customFormat="1" ht="16.2">
      <c r="A170" s="446"/>
      <c r="B170" s="212" t="s">
        <v>8</v>
      </c>
      <c r="C170" s="185" t="s">
        <v>5</v>
      </c>
      <c r="D170" s="211">
        <f>(3.75)</f>
        <v>3.75</v>
      </c>
      <c r="E170" s="213">
        <f>E169*D170</f>
        <v>9.375</v>
      </c>
      <c r="F170" s="214"/>
      <c r="G170" s="130"/>
      <c r="H170" s="196"/>
    </row>
    <row r="171" spans="1:8" s="122" customFormat="1" ht="16.2">
      <c r="A171" s="446"/>
      <c r="B171" s="212" t="s">
        <v>126</v>
      </c>
      <c r="C171" s="185" t="s">
        <v>10</v>
      </c>
      <c r="D171" s="211">
        <v>0.30199999999999999</v>
      </c>
      <c r="E171" s="213">
        <f>E169*D171</f>
        <v>0.755</v>
      </c>
      <c r="F171" s="186"/>
      <c r="G171" s="130"/>
      <c r="H171" s="196"/>
    </row>
    <row r="172" spans="1:8" s="122" customFormat="1" ht="16.2">
      <c r="A172" s="446"/>
      <c r="B172" s="212" t="s">
        <v>127</v>
      </c>
      <c r="C172" s="185" t="s">
        <v>10</v>
      </c>
      <c r="D172" s="211">
        <v>0.37</v>
      </c>
      <c r="E172" s="213">
        <f>E169*D172</f>
        <v>0.92500000000000004</v>
      </c>
      <c r="F172" s="186"/>
      <c r="G172" s="130"/>
      <c r="H172" s="196"/>
    </row>
    <row r="173" spans="1:8" s="122" customFormat="1" ht="16.2">
      <c r="A173" s="446"/>
      <c r="B173" s="212" t="s">
        <v>128</v>
      </c>
      <c r="C173" s="185" t="s">
        <v>10</v>
      </c>
      <c r="D173" s="211">
        <v>1.1100000000000001</v>
      </c>
      <c r="E173" s="213">
        <f>E169*D173</f>
        <v>2.7750000000000004</v>
      </c>
      <c r="F173" s="186"/>
      <c r="G173" s="130"/>
      <c r="H173" s="196"/>
    </row>
    <row r="174" spans="1:8" s="122" customFormat="1" ht="16.2">
      <c r="A174" s="446"/>
      <c r="B174" s="212" t="s">
        <v>4</v>
      </c>
      <c r="C174" s="185" t="s">
        <v>3</v>
      </c>
      <c r="D174" s="211">
        <v>0.23</v>
      </c>
      <c r="E174" s="213">
        <f>E169*D174</f>
        <v>0.57500000000000007</v>
      </c>
      <c r="F174" s="186"/>
      <c r="G174" s="130"/>
      <c r="H174" s="196"/>
    </row>
    <row r="175" spans="1:8" s="122" customFormat="1" ht="16.2">
      <c r="A175" s="446"/>
      <c r="B175" s="212" t="s">
        <v>129</v>
      </c>
      <c r="C175" s="185" t="s">
        <v>121</v>
      </c>
      <c r="D175" s="211">
        <f>(97.7+12.2*2)/10</f>
        <v>12.209999999999999</v>
      </c>
      <c r="E175" s="213">
        <f>E169*D175</f>
        <v>30.524999999999999</v>
      </c>
      <c r="F175" s="186"/>
      <c r="G175" s="130"/>
      <c r="H175" s="196"/>
    </row>
    <row r="176" spans="1:8" s="122" customFormat="1" ht="16.2">
      <c r="A176" s="447"/>
      <c r="B176" s="212" t="s">
        <v>11</v>
      </c>
      <c r="C176" s="185" t="s">
        <v>3</v>
      </c>
      <c r="D176" s="211">
        <f>1.45</f>
        <v>1.45</v>
      </c>
      <c r="E176" s="213">
        <f>E169*D176</f>
        <v>3.625</v>
      </c>
      <c r="F176" s="186"/>
      <c r="G176" s="130"/>
      <c r="H176" s="196"/>
    </row>
    <row r="177" spans="1:8" s="122" customFormat="1" ht="16.2">
      <c r="A177" s="465" t="s">
        <v>48</v>
      </c>
      <c r="B177" s="329" t="s">
        <v>120</v>
      </c>
      <c r="C177" s="330" t="s">
        <v>121</v>
      </c>
      <c r="D177" s="331"/>
      <c r="E177" s="287">
        <f>E153*0.0006</f>
        <v>0.15</v>
      </c>
      <c r="F177" s="332"/>
      <c r="G177" s="288"/>
      <c r="H177" s="196"/>
    </row>
    <row r="178" spans="1:8" s="122" customFormat="1" ht="16.2">
      <c r="A178" s="466"/>
      <c r="B178" s="205" t="s">
        <v>122</v>
      </c>
      <c r="C178" s="203" t="s">
        <v>10</v>
      </c>
      <c r="D178" s="204">
        <v>0.3</v>
      </c>
      <c r="E178" s="206">
        <f>E177*D178</f>
        <v>4.4999999999999998E-2</v>
      </c>
      <c r="F178" s="171"/>
      <c r="G178" s="130"/>
      <c r="H178" s="196"/>
    </row>
    <row r="179" spans="1:8" s="122" customFormat="1" ht="16.2">
      <c r="A179" s="467"/>
      <c r="B179" s="207" t="s">
        <v>123</v>
      </c>
      <c r="C179" s="208" t="s">
        <v>121</v>
      </c>
      <c r="D179" s="209">
        <v>1.03</v>
      </c>
      <c r="E179" s="210">
        <f>E177*D179</f>
        <v>0.1545</v>
      </c>
      <c r="F179" s="171"/>
      <c r="G179" s="130"/>
      <c r="H179" s="196"/>
    </row>
    <row r="180" spans="1:8" s="122" customFormat="1" ht="32.4">
      <c r="A180" s="445" t="s">
        <v>49</v>
      </c>
      <c r="B180" s="333" t="s">
        <v>130</v>
      </c>
      <c r="C180" s="338" t="s">
        <v>125</v>
      </c>
      <c r="D180" s="335"/>
      <c r="E180" s="336">
        <f>E153/100</f>
        <v>2.5</v>
      </c>
      <c r="F180" s="337"/>
      <c r="G180" s="288"/>
      <c r="H180" s="196"/>
    </row>
    <row r="181" spans="1:8" s="122" customFormat="1" ht="16.2">
      <c r="A181" s="446"/>
      <c r="B181" s="212" t="s">
        <v>8</v>
      </c>
      <c r="C181" s="185" t="s">
        <v>5</v>
      </c>
      <c r="D181" s="211">
        <f>(3.75)</f>
        <v>3.75</v>
      </c>
      <c r="E181" s="213">
        <f>E180*D181</f>
        <v>9.375</v>
      </c>
      <c r="F181" s="214"/>
      <c r="G181" s="130"/>
      <c r="H181" s="196"/>
    </row>
    <row r="182" spans="1:8" s="122" customFormat="1" ht="16.2">
      <c r="A182" s="446"/>
      <c r="B182" s="212" t="s">
        <v>126</v>
      </c>
      <c r="C182" s="185" t="s">
        <v>10</v>
      </c>
      <c r="D182" s="211">
        <v>0.30199999999999999</v>
      </c>
      <c r="E182" s="213">
        <f>E180*D182</f>
        <v>0.755</v>
      </c>
      <c r="F182" s="186"/>
      <c r="G182" s="130"/>
      <c r="H182" s="196"/>
    </row>
    <row r="183" spans="1:8" s="122" customFormat="1" ht="16.2">
      <c r="A183" s="446"/>
      <c r="B183" s="212" t="s">
        <v>127</v>
      </c>
      <c r="C183" s="185" t="s">
        <v>10</v>
      </c>
      <c r="D183" s="211">
        <v>0.37</v>
      </c>
      <c r="E183" s="213">
        <f>E180*D183</f>
        <v>0.92500000000000004</v>
      </c>
      <c r="F183" s="186"/>
      <c r="G183" s="130"/>
      <c r="H183" s="196"/>
    </row>
    <row r="184" spans="1:8" s="122" customFormat="1" ht="16.2">
      <c r="A184" s="446"/>
      <c r="B184" s="212" t="s">
        <v>128</v>
      </c>
      <c r="C184" s="185" t="s">
        <v>10</v>
      </c>
      <c r="D184" s="211">
        <v>1.1100000000000001</v>
      </c>
      <c r="E184" s="213">
        <f>E180*D184</f>
        <v>2.7750000000000004</v>
      </c>
      <c r="F184" s="186"/>
      <c r="G184" s="130"/>
      <c r="H184" s="196"/>
    </row>
    <row r="185" spans="1:8" s="122" customFormat="1" ht="16.2">
      <c r="A185" s="446"/>
      <c r="B185" s="212" t="s">
        <v>4</v>
      </c>
      <c r="C185" s="185" t="s">
        <v>3</v>
      </c>
      <c r="D185" s="211">
        <v>0.23</v>
      </c>
      <c r="E185" s="213">
        <f>E180*D185</f>
        <v>0.57500000000000007</v>
      </c>
      <c r="F185" s="186"/>
      <c r="G185" s="130"/>
      <c r="H185" s="196"/>
    </row>
    <row r="186" spans="1:8" s="122" customFormat="1" ht="16.2">
      <c r="A186" s="446"/>
      <c r="B186" s="212" t="s">
        <v>131</v>
      </c>
      <c r="C186" s="185" t="s">
        <v>121</v>
      </c>
      <c r="D186" s="211">
        <f>(97.7+12.2*0)/10</f>
        <v>9.77</v>
      </c>
      <c r="E186" s="213">
        <f>E180*D186</f>
        <v>24.424999999999997</v>
      </c>
      <c r="F186" s="186"/>
      <c r="G186" s="130"/>
      <c r="H186" s="196"/>
    </row>
    <row r="187" spans="1:8" s="122" customFormat="1" ht="16.2">
      <c r="A187" s="447"/>
      <c r="B187" s="212" t="s">
        <v>11</v>
      </c>
      <c r="C187" s="185" t="s">
        <v>3</v>
      </c>
      <c r="D187" s="211">
        <f>1.45</f>
        <v>1.45</v>
      </c>
      <c r="E187" s="213">
        <f>E180*D187</f>
        <v>3.625</v>
      </c>
      <c r="F187" s="186"/>
      <c r="G187" s="130"/>
      <c r="H187" s="196"/>
    </row>
    <row r="188" spans="1:8" s="174" customFormat="1" ht="17.399999999999999" hidden="1">
      <c r="A188" s="98"/>
      <c r="B188" s="131" t="s">
        <v>61</v>
      </c>
      <c r="C188" s="97" t="s">
        <v>27</v>
      </c>
      <c r="D188" s="101"/>
      <c r="E188" s="101">
        <v>825</v>
      </c>
      <c r="F188" s="130"/>
      <c r="G188" s="130"/>
      <c r="H188" s="215"/>
    </row>
    <row r="189" spans="1:8" s="180" customFormat="1" ht="23.4" customHeight="1">
      <c r="A189" s="198"/>
      <c r="B189" s="458" t="s">
        <v>213</v>
      </c>
      <c r="C189" s="459"/>
      <c r="D189" s="459"/>
      <c r="E189" s="459"/>
      <c r="F189" s="459"/>
      <c r="G189" s="460"/>
      <c r="H189" s="215"/>
    </row>
    <row r="190" spans="1:8" s="174" customFormat="1" ht="32.4">
      <c r="A190" s="354"/>
      <c r="B190" s="170" t="s">
        <v>57</v>
      </c>
      <c r="C190" s="216"/>
      <c r="D190" s="100"/>
      <c r="E190" s="100"/>
      <c r="F190" s="130"/>
      <c r="G190" s="130"/>
      <c r="H190" s="215"/>
    </row>
    <row r="191" spans="1:8" s="174" customFormat="1" ht="30">
      <c r="A191" s="461" t="s">
        <v>50</v>
      </c>
      <c r="B191" s="33" t="s">
        <v>86</v>
      </c>
      <c r="C191" s="339" t="s">
        <v>24</v>
      </c>
      <c r="D191" s="340"/>
      <c r="E191" s="312">
        <f>E194*1.95</f>
        <v>58.5</v>
      </c>
      <c r="F191" s="341"/>
      <c r="G191" s="342"/>
      <c r="H191" s="215"/>
    </row>
    <row r="192" spans="1:8" s="174" customFormat="1" ht="17.399999999999999">
      <c r="A192" s="462"/>
      <c r="B192" s="218" t="s">
        <v>8</v>
      </c>
      <c r="C192" s="98" t="s">
        <v>9</v>
      </c>
      <c r="D192" s="125">
        <f>0.53</f>
        <v>0.53</v>
      </c>
      <c r="E192" s="125">
        <f>D192*E191</f>
        <v>31.005000000000003</v>
      </c>
      <c r="F192" s="126"/>
      <c r="G192" s="126"/>
      <c r="H192" s="215"/>
    </row>
    <row r="193" spans="1:9" s="174" customFormat="1" ht="32.4">
      <c r="A193" s="298" t="s">
        <v>39</v>
      </c>
      <c r="B193" s="219" t="s">
        <v>192</v>
      </c>
      <c r="C193" s="217" t="s">
        <v>24</v>
      </c>
      <c r="D193" s="220"/>
      <c r="E193" s="221">
        <f>E194*1.95</f>
        <v>58.5</v>
      </c>
      <c r="F193" s="222"/>
      <c r="G193" s="130"/>
      <c r="H193" s="215"/>
    </row>
    <row r="194" spans="1:9" s="174" customFormat="1" ht="32.4">
      <c r="A194" s="461" t="s">
        <v>51</v>
      </c>
      <c r="B194" s="94" t="s">
        <v>58</v>
      </c>
      <c r="C194" s="339" t="s">
        <v>23</v>
      </c>
      <c r="D194" s="343"/>
      <c r="E194" s="287">
        <v>30</v>
      </c>
      <c r="F194" s="344"/>
      <c r="G194" s="288"/>
      <c r="H194" s="215"/>
    </row>
    <row r="195" spans="1:9" s="174" customFormat="1" ht="17.399999999999999">
      <c r="A195" s="462"/>
      <c r="B195" s="223" t="s">
        <v>20</v>
      </c>
      <c r="C195" s="224" t="s">
        <v>21</v>
      </c>
      <c r="D195" s="220">
        <v>1.21</v>
      </c>
      <c r="E195" s="220">
        <f>E194*D195</f>
        <v>36.299999999999997</v>
      </c>
      <c r="F195" s="222"/>
      <c r="G195" s="130"/>
      <c r="H195" s="215"/>
      <c r="I195" s="225"/>
    </row>
    <row r="196" spans="1:9" s="174" customFormat="1" ht="17.399999999999999">
      <c r="A196" s="468" t="s">
        <v>46</v>
      </c>
      <c r="B196" s="345" t="s">
        <v>62</v>
      </c>
      <c r="C196" s="346" t="s">
        <v>16</v>
      </c>
      <c r="D196" s="347"/>
      <c r="E196" s="347">
        <f>E188</f>
        <v>825</v>
      </c>
      <c r="F196" s="288"/>
      <c r="G196" s="288"/>
      <c r="H196" s="215"/>
    </row>
    <row r="197" spans="1:9" s="174" customFormat="1" ht="17.399999999999999">
      <c r="A197" s="469"/>
      <c r="B197" s="145" t="s">
        <v>22</v>
      </c>
      <c r="C197" s="98" t="s">
        <v>5</v>
      </c>
      <c r="D197" s="226">
        <f>38.3*0.01</f>
        <v>0.38300000000000001</v>
      </c>
      <c r="E197" s="226">
        <f>E196*D197</f>
        <v>315.97500000000002</v>
      </c>
      <c r="F197" s="130"/>
      <c r="G197" s="130"/>
      <c r="H197" s="215"/>
    </row>
    <row r="198" spans="1:9" s="174" customFormat="1" ht="17.399999999999999">
      <c r="A198" s="470"/>
      <c r="B198" s="145" t="s">
        <v>63</v>
      </c>
      <c r="C198" s="146" t="s">
        <v>43</v>
      </c>
      <c r="D198" s="226">
        <f>2*0.01</f>
        <v>0.02</v>
      </c>
      <c r="E198" s="226">
        <f>D198*E196</f>
        <v>16.5</v>
      </c>
      <c r="F198" s="130"/>
      <c r="G198" s="130"/>
      <c r="H198" s="215"/>
    </row>
    <row r="199" spans="1:9" s="229" customFormat="1" ht="81">
      <c r="A199" s="431" t="s">
        <v>48</v>
      </c>
      <c r="B199" s="286" t="s">
        <v>88</v>
      </c>
      <c r="C199" s="34" t="s">
        <v>7</v>
      </c>
      <c r="D199" s="293"/>
      <c r="E199" s="287">
        <v>10</v>
      </c>
      <c r="F199" s="288"/>
      <c r="G199" s="288"/>
      <c r="H199" s="228"/>
    </row>
    <row r="200" spans="1:9" s="229" customFormat="1" ht="17.399999999999999">
      <c r="A200" s="431"/>
      <c r="B200" s="140" t="s">
        <v>30</v>
      </c>
      <c r="C200" s="141" t="s">
        <v>5</v>
      </c>
      <c r="D200" s="137">
        <v>0.6</v>
      </c>
      <c r="E200" s="142">
        <f>E199*D200</f>
        <v>6</v>
      </c>
      <c r="F200" s="139"/>
      <c r="G200" s="130"/>
      <c r="H200" s="228"/>
    </row>
    <row r="201" spans="1:9" s="229" customFormat="1" ht="32.4">
      <c r="A201" s="98" t="s">
        <v>49</v>
      </c>
      <c r="B201" s="294" t="s">
        <v>31</v>
      </c>
      <c r="C201" s="34" t="s">
        <v>24</v>
      </c>
      <c r="D201" s="295"/>
      <c r="E201" s="292">
        <f>E199*1.65</f>
        <v>16.5</v>
      </c>
      <c r="F201" s="296"/>
      <c r="G201" s="288"/>
      <c r="H201" s="228"/>
    </row>
    <row r="202" spans="1:9" s="229" customFormat="1" ht="17.399999999999999">
      <c r="A202" s="98"/>
      <c r="B202" s="143" t="s">
        <v>32</v>
      </c>
      <c r="C202" s="141" t="s">
        <v>5</v>
      </c>
      <c r="D202" s="137">
        <v>0.53</v>
      </c>
      <c r="E202" s="142">
        <f>E201*D202</f>
        <v>8.745000000000001</v>
      </c>
      <c r="F202" s="139"/>
      <c r="G202" s="130"/>
      <c r="H202" s="228"/>
    </row>
    <row r="203" spans="1:9" s="229" customFormat="1" ht="17.399999999999999">
      <c r="A203" s="98" t="s">
        <v>44</v>
      </c>
      <c r="B203" s="136" t="s">
        <v>193</v>
      </c>
      <c r="C203" s="97" t="s">
        <v>24</v>
      </c>
      <c r="D203" s="137"/>
      <c r="E203" s="138">
        <f>E201</f>
        <v>16.5</v>
      </c>
      <c r="F203" s="139"/>
      <c r="G203" s="130"/>
      <c r="H203" s="227"/>
    </row>
    <row r="204" spans="1:9" s="174" customFormat="1" ht="17.399999999999999">
      <c r="A204" s="355"/>
      <c r="B204" s="230" t="s">
        <v>142</v>
      </c>
      <c r="C204" s="231"/>
      <c r="D204" s="232"/>
      <c r="E204" s="233"/>
      <c r="F204" s="234"/>
      <c r="G204" s="234"/>
      <c r="H204" s="235"/>
      <c r="I204" s="236"/>
    </row>
    <row r="205" spans="1:9" s="174" customFormat="1" ht="17.399999999999999">
      <c r="A205" s="355"/>
      <c r="B205" s="348" t="s">
        <v>13</v>
      </c>
      <c r="C205" s="237"/>
      <c r="D205" s="238"/>
      <c r="E205" s="240"/>
      <c r="F205" s="239"/>
      <c r="G205" s="239"/>
      <c r="H205" s="215"/>
    </row>
    <row r="206" spans="1:9" s="174" customFormat="1" ht="17.399999999999999">
      <c r="A206" s="356"/>
      <c r="B206" s="241" t="s">
        <v>95</v>
      </c>
      <c r="C206" s="242"/>
      <c r="D206" s="243"/>
      <c r="E206" s="244" t="s">
        <v>201</v>
      </c>
      <c r="F206" s="245"/>
      <c r="G206" s="245"/>
      <c r="H206" s="215"/>
    </row>
    <row r="207" spans="1:9" s="251" customFormat="1" ht="17.399999999999999">
      <c r="A207" s="357"/>
      <c r="B207" s="348" t="s">
        <v>13</v>
      </c>
      <c r="C207" s="246"/>
      <c r="D207" s="247"/>
      <c r="E207" s="248"/>
      <c r="F207" s="249"/>
      <c r="G207" s="249"/>
      <c r="H207" s="250"/>
    </row>
    <row r="208" spans="1:9" s="174" customFormat="1" ht="17.399999999999999">
      <c r="A208" s="357"/>
      <c r="B208" s="252" t="s">
        <v>41</v>
      </c>
      <c r="C208" s="246"/>
      <c r="D208" s="247"/>
      <c r="E208" s="248" t="s">
        <v>201</v>
      </c>
      <c r="F208" s="249"/>
      <c r="G208" s="249"/>
      <c r="H208" s="215"/>
    </row>
    <row r="209" spans="1:12" s="251" customFormat="1" ht="17.399999999999999">
      <c r="A209" s="357"/>
      <c r="B209" s="348" t="s">
        <v>13</v>
      </c>
      <c r="C209" s="246"/>
      <c r="D209" s="247"/>
      <c r="E209" s="248"/>
      <c r="F209" s="249"/>
      <c r="G209" s="249"/>
      <c r="H209" s="250"/>
    </row>
    <row r="210" spans="1:12" s="174" customFormat="1" ht="17.399999999999999">
      <c r="A210" s="357"/>
      <c r="B210" s="252" t="s">
        <v>0</v>
      </c>
      <c r="C210" s="246"/>
      <c r="D210" s="247"/>
      <c r="E210" s="253" t="s">
        <v>33</v>
      </c>
      <c r="F210" s="249"/>
      <c r="G210" s="249"/>
      <c r="H210" s="215"/>
    </row>
    <row r="211" spans="1:12" s="174" customFormat="1" ht="17.399999999999999">
      <c r="A211" s="357"/>
      <c r="B211" s="230" t="s">
        <v>13</v>
      </c>
      <c r="C211" s="246"/>
      <c r="D211" s="247"/>
      <c r="E211" s="248"/>
      <c r="F211" s="249"/>
      <c r="G211" s="249"/>
      <c r="H211" s="215"/>
    </row>
    <row r="212" spans="1:12" s="174" customFormat="1" ht="32.4" hidden="1">
      <c r="A212" s="357"/>
      <c r="B212" s="254" t="s">
        <v>96</v>
      </c>
      <c r="C212" s="246"/>
      <c r="D212" s="247"/>
      <c r="E212" s="255">
        <v>0</v>
      </c>
      <c r="F212" s="249"/>
      <c r="G212" s="249"/>
      <c r="H212" s="215"/>
    </row>
    <row r="213" spans="1:12" s="174" customFormat="1" ht="17.399999999999999" hidden="1">
      <c r="A213" s="357"/>
      <c r="B213" s="230" t="s">
        <v>13</v>
      </c>
      <c r="C213" s="246"/>
      <c r="D213" s="247"/>
      <c r="E213" s="248"/>
      <c r="F213" s="249"/>
      <c r="G213" s="249"/>
      <c r="H213" s="215"/>
    </row>
    <row r="214" spans="1:12" s="174" customFormat="1" ht="17.399999999999999">
      <c r="A214" s="357"/>
      <c r="B214" s="256" t="s">
        <v>97</v>
      </c>
      <c r="C214" s="246"/>
      <c r="D214" s="247"/>
      <c r="E214" s="253" t="s">
        <v>34</v>
      </c>
      <c r="F214" s="249"/>
      <c r="G214" s="249"/>
      <c r="H214" s="215"/>
    </row>
    <row r="215" spans="1:12" s="174" customFormat="1" ht="30.75" customHeight="1">
      <c r="A215" s="355"/>
      <c r="B215" s="230" t="s">
        <v>139</v>
      </c>
      <c r="C215" s="231"/>
      <c r="D215" s="232"/>
      <c r="E215" s="233"/>
      <c r="F215" s="234"/>
      <c r="G215" s="234"/>
      <c r="H215" s="215"/>
    </row>
    <row r="216" spans="1:12" s="174" customFormat="1" ht="17.399999999999999">
      <c r="A216" s="358"/>
      <c r="B216" s="257"/>
      <c r="C216" s="258"/>
      <c r="D216" s="259"/>
      <c r="E216" s="259"/>
      <c r="F216" s="260"/>
      <c r="G216" s="261"/>
      <c r="H216" s="215"/>
    </row>
    <row r="217" spans="1:12" s="30" customFormat="1" ht="17.399999999999999" customHeight="1">
      <c r="A217" s="464" t="s">
        <v>239</v>
      </c>
      <c r="B217" s="464"/>
      <c r="C217" s="464"/>
      <c r="D217" s="464"/>
      <c r="E217" s="464"/>
      <c r="F217" s="464"/>
      <c r="G217" s="464"/>
      <c r="H217" s="37"/>
      <c r="I217" s="37"/>
      <c r="J217" s="37"/>
      <c r="K217" s="37"/>
      <c r="L217" s="37"/>
    </row>
    <row r="218" spans="1:12" s="30" customFormat="1" ht="76.2" customHeight="1">
      <c r="A218" s="464" t="s">
        <v>238</v>
      </c>
      <c r="B218" s="464"/>
      <c r="C218" s="464"/>
      <c r="D218" s="464"/>
      <c r="E218" s="464"/>
      <c r="F218" s="464"/>
      <c r="G218" s="464"/>
      <c r="H218" s="37"/>
      <c r="I218" s="37"/>
      <c r="J218" s="37"/>
      <c r="K218" s="37"/>
      <c r="L218" s="37"/>
    </row>
    <row r="219" spans="1:12" customFormat="1" ht="14.4">
      <c r="D219" s="76"/>
      <c r="E219" s="76"/>
      <c r="F219" s="78"/>
      <c r="G219" s="78"/>
      <c r="H219" s="78"/>
      <c r="I219" s="78"/>
      <c r="J219" s="78"/>
      <c r="K219" s="78"/>
      <c r="L219" s="78"/>
    </row>
    <row r="220" spans="1:12" customFormat="1">
      <c r="A220" s="464" t="s">
        <v>240</v>
      </c>
      <c r="B220" s="464"/>
      <c r="C220" s="464"/>
      <c r="D220" s="464"/>
      <c r="E220" s="464"/>
      <c r="F220" s="464"/>
      <c r="G220" s="464"/>
      <c r="H220" s="78"/>
      <c r="I220" s="78"/>
      <c r="J220" s="78"/>
      <c r="K220" s="78"/>
      <c r="L220" s="78"/>
    </row>
    <row r="223" spans="1:12" ht="17.399999999999999">
      <c r="B223" s="267"/>
      <c r="C223" s="268"/>
      <c r="D223" s="269"/>
    </row>
    <row r="224" spans="1:12" ht="17.399999999999999">
      <c r="B224" s="270"/>
      <c r="C224" s="268"/>
      <c r="D224" s="269"/>
    </row>
    <row r="225" spans="2:4" ht="17.399999999999999">
      <c r="B225" s="270"/>
      <c r="C225" s="268"/>
      <c r="D225" s="269"/>
    </row>
    <row r="226" spans="2:4" ht="17.399999999999999">
      <c r="B226" s="270"/>
      <c r="C226" s="268"/>
      <c r="D226" s="269"/>
    </row>
    <row r="227" spans="2:4" ht="17.399999999999999">
      <c r="B227" s="270"/>
      <c r="C227" s="268"/>
      <c r="D227" s="269"/>
    </row>
    <row r="228" spans="2:4" ht="17.399999999999999">
      <c r="B228" s="271"/>
      <c r="C228" s="268"/>
      <c r="D228" s="269"/>
    </row>
  </sheetData>
  <mergeCells count="66">
    <mergeCell ref="A217:G217"/>
    <mergeCell ref="A218:G218"/>
    <mergeCell ref="A220:G220"/>
    <mergeCell ref="B154:G154"/>
    <mergeCell ref="B189:G189"/>
    <mergeCell ref="A199:A200"/>
    <mergeCell ref="A180:A187"/>
    <mergeCell ref="A177:A179"/>
    <mergeCell ref="A191:A192"/>
    <mergeCell ref="A196:A198"/>
    <mergeCell ref="A194:A195"/>
    <mergeCell ref="A166:A168"/>
    <mergeCell ref="B34:G34"/>
    <mergeCell ref="A56:A57"/>
    <mergeCell ref="B72:G72"/>
    <mergeCell ref="B99:G99"/>
    <mergeCell ref="A54:A55"/>
    <mergeCell ref="A59:A63"/>
    <mergeCell ref="A64:A70"/>
    <mergeCell ref="A93:A97"/>
    <mergeCell ref="A45:A51"/>
    <mergeCell ref="B134:B135"/>
    <mergeCell ref="B123:G123"/>
    <mergeCell ref="B147:G147"/>
    <mergeCell ref="A140:A146"/>
    <mergeCell ref="B53:G53"/>
    <mergeCell ref="B110:B111"/>
    <mergeCell ref="A116:A121"/>
    <mergeCell ref="A124:A125"/>
    <mergeCell ref="A126:A127"/>
    <mergeCell ref="A129:A133"/>
    <mergeCell ref="I86:M86"/>
    <mergeCell ref="A78:A82"/>
    <mergeCell ref="A86:A92"/>
    <mergeCell ref="A73:A74"/>
    <mergeCell ref="A83:A85"/>
    <mergeCell ref="A75:A76"/>
    <mergeCell ref="A25:A26"/>
    <mergeCell ref="A35:A36"/>
    <mergeCell ref="A40:A44"/>
    <mergeCell ref="A27:A28"/>
    <mergeCell ref="A29:A30"/>
    <mergeCell ref="A37:A38"/>
    <mergeCell ref="A100:A101"/>
    <mergeCell ref="A102:A103"/>
    <mergeCell ref="A105:A109"/>
    <mergeCell ref="A110:A115"/>
    <mergeCell ref="A169:A176"/>
    <mergeCell ref="A155:A156"/>
    <mergeCell ref="A157:A165"/>
    <mergeCell ref="A148:A152"/>
    <mergeCell ref="A134:A139"/>
    <mergeCell ref="A1:G1"/>
    <mergeCell ref="A2:G2"/>
    <mergeCell ref="A4:A5"/>
    <mergeCell ref="B4:B5"/>
    <mergeCell ref="C4:C5"/>
    <mergeCell ref="A3:G3"/>
    <mergeCell ref="A13:A14"/>
    <mergeCell ref="A17:A18"/>
    <mergeCell ref="A19:A23"/>
    <mergeCell ref="F4:F5"/>
    <mergeCell ref="G4:G5"/>
    <mergeCell ref="E4:E5"/>
    <mergeCell ref="D4:D5"/>
    <mergeCell ref="A9:A12"/>
  </mergeCells>
  <conditionalFormatting sqref="B44:C44">
    <cfRule type="cellIs" dxfId="7" priority="30" stopIfTrue="1" operator="equal">
      <formula>8223.307275</formula>
    </cfRule>
  </conditionalFormatting>
  <conditionalFormatting sqref="B63:C63">
    <cfRule type="cellIs" dxfId="6" priority="5" stopIfTrue="1" operator="equal">
      <formula>8223.307275</formula>
    </cfRule>
  </conditionalFormatting>
  <conditionalFormatting sqref="B82:C83 B85:C85">
    <cfRule type="cellIs" dxfId="5" priority="4" stopIfTrue="1" operator="equal">
      <formula>8223.307275</formula>
    </cfRule>
  </conditionalFormatting>
  <conditionalFormatting sqref="B109:C109">
    <cfRule type="cellIs" dxfId="4" priority="3" stopIfTrue="1" operator="equal">
      <formula>8223.307275</formula>
    </cfRule>
  </conditionalFormatting>
  <conditionalFormatting sqref="B133:C133">
    <cfRule type="cellIs" dxfId="3" priority="2" stopIfTrue="1" operator="equal">
      <formula>8223.307275</formula>
    </cfRule>
  </conditionalFormatting>
  <conditionalFormatting sqref="B152:C152">
    <cfRule type="cellIs" dxfId="2" priority="1" stopIfTrue="1" operator="equal">
      <formula>8223.307275</formula>
    </cfRule>
  </conditionalFormatting>
  <pageMargins left="0.62992125984251968" right="0.11811023622047245" top="0.66" bottom="0.51181102362204722" header="0.31" footer="0.27559055118110237"/>
  <pageSetup paperSize="9" orientation="landscape" horizontalDpi="1200" verticalDpi="1200" r:id="rId1"/>
  <headerFooter>
    <oddHeader>&amp;R&amp;P--&amp;N</oddHeader>
    <oddFooter>&amp;R&amp;P--&amp;N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00"/>
  <sheetViews>
    <sheetView tabSelected="1" topLeftCell="A42" zoomScale="120" zoomScaleNormal="120" workbookViewId="0">
      <selection activeCell="B51" sqref="B51"/>
    </sheetView>
  </sheetViews>
  <sheetFormatPr defaultRowHeight="14.4"/>
  <cols>
    <col min="1" max="1" width="5" customWidth="1"/>
    <col min="2" max="2" width="38.6640625" customWidth="1"/>
    <col min="3" max="3" width="13.44140625" customWidth="1"/>
    <col min="4" max="4" width="14.6640625" style="76" customWidth="1"/>
    <col min="5" max="5" width="10.5546875" style="76" bestFit="1" customWidth="1"/>
    <col min="6" max="6" width="8.88671875" style="78"/>
    <col min="7" max="7" width="12" style="78" customWidth="1"/>
    <col min="8" max="8" width="6.88671875" style="78" hidden="1" customWidth="1"/>
    <col min="9" max="9" width="0" style="78" hidden="1" customWidth="1"/>
    <col min="10" max="10" width="6.88671875" style="78" hidden="1" customWidth="1"/>
    <col min="11" max="11" width="0" style="78" hidden="1" customWidth="1"/>
    <col min="12" max="12" width="11.88671875" style="78" hidden="1" customWidth="1"/>
    <col min="13" max="13" width="19.44140625" hidden="1" customWidth="1"/>
    <col min="14" max="14" width="20.33203125" customWidth="1"/>
  </cols>
  <sheetData>
    <row r="1" spans="1:13" s="32" customFormat="1" ht="59.25" customHeight="1">
      <c r="A1" s="497" t="str">
        <f>[1]krebsiti!A3</f>
        <v>q.quTaisSi, mzeWabukis monumentis irgvliv gamyofi zolebis keTilmowyoba                                                                                                                                        s/k: 03.01.24.956-mimdebared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01"/>
    </row>
    <row r="2" spans="1:13" s="32" customFormat="1" ht="19.8" hidden="1">
      <c r="A2" s="498" t="s">
        <v>56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</row>
    <row r="3" spans="1:13" s="32" customFormat="1" ht="15.75" customHeight="1">
      <c r="A3" s="442" t="s">
        <v>99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</row>
    <row r="4" spans="1:13" s="32" customFormat="1" ht="16.2">
      <c r="A4" s="275"/>
      <c r="B4" s="275"/>
      <c r="C4" s="275"/>
      <c r="D4" s="275"/>
      <c r="E4" s="275"/>
      <c r="F4" s="31"/>
      <c r="G4" s="31"/>
      <c r="H4" s="31"/>
      <c r="I4" s="31"/>
      <c r="J4" s="31"/>
      <c r="K4" s="31"/>
      <c r="L4" s="31"/>
    </row>
    <row r="5" spans="1:13" s="32" customFormat="1" ht="16.2">
      <c r="A5" s="442" t="s">
        <v>134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</row>
    <row r="6" spans="1:13" s="32" customFormat="1" ht="16.2">
      <c r="A6" s="51"/>
      <c r="B6" s="51"/>
      <c r="C6" s="52"/>
      <c r="D6" s="53"/>
      <c r="E6" s="53"/>
      <c r="F6" s="38"/>
      <c r="G6" s="38"/>
      <c r="H6" s="38"/>
      <c r="I6" s="38"/>
      <c r="J6" s="38"/>
      <c r="K6" s="38"/>
      <c r="L6" s="38"/>
    </row>
    <row r="7" spans="1:13" s="32" customFormat="1" ht="38.25" customHeight="1">
      <c r="A7" s="499" t="s">
        <v>205</v>
      </c>
      <c r="B7" s="500" t="s">
        <v>206</v>
      </c>
      <c r="C7" s="439" t="s">
        <v>132</v>
      </c>
      <c r="D7" s="434" t="s">
        <v>203</v>
      </c>
      <c r="E7" s="434" t="s">
        <v>207</v>
      </c>
      <c r="F7" s="432" t="s">
        <v>202</v>
      </c>
      <c r="G7" s="432" t="s">
        <v>2</v>
      </c>
      <c r="H7" s="502" t="s">
        <v>225</v>
      </c>
      <c r="I7" s="502"/>
      <c r="J7" s="503" t="s">
        <v>224</v>
      </c>
      <c r="K7" s="504"/>
      <c r="L7" s="502" t="s">
        <v>223</v>
      </c>
      <c r="M7" s="400"/>
    </row>
    <row r="8" spans="1:13" s="32" customFormat="1" ht="32.4">
      <c r="A8" s="499"/>
      <c r="B8" s="501"/>
      <c r="C8" s="439"/>
      <c r="D8" s="435"/>
      <c r="E8" s="435"/>
      <c r="F8" s="433"/>
      <c r="G8" s="433"/>
      <c r="H8" s="111" t="s">
        <v>222</v>
      </c>
      <c r="I8" s="111" t="s">
        <v>2</v>
      </c>
      <c r="J8" s="111" t="s">
        <v>222</v>
      </c>
      <c r="K8" s="111" t="s">
        <v>2</v>
      </c>
      <c r="L8" s="502"/>
      <c r="M8" s="400"/>
    </row>
    <row r="9" spans="1:13" s="30" customFormat="1" ht="17.399999999999999">
      <c r="A9" s="277" t="s">
        <v>50</v>
      </c>
      <c r="B9" s="277" t="s">
        <v>39</v>
      </c>
      <c r="C9" s="277" t="s">
        <v>51</v>
      </c>
      <c r="D9" s="277" t="s">
        <v>46</v>
      </c>
      <c r="E9" s="277" t="s">
        <v>48</v>
      </c>
      <c r="F9" s="277" t="s">
        <v>49</v>
      </c>
      <c r="G9" s="277" t="s">
        <v>44</v>
      </c>
      <c r="H9" s="277" t="s">
        <v>221</v>
      </c>
      <c r="I9" s="277" t="s">
        <v>220</v>
      </c>
      <c r="J9" s="277" t="s">
        <v>219</v>
      </c>
      <c r="K9" s="277" t="s">
        <v>218</v>
      </c>
      <c r="L9" s="277" t="s">
        <v>217</v>
      </c>
      <c r="M9" s="399"/>
    </row>
    <row r="10" spans="1:13" s="30" customFormat="1" ht="30">
      <c r="A10" s="505" t="s">
        <v>136</v>
      </c>
      <c r="B10" s="102" t="s">
        <v>141</v>
      </c>
      <c r="C10" s="54"/>
      <c r="D10" s="54"/>
      <c r="E10" s="54"/>
      <c r="F10" s="77"/>
      <c r="G10" s="77"/>
      <c r="H10" s="77"/>
      <c r="I10" s="77"/>
      <c r="J10" s="77"/>
      <c r="K10" s="77"/>
      <c r="L10" s="77"/>
    </row>
    <row r="11" spans="1:13" s="30" customFormat="1" ht="17.399999999999999">
      <c r="A11" s="402"/>
      <c r="B11" s="403" t="s">
        <v>214</v>
      </c>
      <c r="C11" s="404"/>
      <c r="D11" s="405"/>
      <c r="E11" s="405"/>
      <c r="F11" s="406"/>
      <c r="G11" s="407"/>
      <c r="H11" s="5"/>
      <c r="I11" s="112"/>
      <c r="J11" s="388"/>
      <c r="K11" s="112"/>
      <c r="L11" s="112"/>
    </row>
    <row r="12" spans="1:13" s="30" customFormat="1" ht="32.4" hidden="1" customHeight="1">
      <c r="A12" s="479"/>
      <c r="B12" s="115" t="s">
        <v>94</v>
      </c>
      <c r="C12" s="90" t="s">
        <v>42</v>
      </c>
      <c r="D12" s="116"/>
      <c r="E12" s="117">
        <f>E13+E14</f>
        <v>36</v>
      </c>
      <c r="F12" s="477"/>
      <c r="G12" s="477"/>
      <c r="H12" s="477"/>
      <c r="I12" s="477"/>
      <c r="J12" s="477"/>
      <c r="K12" s="477"/>
      <c r="L12" s="477"/>
    </row>
    <row r="13" spans="1:13" s="30" customFormat="1" ht="30.6" hidden="1" customHeight="1">
      <c r="A13" s="480"/>
      <c r="B13" s="115" t="s">
        <v>173</v>
      </c>
      <c r="C13" s="90" t="s">
        <v>42</v>
      </c>
      <c r="D13" s="116"/>
      <c r="E13" s="117">
        <v>28</v>
      </c>
      <c r="F13" s="478"/>
      <c r="G13" s="478"/>
      <c r="H13" s="478"/>
      <c r="I13" s="478"/>
      <c r="J13" s="478"/>
      <c r="K13" s="478"/>
      <c r="L13" s="478"/>
    </row>
    <row r="14" spans="1:13" s="30" customFormat="1" ht="46.8" hidden="1" customHeight="1">
      <c r="A14" s="480"/>
      <c r="B14" s="115" t="s">
        <v>216</v>
      </c>
      <c r="C14" s="90" t="s">
        <v>42</v>
      </c>
      <c r="D14" s="116"/>
      <c r="E14" s="117">
        <v>8</v>
      </c>
      <c r="F14" s="478"/>
      <c r="G14" s="478"/>
      <c r="H14" s="478"/>
      <c r="I14" s="478"/>
      <c r="J14" s="478"/>
      <c r="K14" s="478"/>
      <c r="L14" s="478"/>
    </row>
    <row r="15" spans="1:13" s="30" customFormat="1" ht="32.4">
      <c r="A15" s="472">
        <v>1</v>
      </c>
      <c r="B15" s="94" t="s">
        <v>89</v>
      </c>
      <c r="C15" s="360" t="s">
        <v>45</v>
      </c>
      <c r="D15" s="361"/>
      <c r="E15" s="362">
        <f>(350)*0.25*0.7</f>
        <v>61.249999999999993</v>
      </c>
      <c r="F15" s="363"/>
      <c r="G15" s="321"/>
      <c r="H15" s="5"/>
      <c r="I15" s="112"/>
      <c r="J15" s="388"/>
      <c r="K15" s="112"/>
      <c r="L15" s="112"/>
    </row>
    <row r="16" spans="1:13" s="30" customFormat="1" ht="17.399999999999999">
      <c r="A16" s="473"/>
      <c r="B16" s="45" t="s">
        <v>37</v>
      </c>
      <c r="C16" s="56" t="s">
        <v>38</v>
      </c>
      <c r="D16" s="55">
        <v>2.06</v>
      </c>
      <c r="E16" s="55">
        <f>E15*D16</f>
        <v>126.17499999999998</v>
      </c>
      <c r="F16" s="5"/>
      <c r="G16" s="112"/>
      <c r="H16" s="5"/>
      <c r="I16" s="112"/>
      <c r="J16" s="388"/>
      <c r="K16" s="112"/>
      <c r="L16" s="112"/>
    </row>
    <row r="17" spans="1:12" s="30" customFormat="1" ht="32.4">
      <c r="A17" s="481" t="s">
        <v>39</v>
      </c>
      <c r="B17" s="408" t="s">
        <v>65</v>
      </c>
      <c r="C17" s="409" t="s">
        <v>66</v>
      </c>
      <c r="D17" s="410"/>
      <c r="E17" s="411">
        <f>(350)*0.25*0.25</f>
        <v>21.875</v>
      </c>
      <c r="F17" s="363"/>
      <c r="G17" s="321"/>
      <c r="H17" s="5"/>
      <c r="I17" s="112"/>
      <c r="J17" s="388"/>
      <c r="K17" s="112"/>
      <c r="L17" s="112"/>
    </row>
    <row r="18" spans="1:12" s="30" customFormat="1" ht="17.399999999999999">
      <c r="A18" s="482"/>
      <c r="B18" s="398" t="s">
        <v>37</v>
      </c>
      <c r="C18" s="397" t="s">
        <v>38</v>
      </c>
      <c r="D18" s="396">
        <v>1.8</v>
      </c>
      <c r="E18" s="396">
        <f>E17*D18</f>
        <v>39.375</v>
      </c>
      <c r="F18" s="5"/>
      <c r="G18" s="112"/>
      <c r="H18" s="5"/>
      <c r="I18" s="112"/>
      <c r="J18" s="388"/>
      <c r="K18" s="112"/>
      <c r="L18" s="112"/>
    </row>
    <row r="19" spans="1:12" s="30" customFormat="1" ht="17.399999999999999">
      <c r="A19" s="483"/>
      <c r="B19" s="398" t="s">
        <v>98</v>
      </c>
      <c r="C19" s="397" t="s">
        <v>66</v>
      </c>
      <c r="D19" s="396">
        <v>1.1000000000000001</v>
      </c>
      <c r="E19" s="396">
        <f>E17*D19</f>
        <v>24.062500000000004</v>
      </c>
      <c r="F19" s="5"/>
      <c r="G19" s="112"/>
      <c r="H19" s="5"/>
      <c r="I19" s="112"/>
      <c r="J19" s="388"/>
      <c r="K19" s="112"/>
      <c r="L19" s="112"/>
    </row>
    <row r="20" spans="1:12" s="30" customFormat="1" ht="48.6">
      <c r="A20" s="472" t="s">
        <v>51</v>
      </c>
      <c r="B20" s="364" t="s">
        <v>147</v>
      </c>
      <c r="C20" s="360" t="s">
        <v>67</v>
      </c>
      <c r="D20" s="365"/>
      <c r="E20" s="362">
        <f>SUM(E23:E24)</f>
        <v>450</v>
      </c>
      <c r="F20" s="363"/>
      <c r="G20" s="321"/>
      <c r="H20" s="5"/>
      <c r="I20" s="112"/>
      <c r="J20" s="388"/>
      <c r="K20" s="112"/>
      <c r="L20" s="112"/>
    </row>
    <row r="21" spans="1:12" s="30" customFormat="1" ht="17.399999999999999">
      <c r="A21" s="473"/>
      <c r="B21" s="45" t="s">
        <v>37</v>
      </c>
      <c r="C21" s="56" t="s">
        <v>38</v>
      </c>
      <c r="D21" s="79">
        <v>0.105</v>
      </c>
      <c r="E21" s="55">
        <f>E20*D21</f>
        <v>47.25</v>
      </c>
      <c r="F21" s="5"/>
      <c r="G21" s="112"/>
      <c r="H21" s="5"/>
      <c r="I21" s="112"/>
      <c r="J21" s="388"/>
      <c r="K21" s="112"/>
      <c r="L21" s="112"/>
    </row>
    <row r="22" spans="1:12" s="30" customFormat="1" ht="17.399999999999999">
      <c r="A22" s="473"/>
      <c r="B22" s="45" t="s">
        <v>68</v>
      </c>
      <c r="C22" s="56" t="s">
        <v>14</v>
      </c>
      <c r="D22" s="79">
        <v>5.3800000000000001E-2</v>
      </c>
      <c r="E22" s="55">
        <f>E20*D22</f>
        <v>24.21</v>
      </c>
      <c r="F22" s="5"/>
      <c r="G22" s="112"/>
      <c r="H22" s="5"/>
      <c r="I22" s="112"/>
      <c r="J22" s="388"/>
      <c r="K22" s="112"/>
      <c r="L22" s="112"/>
    </row>
    <row r="23" spans="1:12" s="30" customFormat="1" ht="48.6">
      <c r="A23" s="473"/>
      <c r="B23" s="109" t="s">
        <v>179</v>
      </c>
      <c r="C23" s="56" t="s">
        <v>67</v>
      </c>
      <c r="D23" s="79"/>
      <c r="E23" s="55">
        <v>50</v>
      </c>
      <c r="F23" s="5"/>
      <c r="G23" s="112"/>
      <c r="H23" s="5"/>
      <c r="I23" s="112"/>
      <c r="J23" s="388"/>
      <c r="K23" s="112"/>
      <c r="L23" s="112"/>
    </row>
    <row r="24" spans="1:12" s="30" customFormat="1" ht="48.6">
      <c r="A24" s="473"/>
      <c r="B24" s="109" t="s">
        <v>148</v>
      </c>
      <c r="C24" s="56" t="s">
        <v>67</v>
      </c>
      <c r="D24" s="79"/>
      <c r="E24" s="55">
        <v>400</v>
      </c>
      <c r="F24" s="5"/>
      <c r="G24" s="112"/>
      <c r="H24" s="5"/>
      <c r="I24" s="112"/>
      <c r="J24" s="388"/>
      <c r="K24" s="112"/>
      <c r="L24" s="112"/>
    </row>
    <row r="25" spans="1:12" s="30" customFormat="1" ht="17.399999999999999">
      <c r="A25" s="484"/>
      <c r="B25" s="45" t="s">
        <v>54</v>
      </c>
      <c r="C25" s="56" t="s">
        <v>14</v>
      </c>
      <c r="D25" s="79">
        <v>1.1999999999999999E-3</v>
      </c>
      <c r="E25" s="55">
        <f>E20*D25</f>
        <v>0.53999999999999992</v>
      </c>
      <c r="F25" s="5"/>
      <c r="G25" s="112"/>
      <c r="H25" s="5"/>
      <c r="I25" s="112"/>
      <c r="J25" s="388"/>
      <c r="K25" s="112"/>
      <c r="L25" s="112"/>
    </row>
    <row r="26" spans="1:12" s="30" customFormat="1" ht="32.4">
      <c r="A26" s="485" t="s">
        <v>46</v>
      </c>
      <c r="B26" s="345" t="s">
        <v>69</v>
      </c>
      <c r="C26" s="346" t="s">
        <v>67</v>
      </c>
      <c r="D26" s="366"/>
      <c r="E26" s="366">
        <f>350</f>
        <v>350</v>
      </c>
      <c r="F26" s="363"/>
      <c r="G26" s="321"/>
      <c r="H26" s="5"/>
      <c r="I26" s="112"/>
      <c r="J26" s="388"/>
      <c r="K26" s="112"/>
      <c r="L26" s="112"/>
    </row>
    <row r="27" spans="1:12" s="30" customFormat="1" ht="17.399999999999999">
      <c r="A27" s="486"/>
      <c r="B27" s="42" t="s">
        <v>37</v>
      </c>
      <c r="C27" s="56" t="s">
        <v>38</v>
      </c>
      <c r="D27" s="41">
        <f>11/1000</f>
        <v>1.0999999999999999E-2</v>
      </c>
      <c r="E27" s="41">
        <f>E26*D27</f>
        <v>3.8499999999999996</v>
      </c>
      <c r="F27" s="5"/>
      <c r="G27" s="112"/>
      <c r="H27" s="5"/>
      <c r="I27" s="112"/>
      <c r="J27" s="388"/>
      <c r="K27" s="112"/>
      <c r="L27" s="112"/>
    </row>
    <row r="28" spans="1:12" s="30" customFormat="1" ht="17.399999999999999">
      <c r="A28" s="487"/>
      <c r="B28" s="57" t="s">
        <v>70</v>
      </c>
      <c r="C28" s="58" t="s">
        <v>67</v>
      </c>
      <c r="D28" s="59"/>
      <c r="E28" s="59">
        <f>E26</f>
        <v>350</v>
      </c>
      <c r="F28" s="5"/>
      <c r="G28" s="112"/>
      <c r="H28" s="5"/>
      <c r="I28" s="112"/>
      <c r="J28" s="388"/>
      <c r="K28" s="112"/>
      <c r="L28" s="112"/>
    </row>
    <row r="29" spans="1:12" s="30" customFormat="1" ht="32.4">
      <c r="A29" s="488" t="s">
        <v>48</v>
      </c>
      <c r="B29" s="367" t="s">
        <v>71</v>
      </c>
      <c r="C29" s="368" t="s">
        <v>66</v>
      </c>
      <c r="D29" s="369"/>
      <c r="E29" s="370">
        <f>(350)*0.25*(0.7-0.25)</f>
        <v>39.374999999999993</v>
      </c>
      <c r="F29" s="363"/>
      <c r="G29" s="321"/>
      <c r="H29" s="5"/>
      <c r="I29" s="112"/>
      <c r="J29" s="388"/>
      <c r="K29" s="112"/>
      <c r="L29" s="112"/>
    </row>
    <row r="30" spans="1:12" s="30" customFormat="1" ht="17.399999999999999">
      <c r="A30" s="489"/>
      <c r="B30" s="60" t="s">
        <v>37</v>
      </c>
      <c r="C30" s="20" t="s">
        <v>38</v>
      </c>
      <c r="D30" s="22">
        <v>1.21</v>
      </c>
      <c r="E30" s="22">
        <f>E29*D30</f>
        <v>47.64374999999999</v>
      </c>
      <c r="F30" s="5"/>
      <c r="G30" s="112"/>
      <c r="H30" s="5"/>
      <c r="I30" s="112"/>
      <c r="J30" s="388"/>
      <c r="K30" s="112"/>
      <c r="L30" s="112"/>
    </row>
    <row r="31" spans="1:12" s="30" customFormat="1" ht="32.4" customHeight="1">
      <c r="A31" s="93" t="s">
        <v>49</v>
      </c>
      <c r="B31" s="490" t="s">
        <v>72</v>
      </c>
      <c r="C31" s="491"/>
      <c r="D31" s="491"/>
      <c r="E31" s="491"/>
      <c r="F31" s="491"/>
      <c r="G31" s="492"/>
      <c r="H31" s="5"/>
      <c r="I31" s="112"/>
      <c r="J31" s="388"/>
      <c r="K31" s="112"/>
      <c r="L31" s="112"/>
    </row>
    <row r="32" spans="1:12" s="30" customFormat="1" ht="32.4">
      <c r="A32" s="474" t="s">
        <v>228</v>
      </c>
      <c r="B32" s="371" t="s">
        <v>108</v>
      </c>
      <c r="C32" s="372" t="s">
        <v>23</v>
      </c>
      <c r="D32" s="373"/>
      <c r="E32" s="373">
        <f>0.5*0.5*0.8*(E13)</f>
        <v>5.6000000000000005</v>
      </c>
      <c r="F32" s="327"/>
      <c r="G32" s="327"/>
      <c r="H32" s="3"/>
      <c r="I32" s="3"/>
      <c r="J32" s="3"/>
      <c r="K32" s="3"/>
      <c r="L32" s="3"/>
    </row>
    <row r="33" spans="1:13" s="30" customFormat="1" ht="17.399999999999999">
      <c r="A33" s="475"/>
      <c r="B33" s="9" t="s">
        <v>20</v>
      </c>
      <c r="C33" s="47" t="s">
        <v>5</v>
      </c>
      <c r="D33" s="10">
        <v>3.88</v>
      </c>
      <c r="E33" s="11">
        <f>E32*D33</f>
        <v>21.728000000000002</v>
      </c>
      <c r="F33" s="8"/>
      <c r="G33" s="8"/>
      <c r="H33" s="8"/>
      <c r="I33" s="8"/>
      <c r="J33" s="8"/>
      <c r="K33" s="8"/>
      <c r="L33" s="8"/>
    </row>
    <row r="34" spans="1:13" s="30" customFormat="1" ht="32.4">
      <c r="A34" s="474" t="s">
        <v>229</v>
      </c>
      <c r="B34" s="306" t="s">
        <v>87</v>
      </c>
      <c r="C34" s="307" t="s">
        <v>93</v>
      </c>
      <c r="D34" s="374"/>
      <c r="E34" s="320">
        <f>E32*1.95</f>
        <v>10.92</v>
      </c>
      <c r="F34" s="321"/>
      <c r="G34" s="321"/>
      <c r="H34" s="112"/>
      <c r="I34" s="112"/>
      <c r="J34" s="112"/>
      <c r="K34" s="112"/>
      <c r="L34" s="112"/>
    </row>
    <row r="35" spans="1:13" s="30" customFormat="1" ht="17.399999999999999">
      <c r="A35" s="475"/>
      <c r="B35" s="83" t="s">
        <v>30</v>
      </c>
      <c r="C35" s="15" t="s">
        <v>5</v>
      </c>
      <c r="D35" s="16">
        <v>0.53</v>
      </c>
      <c r="E35" s="274">
        <f>E34*D35</f>
        <v>5.7876000000000003</v>
      </c>
      <c r="F35" s="112"/>
      <c r="G35" s="112"/>
      <c r="H35" s="112"/>
      <c r="I35" s="112"/>
      <c r="J35" s="112"/>
      <c r="K35" s="112"/>
      <c r="L35" s="112"/>
    </row>
    <row r="36" spans="1:13" s="30" customFormat="1" ht="48.6">
      <c r="A36" s="272" t="s">
        <v>230</v>
      </c>
      <c r="B36" s="412" t="s">
        <v>191</v>
      </c>
      <c r="C36" s="34" t="s">
        <v>24</v>
      </c>
      <c r="D36" s="413"/>
      <c r="E36" s="320">
        <f>E34</f>
        <v>10.92</v>
      </c>
      <c r="F36" s="321"/>
      <c r="G36" s="321"/>
      <c r="H36" s="112"/>
      <c r="I36" s="112"/>
      <c r="J36" s="395"/>
      <c r="K36" s="112"/>
      <c r="L36" s="112"/>
    </row>
    <row r="37" spans="1:13" s="30" customFormat="1" ht="32.4">
      <c r="A37" s="474" t="s">
        <v>231</v>
      </c>
      <c r="B37" s="323" t="s">
        <v>102</v>
      </c>
      <c r="C37" s="34" t="s">
        <v>23</v>
      </c>
      <c r="D37" s="290"/>
      <c r="E37" s="303">
        <f>0.5*0.5*0.1*(E13)</f>
        <v>0.70000000000000007</v>
      </c>
      <c r="F37" s="321"/>
      <c r="G37" s="321"/>
      <c r="H37" s="112"/>
      <c r="I37" s="112"/>
      <c r="J37" s="112"/>
      <c r="K37" s="112"/>
      <c r="L37" s="112"/>
    </row>
    <row r="38" spans="1:13" s="30" customFormat="1" ht="17.399999999999999">
      <c r="A38" s="476"/>
      <c r="B38" s="7" t="s">
        <v>8</v>
      </c>
      <c r="C38" s="277" t="s">
        <v>9</v>
      </c>
      <c r="D38" s="95">
        <v>3.52</v>
      </c>
      <c r="E38" s="11">
        <f>D38*E37</f>
        <v>2.4640000000000004</v>
      </c>
      <c r="F38" s="112"/>
      <c r="G38" s="112"/>
      <c r="H38" s="112"/>
      <c r="I38" s="112"/>
      <c r="J38" s="112"/>
      <c r="K38" s="112"/>
      <c r="L38" s="112"/>
    </row>
    <row r="39" spans="1:13" s="30" customFormat="1" ht="17.399999999999999">
      <c r="A39" s="476"/>
      <c r="B39" s="7" t="s">
        <v>12</v>
      </c>
      <c r="C39" s="277" t="s">
        <v>3</v>
      </c>
      <c r="D39" s="95">
        <v>1.06</v>
      </c>
      <c r="E39" s="11">
        <f>E37*D39</f>
        <v>0.7420000000000001</v>
      </c>
      <c r="F39" s="112"/>
      <c r="G39" s="112"/>
      <c r="H39" s="112"/>
      <c r="I39" s="112"/>
      <c r="J39" s="112"/>
      <c r="K39" s="112"/>
      <c r="L39" s="112"/>
    </row>
    <row r="40" spans="1:13" s="30" customFormat="1" ht="17.399999999999999">
      <c r="A40" s="476"/>
      <c r="B40" s="7" t="s">
        <v>103</v>
      </c>
      <c r="C40" s="277" t="s">
        <v>17</v>
      </c>
      <c r="D40" s="95">
        <f>0.18+0.09+0.97</f>
        <v>1.24</v>
      </c>
      <c r="E40" s="11">
        <f>D40*E37</f>
        <v>0.8680000000000001</v>
      </c>
      <c r="F40" s="112"/>
      <c r="G40" s="112"/>
      <c r="H40" s="112"/>
      <c r="I40" s="112"/>
      <c r="J40" s="112"/>
      <c r="K40" s="112"/>
      <c r="L40" s="112"/>
    </row>
    <row r="41" spans="1:13" s="30" customFormat="1" ht="17.399999999999999">
      <c r="A41" s="475"/>
      <c r="B41" s="48" t="s">
        <v>28</v>
      </c>
      <c r="C41" s="273" t="s">
        <v>3</v>
      </c>
      <c r="D41" s="95">
        <v>0.02</v>
      </c>
      <c r="E41" s="11">
        <f>E37*D41</f>
        <v>1.4000000000000002E-2</v>
      </c>
      <c r="F41" s="8"/>
      <c r="G41" s="112"/>
      <c r="H41" s="5"/>
      <c r="I41" s="112"/>
      <c r="J41" s="388"/>
      <c r="K41" s="112"/>
      <c r="L41" s="112"/>
    </row>
    <row r="42" spans="1:13" s="30" customFormat="1" ht="17.399999999999999">
      <c r="A42" s="472" t="s">
        <v>232</v>
      </c>
      <c r="B42" s="94" t="s">
        <v>106</v>
      </c>
      <c r="C42" s="360" t="s">
        <v>66</v>
      </c>
      <c r="D42" s="361"/>
      <c r="E42" s="362">
        <f>0.4*0.4*(0.7)*(E13)</f>
        <v>3.1360000000000006</v>
      </c>
      <c r="F42" s="363"/>
      <c r="G42" s="321"/>
      <c r="H42" s="5"/>
      <c r="I42" s="112"/>
      <c r="J42" s="388"/>
      <c r="K42" s="112"/>
      <c r="L42" s="112"/>
    </row>
    <row r="43" spans="1:13" s="30" customFormat="1" ht="17.399999999999999">
      <c r="A43" s="473"/>
      <c r="B43" s="45" t="s">
        <v>37</v>
      </c>
      <c r="C43" s="56" t="s">
        <v>38</v>
      </c>
      <c r="D43" s="55">
        <v>1.37</v>
      </c>
      <c r="E43" s="55">
        <f>E42*D43</f>
        <v>4.2963200000000015</v>
      </c>
      <c r="F43" s="5"/>
      <c r="G43" s="112"/>
      <c r="H43" s="5"/>
      <c r="I43" s="112"/>
      <c r="J43" s="388"/>
      <c r="K43" s="112"/>
      <c r="L43" s="112"/>
    </row>
    <row r="44" spans="1:13" s="30" customFormat="1" ht="17.399999999999999">
      <c r="A44" s="473"/>
      <c r="B44" s="45" t="s">
        <v>68</v>
      </c>
      <c r="C44" s="56" t="s">
        <v>14</v>
      </c>
      <c r="D44" s="55">
        <v>0.28299999999999997</v>
      </c>
      <c r="E44" s="55">
        <f>E42*D44</f>
        <v>0.88748800000000005</v>
      </c>
      <c r="F44" s="5"/>
      <c r="G44" s="112"/>
      <c r="H44" s="5"/>
      <c r="I44" s="112"/>
      <c r="J44" s="388"/>
      <c r="K44" s="112"/>
      <c r="L44" s="112"/>
    </row>
    <row r="45" spans="1:13" s="30" customFormat="1" ht="17.399999999999999">
      <c r="A45" s="473"/>
      <c r="B45" s="45" t="s">
        <v>143</v>
      </c>
      <c r="C45" s="56" t="s">
        <v>66</v>
      </c>
      <c r="D45" s="55">
        <v>1.02</v>
      </c>
      <c r="E45" s="55">
        <f>E42*D45</f>
        <v>3.1987200000000007</v>
      </c>
      <c r="F45" s="5"/>
      <c r="G45" s="112"/>
      <c r="H45" s="5"/>
      <c r="I45" s="112"/>
      <c r="J45" s="388"/>
      <c r="K45" s="112"/>
      <c r="L45" s="112"/>
    </row>
    <row r="46" spans="1:13" s="30" customFormat="1" ht="17.399999999999999">
      <c r="A46" s="473"/>
      <c r="B46" s="7" t="s">
        <v>73</v>
      </c>
      <c r="C46" s="277" t="s">
        <v>74</v>
      </c>
      <c r="D46" s="55">
        <v>1.03</v>
      </c>
      <c r="E46" s="55">
        <f>0.4*4*2*1.03*0.395/1000*(E13)</f>
        <v>3.6453760000000009E-2</v>
      </c>
      <c r="F46" s="5"/>
      <c r="G46" s="112"/>
      <c r="H46" s="5"/>
      <c r="I46" s="112"/>
      <c r="J46" s="388"/>
      <c r="K46" s="112"/>
      <c r="L46" s="112"/>
    </row>
    <row r="47" spans="1:13" s="30" customFormat="1" ht="17.399999999999999">
      <c r="A47" s="473"/>
      <c r="B47" s="60" t="s">
        <v>75</v>
      </c>
      <c r="C47" s="61" t="s">
        <v>14</v>
      </c>
      <c r="D47" s="22">
        <v>0.62</v>
      </c>
      <c r="E47" s="22">
        <f>E42*D47</f>
        <v>1.9443200000000003</v>
      </c>
      <c r="F47" s="5"/>
      <c r="G47" s="112"/>
      <c r="H47" s="112"/>
      <c r="I47" s="112"/>
      <c r="J47" s="388"/>
      <c r="K47" s="112"/>
      <c r="L47" s="112"/>
    </row>
    <row r="48" spans="1:13" s="30" customFormat="1" ht="17.399999999999999">
      <c r="A48" s="34"/>
      <c r="B48" s="44" t="s">
        <v>64</v>
      </c>
      <c r="C48" s="394"/>
      <c r="D48" s="393"/>
      <c r="E48" s="17"/>
      <c r="F48" s="18"/>
      <c r="G48" s="35"/>
      <c r="H48" s="18"/>
      <c r="I48" s="35"/>
      <c r="J48" s="392"/>
      <c r="K48" s="35"/>
      <c r="L48" s="35"/>
      <c r="M48" s="386"/>
    </row>
    <row r="49" spans="1:12" s="30" customFormat="1" ht="17.399999999999999">
      <c r="A49" s="91"/>
      <c r="B49" s="49" t="s">
        <v>76</v>
      </c>
      <c r="C49" s="36"/>
      <c r="D49" s="19"/>
      <c r="E49" s="19" t="s">
        <v>201</v>
      </c>
      <c r="F49" s="19"/>
      <c r="G49" s="19"/>
      <c r="H49" s="50"/>
      <c r="I49" s="50"/>
      <c r="J49" s="50"/>
      <c r="K49" s="50"/>
      <c r="L49" s="385"/>
    </row>
    <row r="50" spans="1:12" s="30" customFormat="1" ht="17.399999999999999">
      <c r="A50" s="62"/>
      <c r="B50" s="64" t="s">
        <v>77</v>
      </c>
      <c r="C50" s="63"/>
      <c r="D50" s="65"/>
      <c r="E50" s="65"/>
      <c r="F50" s="66"/>
      <c r="G50" s="66"/>
      <c r="H50" s="66"/>
      <c r="I50" s="66"/>
      <c r="J50" s="66"/>
      <c r="K50" s="66"/>
      <c r="L50" s="66"/>
    </row>
    <row r="51" spans="1:12" s="30" customFormat="1" ht="17.399999999999999">
      <c r="A51" s="375"/>
      <c r="B51" s="376" t="s">
        <v>215</v>
      </c>
      <c r="C51" s="377"/>
      <c r="D51" s="378"/>
      <c r="E51" s="378"/>
      <c r="F51" s="379"/>
      <c r="G51" s="380"/>
      <c r="H51" s="391"/>
      <c r="I51" s="389"/>
      <c r="J51" s="390"/>
      <c r="K51" s="389"/>
      <c r="L51" s="389"/>
    </row>
    <row r="52" spans="1:12" s="30" customFormat="1" ht="48.6">
      <c r="A52" s="471" t="s">
        <v>50</v>
      </c>
      <c r="B52" s="286" t="s">
        <v>78</v>
      </c>
      <c r="C52" s="34" t="s">
        <v>36</v>
      </c>
      <c r="D52" s="324"/>
      <c r="E52" s="17">
        <f>SUM(E55:E56)</f>
        <v>36</v>
      </c>
      <c r="F52" s="321"/>
      <c r="G52" s="321"/>
      <c r="H52" s="112"/>
      <c r="I52" s="112"/>
      <c r="J52" s="112"/>
      <c r="K52" s="112"/>
      <c r="L52" s="112"/>
    </row>
    <row r="53" spans="1:12" s="30" customFormat="1" ht="17.399999999999999">
      <c r="A53" s="471"/>
      <c r="B53" s="21" t="s">
        <v>37</v>
      </c>
      <c r="C53" s="20" t="s">
        <v>38</v>
      </c>
      <c r="D53" s="22">
        <v>1</v>
      </c>
      <c r="E53" s="22">
        <f>E52*D53</f>
        <v>36</v>
      </c>
      <c r="F53" s="5"/>
      <c r="G53" s="112"/>
      <c r="H53" s="5"/>
      <c r="I53" s="112"/>
      <c r="J53" s="388"/>
      <c r="K53" s="112"/>
      <c r="L53" s="112"/>
    </row>
    <row r="54" spans="1:12" s="30" customFormat="1" ht="17.399999999999999">
      <c r="A54" s="471"/>
      <c r="B54" s="21" t="s">
        <v>4</v>
      </c>
      <c r="C54" s="20" t="s">
        <v>3</v>
      </c>
      <c r="D54" s="22">
        <v>1.1599999999999999</v>
      </c>
      <c r="E54" s="22">
        <f>E52*D54</f>
        <v>41.76</v>
      </c>
      <c r="F54" s="5"/>
      <c r="G54" s="112"/>
      <c r="H54" s="5"/>
      <c r="I54" s="112"/>
      <c r="J54" s="388"/>
      <c r="K54" s="112"/>
      <c r="L54" s="112"/>
    </row>
    <row r="55" spans="1:12" s="30" customFormat="1" ht="30.6">
      <c r="A55" s="277" t="s">
        <v>39</v>
      </c>
      <c r="B55" s="23" t="s">
        <v>226</v>
      </c>
      <c r="C55" s="91" t="s">
        <v>42</v>
      </c>
      <c r="D55" s="46"/>
      <c r="E55" s="6">
        <f>E13</f>
        <v>28</v>
      </c>
      <c r="F55" s="112"/>
      <c r="G55" s="112"/>
      <c r="H55" s="5"/>
      <c r="I55" s="112"/>
      <c r="J55" s="112"/>
      <c r="K55" s="112"/>
      <c r="L55" s="112"/>
    </row>
    <row r="56" spans="1:12" s="30" customFormat="1" ht="61.2">
      <c r="A56" s="277" t="s">
        <v>51</v>
      </c>
      <c r="B56" s="23" t="s">
        <v>227</v>
      </c>
      <c r="C56" s="91" t="s">
        <v>42</v>
      </c>
      <c r="D56" s="46"/>
      <c r="E56" s="6">
        <f>E14</f>
        <v>8</v>
      </c>
      <c r="F56" s="112"/>
      <c r="G56" s="112"/>
      <c r="H56" s="5"/>
      <c r="I56" s="112"/>
      <c r="J56" s="112"/>
      <c r="K56" s="112"/>
      <c r="L56" s="112"/>
    </row>
    <row r="57" spans="1:12" s="30" customFormat="1" ht="30.6">
      <c r="A57" s="277" t="s">
        <v>46</v>
      </c>
      <c r="B57" s="92" t="s">
        <v>199</v>
      </c>
      <c r="C57" s="91" t="s">
        <v>42</v>
      </c>
      <c r="D57" s="111"/>
      <c r="E57" s="6">
        <v>8</v>
      </c>
      <c r="F57" s="112"/>
      <c r="G57" s="112"/>
      <c r="H57" s="5"/>
      <c r="I57" s="112"/>
      <c r="J57" s="112"/>
      <c r="K57" s="112"/>
      <c r="L57" s="112"/>
    </row>
    <row r="58" spans="1:12" s="30" customFormat="1" ht="17.399999999999999" hidden="1">
      <c r="A58" s="418"/>
      <c r="B58" s="415" t="s">
        <v>28</v>
      </c>
      <c r="C58" s="416" t="s">
        <v>3</v>
      </c>
      <c r="D58" s="414">
        <v>0.05</v>
      </c>
      <c r="E58" s="414">
        <f>E52*D58</f>
        <v>1.8</v>
      </c>
      <c r="F58" s="112"/>
      <c r="G58" s="112"/>
      <c r="H58" s="5"/>
      <c r="I58" s="112"/>
      <c r="J58" s="112"/>
      <c r="K58" s="112"/>
      <c r="L58" s="112"/>
    </row>
    <row r="59" spans="1:12" s="30" customFormat="1" ht="17.399999999999999">
      <c r="A59" s="479" t="s">
        <v>48</v>
      </c>
      <c r="B59" s="417" t="s">
        <v>79</v>
      </c>
      <c r="C59" s="381" t="s">
        <v>52</v>
      </c>
      <c r="D59" s="290"/>
      <c r="E59" s="17">
        <f>SUM(E61:E63)</f>
        <v>500</v>
      </c>
      <c r="F59" s="35"/>
      <c r="G59" s="327"/>
      <c r="H59" s="4"/>
      <c r="I59" s="112"/>
      <c r="J59" s="112"/>
      <c r="K59" s="112"/>
      <c r="L59" s="112"/>
    </row>
    <row r="60" spans="1:12" s="30" customFormat="1" ht="17.399999999999999">
      <c r="A60" s="480"/>
      <c r="B60" s="7" t="s">
        <v>32</v>
      </c>
      <c r="C60" s="277" t="s">
        <v>5</v>
      </c>
      <c r="D60" s="95">
        <v>0.13900000000000001</v>
      </c>
      <c r="E60" s="111">
        <f>E59*D60</f>
        <v>69.5</v>
      </c>
      <c r="F60" s="112"/>
      <c r="G60" s="3"/>
      <c r="H60" s="112"/>
      <c r="I60" s="112"/>
      <c r="J60" s="112"/>
      <c r="K60" s="112"/>
      <c r="L60" s="112"/>
    </row>
    <row r="61" spans="1:12" s="30" customFormat="1" ht="17.399999999999999">
      <c r="A61" s="480"/>
      <c r="B61" s="7" t="s">
        <v>174</v>
      </c>
      <c r="C61" s="20" t="s">
        <v>25</v>
      </c>
      <c r="D61" s="95"/>
      <c r="E61" s="111">
        <v>50</v>
      </c>
      <c r="F61" s="112"/>
      <c r="G61" s="112"/>
      <c r="H61" s="112"/>
      <c r="I61" s="112"/>
      <c r="J61" s="112"/>
      <c r="K61" s="112"/>
      <c r="L61" s="112"/>
    </row>
    <row r="62" spans="1:12" s="30" customFormat="1" ht="17.399999999999999">
      <c r="A62" s="480"/>
      <c r="B62" s="7" t="s">
        <v>149</v>
      </c>
      <c r="C62" s="20" t="s">
        <v>25</v>
      </c>
      <c r="D62" s="80"/>
      <c r="E62" s="111">
        <v>400</v>
      </c>
      <c r="F62" s="5"/>
      <c r="G62" s="112"/>
      <c r="H62" s="5"/>
      <c r="I62" s="112"/>
      <c r="J62" s="388"/>
      <c r="K62" s="112"/>
      <c r="L62" s="112"/>
    </row>
    <row r="63" spans="1:12" s="30" customFormat="1" ht="17.399999999999999">
      <c r="A63" s="480"/>
      <c r="B63" s="7" t="s">
        <v>150</v>
      </c>
      <c r="C63" s="20" t="s">
        <v>25</v>
      </c>
      <c r="D63" s="95"/>
      <c r="E63" s="111">
        <v>50</v>
      </c>
      <c r="F63" s="112"/>
      <c r="G63" s="112"/>
      <c r="H63" s="5"/>
      <c r="I63" s="112"/>
      <c r="J63" s="112"/>
      <c r="K63" s="112"/>
      <c r="L63" s="112"/>
    </row>
    <row r="64" spans="1:12" s="30" customFormat="1" ht="17.399999999999999">
      <c r="A64" s="493"/>
      <c r="B64" s="7" t="s">
        <v>53</v>
      </c>
      <c r="C64" s="277" t="s">
        <v>3</v>
      </c>
      <c r="D64" s="95">
        <v>9.7000000000000003E-3</v>
      </c>
      <c r="E64" s="22">
        <f>E59*D64</f>
        <v>4.8500000000000005</v>
      </c>
      <c r="F64" s="112"/>
      <c r="G64" s="3"/>
      <c r="H64" s="5"/>
      <c r="I64" s="112"/>
      <c r="J64" s="112"/>
      <c r="K64" s="112"/>
      <c r="L64" s="112"/>
    </row>
    <row r="65" spans="1:14" s="30" customFormat="1" ht="17.399999999999999">
      <c r="A65" s="474" t="s">
        <v>49</v>
      </c>
      <c r="B65" s="33" t="s">
        <v>107</v>
      </c>
      <c r="C65" s="34" t="s">
        <v>29</v>
      </c>
      <c r="D65" s="290"/>
      <c r="E65" s="369">
        <f>SUM(E67:E69)</f>
        <v>32</v>
      </c>
      <c r="F65" s="291"/>
      <c r="G65" s="419"/>
      <c r="H65" s="5"/>
      <c r="I65" s="112"/>
      <c r="J65" s="112"/>
      <c r="K65" s="112"/>
      <c r="L65" s="112"/>
    </row>
    <row r="66" spans="1:14" s="30" customFormat="1" ht="17.399999999999999">
      <c r="A66" s="476"/>
      <c r="B66" s="40" t="s">
        <v>32</v>
      </c>
      <c r="C66" s="277" t="s">
        <v>5</v>
      </c>
      <c r="D66" s="95">
        <v>7.05</v>
      </c>
      <c r="E66" s="95">
        <f>E65*D66</f>
        <v>225.6</v>
      </c>
      <c r="F66" s="96"/>
      <c r="G66" s="39"/>
      <c r="H66" s="96"/>
      <c r="I66" s="39"/>
      <c r="J66" s="96"/>
      <c r="K66" s="39"/>
      <c r="L66" s="112"/>
    </row>
    <row r="67" spans="1:14" s="30" customFormat="1" ht="30">
      <c r="A67" s="476"/>
      <c r="B67" s="110" t="s">
        <v>175</v>
      </c>
      <c r="C67" s="277" t="s">
        <v>29</v>
      </c>
      <c r="D67" s="95"/>
      <c r="E67" s="22">
        <v>28</v>
      </c>
      <c r="F67" s="112"/>
      <c r="G67" s="112"/>
      <c r="H67" s="5"/>
      <c r="I67" s="112"/>
      <c r="J67" s="112"/>
      <c r="K67" s="112"/>
      <c r="L67" s="112"/>
    </row>
    <row r="68" spans="1:14" s="30" customFormat="1" ht="32.4">
      <c r="A68" s="476"/>
      <c r="B68" s="7" t="s">
        <v>177</v>
      </c>
      <c r="C68" s="277" t="s">
        <v>29</v>
      </c>
      <c r="D68" s="111"/>
      <c r="E68" s="22">
        <v>1</v>
      </c>
      <c r="F68" s="112"/>
      <c r="G68" s="112"/>
      <c r="H68" s="5"/>
      <c r="I68" s="112"/>
      <c r="J68" s="112"/>
      <c r="K68" s="112"/>
      <c r="L68" s="112"/>
    </row>
    <row r="69" spans="1:14" s="30" customFormat="1" ht="30.6">
      <c r="A69" s="476"/>
      <c r="B69" s="7" t="s">
        <v>178</v>
      </c>
      <c r="C69" s="277" t="s">
        <v>29</v>
      </c>
      <c r="D69" s="111"/>
      <c r="E69" s="22">
        <v>3</v>
      </c>
      <c r="F69" s="112"/>
      <c r="G69" s="112"/>
      <c r="H69" s="5"/>
      <c r="I69" s="112"/>
      <c r="J69" s="112"/>
      <c r="K69" s="112"/>
      <c r="L69" s="112"/>
    </row>
    <row r="70" spans="1:14" s="30" customFormat="1" ht="17.399999999999999">
      <c r="A70" s="476"/>
      <c r="B70" s="40" t="s">
        <v>176</v>
      </c>
      <c r="C70" s="277" t="s">
        <v>29</v>
      </c>
      <c r="D70" s="95"/>
      <c r="E70" s="22">
        <v>1</v>
      </c>
      <c r="F70" s="112"/>
      <c r="G70" s="112"/>
      <c r="H70" s="5"/>
      <c r="I70" s="112"/>
      <c r="J70" s="112"/>
      <c r="K70" s="112"/>
      <c r="L70" s="112"/>
    </row>
    <row r="71" spans="1:14" s="30" customFormat="1" ht="17.399999999999999">
      <c r="A71" s="476"/>
      <c r="B71" s="40" t="s">
        <v>152</v>
      </c>
      <c r="C71" s="277" t="s">
        <v>29</v>
      </c>
      <c r="D71" s="95"/>
      <c r="E71" s="22">
        <v>8</v>
      </c>
      <c r="F71" s="112"/>
      <c r="G71" s="112"/>
      <c r="H71" s="5"/>
      <c r="I71" s="112"/>
      <c r="J71" s="112"/>
      <c r="K71" s="112"/>
      <c r="L71" s="112"/>
    </row>
    <row r="72" spans="1:14" s="30" customFormat="1" ht="17.399999999999999">
      <c r="A72" s="476"/>
      <c r="B72" s="40" t="s">
        <v>151</v>
      </c>
      <c r="C72" s="277" t="s">
        <v>29</v>
      </c>
      <c r="D72" s="95"/>
      <c r="E72" s="22">
        <v>28</v>
      </c>
      <c r="F72" s="112"/>
      <c r="G72" s="112"/>
      <c r="H72" s="5"/>
      <c r="I72" s="112"/>
      <c r="J72" s="112"/>
      <c r="K72" s="112"/>
      <c r="L72" s="112"/>
    </row>
    <row r="73" spans="1:14" s="30" customFormat="1" ht="30">
      <c r="A73" s="475"/>
      <c r="B73" s="40" t="s">
        <v>180</v>
      </c>
      <c r="C73" s="46" t="s">
        <v>42</v>
      </c>
      <c r="D73" s="46"/>
      <c r="E73" s="46">
        <v>1</v>
      </c>
      <c r="F73" s="112"/>
      <c r="G73" s="112"/>
      <c r="H73" s="5"/>
      <c r="I73" s="112"/>
      <c r="J73" s="112"/>
      <c r="K73" s="112"/>
      <c r="L73" s="112"/>
      <c r="N73" s="104"/>
    </row>
    <row r="74" spans="1:14" s="30" customFormat="1" ht="17.399999999999999">
      <c r="A74" s="277" t="s">
        <v>44</v>
      </c>
      <c r="B74" s="458" t="s">
        <v>40</v>
      </c>
      <c r="C74" s="459"/>
      <c r="D74" s="459"/>
      <c r="E74" s="459"/>
      <c r="F74" s="459"/>
      <c r="G74" s="460"/>
      <c r="H74" s="387"/>
      <c r="I74" s="24"/>
      <c r="J74" s="24"/>
      <c r="K74" s="24"/>
      <c r="L74" s="112"/>
    </row>
    <row r="75" spans="1:14" s="30" customFormat="1" ht="32.4">
      <c r="A75" s="494" t="s">
        <v>233</v>
      </c>
      <c r="B75" s="317" t="s">
        <v>92</v>
      </c>
      <c r="C75" s="420" t="s">
        <v>29</v>
      </c>
      <c r="D75" s="421"/>
      <c r="E75" s="303">
        <f>E78</f>
        <v>5</v>
      </c>
      <c r="F75" s="305"/>
      <c r="G75" s="422"/>
      <c r="H75" s="8"/>
      <c r="I75" s="14"/>
      <c r="J75" s="8"/>
      <c r="K75" s="14"/>
      <c r="L75" s="112"/>
    </row>
    <row r="76" spans="1:14" s="30" customFormat="1" ht="17.399999999999999">
      <c r="A76" s="495"/>
      <c r="B76" s="9" t="s">
        <v>22</v>
      </c>
      <c r="C76" s="25" t="s">
        <v>5</v>
      </c>
      <c r="D76" s="81">
        <v>0.6</v>
      </c>
      <c r="E76" s="11">
        <f>D76*E75</f>
        <v>3</v>
      </c>
      <c r="F76" s="8"/>
      <c r="G76" s="14"/>
      <c r="H76" s="14"/>
      <c r="I76" s="14"/>
      <c r="J76" s="14"/>
      <c r="K76" s="14"/>
      <c r="L76" s="112"/>
    </row>
    <row r="77" spans="1:14" s="30" customFormat="1" ht="17.399999999999999">
      <c r="A77" s="495"/>
      <c r="B77" s="13" t="s">
        <v>4</v>
      </c>
      <c r="C77" s="25" t="s">
        <v>3</v>
      </c>
      <c r="D77" s="81">
        <v>0.05</v>
      </c>
      <c r="E77" s="26">
        <f>D77*E75</f>
        <v>0.25</v>
      </c>
      <c r="F77" s="8"/>
      <c r="G77" s="14"/>
      <c r="H77" s="14"/>
      <c r="I77" s="14"/>
      <c r="J77" s="14"/>
      <c r="K77" s="14"/>
      <c r="L77" s="112"/>
    </row>
    <row r="78" spans="1:14" s="30" customFormat="1" ht="32.4">
      <c r="A78" s="495"/>
      <c r="B78" s="13" t="s">
        <v>138</v>
      </c>
      <c r="C78" s="27" t="s">
        <v>29</v>
      </c>
      <c r="D78" s="82"/>
      <c r="E78" s="26">
        <v>5</v>
      </c>
      <c r="F78" s="8"/>
      <c r="G78" s="14"/>
      <c r="H78" s="14"/>
      <c r="I78" s="14"/>
      <c r="J78" s="14"/>
      <c r="K78" s="14"/>
      <c r="L78" s="112"/>
    </row>
    <row r="79" spans="1:14" s="30" customFormat="1" ht="17.399999999999999">
      <c r="A79" s="496"/>
      <c r="B79" s="9" t="s">
        <v>6</v>
      </c>
      <c r="C79" s="25" t="s">
        <v>3</v>
      </c>
      <c r="D79" s="81">
        <v>0.108</v>
      </c>
      <c r="E79" s="11">
        <f>D79*E75</f>
        <v>0.54</v>
      </c>
      <c r="F79" s="8"/>
      <c r="G79" s="14"/>
      <c r="H79" s="8"/>
      <c r="I79" s="14"/>
      <c r="J79" s="8"/>
      <c r="K79" s="14"/>
      <c r="L79" s="112"/>
    </row>
    <row r="80" spans="1:14" s="30" customFormat="1" ht="48.6">
      <c r="A80" s="494" t="s">
        <v>234</v>
      </c>
      <c r="B80" s="317" t="s">
        <v>90</v>
      </c>
      <c r="C80" s="423" t="s">
        <v>25</v>
      </c>
      <c r="D80" s="424"/>
      <c r="E80" s="303">
        <f>E83</f>
        <v>16</v>
      </c>
      <c r="F80" s="305"/>
      <c r="G80" s="422"/>
      <c r="H80" s="14"/>
      <c r="I80" s="14"/>
      <c r="J80" s="14"/>
      <c r="K80" s="14"/>
      <c r="L80" s="112"/>
    </row>
    <row r="81" spans="1:14" s="30" customFormat="1" ht="17.399999999999999">
      <c r="A81" s="495"/>
      <c r="B81" s="9" t="s">
        <v>22</v>
      </c>
      <c r="C81" s="25" t="s">
        <v>5</v>
      </c>
      <c r="D81" s="81">
        <v>0.26</v>
      </c>
      <c r="E81" s="11">
        <f>D81*E80</f>
        <v>4.16</v>
      </c>
      <c r="F81" s="8"/>
      <c r="G81" s="14"/>
      <c r="H81" s="14"/>
      <c r="I81" s="14"/>
      <c r="J81" s="14"/>
      <c r="K81" s="14"/>
      <c r="L81" s="112"/>
    </row>
    <row r="82" spans="1:14" s="30" customFormat="1" ht="17.399999999999999">
      <c r="A82" s="495"/>
      <c r="B82" s="13" t="s">
        <v>4</v>
      </c>
      <c r="C82" s="25" t="s">
        <v>3</v>
      </c>
      <c r="D82" s="81">
        <v>1.6E-2</v>
      </c>
      <c r="E82" s="26">
        <f>D82*E80</f>
        <v>0.25600000000000001</v>
      </c>
      <c r="F82" s="8"/>
      <c r="G82" s="14"/>
      <c r="H82" s="14"/>
      <c r="I82" s="14"/>
      <c r="J82" s="14"/>
      <c r="K82" s="14"/>
      <c r="L82" s="112"/>
    </row>
    <row r="83" spans="1:14" s="30" customFormat="1" ht="17.399999999999999">
      <c r="A83" s="495"/>
      <c r="B83" s="13" t="s">
        <v>91</v>
      </c>
      <c r="C83" s="27" t="s">
        <v>25</v>
      </c>
      <c r="D83" s="82"/>
      <c r="E83" s="12">
        <v>16</v>
      </c>
      <c r="F83" s="8"/>
      <c r="G83" s="14"/>
      <c r="H83" s="14"/>
      <c r="I83" s="14"/>
      <c r="J83" s="14"/>
      <c r="K83" s="14"/>
      <c r="L83" s="112"/>
    </row>
    <row r="84" spans="1:14" s="30" customFormat="1" ht="17.399999999999999">
      <c r="A84" s="496"/>
      <c r="B84" s="9" t="s">
        <v>6</v>
      </c>
      <c r="C84" s="25" t="s">
        <v>3</v>
      </c>
      <c r="D84" s="81">
        <v>0.35299999999999998</v>
      </c>
      <c r="E84" s="11">
        <f>D84*E80</f>
        <v>5.6479999999999997</v>
      </c>
      <c r="F84" s="8"/>
      <c r="G84" s="14"/>
      <c r="H84" s="8"/>
      <c r="I84" s="14"/>
      <c r="J84" s="8"/>
      <c r="K84" s="14"/>
      <c r="L84" s="112"/>
    </row>
    <row r="85" spans="1:14" s="30" customFormat="1" ht="17.399999999999999">
      <c r="A85" s="273"/>
      <c r="B85" s="106" t="s">
        <v>80</v>
      </c>
      <c r="C85" s="118" t="s">
        <v>29</v>
      </c>
      <c r="D85" s="82"/>
      <c r="E85" s="12">
        <v>1</v>
      </c>
      <c r="F85" s="8"/>
      <c r="G85" s="14"/>
      <c r="H85" s="14"/>
      <c r="I85" s="14"/>
      <c r="J85" s="14"/>
      <c r="K85" s="14"/>
      <c r="L85" s="112"/>
    </row>
    <row r="86" spans="1:14" s="30" customFormat="1" ht="17.399999999999999">
      <c r="A86" s="34"/>
      <c r="B86" s="44" t="s">
        <v>64</v>
      </c>
      <c r="C86" s="34"/>
      <c r="D86" s="17"/>
      <c r="E86" s="17"/>
      <c r="F86" s="35"/>
      <c r="G86" s="35"/>
      <c r="H86" s="35"/>
      <c r="I86" s="35"/>
      <c r="J86" s="35"/>
      <c r="K86" s="35"/>
      <c r="L86" s="35"/>
      <c r="M86" s="386"/>
    </row>
    <row r="87" spans="1:14" s="30" customFormat="1" ht="48.6">
      <c r="A87" s="277"/>
      <c r="B87" s="276" t="s">
        <v>237</v>
      </c>
      <c r="C87" s="91"/>
      <c r="D87" s="111"/>
      <c r="E87" s="276" t="s">
        <v>201</v>
      </c>
      <c r="F87" s="112"/>
      <c r="G87" s="112"/>
      <c r="H87" s="112"/>
      <c r="I87" s="112"/>
      <c r="J87" s="112"/>
      <c r="K87" s="112"/>
      <c r="L87" s="112"/>
    </row>
    <row r="88" spans="1:14" s="30" customFormat="1" ht="17.399999999999999">
      <c r="A88" s="34"/>
      <c r="B88" s="44" t="s">
        <v>81</v>
      </c>
      <c r="C88" s="34"/>
      <c r="D88" s="17"/>
      <c r="E88" s="17"/>
      <c r="F88" s="35"/>
      <c r="G88" s="35"/>
      <c r="H88" s="35"/>
      <c r="I88" s="35"/>
      <c r="J88" s="35"/>
      <c r="K88" s="35"/>
      <c r="L88" s="35"/>
    </row>
    <row r="89" spans="1:14" s="30" customFormat="1" ht="17.399999999999999">
      <c r="A89" s="276"/>
      <c r="B89" s="276" t="s">
        <v>82</v>
      </c>
      <c r="C89" s="276"/>
      <c r="D89" s="276"/>
      <c r="E89" s="276"/>
      <c r="F89" s="276"/>
      <c r="G89" s="276"/>
      <c r="H89" s="120"/>
      <c r="I89" s="120"/>
      <c r="J89" s="120"/>
      <c r="K89" s="120"/>
      <c r="L89" s="120"/>
      <c r="M89" s="382"/>
    </row>
    <row r="90" spans="1:14" s="30" customFormat="1" ht="17.399999999999999">
      <c r="A90" s="276"/>
      <c r="B90" s="276" t="s">
        <v>235</v>
      </c>
      <c r="C90" s="276"/>
      <c r="D90" s="276"/>
      <c r="E90" s="276" t="s">
        <v>201</v>
      </c>
      <c r="F90" s="276"/>
      <c r="G90" s="276"/>
      <c r="H90" s="112"/>
      <c r="I90" s="112"/>
      <c r="J90" s="112"/>
      <c r="K90" s="112"/>
      <c r="L90" s="112"/>
    </row>
    <row r="91" spans="1:14" s="30" customFormat="1" ht="17.399999999999999">
      <c r="A91" s="276"/>
      <c r="B91" s="276" t="s">
        <v>13</v>
      </c>
      <c r="C91" s="276"/>
      <c r="D91" s="276"/>
      <c r="E91" s="276"/>
      <c r="F91" s="276"/>
      <c r="G91" s="276"/>
      <c r="H91" s="119"/>
      <c r="I91" s="119"/>
      <c r="J91" s="119"/>
      <c r="K91" s="119"/>
      <c r="L91" s="384"/>
    </row>
    <row r="92" spans="1:14" s="30" customFormat="1" ht="17.399999999999999">
      <c r="A92" s="276"/>
      <c r="B92" s="276" t="s">
        <v>0</v>
      </c>
      <c r="C92" s="276"/>
      <c r="D92" s="276"/>
      <c r="E92" s="276" t="s">
        <v>33</v>
      </c>
      <c r="F92" s="276"/>
      <c r="G92" s="276"/>
      <c r="H92" s="112"/>
      <c r="I92" s="112"/>
      <c r="J92" s="112"/>
      <c r="K92" s="112"/>
      <c r="L92" s="112"/>
    </row>
    <row r="93" spans="1:14" s="30" customFormat="1" ht="17.399999999999999">
      <c r="A93" s="276"/>
      <c r="B93" s="276" t="s">
        <v>13</v>
      </c>
      <c r="C93" s="276"/>
      <c r="D93" s="276"/>
      <c r="E93" s="276"/>
      <c r="F93" s="276"/>
      <c r="G93" s="276"/>
      <c r="H93" s="112"/>
      <c r="I93" s="112"/>
      <c r="J93" s="112"/>
      <c r="K93" s="112"/>
      <c r="L93" s="112"/>
    </row>
    <row r="94" spans="1:14" s="30" customFormat="1" ht="17.399999999999999">
      <c r="A94" s="276"/>
      <c r="B94" s="276" t="s">
        <v>236</v>
      </c>
      <c r="C94" s="276"/>
      <c r="D94" s="276"/>
      <c r="E94" s="276" t="s">
        <v>34</v>
      </c>
      <c r="F94" s="276"/>
      <c r="G94" s="276"/>
      <c r="H94" s="112"/>
      <c r="I94" s="112"/>
      <c r="J94" s="112"/>
      <c r="K94" s="112"/>
      <c r="L94" s="112"/>
    </row>
    <row r="95" spans="1:14" s="30" customFormat="1" ht="32.4">
      <c r="A95" s="276"/>
      <c r="B95" s="276" t="s">
        <v>133</v>
      </c>
      <c r="C95" s="276"/>
      <c r="D95" s="276"/>
      <c r="E95" s="276"/>
      <c r="F95" s="276"/>
      <c r="G95" s="276"/>
      <c r="H95" s="120"/>
      <c r="I95" s="120"/>
      <c r="J95" s="120"/>
      <c r="K95" s="120"/>
      <c r="L95" s="384"/>
      <c r="N95" s="382"/>
    </row>
    <row r="96" spans="1:14" s="30" customFormat="1" ht="17.399999999999999">
      <c r="A96" s="71"/>
      <c r="B96" s="72"/>
      <c r="C96" s="71"/>
      <c r="D96" s="73"/>
      <c r="E96" s="75"/>
      <c r="F96" s="74"/>
      <c r="G96" s="74"/>
      <c r="H96" s="74"/>
      <c r="I96" s="74"/>
      <c r="J96" s="74"/>
      <c r="K96" s="74"/>
      <c r="L96" s="383"/>
      <c r="N96" s="382"/>
    </row>
    <row r="97" spans="1:12" s="30" customFormat="1" ht="17.399999999999999" customHeight="1">
      <c r="A97" s="464" t="s">
        <v>239</v>
      </c>
      <c r="B97" s="464"/>
      <c r="C97" s="464"/>
      <c r="D97" s="464"/>
      <c r="E97" s="464"/>
      <c r="F97" s="464"/>
      <c r="G97" s="464"/>
      <c r="H97" s="37"/>
      <c r="I97" s="37"/>
      <c r="J97" s="37"/>
      <c r="K97" s="37"/>
      <c r="L97" s="37"/>
    </row>
    <row r="98" spans="1:12" s="30" customFormat="1" ht="76.2" customHeight="1">
      <c r="A98" s="464" t="s">
        <v>238</v>
      </c>
      <c r="B98" s="464"/>
      <c r="C98" s="464"/>
      <c r="D98" s="464"/>
      <c r="E98" s="464"/>
      <c r="F98" s="464"/>
      <c r="G98" s="464"/>
      <c r="H98" s="37"/>
      <c r="I98" s="37"/>
      <c r="J98" s="37"/>
      <c r="K98" s="37"/>
      <c r="L98" s="37"/>
    </row>
    <row r="100" spans="1:12" ht="15">
      <c r="A100" s="464" t="s">
        <v>240</v>
      </c>
      <c r="B100" s="464"/>
      <c r="C100" s="464"/>
      <c r="D100" s="464"/>
      <c r="E100" s="464"/>
      <c r="F100" s="464"/>
      <c r="G100" s="464"/>
    </row>
  </sheetData>
  <mergeCells count="41">
    <mergeCell ref="A100:G100"/>
    <mergeCell ref="A98:G98"/>
    <mergeCell ref="A97:G97"/>
    <mergeCell ref="A80:A84"/>
    <mergeCell ref="A65:A73"/>
    <mergeCell ref="A75:A79"/>
    <mergeCell ref="A1:L1"/>
    <mergeCell ref="A2:L2"/>
    <mergeCell ref="A3:L3"/>
    <mergeCell ref="A5:L5"/>
    <mergeCell ref="A7:A8"/>
    <mergeCell ref="B7:B8"/>
    <mergeCell ref="C7:C8"/>
    <mergeCell ref="H7:I7"/>
    <mergeCell ref="J7:K7"/>
    <mergeCell ref="L7:L8"/>
    <mergeCell ref="D7:D8"/>
    <mergeCell ref="E7:E8"/>
    <mergeCell ref="F7:F8"/>
    <mergeCell ref="G7:G8"/>
    <mergeCell ref="L12:L14"/>
    <mergeCell ref="F12:F14"/>
    <mergeCell ref="G12:G14"/>
    <mergeCell ref="A34:A35"/>
    <mergeCell ref="H12:H14"/>
    <mergeCell ref="I12:I14"/>
    <mergeCell ref="J12:J14"/>
    <mergeCell ref="K12:K14"/>
    <mergeCell ref="A12:A14"/>
    <mergeCell ref="A15:A16"/>
    <mergeCell ref="A17:A19"/>
    <mergeCell ref="A20:A25"/>
    <mergeCell ref="A26:A28"/>
    <mergeCell ref="A29:A30"/>
    <mergeCell ref="B31:G31"/>
    <mergeCell ref="A52:A54"/>
    <mergeCell ref="B74:G74"/>
    <mergeCell ref="A42:A47"/>
    <mergeCell ref="A32:A33"/>
    <mergeCell ref="A37:A41"/>
    <mergeCell ref="A59:A64"/>
  </mergeCells>
  <conditionalFormatting sqref="F32:L32">
    <cfRule type="cellIs" dxfId="1" priority="2" stopIfTrue="1" operator="equal">
      <formula>8223.307275</formula>
    </cfRule>
  </conditionalFormatting>
  <conditionalFormatting sqref="B41:C41">
    <cfRule type="cellIs" dxfId="0" priority="1" stopIfTrue="1" operator="equal">
      <formula>8223.307275</formula>
    </cfRule>
  </conditionalFormatting>
  <pageMargins left="0.70866141732283472" right="0.27" top="0.26" bottom="0.18" header="0.22" footer="0.15"/>
  <pageSetup paperSize="9" orientation="landscape" horizontalDpi="1200" verticalDpi="1200" r:id="rId1"/>
  <headerFooter>
    <oddHeader>&amp;R&amp;P--&amp;N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krebsiti</vt:lpstr>
      <vt:lpstr>#1-1</vt:lpstr>
      <vt:lpstr>#1-2 (2)</vt:lpstr>
      <vt:lpstr>'#1-1'!Print_Area</vt:lpstr>
      <vt:lpstr>'#1-2 (2)'!Print_Area</vt:lpstr>
      <vt:lpstr>krebsiti!Print_Area</vt:lpstr>
      <vt:lpstr>'#1-1'!Print_Titles</vt:lpstr>
      <vt:lpstr>'#1-2 (2)'!Print_Titles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2021-05-25T14:24:01Z</dcterms:modified>
</cp:coreProperties>
</file>