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6505" windowHeight="1162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H1916" i="1" l="1"/>
  <c r="H1917" i="1"/>
  <c r="H1915" i="1"/>
  <c r="H1914" i="1" s="1"/>
  <c r="H63" i="1" l="1"/>
  <c r="H274" i="1"/>
  <c r="H275" i="1"/>
  <c r="H276" i="1"/>
  <c r="H277" i="1"/>
  <c r="H273" i="1"/>
  <c r="H272" i="1" s="1"/>
  <c r="H269" i="1"/>
  <c r="H270" i="1"/>
  <c r="H271" i="1"/>
  <c r="H268" i="1"/>
  <c r="H267" i="1" s="1"/>
  <c r="F2265" i="1" l="1"/>
  <c r="H2265" i="1" s="1"/>
  <c r="F2264" i="1"/>
  <c r="H2264" i="1" s="1"/>
  <c r="F2261" i="1"/>
  <c r="H2261" i="1" s="1"/>
  <c r="F2256" i="1"/>
  <c r="F2259" i="1" s="1"/>
  <c r="H2259" i="1" s="1"/>
  <c r="F2255" i="1"/>
  <c r="H2255" i="1" s="1"/>
  <c r="H2254" i="1" s="1"/>
  <c r="F2252" i="1"/>
  <c r="F2253" i="1" s="1"/>
  <c r="H2253" i="1" s="1"/>
  <c r="H2252" i="1" s="1"/>
  <c r="F2251" i="1"/>
  <c r="H2251" i="1" s="1"/>
  <c r="F2250" i="1"/>
  <c r="H2250" i="1" s="1"/>
  <c r="F2249" i="1"/>
  <c r="H2249" i="1" s="1"/>
  <c r="F2247" i="1"/>
  <c r="H2247" i="1" s="1"/>
  <c r="E2246" i="1"/>
  <c r="F2246" i="1" s="1"/>
  <c r="H2246" i="1" s="1"/>
  <c r="F2245" i="1"/>
  <c r="H2245" i="1" s="1"/>
  <c r="F2244" i="1"/>
  <c r="H2244" i="1" s="1"/>
  <c r="F2243" i="1"/>
  <c r="H2243" i="1" s="1"/>
  <c r="E2241" i="1"/>
  <c r="F2241" i="1" s="1"/>
  <c r="H2241" i="1" s="1"/>
  <c r="F2240" i="1"/>
  <c r="H2240" i="1" s="1"/>
  <c r="F2239" i="1"/>
  <c r="H2239" i="1" s="1"/>
  <c r="F2238" i="1"/>
  <c r="H2238" i="1" s="1"/>
  <c r="E2237" i="1"/>
  <c r="F2237" i="1" s="1"/>
  <c r="H2237" i="1" s="1"/>
  <c r="E2236" i="1"/>
  <c r="F2236" i="1" s="1"/>
  <c r="H2236" i="1" s="1"/>
  <c r="E2235" i="1"/>
  <c r="F2235" i="1" s="1"/>
  <c r="H2235" i="1" s="1"/>
  <c r="E2234" i="1"/>
  <c r="F2234" i="1" s="1"/>
  <c r="H2234" i="1" s="1"/>
  <c r="F2233" i="1"/>
  <c r="H2233" i="1" s="1"/>
  <c r="E2232" i="1"/>
  <c r="F2232" i="1" s="1"/>
  <c r="H2232" i="1" s="1"/>
  <c r="F2230" i="1"/>
  <c r="H2230" i="1" s="1"/>
  <c r="F2229" i="1"/>
  <c r="H2229" i="1" s="1"/>
  <c r="E2228" i="1"/>
  <c r="F2228" i="1" s="1"/>
  <c r="H2228" i="1" s="1"/>
  <c r="F2227" i="1"/>
  <c r="H2227" i="1" s="1"/>
  <c r="F2226" i="1"/>
  <c r="H2226" i="1" s="1"/>
  <c r="F2225" i="1"/>
  <c r="H2225" i="1" s="1"/>
  <c r="F2224" i="1"/>
  <c r="H2224" i="1" s="1"/>
  <c r="F2223" i="1"/>
  <c r="H2223" i="1" s="1"/>
  <c r="F2220" i="1"/>
  <c r="H2220" i="1" s="1"/>
  <c r="F2214" i="1"/>
  <c r="F2216" i="1" s="1"/>
  <c r="F2213" i="1"/>
  <c r="H2213" i="1" s="1"/>
  <c r="F2212" i="1"/>
  <c r="H2212" i="1" s="1"/>
  <c r="F2211" i="1"/>
  <c r="H2211" i="1" s="1"/>
  <c r="F2210" i="1"/>
  <c r="H2210" i="1" s="1"/>
  <c r="F2209" i="1"/>
  <c r="H2209" i="1" s="1"/>
  <c r="F2208" i="1"/>
  <c r="H2208" i="1" s="1"/>
  <c r="F2206" i="1"/>
  <c r="H2206" i="1" s="1"/>
  <c r="H2205" i="1" s="1"/>
  <c r="F2200" i="1"/>
  <c r="F2201" i="1" s="1"/>
  <c r="H2201" i="1" s="1"/>
  <c r="H2200" i="1" s="1"/>
  <c r="F2199" i="1"/>
  <c r="H2199" i="1" s="1"/>
  <c r="F2198" i="1"/>
  <c r="H2198" i="1" s="1"/>
  <c r="F2197" i="1"/>
  <c r="H2197" i="1" s="1"/>
  <c r="F2196" i="1"/>
  <c r="H2196" i="1" s="1"/>
  <c r="F2195" i="1"/>
  <c r="H2195" i="1" s="1"/>
  <c r="F2194" i="1"/>
  <c r="H2194" i="1" s="1"/>
  <c r="F2192" i="1"/>
  <c r="H2192" i="1" s="1"/>
  <c r="H2191" i="1" s="1"/>
  <c r="F2190" i="1"/>
  <c r="H2190" i="1" s="1"/>
  <c r="F2189" i="1"/>
  <c r="H2189" i="1" s="1"/>
  <c r="F2188" i="1"/>
  <c r="H2188" i="1" s="1"/>
  <c r="F2187" i="1"/>
  <c r="H2187" i="1" s="1"/>
  <c r="F2186" i="1"/>
  <c r="H2186" i="1" s="1"/>
  <c r="F2185" i="1"/>
  <c r="H2185" i="1" s="1"/>
  <c r="F2184" i="1"/>
  <c r="H2184" i="1" s="1"/>
  <c r="F2183" i="1"/>
  <c r="H2183" i="1" s="1"/>
  <c r="F2180" i="1"/>
  <c r="F2181" i="1" s="1"/>
  <c r="H2181" i="1" s="1"/>
  <c r="H2180" i="1" s="1"/>
  <c r="F2179" i="1"/>
  <c r="H2179" i="1" s="1"/>
  <c r="F2178" i="1"/>
  <c r="H2178" i="1" s="1"/>
  <c r="F2177" i="1"/>
  <c r="H2177" i="1" s="1"/>
  <c r="F2175" i="1"/>
  <c r="H2175" i="1" s="1"/>
  <c r="H2174" i="1" s="1"/>
  <c r="F2173" i="1"/>
  <c r="H2173" i="1" s="1"/>
  <c r="H2172" i="1" s="1"/>
  <c r="F2171" i="1"/>
  <c r="H2171" i="1" s="1"/>
  <c r="E2170" i="1"/>
  <c r="F2170" i="1" s="1"/>
  <c r="H2170" i="1" s="1"/>
  <c r="F2169" i="1"/>
  <c r="H2169" i="1" s="1"/>
  <c r="F2168" i="1"/>
  <c r="H2168" i="1" s="1"/>
  <c r="E2166" i="1"/>
  <c r="F2166" i="1" s="1"/>
  <c r="H2166" i="1" s="1"/>
  <c r="E2165" i="1"/>
  <c r="F2165" i="1" s="1"/>
  <c r="H2165" i="1" s="1"/>
  <c r="E2164" i="1"/>
  <c r="F2164" i="1" s="1"/>
  <c r="H2164" i="1" s="1"/>
  <c r="F2163" i="1"/>
  <c r="H2163" i="1" s="1"/>
  <c r="F2161" i="1"/>
  <c r="H2161" i="1" s="1"/>
  <c r="F2160" i="1"/>
  <c r="H2160" i="1" s="1"/>
  <c r="F2158" i="1"/>
  <c r="H2158" i="1" s="1"/>
  <c r="F2157" i="1"/>
  <c r="H2157" i="1" s="1"/>
  <c r="F2138" i="1"/>
  <c r="F2139" i="1" s="1"/>
  <c r="H2139" i="1" s="1"/>
  <c r="H2138" i="1" s="1"/>
  <c r="F2137" i="1"/>
  <c r="H2137" i="1" s="1"/>
  <c r="H2136" i="1"/>
  <c r="F2135" i="1"/>
  <c r="H2135" i="1" s="1"/>
  <c r="F2134" i="1"/>
  <c r="H2134" i="1" s="1"/>
  <c r="H2133" i="1"/>
  <c r="F2132" i="1"/>
  <c r="H2132" i="1" s="1"/>
  <c r="F2131" i="1"/>
  <c r="H2131" i="1" s="1"/>
  <c r="F2130" i="1"/>
  <c r="H2130" i="1" s="1"/>
  <c r="F2128" i="1"/>
  <c r="H2128" i="1" s="1"/>
  <c r="F2127" i="1"/>
  <c r="H2127" i="1" s="1"/>
  <c r="F2126" i="1"/>
  <c r="H2126" i="1" s="1"/>
  <c r="F2125" i="1"/>
  <c r="H2125" i="1" s="1"/>
  <c r="F2123" i="1"/>
  <c r="H2123" i="1" s="1"/>
  <c r="H2122" i="1" s="1"/>
  <c r="F2108" i="1"/>
  <c r="H2108" i="1" s="1"/>
  <c r="F2107" i="1"/>
  <c r="H2107" i="1" s="1"/>
  <c r="F2106" i="1"/>
  <c r="H2106" i="1" s="1"/>
  <c r="F2105" i="1"/>
  <c r="H2105" i="1" s="1"/>
  <c r="F2098" i="1"/>
  <c r="F2103" i="1" s="1"/>
  <c r="H2103" i="1" s="1"/>
  <c r="F2097" i="1"/>
  <c r="H2097" i="1" s="1"/>
  <c r="F2096" i="1"/>
  <c r="H2096" i="1" s="1"/>
  <c r="F2095" i="1"/>
  <c r="H2095" i="1" s="1"/>
  <c r="F2094" i="1"/>
  <c r="H2094" i="1" s="1"/>
  <c r="F2087" i="1"/>
  <c r="F2091" i="1" s="1"/>
  <c r="H2091" i="1" s="1"/>
  <c r="F2086" i="1"/>
  <c r="H2086" i="1" s="1"/>
  <c r="F2085" i="1"/>
  <c r="H2085" i="1" s="1"/>
  <c r="F2084" i="1"/>
  <c r="H2084" i="1" s="1"/>
  <c r="F2083" i="1"/>
  <c r="H2083" i="1" s="1"/>
  <c r="F2081" i="1"/>
  <c r="H2081" i="1" s="1"/>
  <c r="F2080" i="1"/>
  <c r="H2080" i="1" s="1"/>
  <c r="F2079" i="1"/>
  <c r="H2079" i="1" s="1"/>
  <c r="F2078" i="1"/>
  <c r="H2078" i="1" s="1"/>
  <c r="F2077" i="1"/>
  <c r="H2077" i="1" s="1"/>
  <c r="F2076" i="1"/>
  <c r="H2076" i="1" s="1"/>
  <c r="F2075" i="1"/>
  <c r="H2075" i="1" s="1"/>
  <c r="F2073" i="1"/>
  <c r="H2073" i="1" s="1"/>
  <c r="F2071" i="1"/>
  <c r="H2071" i="1" s="1"/>
  <c r="F2070" i="1"/>
  <c r="H2070" i="1" s="1"/>
  <c r="F2069" i="1"/>
  <c r="H2069" i="1" s="1"/>
  <c r="F2068" i="1"/>
  <c r="H2068" i="1" s="1"/>
  <c r="F2067" i="1"/>
  <c r="H2067" i="1" s="1"/>
  <c r="F2065" i="1"/>
  <c r="F2072" i="1" s="1"/>
  <c r="H2072" i="1" s="1"/>
  <c r="F2064" i="1"/>
  <c r="H2064" i="1" s="1"/>
  <c r="F2063" i="1"/>
  <c r="H2063" i="1" s="1"/>
  <c r="F2062" i="1"/>
  <c r="H2062" i="1" s="1"/>
  <c r="F2061" i="1"/>
  <c r="H2061" i="1" s="1"/>
  <c r="F2060" i="1"/>
  <c r="H2060" i="1" s="1"/>
  <c r="F2059" i="1"/>
  <c r="H2059" i="1" s="1"/>
  <c r="F2058" i="1"/>
  <c r="H2058" i="1" s="1"/>
  <c r="F2052" i="1"/>
  <c r="F2053" i="1" s="1"/>
  <c r="H2053" i="1" s="1"/>
  <c r="H2052" i="1" s="1"/>
  <c r="F2051" i="1"/>
  <c r="H2051" i="1" s="1"/>
  <c r="F2050" i="1"/>
  <c r="H2050" i="1" s="1"/>
  <c r="F2049" i="1"/>
  <c r="H2049" i="1" s="1"/>
  <c r="F2048" i="1"/>
  <c r="H2048" i="1" s="1"/>
  <c r="F2047" i="1"/>
  <c r="H2047" i="1" s="1"/>
  <c r="F2046" i="1"/>
  <c r="H2046" i="1" s="1"/>
  <c r="F2045" i="1"/>
  <c r="H2045" i="1" s="1"/>
  <c r="F2041" i="1"/>
  <c r="F2043" i="1" s="1"/>
  <c r="H2043" i="1" s="1"/>
  <c r="F2040" i="1"/>
  <c r="H2040" i="1" s="1"/>
  <c r="F2039" i="1"/>
  <c r="H2039" i="1" s="1"/>
  <c r="F2038" i="1"/>
  <c r="H2038" i="1" s="1"/>
  <c r="F2036" i="1"/>
  <c r="H2036" i="1" s="1"/>
  <c r="H2035" i="1" s="1"/>
  <c r="F2033" i="1"/>
  <c r="H2033" i="1" s="1"/>
  <c r="F2032" i="1"/>
  <c r="H2032" i="1" s="1"/>
  <c r="F2031" i="1"/>
  <c r="H2031" i="1" s="1"/>
  <c r="F2030" i="1"/>
  <c r="H2030" i="1" s="1"/>
  <c r="F2029" i="1"/>
  <c r="H2029" i="1" s="1"/>
  <c r="F2027" i="1"/>
  <c r="H2027" i="1" s="1"/>
  <c r="F2026" i="1"/>
  <c r="H2026" i="1" s="1"/>
  <c r="F2025" i="1"/>
  <c r="H2025" i="1" s="1"/>
  <c r="F2024" i="1"/>
  <c r="H2024" i="1" s="1"/>
  <c r="F2022" i="1"/>
  <c r="H2022" i="1" s="1"/>
  <c r="F2021" i="1"/>
  <c r="H2021" i="1" s="1"/>
  <c r="F2020" i="1"/>
  <c r="H2020" i="1" s="1"/>
  <c r="F2019" i="1"/>
  <c r="H2019" i="1" s="1"/>
  <c r="F2018" i="1"/>
  <c r="H2018" i="1" s="1"/>
  <c r="F2014" i="1"/>
  <c r="F2015" i="1" s="1"/>
  <c r="H2015" i="1" s="1"/>
  <c r="F2013" i="1"/>
  <c r="H2013" i="1" s="1"/>
  <c r="H2012" i="1" s="1"/>
  <c r="F2011" i="1"/>
  <c r="H2011" i="1" s="1"/>
  <c r="E2010" i="1"/>
  <c r="F2010" i="1" s="1"/>
  <c r="H2010" i="1" s="1"/>
  <c r="F2009" i="1"/>
  <c r="H2009" i="1" s="1"/>
  <c r="H2008" i="1"/>
  <c r="F2007" i="1"/>
  <c r="H2007" i="1" s="1"/>
  <c r="F2006" i="1"/>
  <c r="H2006" i="1" s="1"/>
  <c r="F2005" i="1"/>
  <c r="H2005" i="1" s="1"/>
  <c r="F2003" i="1"/>
  <c r="H2003" i="1" s="1"/>
  <c r="F2002" i="1"/>
  <c r="H2002" i="1" s="1"/>
  <c r="F2001" i="1"/>
  <c r="H2001" i="1" s="1"/>
  <c r="F2000" i="1"/>
  <c r="H2000" i="1" s="1"/>
  <c r="F1999" i="1"/>
  <c r="H1999" i="1" s="1"/>
  <c r="F1998" i="1"/>
  <c r="H1998" i="1" s="1"/>
  <c r="F1997" i="1"/>
  <c r="H1997" i="1" s="1"/>
  <c r="F1993" i="1"/>
  <c r="F1995" i="1" s="1"/>
  <c r="H1995" i="1" s="1"/>
  <c r="F1992" i="1"/>
  <c r="H1992" i="1" s="1"/>
  <c r="F1991" i="1"/>
  <c r="H1991" i="1" s="1"/>
  <c r="F1990" i="1"/>
  <c r="H1990" i="1" s="1"/>
  <c r="F1988" i="1"/>
  <c r="H1988" i="1" s="1"/>
  <c r="H1987" i="1" s="1"/>
  <c r="F1985" i="1"/>
  <c r="H1985" i="1" s="1"/>
  <c r="F1984" i="1"/>
  <c r="H1984" i="1" s="1"/>
  <c r="F1983" i="1"/>
  <c r="H1983" i="1" s="1"/>
  <c r="F1982" i="1"/>
  <c r="H1982" i="1" s="1"/>
  <c r="F1981" i="1"/>
  <c r="H1981" i="1" s="1"/>
  <c r="F1979" i="1"/>
  <c r="H1979" i="1" s="1"/>
  <c r="F1978" i="1"/>
  <c r="H1978" i="1" s="1"/>
  <c r="F1977" i="1"/>
  <c r="H1977" i="1" s="1"/>
  <c r="F1975" i="1"/>
  <c r="H1975" i="1" s="1"/>
  <c r="F1974" i="1"/>
  <c r="H1974" i="1" s="1"/>
  <c r="F1973" i="1"/>
  <c r="H1973" i="1" s="1"/>
  <c r="F1972" i="1"/>
  <c r="H1972" i="1" s="1"/>
  <c r="F1970" i="1"/>
  <c r="H1970" i="1" s="1"/>
  <c r="F1969" i="1"/>
  <c r="H1969" i="1" s="1"/>
  <c r="F1968" i="1"/>
  <c r="H1968" i="1" s="1"/>
  <c r="F1967" i="1"/>
  <c r="H1967" i="1" s="1"/>
  <c r="F1966" i="1"/>
  <c r="H1966" i="1" s="1"/>
  <c r="F1962" i="1"/>
  <c r="F1963" i="1" s="1"/>
  <c r="H1963" i="1" s="1"/>
  <c r="F1961" i="1"/>
  <c r="H1961" i="1" s="1"/>
  <c r="H1960" i="1" s="1"/>
  <c r="F1959" i="1"/>
  <c r="H1959" i="1" s="1"/>
  <c r="F1958" i="1"/>
  <c r="H1958" i="1" s="1"/>
  <c r="F1956" i="1"/>
  <c r="H1956" i="1" s="1"/>
  <c r="F1955" i="1"/>
  <c r="H1955" i="1" s="1"/>
  <c r="F1953" i="1"/>
  <c r="H1953" i="1" s="1"/>
  <c r="F1952" i="1"/>
  <c r="H1952" i="1" s="1"/>
  <c r="E1950" i="1"/>
  <c r="F1950" i="1" s="1"/>
  <c r="H1950" i="1" s="1"/>
  <c r="E1949" i="1"/>
  <c r="F1949" i="1" s="1"/>
  <c r="H1949" i="1" s="1"/>
  <c r="E1948" i="1"/>
  <c r="F1948" i="1" s="1"/>
  <c r="H1948" i="1" s="1"/>
  <c r="E1946" i="1"/>
  <c r="F1946" i="1" s="1"/>
  <c r="H1946" i="1" s="1"/>
  <c r="E1945" i="1"/>
  <c r="F1945" i="1" s="1"/>
  <c r="H1945" i="1" s="1"/>
  <c r="E1944" i="1"/>
  <c r="F1944" i="1" s="1"/>
  <c r="H1944" i="1" s="1"/>
  <c r="E1942" i="1"/>
  <c r="F1942" i="1" s="1"/>
  <c r="H1942" i="1" s="1"/>
  <c r="E1941" i="1"/>
  <c r="F1941" i="1" s="1"/>
  <c r="H1941" i="1" s="1"/>
  <c r="E1940" i="1"/>
  <c r="F1940" i="1" s="1"/>
  <c r="H1940" i="1" s="1"/>
  <c r="F1922" i="1"/>
  <c r="H1922" i="1" s="1"/>
  <c r="F1921" i="1"/>
  <c r="H1921" i="1" s="1"/>
  <c r="F1920" i="1"/>
  <c r="H1920" i="1" s="1"/>
  <c r="F1919" i="1"/>
  <c r="H1919" i="1" s="1"/>
  <c r="F1913" i="1"/>
  <c r="H1913" i="1" s="1"/>
  <c r="F1912" i="1"/>
  <c r="H1912" i="1" s="1"/>
  <c r="F1911" i="1"/>
  <c r="H1911" i="1" s="1"/>
  <c r="F1910" i="1"/>
  <c r="H1910" i="1" s="1"/>
  <c r="F1908" i="1"/>
  <c r="H1908" i="1" s="1"/>
  <c r="F1907" i="1"/>
  <c r="H1907" i="1" s="1"/>
  <c r="F1906" i="1"/>
  <c r="H1906" i="1" s="1"/>
  <c r="F1905" i="1"/>
  <c r="H1905" i="1" s="1"/>
  <c r="F1903" i="1"/>
  <c r="H1903" i="1" s="1"/>
  <c r="F1902" i="1"/>
  <c r="H1902" i="1" s="1"/>
  <c r="F1901" i="1"/>
  <c r="H1901" i="1" s="1"/>
  <c r="F1899" i="1"/>
  <c r="H1899" i="1" s="1"/>
  <c r="F1898" i="1"/>
  <c r="H1898" i="1" s="1"/>
  <c r="F1897" i="1"/>
  <c r="H1897" i="1" s="1"/>
  <c r="F1896" i="1"/>
  <c r="H1896" i="1" s="1"/>
  <c r="F1894" i="1"/>
  <c r="H1894" i="1" s="1"/>
  <c r="F1893" i="1"/>
  <c r="H1893" i="1" s="1"/>
  <c r="F1892" i="1"/>
  <c r="H1892" i="1" s="1"/>
  <c r="F1891" i="1"/>
  <c r="H1891" i="1" s="1"/>
  <c r="F1889" i="1"/>
  <c r="H1889" i="1" s="1"/>
  <c r="F1888" i="1"/>
  <c r="H1888" i="1" s="1"/>
  <c r="F1887" i="1"/>
  <c r="H1887" i="1" s="1"/>
  <c r="F1874" i="1"/>
  <c r="F1878" i="1" s="1"/>
  <c r="H1878" i="1" s="1"/>
  <c r="F1873" i="1"/>
  <c r="H1873" i="1" s="1"/>
  <c r="F1872" i="1"/>
  <c r="H1872" i="1" s="1"/>
  <c r="F1871" i="1"/>
  <c r="H1871" i="1" s="1"/>
  <c r="F1870" i="1"/>
  <c r="H1870" i="1" s="1"/>
  <c r="F1868" i="1"/>
  <c r="H1868" i="1" s="1"/>
  <c r="F1867" i="1"/>
  <c r="H1867" i="1" s="1"/>
  <c r="F1866" i="1"/>
  <c r="H1866" i="1" s="1"/>
  <c r="F1865" i="1"/>
  <c r="H1865" i="1" s="1"/>
  <c r="F1863" i="1"/>
  <c r="H1863" i="1" s="1"/>
  <c r="F1862" i="1"/>
  <c r="F1864" i="1" s="1"/>
  <c r="H1864" i="1" s="1"/>
  <c r="F1856" i="1"/>
  <c r="F1857" i="1" s="1"/>
  <c r="H1857" i="1" s="1"/>
  <c r="H1856" i="1" s="1"/>
  <c r="F1855" i="1"/>
  <c r="H1855" i="1" s="1"/>
  <c r="F1837" i="1"/>
  <c r="F1839" i="1" s="1"/>
  <c r="H1839" i="1" s="1"/>
  <c r="F1836" i="1"/>
  <c r="H1836" i="1" s="1"/>
  <c r="H1835" i="1" s="1"/>
  <c r="F1834" i="1"/>
  <c r="H1834" i="1" s="1"/>
  <c r="F1833" i="1"/>
  <c r="H1833" i="1" s="1"/>
  <c r="F1832" i="1"/>
  <c r="H1832" i="1" s="1"/>
  <c r="F1830" i="1"/>
  <c r="H1830" i="1" s="1"/>
  <c r="H1829" i="1"/>
  <c r="H1828" i="1"/>
  <c r="F1827" i="1"/>
  <c r="H1827" i="1" s="1"/>
  <c r="F1826" i="1"/>
  <c r="H1826" i="1" s="1"/>
  <c r="F1825" i="1"/>
  <c r="H1825" i="1" s="1"/>
  <c r="F1823" i="1"/>
  <c r="H1823" i="1" s="1"/>
  <c r="F1822" i="1"/>
  <c r="H1822" i="1" s="1"/>
  <c r="F1821" i="1"/>
  <c r="H1821" i="1" s="1"/>
  <c r="F1820" i="1"/>
  <c r="H1820" i="1" s="1"/>
  <c r="F1818" i="1"/>
  <c r="H1818" i="1" s="1"/>
  <c r="F1817" i="1"/>
  <c r="H1817" i="1" s="1"/>
  <c r="F1816" i="1"/>
  <c r="H1816" i="1" s="1"/>
  <c r="F1815" i="1"/>
  <c r="H1815" i="1" s="1"/>
  <c r="F1813" i="1"/>
  <c r="H1813" i="1" s="1"/>
  <c r="F1812" i="1"/>
  <c r="H1812" i="1" s="1"/>
  <c r="F1811" i="1"/>
  <c r="H1811" i="1" s="1"/>
  <c r="F1810" i="1"/>
  <c r="H1810" i="1" s="1"/>
  <c r="F1808" i="1"/>
  <c r="H1808" i="1" s="1"/>
  <c r="H1807" i="1" s="1"/>
  <c r="F1802" i="1"/>
  <c r="F1803" i="1" s="1"/>
  <c r="H1803" i="1" s="1"/>
  <c r="F1801" i="1"/>
  <c r="H1801" i="1" s="1"/>
  <c r="H1800" i="1" s="1"/>
  <c r="F1799" i="1"/>
  <c r="H1799" i="1" s="1"/>
  <c r="F1798" i="1"/>
  <c r="H1798" i="1" s="1"/>
  <c r="F1797" i="1"/>
  <c r="H1797" i="1" s="1"/>
  <c r="F1795" i="1"/>
  <c r="H1795" i="1" s="1"/>
  <c r="H1794" i="1"/>
  <c r="H1793" i="1"/>
  <c r="F1792" i="1"/>
  <c r="H1792" i="1" s="1"/>
  <c r="F1791" i="1"/>
  <c r="H1791" i="1" s="1"/>
  <c r="F1790" i="1"/>
  <c r="H1790" i="1" s="1"/>
  <c r="F1788" i="1"/>
  <c r="H1788" i="1" s="1"/>
  <c r="F1787" i="1"/>
  <c r="H1787" i="1" s="1"/>
  <c r="F1786" i="1"/>
  <c r="H1786" i="1" s="1"/>
  <c r="F1785" i="1"/>
  <c r="H1785" i="1" s="1"/>
  <c r="F1783" i="1"/>
  <c r="H1783" i="1" s="1"/>
  <c r="F1782" i="1"/>
  <c r="H1782" i="1" s="1"/>
  <c r="F1781" i="1"/>
  <c r="H1781" i="1" s="1"/>
  <c r="F1780" i="1"/>
  <c r="H1780" i="1" s="1"/>
  <c r="F1778" i="1"/>
  <c r="H1778" i="1" s="1"/>
  <c r="F1777" i="1"/>
  <c r="H1777" i="1" s="1"/>
  <c r="F1776" i="1"/>
  <c r="H1776" i="1" s="1"/>
  <c r="F1774" i="1"/>
  <c r="H1774" i="1" s="1"/>
  <c r="H1773" i="1" s="1"/>
  <c r="E1758" i="1"/>
  <c r="F1758" i="1" s="1"/>
  <c r="H1758" i="1" s="1"/>
  <c r="E1757" i="1"/>
  <c r="F1757" i="1" s="1"/>
  <c r="H1757" i="1" s="1"/>
  <c r="F1756" i="1"/>
  <c r="H1756" i="1" s="1"/>
  <c r="F1755" i="1"/>
  <c r="H1755" i="1" s="1"/>
  <c r="F1754" i="1"/>
  <c r="H1754" i="1" s="1"/>
  <c r="F1753" i="1"/>
  <c r="H1753" i="1" s="1"/>
  <c r="E1752" i="1"/>
  <c r="F1752" i="1" s="1"/>
  <c r="H1752" i="1" s="1"/>
  <c r="F1750" i="1"/>
  <c r="H1750" i="1" s="1"/>
  <c r="F1749" i="1"/>
  <c r="H1749" i="1" s="1"/>
  <c r="F1745" i="1"/>
  <c r="F1747" i="1" s="1"/>
  <c r="H1747" i="1" s="1"/>
  <c r="F1744" i="1"/>
  <c r="H1744" i="1" s="1"/>
  <c r="F1743" i="1"/>
  <c r="H1743" i="1" s="1"/>
  <c r="F1742" i="1"/>
  <c r="H1742" i="1" s="1"/>
  <c r="F1740" i="1"/>
  <c r="H1740" i="1" s="1"/>
  <c r="F1739" i="1"/>
  <c r="H1739" i="1" s="1"/>
  <c r="F1738" i="1"/>
  <c r="H1738" i="1" s="1"/>
  <c r="F1736" i="1"/>
  <c r="H1736" i="1" s="1"/>
  <c r="F1735" i="1"/>
  <c r="H1735" i="1" s="1"/>
  <c r="F1734" i="1"/>
  <c r="H1734" i="1" s="1"/>
  <c r="F1732" i="1"/>
  <c r="H1732" i="1" s="1"/>
  <c r="F1730" i="1"/>
  <c r="H1730" i="1" s="1"/>
  <c r="F1729" i="1"/>
  <c r="H1729" i="1" s="1"/>
  <c r="F1728" i="1"/>
  <c r="H1728" i="1" s="1"/>
  <c r="F1726" i="1"/>
  <c r="H1726" i="1" s="1"/>
  <c r="F1725" i="1"/>
  <c r="F1731" i="1" s="1"/>
  <c r="H1731" i="1" s="1"/>
  <c r="F1724" i="1"/>
  <c r="H1724" i="1" s="1"/>
  <c r="F1723" i="1"/>
  <c r="H1723" i="1" s="1"/>
  <c r="F1722" i="1"/>
  <c r="H1722" i="1" s="1"/>
  <c r="F1721" i="1"/>
  <c r="H1721" i="1" s="1"/>
  <c r="F1720" i="1"/>
  <c r="H1720" i="1" s="1"/>
  <c r="F1719" i="1"/>
  <c r="H1719" i="1" s="1"/>
  <c r="F1717" i="1"/>
  <c r="H1717" i="1" s="1"/>
  <c r="F1716" i="1"/>
  <c r="H1716" i="1" s="1"/>
  <c r="F1715" i="1"/>
  <c r="H1715" i="1" s="1"/>
  <c r="F1714" i="1"/>
  <c r="H1714" i="1" s="1"/>
  <c r="F1713" i="1"/>
  <c r="H1713" i="1" s="1"/>
  <c r="F1712" i="1"/>
  <c r="H1712" i="1" s="1"/>
  <c r="F1711" i="1"/>
  <c r="H1711" i="1" s="1"/>
  <c r="F1709" i="1"/>
  <c r="H1709" i="1" s="1"/>
  <c r="F1708" i="1"/>
  <c r="H1708" i="1" s="1"/>
  <c r="F1707" i="1"/>
  <c r="H1707" i="1" s="1"/>
  <c r="F1706" i="1"/>
  <c r="H1706" i="1" s="1"/>
  <c r="F1705" i="1"/>
  <c r="H1705" i="1" s="1"/>
  <c r="F1704" i="1"/>
  <c r="H1704" i="1" s="1"/>
  <c r="F1700" i="1"/>
  <c r="F1701" i="1" s="1"/>
  <c r="H1701" i="1" s="1"/>
  <c r="F1699" i="1"/>
  <c r="H1699" i="1" s="1"/>
  <c r="F1698" i="1"/>
  <c r="H1698" i="1" s="1"/>
  <c r="F1697" i="1"/>
  <c r="H1697" i="1" s="1"/>
  <c r="F1695" i="1"/>
  <c r="H1695" i="1" s="1"/>
  <c r="F1694" i="1"/>
  <c r="H1694" i="1" s="1"/>
  <c r="F1693" i="1"/>
  <c r="H1693" i="1" s="1"/>
  <c r="H1692" i="1"/>
  <c r="H1691" i="1"/>
  <c r="H1690" i="1"/>
  <c r="F1689" i="1"/>
  <c r="H1689" i="1" s="1"/>
  <c r="F1688" i="1"/>
  <c r="H1688" i="1" s="1"/>
  <c r="F1686" i="1"/>
  <c r="H1686" i="1" s="1"/>
  <c r="F1685" i="1"/>
  <c r="H1685" i="1" s="1"/>
  <c r="F1684" i="1"/>
  <c r="H1684" i="1" s="1"/>
  <c r="H1683" i="1"/>
  <c r="H1682" i="1"/>
  <c r="H1681" i="1"/>
  <c r="F1680" i="1"/>
  <c r="H1680" i="1" s="1"/>
  <c r="F1679" i="1"/>
  <c r="H1679" i="1" s="1"/>
  <c r="F1676" i="1"/>
  <c r="F1677" i="1" s="1"/>
  <c r="H1677" i="1" s="1"/>
  <c r="H1676" i="1" s="1"/>
  <c r="E1675" i="1"/>
  <c r="F1675" i="1" s="1"/>
  <c r="H1675" i="1" s="1"/>
  <c r="E1674" i="1"/>
  <c r="F1674" i="1" s="1"/>
  <c r="H1674" i="1" s="1"/>
  <c r="E1672" i="1"/>
  <c r="E1671" i="1"/>
  <c r="F1670" i="1"/>
  <c r="F1669" i="1"/>
  <c r="H1669" i="1" s="1"/>
  <c r="F1668" i="1"/>
  <c r="H1668" i="1" s="1"/>
  <c r="F1667" i="1"/>
  <c r="H1667" i="1" s="1"/>
  <c r="F1665" i="1"/>
  <c r="H1665" i="1" s="1"/>
  <c r="F1664" i="1"/>
  <c r="H1664" i="1" s="1"/>
  <c r="F1663" i="1"/>
  <c r="H1663" i="1" s="1"/>
  <c r="F1662" i="1"/>
  <c r="H1662" i="1" s="1"/>
  <c r="F1660" i="1"/>
  <c r="H1660" i="1" s="1"/>
  <c r="F1659" i="1"/>
  <c r="H1659" i="1" s="1"/>
  <c r="F1657" i="1"/>
  <c r="H1657" i="1" s="1"/>
  <c r="F1656" i="1"/>
  <c r="H1656" i="1" s="1"/>
  <c r="F1655" i="1"/>
  <c r="H1655" i="1" s="1"/>
  <c r="F1654" i="1"/>
  <c r="H1654" i="1" s="1"/>
  <c r="F1652" i="1"/>
  <c r="H1652" i="1" s="1"/>
  <c r="F1651" i="1"/>
  <c r="H1651" i="1" s="1"/>
  <c r="F1650" i="1"/>
  <c r="H1650" i="1" s="1"/>
  <c r="F1649" i="1"/>
  <c r="H1649" i="1" s="1"/>
  <c r="F1647" i="1"/>
  <c r="H1647" i="1" s="1"/>
  <c r="F1646" i="1"/>
  <c r="H1646" i="1" s="1"/>
  <c r="E1644" i="1"/>
  <c r="F1644" i="1" s="1"/>
  <c r="H1644" i="1" s="1"/>
  <c r="H1643" i="1" s="1"/>
  <c r="F1641" i="1"/>
  <c r="F1642" i="1" s="1"/>
  <c r="H1642" i="1" s="1"/>
  <c r="H1641" i="1" s="1"/>
  <c r="E1640" i="1"/>
  <c r="F1640" i="1" s="1"/>
  <c r="H1640" i="1" s="1"/>
  <c r="E1639" i="1"/>
  <c r="F1639" i="1" s="1"/>
  <c r="H1639" i="1" s="1"/>
  <c r="F1637" i="1"/>
  <c r="H1637" i="1" s="1"/>
  <c r="F1636" i="1"/>
  <c r="H1636" i="1" s="1"/>
  <c r="F1618" i="1"/>
  <c r="F1620" i="1" s="1"/>
  <c r="F1617" i="1"/>
  <c r="H1617" i="1" s="1"/>
  <c r="F1616" i="1"/>
  <c r="H1616" i="1" s="1"/>
  <c r="F1615" i="1"/>
  <c r="H1615" i="1" s="1"/>
  <c r="F1614" i="1"/>
  <c r="H1614" i="1" s="1"/>
  <c r="F1612" i="1"/>
  <c r="H1612" i="1" s="1"/>
  <c r="F1611" i="1"/>
  <c r="H1611" i="1" s="1"/>
  <c r="F1610" i="1"/>
  <c r="H1610" i="1" s="1"/>
  <c r="F1609" i="1"/>
  <c r="H1609" i="1" s="1"/>
  <c r="F1608" i="1"/>
  <c r="H1608" i="1" s="1"/>
  <c r="F1607" i="1"/>
  <c r="H1607" i="1" s="1"/>
  <c r="F1606" i="1"/>
  <c r="H1606" i="1" s="1"/>
  <c r="F1605" i="1"/>
  <c r="H1605" i="1" s="1"/>
  <c r="F1603" i="1"/>
  <c r="H1603" i="1" s="1"/>
  <c r="F1602" i="1"/>
  <c r="H1602" i="1" s="1"/>
  <c r="F1601" i="1"/>
  <c r="H1601" i="1" s="1"/>
  <c r="F1600" i="1"/>
  <c r="H1600" i="1" s="1"/>
  <c r="F1598" i="1"/>
  <c r="H1598" i="1" s="1"/>
  <c r="H1597" i="1" s="1"/>
  <c r="F1581" i="1"/>
  <c r="F1583" i="1" s="1"/>
  <c r="F1580" i="1"/>
  <c r="H1580" i="1" s="1"/>
  <c r="F1579" i="1"/>
  <c r="H1579" i="1" s="1"/>
  <c r="F1578" i="1"/>
  <c r="H1578" i="1" s="1"/>
  <c r="F1577" i="1"/>
  <c r="H1577" i="1" s="1"/>
  <c r="F1575" i="1"/>
  <c r="H1575" i="1" s="1"/>
  <c r="F1574" i="1"/>
  <c r="H1574" i="1" s="1"/>
  <c r="F1573" i="1"/>
  <c r="H1573" i="1" s="1"/>
  <c r="F1571" i="1"/>
  <c r="H1571" i="1" s="1"/>
  <c r="F1570" i="1"/>
  <c r="H1570" i="1" s="1"/>
  <c r="F1569" i="1"/>
  <c r="H1569" i="1" s="1"/>
  <c r="F1567" i="1"/>
  <c r="H1567" i="1" s="1"/>
  <c r="F1566" i="1"/>
  <c r="H1566" i="1" s="1"/>
  <c r="F1565" i="1"/>
  <c r="H1565" i="1" s="1"/>
  <c r="F1564" i="1"/>
  <c r="H1564" i="1" s="1"/>
  <c r="F1562" i="1"/>
  <c r="H1562" i="1" s="1"/>
  <c r="F1561" i="1"/>
  <c r="H1561" i="1" s="1"/>
  <c r="F1560" i="1"/>
  <c r="H1560" i="1" s="1"/>
  <c r="F1559" i="1"/>
  <c r="H1559" i="1" s="1"/>
  <c r="F1557" i="1"/>
  <c r="H1557" i="1" s="1"/>
  <c r="H1556" i="1" s="1"/>
  <c r="H1545" i="1"/>
  <c r="H1546" i="1" s="1"/>
  <c r="E1537" i="1"/>
  <c r="F1537" i="1" s="1"/>
  <c r="H1537" i="1" s="1"/>
  <c r="E1536" i="1"/>
  <c r="F1536" i="1" s="1"/>
  <c r="H1536" i="1" s="1"/>
  <c r="E1535" i="1"/>
  <c r="F1535" i="1" s="1"/>
  <c r="H1535" i="1" s="1"/>
  <c r="F1519" i="1"/>
  <c r="H1519" i="1" s="1"/>
  <c r="F1518" i="1"/>
  <c r="H1518" i="1" s="1"/>
  <c r="F1517" i="1"/>
  <c r="H1517" i="1" s="1"/>
  <c r="F1515" i="1"/>
  <c r="H1515" i="1" s="1"/>
  <c r="H1514" i="1"/>
  <c r="H1513" i="1"/>
  <c r="F1512" i="1"/>
  <c r="H1512" i="1" s="1"/>
  <c r="F1511" i="1"/>
  <c r="H1511" i="1" s="1"/>
  <c r="F1510" i="1"/>
  <c r="H1510" i="1" s="1"/>
  <c r="F1508" i="1"/>
  <c r="H1508" i="1" s="1"/>
  <c r="F1507" i="1"/>
  <c r="H1507" i="1" s="1"/>
  <c r="F1505" i="1"/>
  <c r="H1505" i="1" s="1"/>
  <c r="F1504" i="1"/>
  <c r="H1504" i="1" s="1"/>
  <c r="F1502" i="1"/>
  <c r="H1502" i="1" s="1"/>
  <c r="F1501" i="1"/>
  <c r="H1501" i="1" s="1"/>
  <c r="F1500" i="1"/>
  <c r="H1500" i="1" s="1"/>
  <c r="F1498" i="1"/>
  <c r="H1498" i="1" s="1"/>
  <c r="F1497" i="1"/>
  <c r="H1497" i="1" s="1"/>
  <c r="F1496" i="1"/>
  <c r="H1496" i="1" s="1"/>
  <c r="F1495" i="1"/>
  <c r="H1495" i="1" s="1"/>
  <c r="F1493" i="1"/>
  <c r="H1493" i="1" s="1"/>
  <c r="F1492" i="1"/>
  <c r="H1492" i="1" s="1"/>
  <c r="F1491" i="1"/>
  <c r="H1491" i="1" s="1"/>
  <c r="F1490" i="1"/>
  <c r="H1490" i="1" s="1"/>
  <c r="F1488" i="1"/>
  <c r="H1488" i="1" s="1"/>
  <c r="F1487" i="1"/>
  <c r="H1487" i="1" s="1"/>
  <c r="F1485" i="1"/>
  <c r="H1485" i="1" s="1"/>
  <c r="F1484" i="1"/>
  <c r="H1484" i="1" s="1"/>
  <c r="F1482" i="1"/>
  <c r="H1482" i="1" s="1"/>
  <c r="F1481" i="1"/>
  <c r="H1481" i="1" s="1"/>
  <c r="F1479" i="1"/>
  <c r="H1479" i="1" s="1"/>
  <c r="F1478" i="1"/>
  <c r="H1478" i="1" s="1"/>
  <c r="F1477" i="1"/>
  <c r="H1477" i="1" s="1"/>
  <c r="F1462" i="1"/>
  <c r="H1462" i="1" s="1"/>
  <c r="F1461" i="1"/>
  <c r="H1461" i="1" s="1"/>
  <c r="F1459" i="1"/>
  <c r="H1459" i="1" s="1"/>
  <c r="F1458" i="1"/>
  <c r="H1458" i="1" s="1"/>
  <c r="F1457" i="1"/>
  <c r="H1457" i="1" s="1"/>
  <c r="F1455" i="1"/>
  <c r="H1455" i="1" s="1"/>
  <c r="F1454" i="1"/>
  <c r="H1454" i="1" s="1"/>
  <c r="F1453" i="1"/>
  <c r="H1453" i="1" s="1"/>
  <c r="F1451" i="1"/>
  <c r="H1451" i="1" s="1"/>
  <c r="F1450" i="1"/>
  <c r="H1450" i="1" s="1"/>
  <c r="F1449" i="1"/>
  <c r="H1449" i="1" s="1"/>
  <c r="F1448" i="1"/>
  <c r="H1448" i="1" s="1"/>
  <c r="F1446" i="1"/>
  <c r="H1446" i="1" s="1"/>
  <c r="F1445" i="1"/>
  <c r="H1445" i="1" s="1"/>
  <c r="F1444" i="1"/>
  <c r="H1444" i="1" s="1"/>
  <c r="F1442" i="1"/>
  <c r="H1442" i="1" s="1"/>
  <c r="F1441" i="1"/>
  <c r="H1441" i="1" s="1"/>
  <c r="F1440" i="1"/>
  <c r="H1440" i="1" s="1"/>
  <c r="F1438" i="1"/>
  <c r="H1438" i="1" s="1"/>
  <c r="F1436" i="1"/>
  <c r="H1436" i="1" s="1"/>
  <c r="F1435" i="1"/>
  <c r="F1437" i="1" s="1"/>
  <c r="H1437" i="1" s="1"/>
  <c r="F1433" i="1"/>
  <c r="H1433" i="1" s="1"/>
  <c r="F1432" i="1"/>
  <c r="H1432" i="1" s="1"/>
  <c r="F1431" i="1"/>
  <c r="H1431" i="1" s="1"/>
  <c r="F1429" i="1"/>
  <c r="H1429" i="1" s="1"/>
  <c r="F1428" i="1"/>
  <c r="H1428" i="1" s="1"/>
  <c r="F1427" i="1"/>
  <c r="H1427" i="1" s="1"/>
  <c r="F1413" i="1"/>
  <c r="H1413" i="1" s="1"/>
  <c r="H1412" i="1"/>
  <c r="H1411" i="1"/>
  <c r="F1410" i="1"/>
  <c r="H1410" i="1" s="1"/>
  <c r="F1409" i="1"/>
  <c r="H1409" i="1" s="1"/>
  <c r="F1407" i="1"/>
  <c r="H1407" i="1" s="1"/>
  <c r="F1406" i="1"/>
  <c r="H1406" i="1" s="1"/>
  <c r="F1405" i="1"/>
  <c r="H1405" i="1" s="1"/>
  <c r="F1404" i="1"/>
  <c r="H1404" i="1" s="1"/>
  <c r="F1401" i="1"/>
  <c r="H1401" i="1" s="1"/>
  <c r="F1400" i="1"/>
  <c r="H1400" i="1" s="1"/>
  <c r="F1399" i="1"/>
  <c r="H1399" i="1" s="1"/>
  <c r="F1397" i="1"/>
  <c r="H1397" i="1" s="1"/>
  <c r="F1396" i="1"/>
  <c r="H1396" i="1" s="1"/>
  <c r="F1395" i="1"/>
  <c r="H1395" i="1" s="1"/>
  <c r="F1393" i="1"/>
  <c r="H1393" i="1" s="1"/>
  <c r="F1392" i="1"/>
  <c r="H1392" i="1" s="1"/>
  <c r="F1391" i="1"/>
  <c r="H1391" i="1" s="1"/>
  <c r="F1389" i="1"/>
  <c r="F1402" i="1" s="1"/>
  <c r="H1402" i="1" s="1"/>
  <c r="F1388" i="1"/>
  <c r="H1388" i="1" s="1"/>
  <c r="F1387" i="1"/>
  <c r="H1387" i="1" s="1"/>
  <c r="F1385" i="1"/>
  <c r="H1385" i="1" s="1"/>
  <c r="F1384" i="1"/>
  <c r="H1384" i="1" s="1"/>
  <c r="F1383" i="1"/>
  <c r="H1383" i="1" s="1"/>
  <c r="F1381" i="1"/>
  <c r="H1381" i="1" s="1"/>
  <c r="F1380" i="1"/>
  <c r="H1380" i="1" s="1"/>
  <c r="F1379" i="1"/>
  <c r="H1379" i="1" s="1"/>
  <c r="F1377" i="1"/>
  <c r="H1377" i="1" s="1"/>
  <c r="F1376" i="1"/>
  <c r="H1376" i="1" s="1"/>
  <c r="F1375" i="1"/>
  <c r="H1375" i="1" s="1"/>
  <c r="F1374" i="1"/>
  <c r="H1374" i="1" s="1"/>
  <c r="F1372" i="1"/>
  <c r="H1372" i="1" s="1"/>
  <c r="F1371" i="1"/>
  <c r="H1371" i="1" s="1"/>
  <c r="F1370" i="1"/>
  <c r="H1370" i="1" s="1"/>
  <c r="F1369" i="1"/>
  <c r="H1369" i="1" s="1"/>
  <c r="F1368" i="1"/>
  <c r="H1368" i="1" s="1"/>
  <c r="F1367" i="1"/>
  <c r="H1367" i="1" s="1"/>
  <c r="F1365" i="1"/>
  <c r="H1365" i="1" s="1"/>
  <c r="F1364" i="1"/>
  <c r="H1364" i="1" s="1"/>
  <c r="F1363" i="1"/>
  <c r="H1363" i="1" s="1"/>
  <c r="F1362" i="1"/>
  <c r="H1362" i="1" s="1"/>
  <c r="F1360" i="1"/>
  <c r="H1360" i="1" s="1"/>
  <c r="F1359" i="1"/>
  <c r="H1359" i="1" s="1"/>
  <c r="F1358" i="1"/>
  <c r="H1358" i="1" s="1"/>
  <c r="F1357" i="1"/>
  <c r="H1357" i="1" s="1"/>
  <c r="F1355" i="1"/>
  <c r="H1355" i="1" s="1"/>
  <c r="F1354" i="1"/>
  <c r="H1354" i="1" s="1"/>
  <c r="F1353" i="1"/>
  <c r="H1353" i="1" s="1"/>
  <c r="F1352" i="1"/>
  <c r="H1352" i="1" s="1"/>
  <c r="F1350" i="1"/>
  <c r="H1350" i="1" s="1"/>
  <c r="F1349" i="1"/>
  <c r="H1349" i="1" s="1"/>
  <c r="F1348" i="1"/>
  <c r="H1348" i="1" s="1"/>
  <c r="F1347" i="1"/>
  <c r="H1347" i="1" s="1"/>
  <c r="F1345" i="1"/>
  <c r="H1345" i="1" s="1"/>
  <c r="F1344" i="1"/>
  <c r="H1344" i="1" s="1"/>
  <c r="F1343" i="1"/>
  <c r="H1343" i="1" s="1"/>
  <c r="F1342" i="1"/>
  <c r="H1342" i="1" s="1"/>
  <c r="F1340" i="1"/>
  <c r="H1340" i="1" s="1"/>
  <c r="F1339" i="1"/>
  <c r="H1339" i="1" s="1"/>
  <c r="F1338" i="1"/>
  <c r="H1338" i="1" s="1"/>
  <c r="F1337" i="1"/>
  <c r="H1337" i="1" s="1"/>
  <c r="F1335" i="1"/>
  <c r="H1335" i="1" s="1"/>
  <c r="F1334" i="1"/>
  <c r="H1334" i="1" s="1"/>
  <c r="F1333" i="1"/>
  <c r="H1333" i="1" s="1"/>
  <c r="F1332" i="1"/>
  <c r="H1332" i="1" s="1"/>
  <c r="F1330" i="1"/>
  <c r="H1330" i="1" s="1"/>
  <c r="F1329" i="1"/>
  <c r="H1329" i="1" s="1"/>
  <c r="F1328" i="1"/>
  <c r="H1328" i="1" s="1"/>
  <c r="F1326" i="1"/>
  <c r="H1326" i="1" s="1"/>
  <c r="F1325" i="1"/>
  <c r="H1325" i="1" s="1"/>
  <c r="F1324" i="1"/>
  <c r="H1324" i="1" s="1"/>
  <c r="F1323" i="1"/>
  <c r="H1323" i="1" s="1"/>
  <c r="F1321" i="1"/>
  <c r="H1321" i="1" s="1"/>
  <c r="F1320" i="1"/>
  <c r="H1320" i="1" s="1"/>
  <c r="F1319" i="1"/>
  <c r="H1319" i="1" s="1"/>
  <c r="F1318" i="1"/>
  <c r="H1318" i="1" s="1"/>
  <c r="F1316" i="1"/>
  <c r="H1316" i="1" s="1"/>
  <c r="F1315" i="1"/>
  <c r="H1315" i="1" s="1"/>
  <c r="F1314" i="1"/>
  <c r="H1314" i="1" s="1"/>
  <c r="F1313" i="1"/>
  <c r="H1313" i="1" s="1"/>
  <c r="F1311" i="1"/>
  <c r="H1311" i="1" s="1"/>
  <c r="F1310" i="1"/>
  <c r="H1310" i="1" s="1"/>
  <c r="F1309" i="1"/>
  <c r="H1309" i="1" s="1"/>
  <c r="F1307" i="1"/>
  <c r="H1307" i="1" s="1"/>
  <c r="H1306" i="1"/>
  <c r="F1305" i="1"/>
  <c r="H1305" i="1" s="1"/>
  <c r="F1303" i="1"/>
  <c r="H1303" i="1" s="1"/>
  <c r="F1302" i="1"/>
  <c r="H1302" i="1" s="1"/>
  <c r="F1301" i="1"/>
  <c r="H1301" i="1" s="1"/>
  <c r="F1299" i="1"/>
  <c r="H1299" i="1" s="1"/>
  <c r="F1298" i="1"/>
  <c r="H1298" i="1" s="1"/>
  <c r="F1297" i="1"/>
  <c r="H1297" i="1" s="1"/>
  <c r="F1295" i="1"/>
  <c r="H1295" i="1" s="1"/>
  <c r="F1294" i="1"/>
  <c r="H1294" i="1" s="1"/>
  <c r="F1293" i="1"/>
  <c r="H1293" i="1" s="1"/>
  <c r="F1291" i="1"/>
  <c r="H1291" i="1" s="1"/>
  <c r="F1290" i="1"/>
  <c r="H1290" i="1" s="1"/>
  <c r="F1288" i="1"/>
  <c r="H1288" i="1" s="1"/>
  <c r="F1287" i="1"/>
  <c r="H1287" i="1" s="1"/>
  <c r="F1285" i="1"/>
  <c r="H1285" i="1" s="1"/>
  <c r="F1284" i="1"/>
  <c r="H1284" i="1" s="1"/>
  <c r="F1283" i="1"/>
  <c r="H1283" i="1" s="1"/>
  <c r="F1281" i="1"/>
  <c r="H1281" i="1" s="1"/>
  <c r="F1280" i="1"/>
  <c r="H1280" i="1" s="1"/>
  <c r="F1278" i="1"/>
  <c r="H1278" i="1" s="1"/>
  <c r="F1277" i="1"/>
  <c r="H1277" i="1" s="1"/>
  <c r="F1276" i="1"/>
  <c r="H1276" i="1" s="1"/>
  <c r="F1274" i="1"/>
  <c r="H1274" i="1" s="1"/>
  <c r="F1273" i="1"/>
  <c r="H1273" i="1" s="1"/>
  <c r="F1271" i="1"/>
  <c r="H1271" i="1" s="1"/>
  <c r="F1270" i="1"/>
  <c r="H1270" i="1" s="1"/>
  <c r="F1269" i="1"/>
  <c r="H1269" i="1" s="1"/>
  <c r="F1267" i="1"/>
  <c r="H1267" i="1" s="1"/>
  <c r="F1266" i="1"/>
  <c r="H1266" i="1" s="1"/>
  <c r="F1265" i="1"/>
  <c r="H1265" i="1" s="1"/>
  <c r="F1263" i="1"/>
  <c r="H1263" i="1" s="1"/>
  <c r="F1262" i="1"/>
  <c r="H1262" i="1" s="1"/>
  <c r="F1261" i="1"/>
  <c r="H1261" i="1" s="1"/>
  <c r="F1259" i="1"/>
  <c r="H1259" i="1" s="1"/>
  <c r="F1258" i="1"/>
  <c r="H1258" i="1" s="1"/>
  <c r="F1257" i="1"/>
  <c r="H1257" i="1" s="1"/>
  <c r="F1255" i="1"/>
  <c r="H1255" i="1" s="1"/>
  <c r="F1254" i="1"/>
  <c r="H1254" i="1" s="1"/>
  <c r="F1253" i="1"/>
  <c r="H1253" i="1" s="1"/>
  <c r="F1251" i="1"/>
  <c r="H1251" i="1" s="1"/>
  <c r="F1250" i="1"/>
  <c r="H1250" i="1" s="1"/>
  <c r="F1249" i="1"/>
  <c r="H1249" i="1" s="1"/>
  <c r="F1247" i="1"/>
  <c r="H1247" i="1" s="1"/>
  <c r="H1246" i="1"/>
  <c r="F1245" i="1"/>
  <c r="H1245" i="1" s="1"/>
  <c r="F1244" i="1"/>
  <c r="H1244" i="1" s="1"/>
  <c r="F1229" i="1"/>
  <c r="H1229" i="1" s="1"/>
  <c r="F1228" i="1"/>
  <c r="H1228" i="1" s="1"/>
  <c r="F1227" i="1"/>
  <c r="H1227" i="1" s="1"/>
  <c r="F1225" i="1"/>
  <c r="H1225" i="1" s="1"/>
  <c r="F1224" i="1"/>
  <c r="H1224" i="1" s="1"/>
  <c r="F1223" i="1"/>
  <c r="H1223" i="1" s="1"/>
  <c r="F1222" i="1"/>
  <c r="H1222" i="1" s="1"/>
  <c r="F1221" i="1"/>
  <c r="H1221" i="1" s="1"/>
  <c r="F1206" i="1"/>
  <c r="H1206" i="1" s="1"/>
  <c r="F1205" i="1"/>
  <c r="H1205" i="1" s="1"/>
  <c r="F1204" i="1"/>
  <c r="H1204" i="1" s="1"/>
  <c r="F1203" i="1"/>
  <c r="H1203" i="1" s="1"/>
  <c r="F1201" i="1"/>
  <c r="H1201" i="1" s="1"/>
  <c r="F1200" i="1"/>
  <c r="H1200" i="1" s="1"/>
  <c r="F1199" i="1"/>
  <c r="H1199" i="1" s="1"/>
  <c r="F1198" i="1"/>
  <c r="H1198" i="1" s="1"/>
  <c r="F1196" i="1"/>
  <c r="H1196" i="1" s="1"/>
  <c r="F1195" i="1"/>
  <c r="H1195" i="1" s="1"/>
  <c r="F1194" i="1"/>
  <c r="H1194" i="1" s="1"/>
  <c r="F1192" i="1"/>
  <c r="H1192" i="1" s="1"/>
  <c r="F1191" i="1"/>
  <c r="H1191" i="1" s="1"/>
  <c r="F1190" i="1"/>
  <c r="H1190" i="1" s="1"/>
  <c r="F1189" i="1"/>
  <c r="H1189" i="1" s="1"/>
  <c r="F1182" i="1"/>
  <c r="F1186" i="1" s="1"/>
  <c r="H1186" i="1" s="1"/>
  <c r="F1181" i="1"/>
  <c r="H1181" i="1" s="1"/>
  <c r="F1180" i="1"/>
  <c r="H1180" i="1" s="1"/>
  <c r="F1179" i="1"/>
  <c r="H1179" i="1" s="1"/>
  <c r="F1178" i="1"/>
  <c r="H1178" i="1" s="1"/>
  <c r="F1176" i="1"/>
  <c r="H1176" i="1" s="1"/>
  <c r="F1175" i="1"/>
  <c r="H1175" i="1" s="1"/>
  <c r="F1174" i="1"/>
  <c r="H1174" i="1" s="1"/>
  <c r="F1172" i="1"/>
  <c r="H1172" i="1" s="1"/>
  <c r="F1171" i="1"/>
  <c r="H1171" i="1" s="1"/>
  <c r="F1170" i="1"/>
  <c r="H1170" i="1" s="1"/>
  <c r="F1168" i="1"/>
  <c r="H1168" i="1" s="1"/>
  <c r="H1167" i="1"/>
  <c r="H1166" i="1"/>
  <c r="H1165" i="1"/>
  <c r="F1164" i="1"/>
  <c r="H1164" i="1" s="1"/>
  <c r="F1163" i="1"/>
  <c r="H1163" i="1" s="1"/>
  <c r="F1162" i="1"/>
  <c r="H1162" i="1" s="1"/>
  <c r="F1160" i="1"/>
  <c r="H1160" i="1" s="1"/>
  <c r="H1159" i="1"/>
  <c r="H1158" i="1"/>
  <c r="F1157" i="1"/>
  <c r="H1157" i="1" s="1"/>
  <c r="F1156" i="1"/>
  <c r="H1156" i="1" s="1"/>
  <c r="F1155" i="1"/>
  <c r="H1155" i="1" s="1"/>
  <c r="F1153" i="1"/>
  <c r="H1153" i="1" s="1"/>
  <c r="H1152" i="1"/>
  <c r="H1151" i="1"/>
  <c r="F1150" i="1"/>
  <c r="H1150" i="1" s="1"/>
  <c r="F1149" i="1"/>
  <c r="H1149" i="1" s="1"/>
  <c r="F1148" i="1"/>
  <c r="H1148" i="1" s="1"/>
  <c r="F1146" i="1"/>
  <c r="H1146" i="1" s="1"/>
  <c r="H1145" i="1"/>
  <c r="H1144" i="1"/>
  <c r="F1143" i="1"/>
  <c r="H1143" i="1" s="1"/>
  <c r="F1142" i="1"/>
  <c r="H1142" i="1" s="1"/>
  <c r="F1141" i="1"/>
  <c r="H1141" i="1" s="1"/>
  <c r="F1139" i="1"/>
  <c r="H1139" i="1" s="1"/>
  <c r="H1138" i="1"/>
  <c r="H1137" i="1"/>
  <c r="H1136" i="1"/>
  <c r="H1135" i="1"/>
  <c r="H1134" i="1"/>
  <c r="F1133" i="1"/>
  <c r="H1133" i="1" s="1"/>
  <c r="F1132" i="1"/>
  <c r="H1132" i="1" s="1"/>
  <c r="F1131" i="1"/>
  <c r="H1131" i="1" s="1"/>
  <c r="F1118" i="1"/>
  <c r="H1118" i="1" s="1"/>
  <c r="F1117" i="1"/>
  <c r="H1117" i="1" s="1"/>
  <c r="F1116" i="1"/>
  <c r="H1116" i="1" s="1"/>
  <c r="F1115" i="1"/>
  <c r="H1115" i="1" s="1"/>
  <c r="F1113" i="1"/>
  <c r="H1113" i="1" s="1"/>
  <c r="F1112" i="1"/>
  <c r="H1112" i="1" s="1"/>
  <c r="F1111" i="1"/>
  <c r="H1111" i="1" s="1"/>
  <c r="F1110" i="1"/>
  <c r="H1110" i="1" s="1"/>
  <c r="F1108" i="1"/>
  <c r="H1108" i="1" s="1"/>
  <c r="F1107" i="1"/>
  <c r="H1107" i="1" s="1"/>
  <c r="F1106" i="1"/>
  <c r="H1106" i="1" s="1"/>
  <c r="F1105" i="1"/>
  <c r="H1105" i="1" s="1"/>
  <c r="F1103" i="1"/>
  <c r="H1103" i="1" s="1"/>
  <c r="F1102" i="1"/>
  <c r="H1102" i="1" s="1"/>
  <c r="F1101" i="1"/>
  <c r="H1101" i="1" s="1"/>
  <c r="F1100" i="1"/>
  <c r="H1100" i="1" s="1"/>
  <c r="F1098" i="1"/>
  <c r="H1098" i="1" s="1"/>
  <c r="F1097" i="1"/>
  <c r="H1097" i="1" s="1"/>
  <c r="F1096" i="1"/>
  <c r="H1096" i="1" s="1"/>
  <c r="F1095" i="1"/>
  <c r="H1095" i="1" s="1"/>
  <c r="F1093" i="1"/>
  <c r="H1093" i="1" s="1"/>
  <c r="F1092" i="1"/>
  <c r="H1092" i="1" s="1"/>
  <c r="F1091" i="1"/>
  <c r="H1091" i="1" s="1"/>
  <c r="F1090" i="1"/>
  <c r="H1090" i="1" s="1"/>
  <c r="F1088" i="1"/>
  <c r="H1088" i="1" s="1"/>
  <c r="F1087" i="1"/>
  <c r="H1087" i="1" s="1"/>
  <c r="F1086" i="1"/>
  <c r="H1086" i="1" s="1"/>
  <c r="F1085" i="1"/>
  <c r="H1085" i="1" s="1"/>
  <c r="F1083" i="1"/>
  <c r="H1083" i="1" s="1"/>
  <c r="F1082" i="1"/>
  <c r="H1082" i="1" s="1"/>
  <c r="F1081" i="1"/>
  <c r="H1081" i="1" s="1"/>
  <c r="F1080" i="1"/>
  <c r="H1080" i="1" s="1"/>
  <c r="F1078" i="1"/>
  <c r="H1078" i="1" s="1"/>
  <c r="F1077" i="1"/>
  <c r="H1077" i="1" s="1"/>
  <c r="F1076" i="1"/>
  <c r="H1076" i="1" s="1"/>
  <c r="F1075" i="1"/>
  <c r="H1075" i="1" s="1"/>
  <c r="F1073" i="1"/>
  <c r="H1073" i="1" s="1"/>
  <c r="F1072" i="1"/>
  <c r="H1072" i="1" s="1"/>
  <c r="F1071" i="1"/>
  <c r="H1071" i="1" s="1"/>
  <c r="F1070" i="1"/>
  <c r="H1070" i="1" s="1"/>
  <c r="F1069" i="1"/>
  <c r="H1069" i="1" s="1"/>
  <c r="F1068" i="1"/>
  <c r="H1068" i="1" s="1"/>
  <c r="F1066" i="1"/>
  <c r="H1066" i="1" s="1"/>
  <c r="F1065" i="1"/>
  <c r="H1065" i="1" s="1"/>
  <c r="F1064" i="1"/>
  <c r="H1064" i="1" s="1"/>
  <c r="F1063" i="1"/>
  <c r="H1063" i="1" s="1"/>
  <c r="F1062" i="1"/>
  <c r="H1062" i="1" s="1"/>
  <c r="F1061" i="1"/>
  <c r="H1061" i="1" s="1"/>
  <c r="F1060" i="1"/>
  <c r="H1060" i="1" s="1"/>
  <c r="F1059" i="1"/>
  <c r="H1059" i="1" s="1"/>
  <c r="F1057" i="1"/>
  <c r="H1057" i="1" s="1"/>
  <c r="F1056" i="1"/>
  <c r="H1056" i="1" s="1"/>
  <c r="F1055" i="1"/>
  <c r="H1055" i="1" s="1"/>
  <c r="F1054" i="1"/>
  <c r="H1054" i="1" s="1"/>
  <c r="F1053" i="1"/>
  <c r="H1053" i="1" s="1"/>
  <c r="F1052" i="1"/>
  <c r="H1052" i="1" s="1"/>
  <c r="F1051" i="1"/>
  <c r="H1051" i="1" s="1"/>
  <c r="F1050" i="1"/>
  <c r="H1050" i="1" s="1"/>
  <c r="F1048" i="1"/>
  <c r="H1048" i="1" s="1"/>
  <c r="F1047" i="1"/>
  <c r="H1047" i="1" s="1"/>
  <c r="F1046" i="1"/>
  <c r="H1046" i="1" s="1"/>
  <c r="F1045" i="1"/>
  <c r="H1045" i="1" s="1"/>
  <c r="F1044" i="1"/>
  <c r="H1044" i="1" s="1"/>
  <c r="F1043" i="1"/>
  <c r="H1043" i="1" s="1"/>
  <c r="F1042" i="1"/>
  <c r="H1042" i="1" s="1"/>
  <c r="F1041" i="1"/>
  <c r="H1041" i="1" s="1"/>
  <c r="F1039" i="1"/>
  <c r="H1039" i="1" s="1"/>
  <c r="F1038" i="1"/>
  <c r="H1038" i="1" s="1"/>
  <c r="F1037" i="1"/>
  <c r="H1037" i="1" s="1"/>
  <c r="F1036" i="1"/>
  <c r="H1036" i="1" s="1"/>
  <c r="F1035" i="1"/>
  <c r="H1035" i="1" s="1"/>
  <c r="F1034" i="1"/>
  <c r="H1034" i="1" s="1"/>
  <c r="F1033" i="1"/>
  <c r="H1033" i="1" s="1"/>
  <c r="F1032" i="1"/>
  <c r="H1032" i="1" s="1"/>
  <c r="F1030" i="1"/>
  <c r="H1030" i="1" s="1"/>
  <c r="F1029" i="1"/>
  <c r="H1029" i="1" s="1"/>
  <c r="H1028" i="1"/>
  <c r="H1027" i="1"/>
  <c r="H1026" i="1"/>
  <c r="H1025" i="1"/>
  <c r="H1024" i="1"/>
  <c r="H1023" i="1"/>
  <c r="H1022" i="1"/>
  <c r="H1021" i="1"/>
  <c r="H1020" i="1"/>
  <c r="F1019" i="1"/>
  <c r="H1019" i="1" s="1"/>
  <c r="F1018" i="1"/>
  <c r="H1018" i="1" s="1"/>
  <c r="F1004" i="1"/>
  <c r="H1004" i="1" s="1"/>
  <c r="F1003" i="1"/>
  <c r="H1003" i="1" s="1"/>
  <c r="F1002" i="1"/>
  <c r="H1002" i="1" s="1"/>
  <c r="F1001" i="1"/>
  <c r="H1001" i="1" s="1"/>
  <c r="F999" i="1"/>
  <c r="H999" i="1" s="1"/>
  <c r="F998" i="1"/>
  <c r="H998" i="1" s="1"/>
  <c r="F997" i="1"/>
  <c r="H997" i="1" s="1"/>
  <c r="F996" i="1"/>
  <c r="H996" i="1" s="1"/>
  <c r="F994" i="1"/>
  <c r="H994" i="1" s="1"/>
  <c r="F993" i="1"/>
  <c r="H993" i="1" s="1"/>
  <c r="F992" i="1"/>
  <c r="H992" i="1" s="1"/>
  <c r="F991" i="1"/>
  <c r="H991" i="1" s="1"/>
  <c r="F989" i="1"/>
  <c r="H989" i="1" s="1"/>
  <c r="F988" i="1"/>
  <c r="H988" i="1" s="1"/>
  <c r="F987" i="1"/>
  <c r="H987" i="1" s="1"/>
  <c r="F986" i="1"/>
  <c r="H986" i="1" s="1"/>
  <c r="F985" i="1"/>
  <c r="H985" i="1" s="1"/>
  <c r="F983" i="1"/>
  <c r="H983" i="1" s="1"/>
  <c r="F982" i="1"/>
  <c r="H982" i="1" s="1"/>
  <c r="F981" i="1"/>
  <c r="H981" i="1" s="1"/>
  <c r="F980" i="1"/>
  <c r="H980" i="1" s="1"/>
  <c r="F978" i="1"/>
  <c r="H978" i="1" s="1"/>
  <c r="F977" i="1"/>
  <c r="H977" i="1" s="1"/>
  <c r="F976" i="1"/>
  <c r="H976" i="1" s="1"/>
  <c r="F975" i="1"/>
  <c r="H975" i="1" s="1"/>
  <c r="F974" i="1"/>
  <c r="H974" i="1" s="1"/>
  <c r="F972" i="1"/>
  <c r="H972" i="1" s="1"/>
  <c r="F971" i="1"/>
  <c r="H971" i="1" s="1"/>
  <c r="F970" i="1"/>
  <c r="H970" i="1" s="1"/>
  <c r="F969" i="1"/>
  <c r="H969" i="1" s="1"/>
  <c r="F968" i="1"/>
  <c r="H968" i="1" s="1"/>
  <c r="F966" i="1"/>
  <c r="H966" i="1" s="1"/>
  <c r="F965" i="1"/>
  <c r="H965" i="1" s="1"/>
  <c r="F964" i="1"/>
  <c r="H964" i="1" s="1"/>
  <c r="F963" i="1"/>
  <c r="H963" i="1" s="1"/>
  <c r="F962" i="1"/>
  <c r="H962" i="1" s="1"/>
  <c r="F960" i="1"/>
  <c r="H960" i="1" s="1"/>
  <c r="F959" i="1"/>
  <c r="H959" i="1" s="1"/>
  <c r="F958" i="1"/>
  <c r="H958" i="1" s="1"/>
  <c r="F957" i="1"/>
  <c r="H957" i="1" s="1"/>
  <c r="F956" i="1"/>
  <c r="H956" i="1" s="1"/>
  <c r="H952" i="1"/>
  <c r="F951" i="1"/>
  <c r="H951" i="1" s="1"/>
  <c r="H950" i="1"/>
  <c r="F949" i="1"/>
  <c r="H949" i="1" s="1"/>
  <c r="F947" i="1"/>
  <c r="H947" i="1" s="1"/>
  <c r="F946" i="1"/>
  <c r="H946" i="1" s="1"/>
  <c r="F945" i="1"/>
  <c r="H945" i="1" s="1"/>
  <c r="F944" i="1"/>
  <c r="H944" i="1" s="1"/>
  <c r="F942" i="1"/>
  <c r="H942" i="1" s="1"/>
  <c r="F941" i="1"/>
  <c r="H941" i="1" s="1"/>
  <c r="F940" i="1"/>
  <c r="H940" i="1" s="1"/>
  <c r="F939" i="1"/>
  <c r="H939" i="1" s="1"/>
  <c r="F937" i="1"/>
  <c r="H937" i="1" s="1"/>
  <c r="F936" i="1"/>
  <c r="H936" i="1" s="1"/>
  <c r="F935" i="1"/>
  <c r="H935" i="1" s="1"/>
  <c r="F934" i="1"/>
  <c r="H934" i="1" s="1"/>
  <c r="F932" i="1"/>
  <c r="H932" i="1" s="1"/>
  <c r="F931" i="1"/>
  <c r="H931" i="1" s="1"/>
  <c r="F930" i="1"/>
  <c r="H930" i="1" s="1"/>
  <c r="F929" i="1"/>
  <c r="H929" i="1" s="1"/>
  <c r="F927" i="1"/>
  <c r="H927" i="1" s="1"/>
  <c r="F926" i="1"/>
  <c r="H926" i="1" s="1"/>
  <c r="F925" i="1"/>
  <c r="H925" i="1" s="1"/>
  <c r="F924" i="1"/>
  <c r="H924" i="1" s="1"/>
  <c r="F922" i="1"/>
  <c r="H922" i="1" s="1"/>
  <c r="F921" i="1"/>
  <c r="H921" i="1" s="1"/>
  <c r="F920" i="1"/>
  <c r="H920" i="1" s="1"/>
  <c r="F919" i="1"/>
  <c r="H919" i="1" s="1"/>
  <c r="F918" i="1"/>
  <c r="H918" i="1" s="1"/>
  <c r="F917" i="1"/>
  <c r="H917" i="1" s="1"/>
  <c r="F916" i="1"/>
  <c r="H916" i="1" s="1"/>
  <c r="F915" i="1"/>
  <c r="H915" i="1" s="1"/>
  <c r="F913" i="1"/>
  <c r="H913" i="1" s="1"/>
  <c r="F912" i="1"/>
  <c r="H912" i="1" s="1"/>
  <c r="F911" i="1"/>
  <c r="H911" i="1" s="1"/>
  <c r="F910" i="1"/>
  <c r="H910" i="1" s="1"/>
  <c r="F909" i="1"/>
  <c r="H909" i="1" s="1"/>
  <c r="F908" i="1"/>
  <c r="H908" i="1" s="1"/>
  <c r="F907" i="1"/>
  <c r="H907" i="1" s="1"/>
  <c r="F906" i="1"/>
  <c r="H906" i="1" s="1"/>
  <c r="F904" i="1"/>
  <c r="H904" i="1" s="1"/>
  <c r="F903" i="1"/>
  <c r="H903" i="1" s="1"/>
  <c r="F902" i="1"/>
  <c r="H902" i="1" s="1"/>
  <c r="F901" i="1"/>
  <c r="H901" i="1" s="1"/>
  <c r="F900" i="1"/>
  <c r="H900" i="1" s="1"/>
  <c r="F899" i="1"/>
  <c r="H899" i="1" s="1"/>
  <c r="F898" i="1"/>
  <c r="H898" i="1" s="1"/>
  <c r="F897" i="1"/>
  <c r="H897" i="1" s="1"/>
  <c r="F895" i="1"/>
  <c r="H895" i="1" s="1"/>
  <c r="F894" i="1"/>
  <c r="H894" i="1" s="1"/>
  <c r="F893" i="1"/>
  <c r="H893" i="1" s="1"/>
  <c r="F892" i="1"/>
  <c r="H892" i="1" s="1"/>
  <c r="F891" i="1"/>
  <c r="H891" i="1" s="1"/>
  <c r="F890" i="1"/>
  <c r="H890" i="1" s="1"/>
  <c r="F889" i="1"/>
  <c r="H889" i="1" s="1"/>
  <c r="F888" i="1"/>
  <c r="H888" i="1" s="1"/>
  <c r="F886" i="1"/>
  <c r="H886" i="1" s="1"/>
  <c r="F885" i="1"/>
  <c r="H885" i="1" s="1"/>
  <c r="F884" i="1"/>
  <c r="H884" i="1" s="1"/>
  <c r="F883" i="1"/>
  <c r="H883" i="1" s="1"/>
  <c r="F882" i="1"/>
  <c r="H882" i="1" s="1"/>
  <c r="F881" i="1"/>
  <c r="H881" i="1" s="1"/>
  <c r="F880" i="1"/>
  <c r="H880" i="1" s="1"/>
  <c r="F879" i="1"/>
  <c r="H879" i="1" s="1"/>
  <c r="F861" i="1"/>
  <c r="H861" i="1" s="1"/>
  <c r="F858" i="1"/>
  <c r="F855" i="1"/>
  <c r="F856" i="1" s="1"/>
  <c r="H856" i="1" s="1"/>
  <c r="F852" i="1"/>
  <c r="H852" i="1" s="1"/>
  <c r="H850" i="1"/>
  <c r="H849" i="1"/>
  <c r="F845" i="1"/>
  <c r="H845" i="1" s="1"/>
  <c r="F844" i="1"/>
  <c r="H844" i="1" s="1"/>
  <c r="F843" i="1"/>
  <c r="H843" i="1" s="1"/>
  <c r="F842" i="1"/>
  <c r="H842" i="1" s="1"/>
  <c r="F841" i="1"/>
  <c r="H841" i="1" s="1"/>
  <c r="F839" i="1"/>
  <c r="H839" i="1" s="1"/>
  <c r="F838" i="1"/>
  <c r="H838" i="1" s="1"/>
  <c r="F837" i="1"/>
  <c r="H837" i="1" s="1"/>
  <c r="F836" i="1"/>
  <c r="H836" i="1" s="1"/>
  <c r="F835" i="1"/>
  <c r="H835" i="1" s="1"/>
  <c r="F833" i="1"/>
  <c r="H833" i="1" s="1"/>
  <c r="F832" i="1"/>
  <c r="H832" i="1" s="1"/>
  <c r="F831" i="1"/>
  <c r="H831" i="1" s="1"/>
  <c r="F830" i="1"/>
  <c r="H830" i="1" s="1"/>
  <c r="F829" i="1"/>
  <c r="H829" i="1" s="1"/>
  <c r="F828" i="1"/>
  <c r="H828" i="1" s="1"/>
  <c r="F827" i="1"/>
  <c r="H827" i="1" s="1"/>
  <c r="F825" i="1"/>
  <c r="H825" i="1" s="1"/>
  <c r="F824" i="1"/>
  <c r="H824" i="1" s="1"/>
  <c r="F823" i="1"/>
  <c r="H823" i="1" s="1"/>
  <c r="F822" i="1"/>
  <c r="H822" i="1" s="1"/>
  <c r="F821" i="1"/>
  <c r="H821" i="1" s="1"/>
  <c r="F820" i="1"/>
  <c r="H820" i="1" s="1"/>
  <c r="F819" i="1"/>
  <c r="H819" i="1" s="1"/>
  <c r="F817" i="1"/>
  <c r="H817" i="1" s="1"/>
  <c r="F816" i="1"/>
  <c r="H816" i="1" s="1"/>
  <c r="F815" i="1"/>
  <c r="H815" i="1" s="1"/>
  <c r="F814" i="1"/>
  <c r="H814" i="1" s="1"/>
  <c r="F813" i="1"/>
  <c r="H813" i="1" s="1"/>
  <c r="F811" i="1"/>
  <c r="H811" i="1" s="1"/>
  <c r="F810" i="1"/>
  <c r="H810" i="1" s="1"/>
  <c r="F809" i="1"/>
  <c r="H809" i="1" s="1"/>
  <c r="E807" i="1"/>
  <c r="F807" i="1" s="1"/>
  <c r="H807" i="1" s="1"/>
  <c r="E806" i="1"/>
  <c r="F806" i="1" s="1"/>
  <c r="H806" i="1" s="1"/>
  <c r="E805" i="1"/>
  <c r="F805" i="1" s="1"/>
  <c r="H805" i="1" s="1"/>
  <c r="E804" i="1"/>
  <c r="F804" i="1" s="1"/>
  <c r="H804" i="1" s="1"/>
  <c r="F800" i="1"/>
  <c r="H800" i="1" s="1"/>
  <c r="F799" i="1"/>
  <c r="H799" i="1" s="1"/>
  <c r="F798" i="1"/>
  <c r="H798" i="1" s="1"/>
  <c r="F797" i="1"/>
  <c r="H797" i="1" s="1"/>
  <c r="F796" i="1"/>
  <c r="H796" i="1" s="1"/>
  <c r="F794" i="1"/>
  <c r="H794" i="1" s="1"/>
  <c r="F793" i="1"/>
  <c r="H793" i="1" s="1"/>
  <c r="F791" i="1"/>
  <c r="H791" i="1" s="1"/>
  <c r="F790" i="1"/>
  <c r="H790" i="1" s="1"/>
  <c r="F789" i="1"/>
  <c r="H789" i="1" s="1"/>
  <c r="F788" i="1"/>
  <c r="H788" i="1" s="1"/>
  <c r="F787" i="1"/>
  <c r="H787" i="1" s="1"/>
  <c r="F786" i="1"/>
  <c r="H786" i="1" s="1"/>
  <c r="F785" i="1"/>
  <c r="H785" i="1" s="1"/>
  <c r="F778" i="1"/>
  <c r="F780" i="1" s="1"/>
  <c r="H780" i="1" s="1"/>
  <c r="F777" i="1"/>
  <c r="H777" i="1" s="1"/>
  <c r="F776" i="1"/>
  <c r="H776" i="1" s="1"/>
  <c r="F775" i="1"/>
  <c r="H775" i="1" s="1"/>
  <c r="F774" i="1"/>
  <c r="H774" i="1" s="1"/>
  <c r="F772" i="1"/>
  <c r="H772" i="1" s="1"/>
  <c r="H771" i="1"/>
  <c r="F770" i="1"/>
  <c r="H770" i="1" s="1"/>
  <c r="F769" i="1"/>
  <c r="H769" i="1" s="1"/>
  <c r="F767" i="1"/>
  <c r="H767" i="1" s="1"/>
  <c r="F766" i="1"/>
  <c r="H766" i="1" s="1"/>
  <c r="H765" i="1"/>
  <c r="H764" i="1"/>
  <c r="F763" i="1"/>
  <c r="H763" i="1" s="1"/>
  <c r="F762" i="1"/>
  <c r="H762" i="1" s="1"/>
  <c r="F760" i="1"/>
  <c r="H760" i="1" s="1"/>
  <c r="F759" i="1"/>
  <c r="H759" i="1" s="1"/>
  <c r="F758" i="1"/>
  <c r="H758" i="1" s="1"/>
  <c r="F757" i="1"/>
  <c r="H757" i="1" s="1"/>
  <c r="F756" i="1"/>
  <c r="H756" i="1" s="1"/>
  <c r="F749" i="1"/>
  <c r="F753" i="1" s="1"/>
  <c r="H753" i="1" s="1"/>
  <c r="F748" i="1"/>
  <c r="H748" i="1" s="1"/>
  <c r="F747" i="1"/>
  <c r="H747" i="1" s="1"/>
  <c r="F746" i="1"/>
  <c r="H746" i="1" s="1"/>
  <c r="F745" i="1"/>
  <c r="H745" i="1" s="1"/>
  <c r="F743" i="1"/>
  <c r="H743" i="1" s="1"/>
  <c r="F742" i="1"/>
  <c r="H742" i="1" s="1"/>
  <c r="F741" i="1"/>
  <c r="H741" i="1" s="1"/>
  <c r="F739" i="1"/>
  <c r="H739" i="1" s="1"/>
  <c r="F738" i="1"/>
  <c r="H738" i="1" s="1"/>
  <c r="F737" i="1"/>
  <c r="H737" i="1" s="1"/>
  <c r="F735" i="1"/>
  <c r="H735" i="1" s="1"/>
  <c r="F734" i="1"/>
  <c r="H734" i="1" s="1"/>
  <c r="F733" i="1"/>
  <c r="H733" i="1" s="1"/>
  <c r="F732" i="1"/>
  <c r="H732" i="1" s="1"/>
  <c r="F731" i="1"/>
  <c r="H731" i="1" s="1"/>
  <c r="F730" i="1"/>
  <c r="H730" i="1" s="1"/>
  <c r="F728" i="1"/>
  <c r="H728" i="1" s="1"/>
  <c r="F727" i="1"/>
  <c r="H727" i="1" s="1"/>
  <c r="F726" i="1"/>
  <c r="H726" i="1" s="1"/>
  <c r="F725" i="1"/>
  <c r="H725" i="1" s="1"/>
  <c r="F719" i="1"/>
  <c r="F721" i="1" s="1"/>
  <c r="F723" i="1" s="1"/>
  <c r="H723" i="1" s="1"/>
  <c r="F718" i="1"/>
  <c r="H718" i="1" s="1"/>
  <c r="F717" i="1"/>
  <c r="H717" i="1" s="1"/>
  <c r="F716" i="1"/>
  <c r="H716" i="1" s="1"/>
  <c r="F714" i="1"/>
  <c r="H714" i="1" s="1"/>
  <c r="E713" i="1"/>
  <c r="F713" i="1" s="1"/>
  <c r="H713" i="1" s="1"/>
  <c r="F712" i="1"/>
  <c r="H712" i="1" s="1"/>
  <c r="F711" i="1"/>
  <c r="H711" i="1" s="1"/>
  <c r="F710" i="1"/>
  <c r="H710" i="1" s="1"/>
  <c r="F706" i="1"/>
  <c r="F708" i="1" s="1"/>
  <c r="H708" i="1" s="1"/>
  <c r="F705" i="1"/>
  <c r="H705" i="1" s="1"/>
  <c r="F704" i="1"/>
  <c r="H704" i="1" s="1"/>
  <c r="F703" i="1"/>
  <c r="H703" i="1" s="1"/>
  <c r="F701" i="1"/>
  <c r="H701" i="1" s="1"/>
  <c r="H700" i="1" s="1"/>
  <c r="F697" i="1"/>
  <c r="H697" i="1" s="1"/>
  <c r="F696" i="1"/>
  <c r="H696" i="1" s="1"/>
  <c r="F695" i="1"/>
  <c r="H695" i="1" s="1"/>
  <c r="F694" i="1"/>
  <c r="H694" i="1" s="1"/>
  <c r="F693" i="1"/>
  <c r="H693" i="1" s="1"/>
  <c r="F691" i="1"/>
  <c r="H691" i="1" s="1"/>
  <c r="F690" i="1"/>
  <c r="H690" i="1" s="1"/>
  <c r="F689" i="1"/>
  <c r="H689" i="1" s="1"/>
  <c r="F688" i="1"/>
  <c r="H688" i="1" s="1"/>
  <c r="F687" i="1"/>
  <c r="H687" i="1" s="1"/>
  <c r="F685" i="1"/>
  <c r="H685" i="1" s="1"/>
  <c r="F684" i="1"/>
  <c r="H684" i="1" s="1"/>
  <c r="F683" i="1"/>
  <c r="H683" i="1" s="1"/>
  <c r="F682" i="1"/>
  <c r="H682" i="1" s="1"/>
  <c r="F681" i="1"/>
  <c r="H681" i="1" s="1"/>
  <c r="F674" i="1"/>
  <c r="E673" i="1"/>
  <c r="F673" i="1" s="1"/>
  <c r="H673" i="1" s="1"/>
  <c r="E672" i="1"/>
  <c r="F672" i="1" s="1"/>
  <c r="H672" i="1" s="1"/>
  <c r="E671" i="1"/>
  <c r="F671" i="1" s="1"/>
  <c r="H671" i="1" s="1"/>
  <c r="F670" i="1"/>
  <c r="H670" i="1" s="1"/>
  <c r="E669" i="1"/>
  <c r="F669" i="1" s="1"/>
  <c r="H669" i="1" s="1"/>
  <c r="F667" i="1"/>
  <c r="H667" i="1" s="1"/>
  <c r="F666" i="1"/>
  <c r="H666" i="1" s="1"/>
  <c r="F665" i="1"/>
  <c r="H665" i="1" s="1"/>
  <c r="F663" i="1"/>
  <c r="H663" i="1" s="1"/>
  <c r="F662" i="1"/>
  <c r="H662" i="1" s="1"/>
  <c r="E661" i="1"/>
  <c r="F661" i="1" s="1"/>
  <c r="H661" i="1" s="1"/>
  <c r="F660" i="1"/>
  <c r="H660" i="1" s="1"/>
  <c r="E659" i="1"/>
  <c r="F659" i="1" s="1"/>
  <c r="H659" i="1" s="1"/>
  <c r="E658" i="1"/>
  <c r="F658" i="1" s="1"/>
  <c r="H658" i="1" s="1"/>
  <c r="F654" i="1"/>
  <c r="H654" i="1" s="1"/>
  <c r="F653" i="1"/>
  <c r="H653" i="1" s="1"/>
  <c r="F652" i="1"/>
  <c r="H652" i="1" s="1"/>
  <c r="F651" i="1"/>
  <c r="H651" i="1" s="1"/>
  <c r="H650" i="1"/>
  <c r="F649" i="1"/>
  <c r="H649" i="1" s="1"/>
  <c r="E648" i="1"/>
  <c r="F648" i="1" s="1"/>
  <c r="H648" i="1" s="1"/>
  <c r="E647" i="1"/>
  <c r="F647" i="1" s="1"/>
  <c r="H647" i="1" s="1"/>
  <c r="F645" i="1"/>
  <c r="H645" i="1" s="1"/>
  <c r="F644" i="1"/>
  <c r="H644" i="1" s="1"/>
  <c r="F643" i="1"/>
  <c r="H643" i="1" s="1"/>
  <c r="F641" i="1"/>
  <c r="H641" i="1" s="1"/>
  <c r="F640" i="1"/>
  <c r="H640" i="1" s="1"/>
  <c r="F639" i="1"/>
  <c r="H639" i="1" s="1"/>
  <c r="F638" i="1"/>
  <c r="H638" i="1" s="1"/>
  <c r="F637" i="1"/>
  <c r="H637" i="1" s="1"/>
  <c r="F635" i="1"/>
  <c r="H635" i="1" s="1"/>
  <c r="F634" i="1"/>
  <c r="H634" i="1" s="1"/>
  <c r="F633" i="1"/>
  <c r="H633" i="1" s="1"/>
  <c r="F632" i="1"/>
  <c r="H632" i="1" s="1"/>
  <c r="F631" i="1"/>
  <c r="H631" i="1" s="1"/>
  <c r="F629" i="1"/>
  <c r="H629" i="1" s="1"/>
  <c r="F628" i="1"/>
  <c r="H628" i="1" s="1"/>
  <c r="F627" i="1"/>
  <c r="H627" i="1" s="1"/>
  <c r="F626" i="1"/>
  <c r="H626" i="1" s="1"/>
  <c r="F625" i="1"/>
  <c r="H625" i="1" s="1"/>
  <c r="F624" i="1"/>
  <c r="H624" i="1" s="1"/>
  <c r="F621" i="1"/>
  <c r="H621" i="1" s="1"/>
  <c r="F620" i="1"/>
  <c r="H620" i="1" s="1"/>
  <c r="F619" i="1"/>
  <c r="H619" i="1" s="1"/>
  <c r="F618" i="1"/>
  <c r="H618" i="1" s="1"/>
  <c r="H617" i="1"/>
  <c r="F616" i="1"/>
  <c r="H616" i="1" s="1"/>
  <c r="E615" i="1"/>
  <c r="F615" i="1" s="1"/>
  <c r="H615" i="1" s="1"/>
  <c r="E614" i="1"/>
  <c r="F614" i="1" s="1"/>
  <c r="H614" i="1" s="1"/>
  <c r="F612" i="1"/>
  <c r="H612" i="1" s="1"/>
  <c r="F611" i="1"/>
  <c r="H611" i="1" s="1"/>
  <c r="F610" i="1"/>
  <c r="H610" i="1" s="1"/>
  <c r="F608" i="1"/>
  <c r="H608" i="1" s="1"/>
  <c r="F607" i="1"/>
  <c r="H607" i="1" s="1"/>
  <c r="F606" i="1"/>
  <c r="H606" i="1" s="1"/>
  <c r="F605" i="1"/>
  <c r="H605" i="1" s="1"/>
  <c r="F604" i="1"/>
  <c r="H604" i="1" s="1"/>
  <c r="F602" i="1"/>
  <c r="H602" i="1" s="1"/>
  <c r="F601" i="1"/>
  <c r="H601" i="1" s="1"/>
  <c r="F600" i="1"/>
  <c r="H600" i="1" s="1"/>
  <c r="F599" i="1"/>
  <c r="H599" i="1" s="1"/>
  <c r="F598" i="1"/>
  <c r="H598" i="1" s="1"/>
  <c r="F596" i="1"/>
  <c r="H596" i="1" s="1"/>
  <c r="F595" i="1"/>
  <c r="H595" i="1" s="1"/>
  <c r="F594" i="1"/>
  <c r="H594" i="1" s="1"/>
  <c r="F593" i="1"/>
  <c r="H593" i="1" s="1"/>
  <c r="F592" i="1"/>
  <c r="H592" i="1" s="1"/>
  <c r="H589" i="1"/>
  <c r="H588" i="1"/>
  <c r="F584" i="1"/>
  <c r="F586" i="1" s="1"/>
  <c r="H586" i="1" s="1"/>
  <c r="F580" i="1"/>
  <c r="H580" i="1" s="1"/>
  <c r="F579" i="1"/>
  <c r="H579" i="1" s="1"/>
  <c r="F578" i="1"/>
  <c r="H578" i="1" s="1"/>
  <c r="F577" i="1"/>
  <c r="H577" i="1" s="1"/>
  <c r="E575" i="1"/>
  <c r="F575" i="1" s="1"/>
  <c r="H575" i="1" s="1"/>
  <c r="F574" i="1"/>
  <c r="H574" i="1" s="1"/>
  <c r="F573" i="1"/>
  <c r="H573" i="1" s="1"/>
  <c r="E572" i="1"/>
  <c r="F572" i="1" s="1"/>
  <c r="H572" i="1" s="1"/>
  <c r="E566" i="1"/>
  <c r="E565" i="1"/>
  <c r="F564" i="1"/>
  <c r="E563" i="1"/>
  <c r="F563" i="1" s="1"/>
  <c r="H563" i="1" s="1"/>
  <c r="F562" i="1"/>
  <c r="H562" i="1" s="1"/>
  <c r="F561" i="1"/>
  <c r="H561" i="1" s="1"/>
  <c r="E560" i="1"/>
  <c r="F560" i="1" s="1"/>
  <c r="H560" i="1" s="1"/>
  <c r="E558" i="1"/>
  <c r="E555" i="1"/>
  <c r="E554" i="1"/>
  <c r="F553" i="1"/>
  <c r="F556" i="1" s="1"/>
  <c r="H556" i="1" s="1"/>
  <c r="F552" i="1"/>
  <c r="H552" i="1" s="1"/>
  <c r="F551" i="1"/>
  <c r="H551" i="1" s="1"/>
  <c r="F550" i="1"/>
  <c r="H550" i="1" s="1"/>
  <c r="E549" i="1"/>
  <c r="F549" i="1" s="1"/>
  <c r="H549" i="1" s="1"/>
  <c r="F545" i="1"/>
  <c r="H545" i="1" s="1"/>
  <c r="F544" i="1"/>
  <c r="H544" i="1" s="1"/>
  <c r="D544" i="1"/>
  <c r="D545" i="1" s="1"/>
  <c r="F542" i="1"/>
  <c r="H542" i="1" s="1"/>
  <c r="F541" i="1"/>
  <c r="H541" i="1" s="1"/>
  <c r="F540" i="1"/>
  <c r="H540" i="1" s="1"/>
  <c r="F539" i="1"/>
  <c r="H539" i="1" s="1"/>
  <c r="F537" i="1"/>
  <c r="H537" i="1" s="1"/>
  <c r="F536" i="1"/>
  <c r="H536" i="1" s="1"/>
  <c r="F535" i="1"/>
  <c r="H535" i="1" s="1"/>
  <c r="F534" i="1"/>
  <c r="H534" i="1" s="1"/>
  <c r="F533" i="1"/>
  <c r="H533" i="1" s="1"/>
  <c r="F532" i="1"/>
  <c r="H532" i="1" s="1"/>
  <c r="F525" i="1"/>
  <c r="F529" i="1" s="1"/>
  <c r="H529" i="1" s="1"/>
  <c r="F524" i="1"/>
  <c r="H524" i="1" s="1"/>
  <c r="F523" i="1"/>
  <c r="H523" i="1" s="1"/>
  <c r="F522" i="1"/>
  <c r="H522" i="1" s="1"/>
  <c r="F521" i="1"/>
  <c r="H521" i="1" s="1"/>
  <c r="F519" i="1"/>
  <c r="H519" i="1" s="1"/>
  <c r="F518" i="1"/>
  <c r="H518" i="1" s="1"/>
  <c r="F517" i="1"/>
  <c r="H517" i="1" s="1"/>
  <c r="F516" i="1"/>
  <c r="H516" i="1" s="1"/>
  <c r="H515" i="1"/>
  <c r="H514" i="1"/>
  <c r="H513" i="1"/>
  <c r="F512" i="1"/>
  <c r="H512" i="1" s="1"/>
  <c r="F511" i="1"/>
  <c r="H511" i="1" s="1"/>
  <c r="F510" i="1"/>
  <c r="H510" i="1" s="1"/>
  <c r="F508" i="1"/>
  <c r="H508" i="1" s="1"/>
  <c r="F507" i="1"/>
  <c r="H507" i="1" s="1"/>
  <c r="F506" i="1"/>
  <c r="H506" i="1" s="1"/>
  <c r="F505" i="1"/>
  <c r="H505" i="1" s="1"/>
  <c r="F504" i="1"/>
  <c r="H504" i="1" s="1"/>
  <c r="F502" i="1"/>
  <c r="H502" i="1" s="1"/>
  <c r="F501" i="1"/>
  <c r="H501" i="1" s="1"/>
  <c r="F500" i="1"/>
  <c r="H500" i="1" s="1"/>
  <c r="F499" i="1"/>
  <c r="H499" i="1" s="1"/>
  <c r="F497" i="1"/>
  <c r="H497" i="1" s="1"/>
  <c r="F496" i="1"/>
  <c r="H496" i="1" s="1"/>
  <c r="F495" i="1"/>
  <c r="H495" i="1" s="1"/>
  <c r="F494" i="1"/>
  <c r="H494" i="1" s="1"/>
  <c r="F493" i="1"/>
  <c r="H493" i="1" s="1"/>
  <c r="E491" i="1"/>
  <c r="F491" i="1" s="1"/>
  <c r="H491" i="1" s="1"/>
  <c r="E490" i="1"/>
  <c r="F490" i="1" s="1"/>
  <c r="H490" i="1" s="1"/>
  <c r="F489" i="1"/>
  <c r="H489" i="1" s="1"/>
  <c r="E488" i="1"/>
  <c r="F488" i="1" s="1"/>
  <c r="H488" i="1" s="1"/>
  <c r="E487" i="1"/>
  <c r="F487" i="1" s="1"/>
  <c r="H487" i="1" s="1"/>
  <c r="E485" i="1"/>
  <c r="F485" i="1" s="1"/>
  <c r="H485" i="1" s="1"/>
  <c r="E484" i="1"/>
  <c r="F484" i="1" s="1"/>
  <c r="H484" i="1" s="1"/>
  <c r="F483" i="1"/>
  <c r="H483" i="1" s="1"/>
  <c r="E482" i="1"/>
  <c r="F482" i="1" s="1"/>
  <c r="H482" i="1" s="1"/>
  <c r="E481" i="1"/>
  <c r="F481" i="1" s="1"/>
  <c r="H481" i="1" s="1"/>
  <c r="E479" i="1"/>
  <c r="F479" i="1" s="1"/>
  <c r="H479" i="1" s="1"/>
  <c r="E478" i="1"/>
  <c r="F478" i="1" s="1"/>
  <c r="H478" i="1" s="1"/>
  <c r="F477" i="1"/>
  <c r="H477" i="1" s="1"/>
  <c r="E476" i="1"/>
  <c r="F476" i="1" s="1"/>
  <c r="H476" i="1" s="1"/>
  <c r="E475" i="1"/>
  <c r="F475" i="1" s="1"/>
  <c r="H475" i="1" s="1"/>
  <c r="F473" i="1"/>
  <c r="H473" i="1" s="1"/>
  <c r="F472" i="1"/>
  <c r="H472" i="1" s="1"/>
  <c r="F471" i="1"/>
  <c r="H471" i="1" s="1"/>
  <c r="F470" i="1"/>
  <c r="H470" i="1" s="1"/>
  <c r="F468" i="1"/>
  <c r="H468" i="1" s="1"/>
  <c r="F467" i="1"/>
  <c r="H467" i="1" s="1"/>
  <c r="F466" i="1"/>
  <c r="H466" i="1" s="1"/>
  <c r="F465" i="1"/>
  <c r="H465" i="1" s="1"/>
  <c r="F464" i="1"/>
  <c r="H464" i="1" s="1"/>
  <c r="F462" i="1"/>
  <c r="H462" i="1" s="1"/>
  <c r="F461" i="1"/>
  <c r="H461" i="1" s="1"/>
  <c r="F460" i="1"/>
  <c r="H460" i="1" s="1"/>
  <c r="F459" i="1"/>
  <c r="H459" i="1" s="1"/>
  <c r="F457" i="1"/>
  <c r="H457" i="1" s="1"/>
  <c r="F456" i="1"/>
  <c r="H456" i="1" s="1"/>
  <c r="F455" i="1"/>
  <c r="H455" i="1" s="1"/>
  <c r="F454" i="1"/>
  <c r="H454" i="1" s="1"/>
  <c r="F453" i="1"/>
  <c r="H453" i="1" s="1"/>
  <c r="F451" i="1"/>
  <c r="H451" i="1" s="1"/>
  <c r="F450" i="1"/>
  <c r="H450" i="1" s="1"/>
  <c r="F449" i="1"/>
  <c r="H449" i="1" s="1"/>
  <c r="F448" i="1"/>
  <c r="H448" i="1" s="1"/>
  <c r="F447" i="1"/>
  <c r="H447" i="1" s="1"/>
  <c r="F446" i="1"/>
  <c r="H446" i="1" s="1"/>
  <c r="E444" i="1"/>
  <c r="F444" i="1" s="1"/>
  <c r="H444" i="1" s="1"/>
  <c r="E443" i="1"/>
  <c r="F443" i="1" s="1"/>
  <c r="H443" i="1" s="1"/>
  <c r="E442" i="1"/>
  <c r="F442" i="1" s="1"/>
  <c r="H442" i="1" s="1"/>
  <c r="E441" i="1"/>
  <c r="F441" i="1" s="1"/>
  <c r="H441" i="1" s="1"/>
  <c r="E434" i="1"/>
  <c r="E433" i="1"/>
  <c r="E432" i="1"/>
  <c r="E431" i="1"/>
  <c r="F430" i="1"/>
  <c r="F429" i="1"/>
  <c r="H429" i="1" s="1"/>
  <c r="F428" i="1"/>
  <c r="H428" i="1" s="1"/>
  <c r="F427" i="1"/>
  <c r="H427" i="1" s="1"/>
  <c r="F426" i="1"/>
  <c r="H426" i="1" s="1"/>
  <c r="F424" i="1"/>
  <c r="H424" i="1" s="1"/>
  <c r="F423" i="1"/>
  <c r="H423" i="1" s="1"/>
  <c r="F422" i="1"/>
  <c r="H422" i="1" s="1"/>
  <c r="F421" i="1"/>
  <c r="H421" i="1" s="1"/>
  <c r="F419" i="1"/>
  <c r="H419" i="1" s="1"/>
  <c r="F418" i="1"/>
  <c r="H418" i="1" s="1"/>
  <c r="F417" i="1"/>
  <c r="H417" i="1" s="1"/>
  <c r="F416" i="1"/>
  <c r="H416" i="1" s="1"/>
  <c r="F415" i="1"/>
  <c r="H415" i="1" s="1"/>
  <c r="F414" i="1"/>
  <c r="H414" i="1" s="1"/>
  <c r="F413" i="1"/>
  <c r="H413" i="1" s="1"/>
  <c r="F412" i="1"/>
  <c r="H412" i="1" s="1"/>
  <c r="F410" i="1"/>
  <c r="H410" i="1" s="1"/>
  <c r="F409" i="1"/>
  <c r="H409" i="1" s="1"/>
  <c r="F408" i="1"/>
  <c r="H408" i="1" s="1"/>
  <c r="F407" i="1"/>
  <c r="H407" i="1" s="1"/>
  <c r="F406" i="1"/>
  <c r="H406" i="1" s="1"/>
  <c r="F405" i="1"/>
  <c r="H405" i="1" s="1"/>
  <c r="E403" i="1"/>
  <c r="F403" i="1" s="1"/>
  <c r="H403" i="1" s="1"/>
  <c r="E402" i="1"/>
  <c r="F402" i="1" s="1"/>
  <c r="H402" i="1" s="1"/>
  <c r="E401" i="1"/>
  <c r="F401" i="1" s="1"/>
  <c r="H401" i="1" s="1"/>
  <c r="E400" i="1"/>
  <c r="F400" i="1" s="1"/>
  <c r="H400" i="1" s="1"/>
  <c r="F398" i="1"/>
  <c r="H398" i="1" s="1"/>
  <c r="F397" i="1"/>
  <c r="H397" i="1" s="1"/>
  <c r="F396" i="1"/>
  <c r="H396" i="1" s="1"/>
  <c r="F395" i="1"/>
  <c r="H395" i="1" s="1"/>
  <c r="F394" i="1"/>
  <c r="H394" i="1" s="1"/>
  <c r="F392" i="1"/>
  <c r="H392" i="1" s="1"/>
  <c r="F391" i="1"/>
  <c r="H391" i="1" s="1"/>
  <c r="F390" i="1"/>
  <c r="H390" i="1" s="1"/>
  <c r="F389" i="1"/>
  <c r="H389" i="1" s="1"/>
  <c r="F388" i="1"/>
  <c r="H388" i="1" s="1"/>
  <c r="F386" i="1"/>
  <c r="H386" i="1" s="1"/>
  <c r="F385" i="1"/>
  <c r="H385" i="1" s="1"/>
  <c r="F384" i="1"/>
  <c r="H384" i="1" s="1"/>
  <c r="F383" i="1"/>
  <c r="H383" i="1" s="1"/>
  <c r="F382" i="1"/>
  <c r="H382" i="1" s="1"/>
  <c r="F380" i="1"/>
  <c r="H380" i="1" s="1"/>
  <c r="F379" i="1"/>
  <c r="H379" i="1" s="1"/>
  <c r="F378" i="1"/>
  <c r="H378" i="1" s="1"/>
  <c r="F377" i="1"/>
  <c r="H377" i="1" s="1"/>
  <c r="F375" i="1"/>
  <c r="H375" i="1" s="1"/>
  <c r="F374" i="1"/>
  <c r="H374" i="1" s="1"/>
  <c r="F373" i="1"/>
  <c r="H373" i="1" s="1"/>
  <c r="E372" i="1"/>
  <c r="F372" i="1" s="1"/>
  <c r="H372" i="1" s="1"/>
  <c r="E371" i="1"/>
  <c r="F371" i="1" s="1"/>
  <c r="H371" i="1" s="1"/>
  <c r="F369" i="1"/>
  <c r="H369" i="1" s="1"/>
  <c r="F368" i="1"/>
  <c r="H368" i="1" s="1"/>
  <c r="F367" i="1"/>
  <c r="H367" i="1" s="1"/>
  <c r="F365" i="1"/>
  <c r="H365" i="1" s="1"/>
  <c r="F364" i="1"/>
  <c r="H364" i="1" s="1"/>
  <c r="F362" i="1"/>
  <c r="H362" i="1" s="1"/>
  <c r="F361" i="1"/>
  <c r="H361" i="1" s="1"/>
  <c r="F360" i="1"/>
  <c r="H360" i="1" s="1"/>
  <c r="F358" i="1"/>
  <c r="H358" i="1" s="1"/>
  <c r="F357" i="1"/>
  <c r="H357" i="1" s="1"/>
  <c r="F356" i="1"/>
  <c r="H356" i="1" s="1"/>
  <c r="F355" i="1"/>
  <c r="H355" i="1" s="1"/>
  <c r="F354" i="1"/>
  <c r="H354" i="1" s="1"/>
  <c r="F353" i="1"/>
  <c r="H353" i="1" s="1"/>
  <c r="F344" i="1"/>
  <c r="F348" i="1" s="1"/>
  <c r="H348" i="1" s="1"/>
  <c r="F343" i="1"/>
  <c r="H343" i="1" s="1"/>
  <c r="F342" i="1"/>
  <c r="H342" i="1" s="1"/>
  <c r="F341" i="1"/>
  <c r="H341" i="1" s="1"/>
  <c r="F340" i="1"/>
  <c r="H340" i="1" s="1"/>
  <c r="F338" i="1"/>
  <c r="H338" i="1" s="1"/>
  <c r="F337" i="1"/>
  <c r="H337" i="1" s="1"/>
  <c r="F336" i="1"/>
  <c r="H336" i="1" s="1"/>
  <c r="F334" i="1"/>
  <c r="H334" i="1" s="1"/>
  <c r="F333" i="1"/>
  <c r="H333" i="1" s="1"/>
  <c r="F332" i="1"/>
  <c r="H332" i="1" s="1"/>
  <c r="F331" i="1"/>
  <c r="H331" i="1" s="1"/>
  <c r="F329" i="1"/>
  <c r="H329" i="1" s="1"/>
  <c r="F328" i="1"/>
  <c r="H328" i="1" s="1"/>
  <c r="F327" i="1"/>
  <c r="H327" i="1" s="1"/>
  <c r="F326" i="1"/>
  <c r="H326" i="1" s="1"/>
  <c r="F324" i="1"/>
  <c r="H324" i="1" s="1"/>
  <c r="F323" i="1"/>
  <c r="H323" i="1" s="1"/>
  <c r="F322" i="1"/>
  <c r="H322" i="1" s="1"/>
  <c r="F321" i="1"/>
  <c r="H321" i="1" s="1"/>
  <c r="F319" i="1"/>
  <c r="H319" i="1" s="1"/>
  <c r="F318" i="1"/>
  <c r="H318" i="1" s="1"/>
  <c r="F317" i="1"/>
  <c r="H317" i="1" s="1"/>
  <c r="F316" i="1"/>
  <c r="H316" i="1" s="1"/>
  <c r="F315" i="1"/>
  <c r="H315" i="1" s="1"/>
  <c r="F313" i="1"/>
  <c r="H313" i="1" s="1"/>
  <c r="F312" i="1"/>
  <c r="H312" i="1" s="1"/>
  <c r="F311" i="1"/>
  <c r="H311" i="1" s="1"/>
  <c r="F310" i="1"/>
  <c r="H310" i="1" s="1"/>
  <c r="F308" i="1"/>
  <c r="H308" i="1" s="1"/>
  <c r="F307" i="1"/>
  <c r="H307" i="1" s="1"/>
  <c r="F306" i="1"/>
  <c r="H306" i="1" s="1"/>
  <c r="F305" i="1"/>
  <c r="H305" i="1" s="1"/>
  <c r="H303" i="1"/>
  <c r="F302" i="1"/>
  <c r="H302" i="1" s="1"/>
  <c r="F301" i="1"/>
  <c r="H301" i="1" s="1"/>
  <c r="F300" i="1"/>
  <c r="H300" i="1" s="1"/>
  <c r="F299" i="1"/>
  <c r="H299" i="1" s="1"/>
  <c r="H297" i="1"/>
  <c r="F296" i="1"/>
  <c r="H296" i="1" s="1"/>
  <c r="F295" i="1"/>
  <c r="H295" i="1" s="1"/>
  <c r="F294" i="1"/>
  <c r="H294" i="1" s="1"/>
  <c r="F293" i="1"/>
  <c r="H293" i="1" s="1"/>
  <c r="F289" i="1"/>
  <c r="H289" i="1" s="1"/>
  <c r="F288" i="1"/>
  <c r="H288" i="1" s="1"/>
  <c r="F287" i="1"/>
  <c r="H287" i="1" s="1"/>
  <c r="F286" i="1"/>
  <c r="H286" i="1" s="1"/>
  <c r="F285" i="1"/>
  <c r="H285" i="1" s="1"/>
  <c r="F283" i="1"/>
  <c r="H283" i="1" s="1"/>
  <c r="F282" i="1"/>
  <c r="H282" i="1" s="1"/>
  <c r="F281" i="1"/>
  <c r="H281" i="1" s="1"/>
  <c r="F280" i="1"/>
  <c r="H280" i="1" s="1"/>
  <c r="F279" i="1"/>
  <c r="H279" i="1" s="1"/>
  <c r="F272" i="1"/>
  <c r="F266" i="1"/>
  <c r="H266" i="1" s="1"/>
  <c r="F265" i="1"/>
  <c r="H265" i="1" s="1"/>
  <c r="F264" i="1"/>
  <c r="H264" i="1" s="1"/>
  <c r="F263" i="1"/>
  <c r="H263" i="1" s="1"/>
  <c r="F256" i="1"/>
  <c r="F258" i="1" s="1"/>
  <c r="H258" i="1" s="1"/>
  <c r="F255" i="1"/>
  <c r="H255" i="1" s="1"/>
  <c r="F254" i="1"/>
  <c r="H254" i="1" s="1"/>
  <c r="F252" i="1"/>
  <c r="H252" i="1" s="1"/>
  <c r="F251" i="1"/>
  <c r="H251" i="1" s="1"/>
  <c r="F250" i="1"/>
  <c r="H250" i="1" s="1"/>
  <c r="F249" i="1"/>
  <c r="H249" i="1" s="1"/>
  <c r="F248" i="1"/>
  <c r="H248" i="1" s="1"/>
  <c r="F247" i="1"/>
  <c r="H247" i="1" s="1"/>
  <c r="F246" i="1"/>
  <c r="H246" i="1" s="1"/>
  <c r="F244" i="1"/>
  <c r="H244" i="1" s="1"/>
  <c r="F243" i="1"/>
  <c r="H243" i="1" s="1"/>
  <c r="F242" i="1"/>
  <c r="H242" i="1" s="1"/>
  <c r="F241" i="1"/>
  <c r="H241" i="1" s="1"/>
  <c r="F240" i="1"/>
  <c r="H240" i="1" s="1"/>
  <c r="F239" i="1"/>
  <c r="H239" i="1" s="1"/>
  <c r="F237" i="1"/>
  <c r="H237" i="1" s="1"/>
  <c r="F236" i="1"/>
  <c r="H236" i="1" s="1"/>
  <c r="F235" i="1"/>
  <c r="H235" i="1" s="1"/>
  <c r="F234" i="1"/>
  <c r="H234" i="1" s="1"/>
  <c r="F232" i="1"/>
  <c r="H232" i="1" s="1"/>
  <c r="F231" i="1"/>
  <c r="H231" i="1" s="1"/>
  <c r="F230" i="1"/>
  <c r="H230" i="1" s="1"/>
  <c r="F229" i="1"/>
  <c r="H229" i="1" s="1"/>
  <c r="F227" i="1"/>
  <c r="H227" i="1" s="1"/>
  <c r="F226" i="1"/>
  <c r="H226" i="1" s="1"/>
  <c r="F225" i="1"/>
  <c r="H225" i="1" s="1"/>
  <c r="F224" i="1"/>
  <c r="H224" i="1" s="1"/>
  <c r="F223" i="1"/>
  <c r="H223" i="1" s="1"/>
  <c r="F222" i="1"/>
  <c r="H222" i="1" s="1"/>
  <c r="E219" i="1"/>
  <c r="F217" i="1"/>
  <c r="F218" i="1" s="1"/>
  <c r="H218" i="1" s="1"/>
  <c r="F216" i="1"/>
  <c r="H216" i="1" s="1"/>
  <c r="F215" i="1"/>
  <c r="H215" i="1" s="1"/>
  <c r="E214" i="1"/>
  <c r="F214" i="1" s="1"/>
  <c r="H214" i="1" s="1"/>
  <c r="F213" i="1"/>
  <c r="H213" i="1" s="1"/>
  <c r="F211" i="1"/>
  <c r="H211" i="1" s="1"/>
  <c r="F210" i="1"/>
  <c r="H210" i="1" s="1"/>
  <c r="F209" i="1"/>
  <c r="H209" i="1" s="1"/>
  <c r="F208" i="1"/>
  <c r="H208" i="1" s="1"/>
  <c r="F207" i="1"/>
  <c r="H207" i="1" s="1"/>
  <c r="F205" i="1"/>
  <c r="H205" i="1" s="1"/>
  <c r="F204" i="1"/>
  <c r="H204" i="1" s="1"/>
  <c r="F203" i="1"/>
  <c r="H203" i="1" s="1"/>
  <c r="F202" i="1"/>
  <c r="H202" i="1" s="1"/>
  <c r="F201" i="1"/>
  <c r="H201" i="1" s="1"/>
  <c r="F200" i="1"/>
  <c r="H200" i="1" s="1"/>
  <c r="F199" i="1"/>
  <c r="H199" i="1" s="1"/>
  <c r="F198" i="1"/>
  <c r="H198" i="1" s="1"/>
  <c r="F196" i="1"/>
  <c r="H196" i="1" s="1"/>
  <c r="F195" i="1"/>
  <c r="H195" i="1" s="1"/>
  <c r="F194" i="1"/>
  <c r="H194" i="1" s="1"/>
  <c r="F193" i="1"/>
  <c r="H193" i="1" s="1"/>
  <c r="F192" i="1"/>
  <c r="F191" i="1"/>
  <c r="H191" i="1" s="1"/>
  <c r="F190" i="1"/>
  <c r="H190" i="1" s="1"/>
  <c r="F186" i="1"/>
  <c r="H186" i="1" s="1"/>
  <c r="F185" i="1"/>
  <c r="H185" i="1" s="1"/>
  <c r="F184" i="1"/>
  <c r="H184" i="1" s="1"/>
  <c r="H183" i="1"/>
  <c r="H182" i="1"/>
  <c r="F181" i="1"/>
  <c r="H181" i="1" s="1"/>
  <c r="F180" i="1"/>
  <c r="H180" i="1" s="1"/>
  <c r="F179" i="1"/>
  <c r="H179" i="1" s="1"/>
  <c r="F177" i="1"/>
  <c r="H177" i="1" s="1"/>
  <c r="F176" i="1"/>
  <c r="H176" i="1" s="1"/>
  <c r="E175" i="1"/>
  <c r="F175" i="1" s="1"/>
  <c r="H175" i="1" s="1"/>
  <c r="F174" i="1"/>
  <c r="H174" i="1" s="1"/>
  <c r="H173" i="1"/>
  <c r="H172" i="1"/>
  <c r="F171" i="1"/>
  <c r="H171" i="1" s="1"/>
  <c r="F170" i="1"/>
  <c r="H170" i="1" s="1"/>
  <c r="E169" i="1"/>
  <c r="F169" i="1" s="1"/>
  <c r="H169" i="1" s="1"/>
  <c r="F167" i="1"/>
  <c r="H167" i="1" s="1"/>
  <c r="E166" i="1"/>
  <c r="F166" i="1" s="1"/>
  <c r="H166" i="1" s="1"/>
  <c r="F165" i="1"/>
  <c r="H165" i="1" s="1"/>
  <c r="H164" i="1"/>
  <c r="H163" i="1"/>
  <c r="F162" i="1"/>
  <c r="H162" i="1" s="1"/>
  <c r="F161" i="1"/>
  <c r="H161" i="1" s="1"/>
  <c r="F160" i="1"/>
  <c r="H160" i="1" s="1"/>
  <c r="F159" i="1"/>
  <c r="H159" i="1" s="1"/>
  <c r="F157" i="1"/>
  <c r="H157" i="1" s="1"/>
  <c r="E156" i="1"/>
  <c r="F156" i="1" s="1"/>
  <c r="H156" i="1" s="1"/>
  <c r="F155" i="1"/>
  <c r="H155" i="1" s="1"/>
  <c r="H154" i="1"/>
  <c r="H153" i="1"/>
  <c r="F152" i="1"/>
  <c r="H152" i="1" s="1"/>
  <c r="F151" i="1"/>
  <c r="H151" i="1" s="1"/>
  <c r="F150" i="1"/>
  <c r="H150" i="1" s="1"/>
  <c r="F149" i="1"/>
  <c r="H149" i="1" s="1"/>
  <c r="F147" i="1"/>
  <c r="H147" i="1" s="1"/>
  <c r="F146" i="1"/>
  <c r="H146" i="1" s="1"/>
  <c r="E145" i="1"/>
  <c r="F145" i="1" s="1"/>
  <c r="H145" i="1" s="1"/>
  <c r="F144" i="1"/>
  <c r="H144" i="1" s="1"/>
  <c r="H143" i="1"/>
  <c r="H142" i="1"/>
  <c r="F141" i="1"/>
  <c r="H141" i="1" s="1"/>
  <c r="F140" i="1"/>
  <c r="H140" i="1" s="1"/>
  <c r="F139" i="1"/>
  <c r="H139" i="1" s="1"/>
  <c r="F138" i="1"/>
  <c r="H138" i="1" s="1"/>
  <c r="F136" i="1"/>
  <c r="H136" i="1" s="1"/>
  <c r="E135" i="1"/>
  <c r="F135" i="1" s="1"/>
  <c r="H135" i="1" s="1"/>
  <c r="F134" i="1"/>
  <c r="H134" i="1" s="1"/>
  <c r="H133" i="1"/>
  <c r="H132" i="1"/>
  <c r="F131" i="1"/>
  <c r="H131" i="1" s="1"/>
  <c r="F130" i="1"/>
  <c r="H130" i="1" s="1"/>
  <c r="F129" i="1"/>
  <c r="H129" i="1" s="1"/>
  <c r="F128" i="1"/>
  <c r="H128" i="1" s="1"/>
  <c r="F126" i="1"/>
  <c r="H126" i="1" s="1"/>
  <c r="F125" i="1"/>
  <c r="H125" i="1" s="1"/>
  <c r="F124" i="1"/>
  <c r="H124" i="1" s="1"/>
  <c r="F122" i="1"/>
  <c r="H122" i="1" s="1"/>
  <c r="F121" i="1"/>
  <c r="H121" i="1" s="1"/>
  <c r="F120" i="1"/>
  <c r="H120" i="1" s="1"/>
  <c r="F119" i="1"/>
  <c r="H119" i="1" s="1"/>
  <c r="E117" i="1"/>
  <c r="E116" i="1"/>
  <c r="F115" i="1"/>
  <c r="F114" i="1"/>
  <c r="H114" i="1" s="1"/>
  <c r="F113" i="1"/>
  <c r="H113" i="1" s="1"/>
  <c r="F112" i="1"/>
  <c r="H112" i="1" s="1"/>
  <c r="E110" i="1"/>
  <c r="F110" i="1" s="1"/>
  <c r="H110" i="1" s="1"/>
  <c r="H109" i="1" s="1"/>
  <c r="F108" i="1"/>
  <c r="H108" i="1" s="1"/>
  <c r="H107" i="1" s="1"/>
  <c r="F106" i="1"/>
  <c r="H106" i="1" s="1"/>
  <c r="F105" i="1"/>
  <c r="H105" i="1" s="1"/>
  <c r="F104" i="1"/>
  <c r="H104" i="1" s="1"/>
  <c r="F103" i="1"/>
  <c r="H103" i="1" s="1"/>
  <c r="H102" i="1"/>
  <c r="H101" i="1"/>
  <c r="F100" i="1"/>
  <c r="H100" i="1" s="1"/>
  <c r="F99" i="1"/>
  <c r="H99" i="1" s="1"/>
  <c r="F98" i="1"/>
  <c r="H98" i="1" s="1"/>
  <c r="F97" i="1"/>
  <c r="H97" i="1" s="1"/>
  <c r="F95" i="1"/>
  <c r="H95" i="1" s="1"/>
  <c r="F94" i="1"/>
  <c r="H94" i="1" s="1"/>
  <c r="F93" i="1"/>
  <c r="H93" i="1" s="1"/>
  <c r="H92" i="1"/>
  <c r="F91" i="1"/>
  <c r="H91" i="1" s="1"/>
  <c r="F90" i="1"/>
  <c r="H90" i="1" s="1"/>
  <c r="F89" i="1"/>
  <c r="H89" i="1" s="1"/>
  <c r="F88" i="1"/>
  <c r="H88" i="1" s="1"/>
  <c r="F86" i="1"/>
  <c r="H86" i="1" s="1"/>
  <c r="F85" i="1"/>
  <c r="H85" i="1" s="1"/>
  <c r="F84" i="1"/>
  <c r="H84" i="1" s="1"/>
  <c r="F83" i="1"/>
  <c r="H83" i="1" s="1"/>
  <c r="E81" i="1"/>
  <c r="E80" i="1"/>
  <c r="F79" i="1"/>
  <c r="F78" i="1"/>
  <c r="H78" i="1" s="1"/>
  <c r="F77" i="1"/>
  <c r="H77" i="1" s="1"/>
  <c r="F76" i="1"/>
  <c r="H76" i="1" s="1"/>
  <c r="F75" i="1"/>
  <c r="H75" i="1" s="1"/>
  <c r="F73" i="1"/>
  <c r="H73" i="1" s="1"/>
  <c r="H72" i="1" s="1"/>
  <c r="F71" i="1"/>
  <c r="H71" i="1" s="1"/>
  <c r="F70" i="1"/>
  <c r="H70" i="1" s="1"/>
  <c r="F68" i="1"/>
  <c r="H68" i="1" s="1"/>
  <c r="F67" i="1"/>
  <c r="H67" i="1" s="1"/>
  <c r="F65" i="1"/>
  <c r="H65" i="1" s="1"/>
  <c r="F59" i="1"/>
  <c r="F60" i="1" s="1"/>
  <c r="H60" i="1" s="1"/>
  <c r="H59" i="1" s="1"/>
  <c r="F58" i="1"/>
  <c r="H58" i="1" s="1"/>
  <c r="H57" i="1" s="1"/>
  <c r="F56" i="1"/>
  <c r="H56" i="1" s="1"/>
  <c r="H55" i="1" s="1"/>
  <c r="F54" i="1"/>
  <c r="H54" i="1" s="1"/>
  <c r="F53" i="1"/>
  <c r="H53" i="1" s="1"/>
  <c r="F51" i="1"/>
  <c r="H51" i="1" s="1"/>
  <c r="F50" i="1"/>
  <c r="H50" i="1" s="1"/>
  <c r="F48" i="1"/>
  <c r="H48" i="1" s="1"/>
  <c r="H47" i="1" s="1"/>
  <c r="F46" i="1"/>
  <c r="H46" i="1" s="1"/>
  <c r="F45" i="1"/>
  <c r="H45" i="1" s="1"/>
  <c r="F43" i="1"/>
  <c r="H43" i="1" s="1"/>
  <c r="F42" i="1"/>
  <c r="H42" i="1" s="1"/>
  <c r="E40" i="1"/>
  <c r="F40" i="1" s="1"/>
  <c r="H40" i="1" s="1"/>
  <c r="E39" i="1"/>
  <c r="F39" i="1" s="1"/>
  <c r="H39" i="1" s="1"/>
  <c r="E38" i="1"/>
  <c r="F38" i="1" s="1"/>
  <c r="H38" i="1" s="1"/>
  <c r="F36" i="1"/>
  <c r="H36" i="1" s="1"/>
  <c r="F35" i="1"/>
  <c r="H35" i="1" s="1"/>
  <c r="F33" i="1"/>
  <c r="H33" i="1" s="1"/>
  <c r="F32" i="1"/>
  <c r="H32" i="1" s="1"/>
  <c r="E30" i="1"/>
  <c r="F30" i="1" s="1"/>
  <c r="H30" i="1" s="1"/>
  <c r="E29" i="1"/>
  <c r="F29" i="1" s="1"/>
  <c r="H29" i="1" s="1"/>
  <c r="F27" i="1"/>
  <c r="H27" i="1" s="1"/>
  <c r="F26" i="1"/>
  <c r="H26" i="1" s="1"/>
  <c r="F24" i="1"/>
  <c r="H24" i="1" s="1"/>
  <c r="F23" i="1"/>
  <c r="H23" i="1" s="1"/>
  <c r="F21" i="1"/>
  <c r="H21" i="1" s="1"/>
  <c r="F20" i="1"/>
  <c r="H20" i="1" s="1"/>
  <c r="F18" i="1"/>
  <c r="H18" i="1" s="1"/>
  <c r="F17" i="1"/>
  <c r="H17" i="1" s="1"/>
  <c r="E15" i="1"/>
  <c r="F15" i="1" s="1"/>
  <c r="H15" i="1" s="1"/>
  <c r="E14" i="1"/>
  <c r="F14" i="1" s="1"/>
  <c r="H14" i="1" s="1"/>
  <c r="E13" i="1"/>
  <c r="F13" i="1" s="1"/>
  <c r="H13" i="1" s="1"/>
  <c r="F11" i="1"/>
  <c r="H11" i="1" s="1"/>
  <c r="F10" i="1"/>
  <c r="H10" i="1" s="1"/>
  <c r="H914" i="1" l="1"/>
  <c r="H1710" i="1"/>
  <c r="H1962" i="1"/>
  <c r="H2065" i="1"/>
  <c r="H2057" i="1" s="1"/>
  <c r="F2215" i="1"/>
  <c r="H2215" i="1" s="1"/>
  <c r="H2214" i="1" s="1"/>
  <c r="H1862" i="1"/>
  <c r="F1875" i="1"/>
  <c r="H1875" i="1" s="1"/>
  <c r="H2263" i="1"/>
  <c r="H2176" i="1"/>
  <c r="F2218" i="1"/>
  <c r="H2218" i="1" s="1"/>
  <c r="F2217" i="1"/>
  <c r="H2217" i="1" s="1"/>
  <c r="H2162" i="1"/>
  <c r="H2231" i="1"/>
  <c r="H2156" i="1"/>
  <c r="H2193" i="1"/>
  <c r="H2222" i="1"/>
  <c r="H2159" i="1"/>
  <c r="H2167" i="1"/>
  <c r="H2182" i="1"/>
  <c r="H2207" i="1"/>
  <c r="H2242" i="1"/>
  <c r="H2248" i="1"/>
  <c r="F2202" i="1"/>
  <c r="F2258" i="1"/>
  <c r="H2258" i="1" s="1"/>
  <c r="F2221" i="1"/>
  <c r="H2221" i="1" s="1"/>
  <c r="H2219" i="1" s="1"/>
  <c r="F2262" i="1"/>
  <c r="H2262" i="1" s="1"/>
  <c r="H2260" i="1" s="1"/>
  <c r="F2257" i="1"/>
  <c r="H2257" i="1" s="1"/>
  <c r="H1954" i="1"/>
  <c r="H2124" i="1"/>
  <c r="H1957" i="1"/>
  <c r="H1976" i="1"/>
  <c r="F2042" i="1"/>
  <c r="H2042" i="1" s="1"/>
  <c r="H1971" i="1"/>
  <c r="H2023" i="1"/>
  <c r="F2088" i="1"/>
  <c r="H2088" i="1" s="1"/>
  <c r="H2129" i="1"/>
  <c r="F2140" i="1"/>
  <c r="H2074" i="1"/>
  <c r="H2093" i="1"/>
  <c r="H1980" i="1"/>
  <c r="H2028" i="1"/>
  <c r="H2037" i="1"/>
  <c r="H1989" i="1"/>
  <c r="F1879" i="1"/>
  <c r="H1879" i="1" s="1"/>
  <c r="H2017" i="1"/>
  <c r="F1671" i="1"/>
  <c r="H1671" i="1" s="1"/>
  <c r="F1838" i="1"/>
  <c r="H1838" i="1" s="1"/>
  <c r="H1837" i="1" s="1"/>
  <c r="F1877" i="1"/>
  <c r="H1877" i="1" s="1"/>
  <c r="H1895" i="1"/>
  <c r="H1673" i="1"/>
  <c r="H1645" i="1"/>
  <c r="H1939" i="1"/>
  <c r="H1943" i="1"/>
  <c r="H1947" i="1"/>
  <c r="H1951" i="1"/>
  <c r="H1965" i="1"/>
  <c r="H1996" i="1"/>
  <c r="H2004" i="1"/>
  <c r="H2082" i="1"/>
  <c r="H2044" i="1"/>
  <c r="H2066" i="1"/>
  <c r="H2104" i="1"/>
  <c r="F2016" i="1"/>
  <c r="H2016" i="1" s="1"/>
  <c r="H2014" i="1" s="1"/>
  <c r="F2054" i="1"/>
  <c r="F2090" i="1"/>
  <c r="H2090" i="1" s="1"/>
  <c r="F2092" i="1"/>
  <c r="H2092" i="1" s="1"/>
  <c r="F1994" i="1"/>
  <c r="H1994" i="1" s="1"/>
  <c r="F2100" i="1"/>
  <c r="H2100" i="1" s="1"/>
  <c r="F2102" i="1"/>
  <c r="H2102" i="1" s="1"/>
  <c r="F2089" i="1"/>
  <c r="H2089" i="1" s="1"/>
  <c r="F2099" i="1"/>
  <c r="H2099" i="1" s="1"/>
  <c r="F2101" i="1"/>
  <c r="H2101" i="1" s="1"/>
  <c r="H1869" i="1"/>
  <c r="H1924" i="1"/>
  <c r="H1918" i="1"/>
  <c r="F1619" i="1"/>
  <c r="H1619" i="1" s="1"/>
  <c r="H1618" i="1" s="1"/>
  <c r="H1900" i="1"/>
  <c r="H1886" i="1"/>
  <c r="H1890" i="1"/>
  <c r="H1909" i="1"/>
  <c r="H1854" i="1"/>
  <c r="F1858" i="1"/>
  <c r="F1876" i="1"/>
  <c r="H1876" i="1" s="1"/>
  <c r="H1904" i="1"/>
  <c r="H1658" i="1"/>
  <c r="H1687" i="1"/>
  <c r="H1748" i="1"/>
  <c r="H1779" i="1"/>
  <c r="H1831" i="1"/>
  <c r="F1672" i="1"/>
  <c r="H1672" i="1" s="1"/>
  <c r="H1789" i="1"/>
  <c r="H1809" i="1"/>
  <c r="H1733" i="1"/>
  <c r="F1746" i="1"/>
  <c r="H1746" i="1" s="1"/>
  <c r="H1775" i="1"/>
  <c r="H1796" i="1"/>
  <c r="H1784" i="1"/>
  <c r="H1819" i="1"/>
  <c r="H1814" i="1"/>
  <c r="H1824" i="1"/>
  <c r="F1804" i="1"/>
  <c r="H1804" i="1" s="1"/>
  <c r="H1802" i="1" s="1"/>
  <c r="H1696" i="1"/>
  <c r="H1751" i="1"/>
  <c r="H1648" i="1"/>
  <c r="H1741" i="1"/>
  <c r="H1725" i="1"/>
  <c r="H1718" i="1" s="1"/>
  <c r="H1666" i="1"/>
  <c r="H1737" i="1"/>
  <c r="H1635" i="1"/>
  <c r="H1653" i="1"/>
  <c r="H1661" i="1"/>
  <c r="H1703" i="1"/>
  <c r="H1638" i="1"/>
  <c r="H1678" i="1"/>
  <c r="H1727" i="1"/>
  <c r="F1702" i="1"/>
  <c r="H1702" i="1" s="1"/>
  <c r="H1700" i="1" s="1"/>
  <c r="H1599" i="1"/>
  <c r="F1582" i="1"/>
  <c r="H1582" i="1" s="1"/>
  <c r="H1581" i="1" s="1"/>
  <c r="F1622" i="1"/>
  <c r="H1622" i="1" s="1"/>
  <c r="F1621" i="1"/>
  <c r="H1621" i="1" s="1"/>
  <c r="H1613" i="1"/>
  <c r="H1604" i="1"/>
  <c r="H1572" i="1"/>
  <c r="H1563" i="1"/>
  <c r="H1558" i="1"/>
  <c r="H1568" i="1"/>
  <c r="F1585" i="1"/>
  <c r="H1585" i="1" s="1"/>
  <c r="F1584" i="1"/>
  <c r="H1584" i="1" s="1"/>
  <c r="H1576" i="1"/>
  <c r="H1503" i="1"/>
  <c r="H1480" i="1"/>
  <c r="H1506" i="1"/>
  <c r="H1483" i="1"/>
  <c r="H1539" i="1"/>
  <c r="H1534" i="1"/>
  <c r="H1538" i="1" s="1"/>
  <c r="H1494" i="1"/>
  <c r="H1521" i="1"/>
  <c r="H1486" i="1"/>
  <c r="H1509" i="1"/>
  <c r="F80" i="1"/>
  <c r="H80" i="1" s="1"/>
  <c r="H1435" i="1"/>
  <c r="H1476" i="1"/>
  <c r="H1489" i="1"/>
  <c r="H1499" i="1"/>
  <c r="H1516" i="1"/>
  <c r="H1327" i="1"/>
  <c r="H1260" i="1"/>
  <c r="H1336" i="1"/>
  <c r="H1356" i="1"/>
  <c r="H1378" i="1"/>
  <c r="H1389" i="1"/>
  <c r="H1386" i="1" s="1"/>
  <c r="H1394" i="1"/>
  <c r="H1443" i="1"/>
  <c r="H1456" i="1"/>
  <c r="H1460" i="1"/>
  <c r="H1426" i="1"/>
  <c r="H1447" i="1"/>
  <c r="H1430" i="1"/>
  <c r="H1439" i="1"/>
  <c r="H1452" i="1"/>
  <c r="H1296" i="1"/>
  <c r="H1317" i="1"/>
  <c r="H1346" i="1"/>
  <c r="H1366" i="1"/>
  <c r="H1403" i="1"/>
  <c r="H1268" i="1"/>
  <c r="H1275" i="1"/>
  <c r="H1282" i="1"/>
  <c r="H1289" i="1"/>
  <c r="H1308" i="1"/>
  <c r="H1252" i="1"/>
  <c r="H1256" i="1"/>
  <c r="H1304" i="1"/>
  <c r="H1361" i="1"/>
  <c r="H1373" i="1"/>
  <c r="H1390" i="1"/>
  <c r="H1415" i="1"/>
  <c r="H1243" i="1"/>
  <c r="H1248" i="1"/>
  <c r="H1272" i="1"/>
  <c r="H1279" i="1"/>
  <c r="H1286" i="1"/>
  <c r="H1312" i="1"/>
  <c r="H1322" i="1"/>
  <c r="H1341" i="1"/>
  <c r="H1351" i="1"/>
  <c r="H1382" i="1"/>
  <c r="H1408" i="1"/>
  <c r="H1264" i="1"/>
  <c r="H1300" i="1"/>
  <c r="H1331" i="1"/>
  <c r="H1398" i="1"/>
  <c r="H1292" i="1"/>
  <c r="H1188" i="1"/>
  <c r="H1220" i="1"/>
  <c r="H1226" i="1"/>
  <c r="H1197" i="1"/>
  <c r="H1140" i="1"/>
  <c r="H1177" i="1"/>
  <c r="H1169" i="1"/>
  <c r="H1017" i="1"/>
  <c r="H1202" i="1"/>
  <c r="H1147" i="1"/>
  <c r="H1193" i="1"/>
  <c r="F1185" i="1"/>
  <c r="H1185" i="1" s="1"/>
  <c r="H1154" i="1"/>
  <c r="H1161" i="1"/>
  <c r="F1183" i="1"/>
  <c r="H1183" i="1" s="1"/>
  <c r="F1187" i="1"/>
  <c r="H1187" i="1" s="1"/>
  <c r="H1130" i="1"/>
  <c r="H1173" i="1"/>
  <c r="F1184" i="1"/>
  <c r="H1184" i="1" s="1"/>
  <c r="H1067" i="1"/>
  <c r="H1109" i="1"/>
  <c r="F554" i="1"/>
  <c r="H554" i="1" s="1"/>
  <c r="H1079" i="1"/>
  <c r="H1089" i="1"/>
  <c r="H1031" i="1"/>
  <c r="H1040" i="1"/>
  <c r="H1099" i="1"/>
  <c r="H1049" i="1"/>
  <c r="H943" i="1"/>
  <c r="H1104" i="1"/>
  <c r="H1084" i="1"/>
  <c r="H923" i="1"/>
  <c r="H1058" i="1"/>
  <c r="H1114" i="1"/>
  <c r="H1094" i="1"/>
  <c r="H1074" i="1"/>
  <c r="H896" i="1"/>
  <c r="H905" i="1"/>
  <c r="H933" i="1"/>
  <c r="H984" i="1"/>
  <c r="H1000" i="1"/>
  <c r="H955" i="1"/>
  <c r="H990" i="1"/>
  <c r="H118" i="1"/>
  <c r="F555" i="1"/>
  <c r="H555" i="1" s="1"/>
  <c r="F587" i="1"/>
  <c r="H587" i="1" s="1"/>
  <c r="H948" i="1"/>
  <c r="H938" i="1"/>
  <c r="H928" i="1"/>
  <c r="H961" i="1"/>
  <c r="H967" i="1"/>
  <c r="H973" i="1"/>
  <c r="H995" i="1"/>
  <c r="H878" i="1"/>
  <c r="H887" i="1"/>
  <c r="H979" i="1"/>
  <c r="H603" i="1"/>
  <c r="H784" i="1"/>
  <c r="H9" i="1"/>
  <c r="F81" i="1"/>
  <c r="H81" i="1" s="1"/>
  <c r="F347" i="1"/>
  <c r="H347" i="1" s="1"/>
  <c r="F528" i="1"/>
  <c r="H528" i="1" s="1"/>
  <c r="H548" i="1"/>
  <c r="F558" i="1"/>
  <c r="H558" i="1" s="1"/>
  <c r="F782" i="1"/>
  <c r="H782" i="1" s="1"/>
  <c r="F853" i="1"/>
  <c r="H853" i="1" s="1"/>
  <c r="H851" i="1" s="1"/>
  <c r="F862" i="1"/>
  <c r="H862" i="1" s="1"/>
  <c r="H860" i="1" s="1"/>
  <c r="H25" i="1"/>
  <c r="H148" i="1"/>
  <c r="H393" i="1"/>
  <c r="H404" i="1"/>
  <c r="H445" i="1"/>
  <c r="H363" i="1"/>
  <c r="H420" i="1"/>
  <c r="H761" i="1"/>
  <c r="F526" i="1"/>
  <c r="H526" i="1" s="1"/>
  <c r="F720" i="1"/>
  <c r="H720" i="1" s="1"/>
  <c r="H719" i="1" s="1"/>
  <c r="H370" i="1"/>
  <c r="H452" i="1"/>
  <c r="H702" i="1"/>
  <c r="H19" i="1"/>
  <c r="H74" i="1"/>
  <c r="H82" i="1"/>
  <c r="F260" i="1"/>
  <c r="H260" i="1" s="1"/>
  <c r="H335" i="1"/>
  <c r="F349" i="1"/>
  <c r="H349" i="1" s="1"/>
  <c r="H463" i="1"/>
  <c r="F530" i="1"/>
  <c r="H530" i="1" s="1"/>
  <c r="H571" i="1"/>
  <c r="H636" i="1"/>
  <c r="H664" i="1"/>
  <c r="F707" i="1"/>
  <c r="H707" i="1" s="1"/>
  <c r="H736" i="1"/>
  <c r="H744" i="1"/>
  <c r="H795" i="1"/>
  <c r="H298" i="1"/>
  <c r="H520" i="1"/>
  <c r="H724" i="1"/>
  <c r="H178" i="1"/>
  <c r="H221" i="1"/>
  <c r="H245" i="1"/>
  <c r="H352" i="1"/>
  <c r="H480" i="1"/>
  <c r="H127" i="1"/>
  <c r="H137" i="1"/>
  <c r="H158" i="1"/>
  <c r="H262" i="1"/>
  <c r="H314" i="1"/>
  <c r="H325" i="1"/>
  <c r="H381" i="1"/>
  <c r="H623" i="1"/>
  <c r="H680" i="1"/>
  <c r="H818" i="1"/>
  <c r="H28" i="1"/>
  <c r="H41" i="1"/>
  <c r="H206" i="1"/>
  <c r="H425" i="1"/>
  <c r="H492" i="1"/>
  <c r="H591" i="1"/>
  <c r="H773" i="1"/>
  <c r="H808" i="1"/>
  <c r="H826" i="1"/>
  <c r="H44" i="1"/>
  <c r="H233" i="1"/>
  <c r="H278" i="1"/>
  <c r="H486" i="1"/>
  <c r="H503" i="1"/>
  <c r="H509" i="1"/>
  <c r="H538" i="1"/>
  <c r="H646" i="1"/>
  <c r="H692" i="1"/>
  <c r="H715" i="1"/>
  <c r="F752" i="1"/>
  <c r="H752" i="1" s="1"/>
  <c r="H834" i="1"/>
  <c r="H37" i="1"/>
  <c r="H52" i="1"/>
  <c r="H66" i="1"/>
  <c r="F219" i="1"/>
  <c r="H219" i="1" s="1"/>
  <c r="H253" i="1"/>
  <c r="F345" i="1"/>
  <c r="H345" i="1" s="1"/>
  <c r="H399" i="1"/>
  <c r="F557" i="1"/>
  <c r="H557" i="1" s="1"/>
  <c r="F585" i="1"/>
  <c r="H585" i="1" s="1"/>
  <c r="F590" i="1"/>
  <c r="H590" i="1" s="1"/>
  <c r="H642" i="1"/>
  <c r="H855" i="1"/>
  <c r="H12" i="1"/>
  <c r="H31" i="1"/>
  <c r="H304" i="1"/>
  <c r="H440" i="1"/>
  <c r="H498" i="1"/>
  <c r="H559" i="1"/>
  <c r="H609" i="1"/>
  <c r="H630" i="1"/>
  <c r="H792" i="1"/>
  <c r="H34" i="1"/>
  <c r="H309" i="1"/>
  <c r="H359" i="1"/>
  <c r="H16" i="1"/>
  <c r="H49" i="1"/>
  <c r="H543" i="1"/>
  <c r="F722" i="1"/>
  <c r="H722" i="1" s="1"/>
  <c r="F750" i="1"/>
  <c r="H750" i="1" s="1"/>
  <c r="F754" i="1"/>
  <c r="H754" i="1" s="1"/>
  <c r="H64" i="1"/>
  <c r="F435" i="1"/>
  <c r="F432" i="1"/>
  <c r="H432" i="1" s="1"/>
  <c r="F431" i="1"/>
  <c r="H431" i="1" s="1"/>
  <c r="F570" i="1"/>
  <c r="H570" i="1" s="1"/>
  <c r="F568" i="1"/>
  <c r="H568" i="1" s="1"/>
  <c r="F566" i="1"/>
  <c r="H566" i="1" s="1"/>
  <c r="F565" i="1"/>
  <c r="H565" i="1" s="1"/>
  <c r="F679" i="1"/>
  <c r="H679" i="1" s="1"/>
  <c r="F677" i="1"/>
  <c r="H677" i="1" s="1"/>
  <c r="F675" i="1"/>
  <c r="H675" i="1" s="1"/>
  <c r="H803" i="1"/>
  <c r="H858" i="1"/>
  <c r="F859" i="1"/>
  <c r="H859" i="1" s="1"/>
  <c r="F117" i="1"/>
  <c r="H117" i="1" s="1"/>
  <c r="F116" i="1"/>
  <c r="H116" i="1" s="1"/>
  <c r="H292" i="1"/>
  <c r="H576" i="1"/>
  <c r="H657" i="1"/>
  <c r="H189" i="1"/>
  <c r="F261" i="1"/>
  <c r="H261" i="1" s="1"/>
  <c r="F259" i="1"/>
  <c r="H259" i="1" s="1"/>
  <c r="F257" i="1"/>
  <c r="H257" i="1" s="1"/>
  <c r="F783" i="1"/>
  <c r="H783" i="1" s="1"/>
  <c r="F781" i="1"/>
  <c r="H781" i="1" s="1"/>
  <c r="F779" i="1"/>
  <c r="H779" i="1" s="1"/>
  <c r="F433" i="1"/>
  <c r="H433" i="1" s="1"/>
  <c r="F567" i="1"/>
  <c r="H567" i="1" s="1"/>
  <c r="H69" i="1"/>
  <c r="H96" i="1"/>
  <c r="H111" i="1"/>
  <c r="H197" i="1"/>
  <c r="H411" i="1"/>
  <c r="H458" i="1"/>
  <c r="H469" i="1"/>
  <c r="H729" i="1"/>
  <c r="H755" i="1"/>
  <c r="H87" i="1"/>
  <c r="H238" i="1"/>
  <c r="H366" i="1"/>
  <c r="H376" i="1"/>
  <c r="H387" i="1"/>
  <c r="F434" i="1"/>
  <c r="H434" i="1" s="1"/>
  <c r="H531" i="1"/>
  <c r="H597" i="1"/>
  <c r="F678" i="1"/>
  <c r="H678" i="1" s="1"/>
  <c r="H686" i="1"/>
  <c r="H740" i="1"/>
  <c r="H812" i="1"/>
  <c r="H22" i="1"/>
  <c r="H123" i="1"/>
  <c r="H168" i="1"/>
  <c r="H212" i="1"/>
  <c r="H228" i="1"/>
  <c r="H284" i="1"/>
  <c r="H320" i="1"/>
  <c r="H330" i="1"/>
  <c r="H339" i="1"/>
  <c r="H474" i="1"/>
  <c r="F569" i="1"/>
  <c r="H569" i="1" s="1"/>
  <c r="H613" i="1"/>
  <c r="H668" i="1"/>
  <c r="F676" i="1"/>
  <c r="H676" i="1" s="1"/>
  <c r="H709" i="1"/>
  <c r="H768" i="1"/>
  <c r="H840" i="1"/>
  <c r="H848" i="1"/>
  <c r="F220" i="1"/>
  <c r="H220" i="1" s="1"/>
  <c r="F346" i="1"/>
  <c r="H346" i="1" s="1"/>
  <c r="F527" i="1"/>
  <c r="H527" i="1" s="1"/>
  <c r="F751" i="1"/>
  <c r="H751" i="1" s="1"/>
  <c r="H778" i="1" l="1"/>
  <c r="H953" i="1"/>
  <c r="H721" i="1"/>
  <c r="H854" i="1"/>
  <c r="H1416" i="1"/>
  <c r="H1464" i="1"/>
  <c r="H1522" i="1"/>
  <c r="H1745" i="1"/>
  <c r="H1925" i="1"/>
  <c r="H1861" i="1"/>
  <c r="H706" i="1"/>
  <c r="H1993" i="1"/>
  <c r="H2041" i="1"/>
  <c r="H1840" i="1"/>
  <c r="H1874" i="1"/>
  <c r="H2256" i="1"/>
  <c r="H1670" i="1"/>
  <c r="H1759" i="1" s="1"/>
  <c r="F2203" i="1"/>
  <c r="H2203" i="1" s="1"/>
  <c r="F2204" i="1"/>
  <c r="H2204" i="1" s="1"/>
  <c r="H2216" i="1"/>
  <c r="F2141" i="1"/>
  <c r="H2141" i="1" s="1"/>
  <c r="F2142" i="1"/>
  <c r="H2142" i="1" s="1"/>
  <c r="H2087" i="1"/>
  <c r="H2098" i="1"/>
  <c r="F2055" i="1"/>
  <c r="H2055" i="1" s="1"/>
  <c r="F2056" i="1"/>
  <c r="H2056" i="1" s="1"/>
  <c r="F1859" i="1"/>
  <c r="H1859" i="1" s="1"/>
  <c r="F1860" i="1"/>
  <c r="H1860" i="1" s="1"/>
  <c r="H1923" i="1"/>
  <c r="H1805" i="1"/>
  <c r="H1620" i="1"/>
  <c r="H1623" i="1" s="1"/>
  <c r="H1624" i="1" s="1"/>
  <c r="H1625" i="1" s="1"/>
  <c r="H1583" i="1"/>
  <c r="H1586" i="1" s="1"/>
  <c r="H1587" i="1" s="1"/>
  <c r="H1588" i="1" s="1"/>
  <c r="H1540" i="1"/>
  <c r="H1541" i="1" s="1"/>
  <c r="H79" i="1"/>
  <c r="H187" i="1" s="1"/>
  <c r="H1434" i="1"/>
  <c r="H1463" i="1" s="1"/>
  <c r="H1520" i="1"/>
  <c r="H1230" i="1"/>
  <c r="H1231" i="1" s="1"/>
  <c r="H1232" i="1" s="1"/>
  <c r="H1414" i="1"/>
  <c r="H1182" i="1"/>
  <c r="H1207" i="1" s="1"/>
  <c r="H1208" i="1" s="1"/>
  <c r="H1209" i="1" s="1"/>
  <c r="H1005" i="1"/>
  <c r="H1119" i="1"/>
  <c r="H1120" i="1" s="1"/>
  <c r="H1121" i="1" s="1"/>
  <c r="H553" i="1"/>
  <c r="H344" i="1"/>
  <c r="H350" i="1" s="1"/>
  <c r="H61" i="1"/>
  <c r="H525" i="1"/>
  <c r="H584" i="1"/>
  <c r="H655" i="1" s="1"/>
  <c r="H749" i="1"/>
  <c r="H217" i="1"/>
  <c r="H857" i="1"/>
  <c r="F439" i="1"/>
  <c r="H439" i="1" s="1"/>
  <c r="F437" i="1"/>
  <c r="H437" i="1" s="1"/>
  <c r="F436" i="1"/>
  <c r="H436" i="1" s="1"/>
  <c r="F438" i="1"/>
  <c r="H438" i="1" s="1"/>
  <c r="H256" i="1"/>
  <c r="H674" i="1"/>
  <c r="H698" i="1" s="1"/>
  <c r="H564" i="1"/>
  <c r="H430" i="1"/>
  <c r="H115" i="1"/>
  <c r="H846" i="1"/>
  <c r="H1926" i="1" l="1"/>
  <c r="H1927" i="1" s="1"/>
  <c r="H863" i="1"/>
  <c r="H1417" i="1"/>
  <c r="H1523" i="1"/>
  <c r="H1524" i="1" s="1"/>
  <c r="H1525" i="1" s="1"/>
  <c r="H1006" i="1"/>
  <c r="H1007" i="1" s="1"/>
  <c r="H1008" i="1" s="1"/>
  <c r="H1760" i="1"/>
  <c r="H1761" i="1" s="1"/>
  <c r="H1465" i="1"/>
  <c r="H1466" i="1" s="1"/>
  <c r="H1467" i="1" s="1"/>
  <c r="H1468" i="1" s="1"/>
  <c r="H1841" i="1"/>
  <c r="H1842" i="1" s="1"/>
  <c r="H1843" i="1" s="1"/>
  <c r="H1844" i="1" s="1"/>
  <c r="H1845" i="1" s="1"/>
  <c r="H2202" i="1"/>
  <c r="H2266" i="1" s="1"/>
  <c r="H2140" i="1"/>
  <c r="H2143" i="1" s="1"/>
  <c r="H2054" i="1"/>
  <c r="H2109" i="1" s="1"/>
  <c r="H2110" i="1" s="1"/>
  <c r="H2111" i="1" s="1"/>
  <c r="H1858" i="1"/>
  <c r="H1880" i="1" s="1"/>
  <c r="H1542" i="1"/>
  <c r="H1543" i="1" s="1"/>
  <c r="H1547" i="1" s="1"/>
  <c r="H801" i="1"/>
  <c r="H581" i="1"/>
  <c r="H290" i="1"/>
  <c r="H435" i="1"/>
  <c r="H546" i="1" s="1"/>
  <c r="H2267" i="1" l="1"/>
  <c r="H2268" i="1" s="1"/>
  <c r="H864" i="1"/>
  <c r="H865" i="1" s="1"/>
  <c r="H866" i="1" s="1"/>
  <c r="H2144" i="1"/>
  <c r="H2145" i="1" s="1"/>
  <c r="H1881" i="1"/>
  <c r="H1882" i="1" s="1"/>
  <c r="H1928" i="1"/>
  <c r="H1418" i="1"/>
  <c r="H1419" i="1" s="1"/>
  <c r="H1233" i="1"/>
  <c r="H1234" i="1" s="1"/>
  <c r="H1122" i="1"/>
  <c r="H1123" i="1" s="1"/>
  <c r="H2146" i="1" l="1"/>
  <c r="H2147" i="1" s="1"/>
  <c r="H2112" i="1"/>
  <c r="H2113" i="1" s="1"/>
  <c r="H1762" i="1"/>
  <c r="H1763" i="1" s="1"/>
  <c r="H1626" i="1"/>
  <c r="H1627" i="1" s="1"/>
  <c r="H1589" i="1"/>
  <c r="H1590" i="1" s="1"/>
  <c r="H1210" i="1"/>
  <c r="H1211" i="1" s="1"/>
  <c r="H1009" i="1"/>
  <c r="H1010" i="1" s="1"/>
  <c r="H2269" i="1" l="1"/>
  <c r="H2270" i="1" s="1"/>
  <c r="H1883" i="1"/>
  <c r="H1884" i="1" s="1"/>
  <c r="H1929" i="1" s="1"/>
  <c r="H867" i="1"/>
  <c r="H868" i="1" s="1"/>
  <c r="H2271" i="1" l="1"/>
  <c r="H2272" i="1" s="1"/>
  <c r="H2273" i="1" s="1"/>
  <c r="H2274" i="1" s="1"/>
  <c r="H2275" i="1" s="1"/>
  <c r="H2277" i="1" s="1"/>
</calcChain>
</file>

<file path=xl/sharedStrings.xml><?xml version="1.0" encoding="utf-8"?>
<sst xmlns="http://schemas.openxmlformats.org/spreadsheetml/2006/main" count="6760" uniqueCount="1687">
  <si>
    <t>lokalur-resursuli xarjTaRricxva #1/1</t>
  </si>
  <si>
    <t>skolis Senoba</t>
  </si>
  <si>
    <t>samSeneblo samuSaoebi</t>
  </si>
  <si>
    <t>lari</t>
  </si>
  <si>
    <t>maT Soris SromiTi resursi</t>
  </si>
  <si>
    <t>#</t>
  </si>
  <si>
    <t>safuZveli</t>
  </si>
  <si>
    <t>samuSaoTa dasaxeleba</t>
  </si>
  <si>
    <t>ganzomilebis erTeuli</t>
  </si>
  <si>
    <t>raodenoba</t>
  </si>
  <si>
    <t>Rirebuleba (lari)</t>
  </si>
  <si>
    <t>ganz. erTeulze</t>
  </si>
  <si>
    <t>saproeqto monacemze</t>
  </si>
  <si>
    <t>1</t>
  </si>
  <si>
    <t>daSliTi samuSaoebi</t>
  </si>
  <si>
    <t xml:space="preserve">sn da w  IV-2-82 t-8  cx.46-28-2 </t>
  </si>
  <si>
    <t>kv.m</t>
  </si>
  <si>
    <t>srf</t>
  </si>
  <si>
    <t xml:space="preserve"> SromiTi danaxarji</t>
  </si>
  <si>
    <t>kac.sT</t>
  </si>
  <si>
    <t xml:space="preserve"> manqanebi </t>
  </si>
  <si>
    <t>sn da w  IV-2-82 t-2 cx.10-11-misad. k=0.5</t>
  </si>
  <si>
    <t>arsebul saswavlo korpusTan axali korpusis miSenebuli nawilis saxuravebis Serwymis arealSi arsebuli xis sanivnive sistemis da  molartyvis demontaJi da vargisi nawilis SerCeva-dasawyobeba</t>
  </si>
  <si>
    <t>kub.m</t>
  </si>
  <si>
    <t xml:space="preserve"> SromiTi danaxarji  0.5*23.8</t>
  </si>
  <si>
    <t xml:space="preserve"> manqanebi 0.5*2.1</t>
  </si>
  <si>
    <t xml:space="preserve"> sxva masala 0.5*0.93</t>
  </si>
  <si>
    <t>sn da w  IV-2-82 t-8 cx. 46-32-3</t>
  </si>
  <si>
    <t xml:space="preserve"> SromiTi danaxarji </t>
  </si>
  <si>
    <t>sn da w  IV-2-82 t-8  cx.46-23-4</t>
  </si>
  <si>
    <t>kedlebSi Riobebis gamotexva, tixrebisa da miSenebis adgilebSi saxuravqveSa karnizebis daSla</t>
  </si>
  <si>
    <t xml:space="preserve"> manqanebi</t>
  </si>
  <si>
    <t>sn da w  IV-2-82 t-8  cx.46-15-2</t>
  </si>
  <si>
    <t xml:space="preserve"> kv.m</t>
  </si>
  <si>
    <t>Senobis Siga zedapirebidan amortizirebuli baTqaSis Camoyra  ferdoebis CaTvliT</t>
  </si>
  <si>
    <t>sn da w  IV-2-82 t-8  cx.46-30-2(3, 6)</t>
  </si>
  <si>
    <t xml:space="preserve"> SromiTi danaxarji (0.289+0.472+0.611)/3</t>
  </si>
  <si>
    <t xml:space="preserve"> manqanebi (0.0625+0.0301+0.293)/3</t>
  </si>
  <si>
    <t>sn da w  IV-2-82 t-8  cx.46-30-1</t>
  </si>
  <si>
    <t xml:space="preserve">iatakebidan cementis mWimis ayra </t>
  </si>
  <si>
    <t>sn da w  IV-2-82 t-8  cx.46-30-6-s misadagebiT</t>
  </si>
  <si>
    <t xml:space="preserve">kedlebidan kafelis Camoyra </t>
  </si>
  <si>
    <t>9</t>
  </si>
  <si>
    <t>sn da w  IV-2-82 t-2 damateba    cx.7-58-1 (teqn. nawili dan. cx.2)</t>
  </si>
  <si>
    <t xml:space="preserve">ASiga kibeebidan liTonis moajiris demontaJi </t>
  </si>
  <si>
    <t>grZ.m</t>
  </si>
  <si>
    <t xml:space="preserve"> SromiTi danaxarji 1,83*0,5</t>
  </si>
  <si>
    <t xml:space="preserve"> manqanebi 0,036*0,5</t>
  </si>
  <si>
    <t xml:space="preserve"> sxva masala 0,432*0,5</t>
  </si>
  <si>
    <t>sn da w  IV-2-82 t-8  cx.46-34-1</t>
  </si>
  <si>
    <t>Siga kibeebidan arsebuli mozaikis safexurebis demontaJi (111 cali)</t>
  </si>
  <si>
    <t xml:space="preserve">fanjrebidan liTonis gisosebis demontaJi </t>
  </si>
  <si>
    <t>sabazro</t>
  </si>
  <si>
    <t>sistema</t>
  </si>
  <si>
    <t>sn da w  IV-2-82 t-8  cx.46-29-1</t>
  </si>
  <si>
    <t>mTavari gare kibis (nawilobriv) da  pandusis daSla.</t>
  </si>
  <si>
    <t xml:space="preserve">mTavari kibis safexurebidan da baqnebidan monoliTuri mozaikis ayra </t>
  </si>
  <si>
    <t xml:space="preserve">e.n. da g.      $1-19-1 </t>
  </si>
  <si>
    <t>samSeneblo nagvis Senobidan gamotana saSualod 20 metr manZilze</t>
  </si>
  <si>
    <t>tona</t>
  </si>
  <si>
    <t xml:space="preserve"> SromiTi danaxarji 1.1+0.36</t>
  </si>
  <si>
    <t>e.n. da g.      $1-22-1</t>
  </si>
  <si>
    <t xml:space="preserve">samSeneblo nagavis avtoTviTmclelze xeliT datvirTva </t>
  </si>
  <si>
    <t xml:space="preserve">SromiTi danaxarji </t>
  </si>
  <si>
    <t xml:space="preserve"> srf</t>
  </si>
  <si>
    <t>samSeneblo nagavis gatana 5 km manZilze</t>
  </si>
  <si>
    <t>14 - 5</t>
  </si>
  <si>
    <t>satransporto xarjebi</t>
  </si>
  <si>
    <t>maT Soris SromiTi danaxarji</t>
  </si>
  <si>
    <t>axali korpusebi: miwis samuSaoebi da monoliTuri rkinabetonis saZirkvlisa da karkasis mowyoba</t>
  </si>
  <si>
    <t>sn da w  IV-2-82 t-1 cx.1-80-7</t>
  </si>
  <si>
    <t>arsebuli Senobis mijnaze (ori mxare) wertilovani saZirkvlebis mosawyobad  gruntis damuSaveba ormulad arsebuli saZirkvlebis Ziris niSnulis donemde</t>
  </si>
  <si>
    <t>2</t>
  </si>
  <si>
    <t>sn da w  IV-2-82 t-1 cx.1-11-9</t>
  </si>
  <si>
    <t>saswavlo korpusis danarCeni nawilis saZirkvlebis mosawyobad  III kategoris gruntis damuSaveba eqskovatoriT CamCis tevadobiT 0.65 kub.m gverdze dayriT</t>
  </si>
  <si>
    <t>kubm</t>
  </si>
  <si>
    <t>13-119</t>
  </si>
  <si>
    <t xml:space="preserve">erTcicxviani eqskavatori muxluxa svlaze CamCis tevadobiT 0.65 kub.m. </t>
  </si>
  <si>
    <t>manq./sT</t>
  </si>
  <si>
    <t xml:space="preserve">sportuli korpusis danarCeni saZirkvlebis mosawyobad III kategoriis gruntis damuSaveba TxrilSi eqskovatoriT CamCis tevadobiT 0.65 kub.m gverdze dayriT </t>
  </si>
  <si>
    <t>sn da w  IV-2-82 t-1 cx.1-80-3</t>
  </si>
  <si>
    <t>III kategoriis  gruntis saboloo damuSaveba xeliT saproeqto niSnulamde da qvabulis ferdoebze miyra</t>
  </si>
  <si>
    <t>5</t>
  </si>
  <si>
    <t>sn da w  IV-2-82 t-2 cx.11-1-6</t>
  </si>
  <si>
    <t xml:space="preserve">saZirkvlis qveS RorRis safuZvelis mowyoba </t>
  </si>
  <si>
    <t>4.1-242</t>
  </si>
  <si>
    <t>RorRi</t>
  </si>
  <si>
    <t>sxvadasxva masalebi</t>
  </si>
  <si>
    <t>6</t>
  </si>
  <si>
    <t>sn da w  IV-2-82 t-1 cx.1-118-7 (8)</t>
  </si>
  <si>
    <t xml:space="preserve">RorRis fenis datkepna </t>
  </si>
  <si>
    <t>13-218</t>
  </si>
  <si>
    <t>gruntis satkepni manqana (12,9-2*1,27)/1000=0,01036</t>
  </si>
  <si>
    <t>13-142</t>
  </si>
  <si>
    <t>buldozeri 79 kvt(108 cx.Z)(3,18-2*0,32)/1000=0,00254</t>
  </si>
  <si>
    <t>7</t>
  </si>
  <si>
    <t>sn da w  IV-2-82 t-2 cx.6-1-1</t>
  </si>
  <si>
    <r>
      <t xml:space="preserve">saZirkvlebis qveS betonis momzadebis mowyoba </t>
    </r>
    <r>
      <rPr>
        <b/>
        <sz val="10"/>
        <rFont val="Academiuri Nuskhuri"/>
      </rPr>
      <t>B</t>
    </r>
    <r>
      <rPr>
        <b/>
        <sz val="10"/>
        <rFont val="LitNusx"/>
      </rPr>
      <t>-10 klasis betoniT</t>
    </r>
  </si>
  <si>
    <t>4.1-336</t>
  </si>
  <si>
    <r>
      <t xml:space="preserve">betoni </t>
    </r>
    <r>
      <rPr>
        <sz val="10"/>
        <rFont val="Academiuri Nuskhuri"/>
      </rPr>
      <t>B-10</t>
    </r>
  </si>
  <si>
    <t xml:space="preserve"> sxvadasxva masalebi</t>
  </si>
  <si>
    <t>8</t>
  </si>
  <si>
    <t>sn da w  IV-2-82 t-2 cx.6-1-5</t>
  </si>
  <si>
    <r>
      <t xml:space="preserve">monoliTuri rk.betonis wertilovani saZirkvlis mowyoba </t>
    </r>
    <r>
      <rPr>
        <b/>
        <sz val="10"/>
        <rFont val="Academiuri Nuskhuri"/>
      </rPr>
      <t>B</t>
    </r>
    <r>
      <rPr>
        <b/>
        <sz val="10"/>
        <rFont val="LitNusx"/>
      </rPr>
      <t xml:space="preserve">-25 klasis betoniT </t>
    </r>
  </si>
  <si>
    <t>avtobetonis tumbo</t>
  </si>
  <si>
    <t>4.1-340</t>
  </si>
  <si>
    <r>
      <t xml:space="preserve">betoni </t>
    </r>
    <r>
      <rPr>
        <sz val="10"/>
        <rFont val="Academiuri Nuskhuri"/>
      </rPr>
      <t>B</t>
    </r>
    <r>
      <rPr>
        <sz val="10"/>
        <rFont val="LitNusx"/>
      </rPr>
      <t>-25</t>
    </r>
  </si>
  <si>
    <t>1.1 - 12</t>
  </si>
  <si>
    <t>armatura a-III</t>
  </si>
  <si>
    <t>proeqt.</t>
  </si>
  <si>
    <t>5 - 144</t>
  </si>
  <si>
    <t>samSeneblo fari</t>
  </si>
  <si>
    <t>kvm</t>
  </si>
  <si>
    <t>5.1-8</t>
  </si>
  <si>
    <t>ficari wiwvovani δsisq.25 mm</t>
  </si>
  <si>
    <t>sn da w  IV-2-82 t-2 cx.6-15-1</t>
  </si>
  <si>
    <r>
      <t xml:space="preserve">monoliTuri rk.betonis saZirkvlis (rand) koWis mowyoba </t>
    </r>
    <r>
      <rPr>
        <b/>
        <sz val="10"/>
        <rFont val="Academiuri Nuskhuri"/>
      </rPr>
      <t>B</t>
    </r>
    <r>
      <rPr>
        <b/>
        <sz val="10"/>
        <rFont val="LitNusx"/>
      </rPr>
      <t xml:space="preserve">-25 klasis betoniT </t>
    </r>
  </si>
  <si>
    <t>1.1 - 26</t>
  </si>
  <si>
    <t>armatura a-I kl</t>
  </si>
  <si>
    <t>1.1 - 28</t>
  </si>
  <si>
    <t>armatura a-III kl</t>
  </si>
  <si>
    <t>1.9-14</t>
  </si>
  <si>
    <t>eleqtrodi</t>
  </si>
  <si>
    <t>kg</t>
  </si>
  <si>
    <t>10</t>
  </si>
  <si>
    <t>sn da w  IV-2-82 t-1 cx.1-81-3</t>
  </si>
  <si>
    <t>qvabulis ferdoebSi III kategoriis gruntis ukuCayra xeliT</t>
  </si>
  <si>
    <t>11</t>
  </si>
  <si>
    <t>sn da w  IV-2-82 t-1 cx.1-31-3(14)</t>
  </si>
  <si>
    <t>adgilze arsebuli  III kategoriis gruntiT qvabulis ferdoebis Sevseba  da Siga farTis arealSi (-0.6 niSnulamde) ukuCayra buldozeris saSualebiT gruntis saSualod 50 m. manZilamde gadaadgilebiT</t>
  </si>
  <si>
    <t>13-141</t>
  </si>
  <si>
    <t>buldozeri 59 kvt(80 cx.Z)(9.21+4*4.97)/1000=0,02909</t>
  </si>
  <si>
    <t>12</t>
  </si>
  <si>
    <t>sn da w  IV-2-82 t-2 cx.11-1-5</t>
  </si>
  <si>
    <t>iatakis betonis momzadebis qveS qviSa-xreSovani narevis fenis mowyoba saSualo sisqiT 40 sm</t>
  </si>
  <si>
    <t>4.1-227</t>
  </si>
  <si>
    <t>qviSa-xreSovani narevi</t>
  </si>
  <si>
    <t>13</t>
  </si>
  <si>
    <t xml:space="preserve">gruntis da qviSa-xreSovani narevis  fena-fenad datkepna </t>
  </si>
  <si>
    <t>14</t>
  </si>
  <si>
    <t>sn da w  IV-2-82 t-2 cx.11-1-11</t>
  </si>
  <si>
    <r>
      <t xml:space="preserve">datkepnil safuZvelze armirebuli betonis iatakis momzadebis mowyoba </t>
    </r>
    <r>
      <rPr>
        <b/>
        <sz val="10"/>
        <rFont val="Academiuri Nuskhuri"/>
      </rPr>
      <t>B</t>
    </r>
    <r>
      <rPr>
        <b/>
        <sz val="10"/>
        <rFont val="LitNusx"/>
      </rPr>
      <t xml:space="preserve">-25 klasis betoniT </t>
    </r>
  </si>
  <si>
    <t>sn da w  IV-2-82 t-2 cx.6-44-8-s misadagebiT</t>
  </si>
  <si>
    <t xml:space="preserve">armaturis nakeToba a-III klasis </t>
  </si>
  <si>
    <t xml:space="preserve">armatura </t>
  </si>
  <si>
    <t>1.1-45</t>
  </si>
  <si>
    <t>saqsovi mavTuli</t>
  </si>
  <si>
    <t>16</t>
  </si>
  <si>
    <t>sn da w  IV-2-82 t-2 cx.6-12-4</t>
  </si>
  <si>
    <r>
      <t xml:space="preserve">monoliTuri rk.betonis svetebis  mowyoba </t>
    </r>
    <r>
      <rPr>
        <b/>
        <sz val="10"/>
        <rFont val="Academiuri Nuskhuri"/>
      </rPr>
      <t>B</t>
    </r>
    <r>
      <rPr>
        <b/>
        <sz val="10"/>
        <rFont val="LitNusx"/>
      </rPr>
      <t xml:space="preserve">-25 klasis betoniT </t>
    </r>
  </si>
  <si>
    <t>5.1-144</t>
  </si>
  <si>
    <t>fari yalibis δsisq. 25 mm</t>
  </si>
  <si>
    <t>ficari wiwvovani jiSis (5,81+0,67)/100=0,0648</t>
  </si>
  <si>
    <t>17</t>
  </si>
  <si>
    <t>sn da w  IV-2-82 t-2 cx.6-14-4</t>
  </si>
  <si>
    <r>
      <t xml:space="preserve">monoliTuri rk.betonis diafragmebis (parapetis CaTvliT) mowyoba </t>
    </r>
    <r>
      <rPr>
        <b/>
        <sz val="10"/>
        <rFont val="Academiuri Nuskhuri"/>
      </rPr>
      <t>B</t>
    </r>
    <r>
      <rPr>
        <b/>
        <sz val="10"/>
        <rFont val="LitNusx"/>
      </rPr>
      <t xml:space="preserve">-25 klasis betoniT </t>
    </r>
  </si>
  <si>
    <t>ficari wiwvovani jiSis (3.33+0,33)/100=0,0399</t>
  </si>
  <si>
    <t>18</t>
  </si>
  <si>
    <t>sn da w  IV-2-82 t-2 cx.6-15-2</t>
  </si>
  <si>
    <r>
      <t xml:space="preserve">monoliTuri rk.betonis rigelis mowyoba </t>
    </r>
    <r>
      <rPr>
        <b/>
        <sz val="10"/>
        <rFont val="Academiuri Nuskhuri"/>
      </rPr>
      <t>B</t>
    </r>
    <r>
      <rPr>
        <b/>
        <sz val="10"/>
        <rFont val="LitNusx"/>
      </rPr>
      <t xml:space="preserve">-25 klasis betoniT </t>
    </r>
  </si>
  <si>
    <t>fari yalibis 25 mm</t>
  </si>
  <si>
    <t>ficari wiwvovani jiSis, II xarisxis, 40 mm (1,6+0,7)/100=0,023</t>
  </si>
  <si>
    <t>19</t>
  </si>
  <si>
    <t>sn da w  IV-2-82 t-2 cx.6-16-1</t>
  </si>
  <si>
    <r>
      <t xml:space="preserve">monoliTuri rk.betonis gadaxurvis filis mowyoba </t>
    </r>
    <r>
      <rPr>
        <b/>
        <sz val="10"/>
        <rFont val="Academiuri Nuskhuri"/>
      </rPr>
      <t>B</t>
    </r>
    <r>
      <rPr>
        <b/>
        <sz val="10"/>
        <rFont val="LitNusx"/>
      </rPr>
      <t xml:space="preserve">-25 klasis betoniT </t>
    </r>
  </si>
  <si>
    <t>5.1-126</t>
  </si>
  <si>
    <t xml:space="preserve">fari yalibis </t>
  </si>
  <si>
    <t>ficari wiwvovani jiSis δ(0,84+2,56+0,26)/100=0,0366</t>
  </si>
  <si>
    <t>20</t>
  </si>
  <si>
    <t>sn da w  IV-2-82 t-2 cx.6-16-6</t>
  </si>
  <si>
    <r>
      <t>monoliTuri rk.betonis kibis mowyoba B</t>
    </r>
    <r>
      <rPr>
        <b/>
        <sz val="10"/>
        <rFont val="Calibri"/>
        <family val="2"/>
      </rPr>
      <t>B-</t>
    </r>
    <r>
      <rPr>
        <b/>
        <sz val="10"/>
        <rFont val="LitNusx"/>
      </rPr>
      <t>25 klasis betoniT</t>
    </r>
  </si>
  <si>
    <t>fari yalibis δ=25 mm</t>
  </si>
  <si>
    <t>5.1 - 8</t>
  </si>
  <si>
    <t>ficari wiwvovani jiSis</t>
  </si>
  <si>
    <t>1.10 - 14</t>
  </si>
  <si>
    <t>ton1</t>
  </si>
  <si>
    <t>21</t>
  </si>
  <si>
    <t>sn da w  IV-2-82 t-2 cx.6-13-1</t>
  </si>
  <si>
    <r>
      <t>fasadis garkveuli nawilebis aguriT mopirkeTebis mizniT randkoWTan da gadaxurvis filebTan armaturis karkasis dakavSireba da mopirkeTebis momentSi kvanZebis dabetoneba B</t>
    </r>
    <r>
      <rPr>
        <b/>
        <sz val="10"/>
        <rFont val="Calibri"/>
        <family val="2"/>
      </rPr>
      <t>B-</t>
    </r>
    <r>
      <rPr>
        <b/>
        <sz val="10"/>
        <rFont val="LitNusx"/>
      </rPr>
      <t>25 klasis betoniT</t>
    </r>
  </si>
  <si>
    <t>saxuravebi</t>
  </si>
  <si>
    <t>sn da w  IV-2-82 t-2 cx.10-11</t>
  </si>
  <si>
    <t>demontirebuli vargisi (SerCeuli) xis masaliT arsebuli sanivnive sistemis da molartyvis gaZliereba</t>
  </si>
  <si>
    <t>5.8</t>
  </si>
  <si>
    <t>demontirebuli vargisi xis masala</t>
  </si>
  <si>
    <t>4.2-61</t>
  </si>
  <si>
    <t>antiseptikuri pasta</t>
  </si>
  <si>
    <t>1.1-49</t>
  </si>
  <si>
    <t>glinula armatura</t>
  </si>
  <si>
    <t>1.10-2</t>
  </si>
  <si>
    <t>lursmani</t>
  </si>
  <si>
    <t xml:space="preserve"> sxva masala</t>
  </si>
  <si>
    <t>saxuravis axali xis sanivnive sistemis mowyoba, betonis zedapirTan xis masalis Sexebis adgilze toliT dafeniT</t>
  </si>
  <si>
    <t>ficari, Zelaki wiwvovani</t>
  </si>
  <si>
    <t>4.1-379</t>
  </si>
  <si>
    <t>toli</t>
  </si>
  <si>
    <t>sn da w  IV-2-82 t-2 cx.10-36-7-s misadagebiT</t>
  </si>
  <si>
    <t>sn da w  IV-2-82 t-2 cx.10-37-3</t>
  </si>
  <si>
    <t>Senobis mTliani saxuravis farTis xis masalis cecxldacva</t>
  </si>
  <si>
    <t>cecxldamcavi xsnari</t>
  </si>
  <si>
    <t>sn da w  IV-2-82 t-2 cx.10-38-3</t>
  </si>
  <si>
    <t>Senobis mTliani saxuravis farTis xis masalis damuSaveba antiseptikuri xsnariT</t>
  </si>
  <si>
    <t>antiseptikuri xsnari</t>
  </si>
  <si>
    <t>sn da w   IV-2-82 t-2 cx.12-8-3</t>
  </si>
  <si>
    <t xml:space="preserve">Sekiduli tipis galvanizirebuli feradi Tunuqis wyalSemkrebi Rarebis mowyoba Tunuqis sisqiT aranakleb 0.7 mm-sa </t>
  </si>
  <si>
    <t>1.5-39</t>
  </si>
  <si>
    <t>galvanizirebuli feradi Tunuqis wyalsadinari Rari</t>
  </si>
  <si>
    <t>grm</t>
  </si>
  <si>
    <t>1.5-18</t>
  </si>
  <si>
    <t xml:space="preserve">ERaris damWeri </t>
  </si>
  <si>
    <t>cali</t>
  </si>
  <si>
    <t xml:space="preserve"> lursmani</t>
  </si>
  <si>
    <t>4.2-136</t>
  </si>
  <si>
    <t>silikoni</t>
  </si>
  <si>
    <t>tub</t>
  </si>
  <si>
    <t>sn da w  IV-2-82 t-3 cx.16-17-1</t>
  </si>
  <si>
    <t xml:space="preserve">galvanizirebuli feradi Tunuqis wyalmimRebi Zabris dayeneba Tunuqis sisqiT aranakleb 0.7-sa </t>
  </si>
  <si>
    <t>1.5-25</t>
  </si>
  <si>
    <t>galvanizirebuli feradi Tunuqis wyal-mimRebi Zabri Tunuqis sisqiT aranakleb 0.7 mm-sa</t>
  </si>
  <si>
    <t>sn da w  IV-2-82 t-2 cx.10-12</t>
  </si>
  <si>
    <t xml:space="preserve">samercxulis xis karkasis mowyoba </t>
  </si>
  <si>
    <t>sn da w  IV-2-82 t-2 cx.12-6-1 misadag.</t>
  </si>
  <si>
    <t>saxuravis SenaRarebis mowyoba, samercxluris, parapetis Tavis da kedlis Siga nawilis Semosva galvanizirebuli feradi liTonis furclebiT (ormagi narimandebiT) sisqiT aranakleb 0,5 mm-sa</t>
  </si>
  <si>
    <t>brtyeli galvanizirebuli feradi furclebi sisqiT aranakleb 0,5 mm.</t>
  </si>
  <si>
    <t>1.10-24</t>
  </si>
  <si>
    <t>sWvali</t>
  </si>
  <si>
    <t>1.9-70</t>
  </si>
  <si>
    <t>naWedi</t>
  </si>
  <si>
    <t>liTonis profilirebuli galvanizirebuli feradi furclebi sisqiT aranakleb 0,5 mm.</t>
  </si>
  <si>
    <t>1.5-15 misad.</t>
  </si>
  <si>
    <t>sn da w  IV-2-82 t-8 cx.46-21-1</t>
  </si>
  <si>
    <t>kedelTan saxuravis burulis  SeerTebis adgilze CakeTebisaTvis Raris gamotexva</t>
  </si>
  <si>
    <t>sn da w  IV-2-82 t-2 cx.7-50-2</t>
  </si>
  <si>
    <t xml:space="preserve"> saxuravebis fasadis kedlebSi CakeTeba </t>
  </si>
  <si>
    <t xml:space="preserve">manqanebi </t>
  </si>
  <si>
    <t>duRabi cementis</t>
  </si>
  <si>
    <t>ZenZi gafisuli</t>
  </si>
  <si>
    <t>4.2-125</t>
  </si>
  <si>
    <t>silikaturi qafura - 0,75 ml</t>
  </si>
  <si>
    <t>ql</t>
  </si>
  <si>
    <t>sn da w   IV-2-82 t-2 cx.9-5-1</t>
  </si>
  <si>
    <t xml:space="preserve"> samercxlurebSi fanjrebze gasaRebi liTonis Jaluzebis montaJi</t>
  </si>
  <si>
    <t>kv.m.</t>
  </si>
  <si>
    <t>SromiTi resursebi</t>
  </si>
  <si>
    <t>kac/sT</t>
  </si>
  <si>
    <t>manqanebi</t>
  </si>
  <si>
    <t>.1.9-54-misad.</t>
  </si>
  <si>
    <t>liTonis Jaluzi</t>
  </si>
  <si>
    <t>sn da w  IV-2-82 t-2 cx.13-15-8</t>
  </si>
  <si>
    <t>liTonis Jaluzebis gawmenda da dagruntva</t>
  </si>
  <si>
    <t>4.2-104</t>
  </si>
  <si>
    <t xml:space="preserve">grunti </t>
  </si>
  <si>
    <t>4.2-129</t>
  </si>
  <si>
    <t>gruntis gamxsneli</t>
  </si>
  <si>
    <t>15</t>
  </si>
  <si>
    <t>sn da w  IV-2-82 t-2 cx.15-164-8</t>
  </si>
  <si>
    <t>liTonis Jaluzebis SeRebva antikoroziuli saRebaviT 2 jer.</t>
  </si>
  <si>
    <t>4.2-75</t>
  </si>
  <si>
    <t xml:space="preserve"> saRebavi antikoroziuli gamxsneliT</t>
  </si>
  <si>
    <t>4.2-16</t>
  </si>
  <si>
    <t>alifa</t>
  </si>
  <si>
    <t>sn da w  IV-2-82 t-3 cx.16-6-2</t>
  </si>
  <si>
    <t>Ugalvanizirebuli feradi Tunuqis wyalsawreti milebis (Tunuqis sisqiT aranakleb 0.7 mm-sa) dayeneba sarinebis gamoyenebiT</t>
  </si>
  <si>
    <t>1.5-23</t>
  </si>
  <si>
    <t xml:space="preserve"> galvanizirebuli feradi Tunuqis wyalsawreti  mili da sarinebi</t>
  </si>
  <si>
    <t>1.9-71</t>
  </si>
  <si>
    <t xml:space="preserve"> samagri detalebi</t>
  </si>
  <si>
    <t>sn da w   IV-2-82 t-2 cx.12-8-8-misadag.</t>
  </si>
  <si>
    <t>saxuravze qarxnulad damzadebuli Tovlis dacurebis sawinaaRmdego barieris (Tovlis damWeri mili) mowyoba</t>
  </si>
  <si>
    <t>1.5-29</t>
  </si>
  <si>
    <t xml:space="preserve"> Tovlis damWeri milis samagri</t>
  </si>
  <si>
    <t>1.5-30</t>
  </si>
  <si>
    <t xml:space="preserve"> Tovlis damWeri mili</t>
  </si>
  <si>
    <t>kar-fanjrebi</t>
  </si>
  <si>
    <t>sn da w   IV-2-82 t-2 cx.9-14-5</t>
  </si>
  <si>
    <t xml:space="preserve"> minapaketiT Seminuli metaloplastmasis fanjris Casma evrogaRebiT  </t>
  </si>
  <si>
    <t>13-43</t>
  </si>
  <si>
    <t>avtoamwe TvirTamweobiT 6.3 tona</t>
  </si>
  <si>
    <t>13-92-misad.</t>
  </si>
  <si>
    <t>eleqtrojalambari</t>
  </si>
  <si>
    <t xml:space="preserve">.10.3-3 </t>
  </si>
  <si>
    <t xml:space="preserve"> minapaketiT Seminuli metaloplastmasis fanjara </t>
  </si>
  <si>
    <t xml:space="preserve">.10.3-24 </t>
  </si>
  <si>
    <t>metaloplastmasis fanjris gadmokidebis meqanizmi</t>
  </si>
  <si>
    <t xml:space="preserve"> minapaketiT Seminuli metaloplastmasis sarkmelis Casma evrogaRebiT  </t>
  </si>
  <si>
    <t xml:space="preserve"> minapaketiT Seminuli metaloplastmasis sarkmeli</t>
  </si>
  <si>
    <t xml:space="preserve"> minapaketiT Seminuli metaloplastmasis vitraJis Casma nawilobrivi gaRebiT</t>
  </si>
  <si>
    <t xml:space="preserve">.10.3-2 </t>
  </si>
  <si>
    <t xml:space="preserve"> minapaketiT Seminuli metaloplastmasis vitraJi nawilobrivi gaRebiT</t>
  </si>
  <si>
    <t>mTavar SesasvlelSi minapaketiT Seminuli aluminis izoprofilis karis Casma</t>
  </si>
  <si>
    <t xml:space="preserve">minapaketiT Seminuli aluminis izoprofilis kari </t>
  </si>
  <si>
    <t>sn da w   IV-2-82 t-5 cx.34-56-2-s misadagebiT</t>
  </si>
  <si>
    <t>ormxrivfurcliani (furclis sisqiT 2,0 mm) liTonis  karebis Casma</t>
  </si>
  <si>
    <t>1.9-63</t>
  </si>
  <si>
    <t>ormxrivfurcliani (sisqiT 2,0 mm) liTonis  kari</t>
  </si>
  <si>
    <t>1.9 - 71</t>
  </si>
  <si>
    <t>samontaJo elementebi</t>
  </si>
  <si>
    <t>metaloplastmasis karebis Casma</t>
  </si>
  <si>
    <t>SromiTi danaxarji</t>
  </si>
  <si>
    <t>.10.3-8</t>
  </si>
  <si>
    <t>metaloplastmasis karebi</t>
  </si>
  <si>
    <t>sn da w   IV-2-82 t-2 cx.10-20-1</t>
  </si>
  <si>
    <t>5.1-98</t>
  </si>
  <si>
    <t xml:space="preserve">`m.d.f~-is karis bloki TamasebiT  </t>
  </si>
  <si>
    <t>fanjrebze liTonis gisosebis montaJi (nawilobrivi gaRebiT)</t>
  </si>
  <si>
    <t>.1-9-52</t>
  </si>
  <si>
    <t>liTonis gisosi</t>
  </si>
  <si>
    <t>sn da w  IV-2-82 t-2 cx.15-52-3</t>
  </si>
  <si>
    <t>kar-fanjrebis ferdoebis SebaTqaSeba qviSa-cementis xsnariT</t>
  </si>
  <si>
    <t>4.1-374</t>
  </si>
  <si>
    <t>duRabi mosapirkeTebeli</t>
  </si>
  <si>
    <t>liTonis karebis, gisosebis da cxaurebis gawmenda da dagruntva</t>
  </si>
  <si>
    <t>liTonis karebis, gisosebis da cxaurebis  SeRebva antikoroziuli saRebaviT 2 jer.</t>
  </si>
  <si>
    <t>jami (kar-fanjrebi)</t>
  </si>
  <si>
    <t>iatakebi da Siga kibeebi</t>
  </si>
  <si>
    <t>sn da w  IV-2-82 t-2 cx.11-3-1</t>
  </si>
  <si>
    <t>iatakebis hidroizolaciis mowyoba erTi fena bituliniT, sisqiT 2,7 mm</t>
  </si>
  <si>
    <t>4.1-409</t>
  </si>
  <si>
    <t xml:space="preserve">bitulini sisqiT 2,7 mm </t>
  </si>
  <si>
    <t>gazi</t>
  </si>
  <si>
    <t>4.1-529</t>
  </si>
  <si>
    <t xml:space="preserve"> bitumis grunti</t>
  </si>
  <si>
    <t xml:space="preserve">',,d-e" ,,6-7" RerZebSi I sarTulze iatakis niSnulis wamowevis mizniT qviSa-xreSovani narevis fenis mowyoba </t>
  </si>
  <si>
    <t>sn da w  IV-2-82 t-1 cx.1-118-1</t>
  </si>
  <si>
    <t xml:space="preserve">qviSa-xreSovani narevis datkepna pnevmaturi satkepniT </t>
  </si>
  <si>
    <t>13-339</t>
  </si>
  <si>
    <t xml:space="preserve">pnevmaturi satkepni </t>
  </si>
  <si>
    <t>manq.sT</t>
  </si>
  <si>
    <t>4</t>
  </si>
  <si>
    <t>sn da w  IV-2-82 t-2 cx.11-1-4</t>
  </si>
  <si>
    <t>iatakis mWimis qveS pemzis fenis mowyoba sisqiT 50 mm</t>
  </si>
  <si>
    <t>4.1-225</t>
  </si>
  <si>
    <t xml:space="preserve">pemza </t>
  </si>
  <si>
    <t>kum/m</t>
  </si>
  <si>
    <t>sn da w  IV-2-82 t-2 cx.11-8-1(2)</t>
  </si>
  <si>
    <t xml:space="preserve"> SromiTi danaxarji 0,188+2*0,0034=0,1948</t>
  </si>
  <si>
    <t xml:space="preserve"> manqanebi 0,0095+2*0,0023=0,0141</t>
  </si>
  <si>
    <t>msxvilfraqciuli duRabi m-150 0,0204+2*0,0051=0,0306</t>
  </si>
  <si>
    <t>1.9-1</t>
  </si>
  <si>
    <t xml:space="preserve">konstruqciuli SeduRebuli liTonis bade </t>
  </si>
  <si>
    <t>sn da w  IV-2-82 t-2 cx.11-14-1</t>
  </si>
  <si>
    <t xml:space="preserve"> Pvinilis safaris qveS TviTsworebadi fenis mowyoba</t>
  </si>
  <si>
    <t>4.1-200</t>
  </si>
  <si>
    <t>mza narevi TviTsworebadi iatakisaTvis</t>
  </si>
  <si>
    <t>sn da w  IV-2-82 t-2 cx.11-28-s misadagebiT</t>
  </si>
  <si>
    <t>4.3-33</t>
  </si>
  <si>
    <t>2.5 mm sisqis mravalSriani antistatikuri, antibaqteriuli vinilis fenili, cveTamedegi SriT 0.70 mm zedapiri daculi laqebidan</t>
  </si>
  <si>
    <t>4.2-116</t>
  </si>
  <si>
    <t>webo</t>
  </si>
  <si>
    <t>4.3-33-s misad.</t>
  </si>
  <si>
    <t>sn da w  IV-2-82 t-2 cx.11-27-4-s misadagebiT</t>
  </si>
  <si>
    <t>.5-115</t>
  </si>
  <si>
    <t>Rrubelis safeni</t>
  </si>
  <si>
    <t>.5-116</t>
  </si>
  <si>
    <t xml:space="preserve">maRali cveTamedegobis laminirebuli iataki sisqiT aranakleb 12 mm-sa </t>
  </si>
  <si>
    <t>sn da w  IV-2-82 t-2 cx.10-29-6</t>
  </si>
  <si>
    <t>5-124</t>
  </si>
  <si>
    <t>.5-122</t>
  </si>
  <si>
    <t>laminirebuli plinTusi</t>
  </si>
  <si>
    <t>grZ.m.</t>
  </si>
  <si>
    <t>sn da w  IV-2-82 t-2 cx.10-4-1</t>
  </si>
  <si>
    <t>saaqto darbazSi scenis mosawyobad xis karkasis montaJi dgarebis qveS ruberoidis mowyobiT</t>
  </si>
  <si>
    <t>daxerxili xe-tye</t>
  </si>
  <si>
    <t>4.1-385</t>
  </si>
  <si>
    <t>ruberoidi (cx. 10-11 misadagebiT)</t>
  </si>
  <si>
    <t>naWedi samSeneblo</t>
  </si>
  <si>
    <t>sn da w IV-2-82 t-2 cx.11-27-2</t>
  </si>
  <si>
    <t xml:space="preserve"> saaqtoo darbazis scenaze ficruli iatakis (kibisa da Sublis CaTvliT) mowyoba mSrali lariqsis Sipebiani ficrebiT sisqiT 5 sm.</t>
  </si>
  <si>
    <t xml:space="preserve"> sxvadasxva manqanebi </t>
  </si>
  <si>
    <r>
      <t xml:space="preserve"> ficari iatakis lariqsis Sipebiani </t>
    </r>
    <r>
      <rPr>
        <sz val="10"/>
        <rFont val="Calibri"/>
        <family val="2"/>
      </rPr>
      <t xml:space="preserve"> δ</t>
    </r>
    <r>
      <rPr>
        <sz val="10"/>
        <rFont val="LitNusx"/>
      </rPr>
      <t>=50 mm</t>
    </r>
  </si>
  <si>
    <t xml:space="preserve"> lursmani </t>
  </si>
  <si>
    <t>sn da w IV-2-82 t-2 cx.11-9-3</t>
  </si>
  <si>
    <t>mTavari sportdarbazis iatakis mosawyobad xis lagebis (100*40 mm) montaJi</t>
  </si>
  <si>
    <t xml:space="preserve"> sxva  masalebi </t>
  </si>
  <si>
    <t>sn da w IV-2-82 t-2 cx.11-27-1</t>
  </si>
  <si>
    <t>I rigi ficruli iatakis mowyoba sisqiT 25 mm (mTliani farTis 80 %)</t>
  </si>
  <si>
    <t xml:space="preserve"> SromiTi danaxarji 0.782*0.8</t>
  </si>
  <si>
    <t xml:space="preserve"> sxvadasxva manqanebi 0.0382*0.8</t>
  </si>
  <si>
    <t>daxerxili xe-tye 0.02625*0.8</t>
  </si>
  <si>
    <t xml:space="preserve"> lursmani 0.138*0.8</t>
  </si>
  <si>
    <t>II rigi ficruli iatakis mowyoba  mSrali lariqsis Sipebiani ficrebiT sisqiT 37 sm.</t>
  </si>
  <si>
    <r>
      <t xml:space="preserve"> ficari iatakis lariqsis Sipebiani </t>
    </r>
    <r>
      <rPr>
        <sz val="10"/>
        <rFont val="Calibri"/>
        <family val="2"/>
      </rPr>
      <t xml:space="preserve"> δ</t>
    </r>
    <r>
      <rPr>
        <sz val="10"/>
        <rFont val="LitNusx"/>
      </rPr>
      <t>=37 mm</t>
    </r>
  </si>
  <si>
    <t>orive sportuli darbazis iatakebisa da saaqto darbazis scenisaTvis  wiwvovani masalis xis plinTusebis mowyoba simaRliT 70 mm</t>
  </si>
  <si>
    <t>5.1-121</t>
  </si>
  <si>
    <t>wiwvovani masalis xis plinTusi simaRliT 70 mm.</t>
  </si>
  <si>
    <t>gr.m</t>
  </si>
  <si>
    <t>sxva masalebi</t>
  </si>
  <si>
    <t>sn da w  IV-2-82 t-2 cx.15-160-3</t>
  </si>
  <si>
    <t xml:space="preserve"> xis iatakebis da plintusebis damuSaveba da SeRebva zeTovani saRebaviT</t>
  </si>
  <si>
    <t xml:space="preserve"> kvm</t>
  </si>
  <si>
    <t>4.2-30</t>
  </si>
  <si>
    <t xml:space="preserve"> saRebavi zeTovani gamxsneliT</t>
  </si>
  <si>
    <t xml:space="preserve"> fiTxi xis </t>
  </si>
  <si>
    <t xml:space="preserve"> alifa</t>
  </si>
  <si>
    <t xml:space="preserve">sn da w  IV-2-82 t-2 cx.11-20-3 </t>
  </si>
  <si>
    <t>4.1-324</t>
  </si>
  <si>
    <t xml:space="preserve">xaoiani teqnogranitis fila </t>
  </si>
  <si>
    <t>4.1-204</t>
  </si>
  <si>
    <t>webo-cementi</t>
  </si>
  <si>
    <t xml:space="preserve">sn da w  IV-2-82 t-2 cx.11-36-3-s misadagebiT </t>
  </si>
  <si>
    <t xml:space="preserve">keramogranitis plintusis mowyoba webo-cementze </t>
  </si>
  <si>
    <t>4.3-16</t>
  </si>
  <si>
    <t xml:space="preserve">xaoiani meTlaxis fila </t>
  </si>
  <si>
    <t xml:space="preserve">metlaxis plintusis mowyoba webo-cementze </t>
  </si>
  <si>
    <t xml:space="preserve">meTlaxis fila </t>
  </si>
  <si>
    <t>sn da w  IV-2-82 t-2 cx.7-33-is misadagebiT</t>
  </si>
  <si>
    <t>Siga kibeebze 1.3 metri siganis mozaikis zedapiriani betonis anakrebi safexurebis montaJi</t>
  </si>
  <si>
    <t xml:space="preserve"> SromiTi danaxarji (643*0.3*0.15*1.3)100</t>
  </si>
  <si>
    <t xml:space="preserve"> manqanebi (91*0.3*0.15*1.3)100</t>
  </si>
  <si>
    <t>4.1-71 k=1.3</t>
  </si>
  <si>
    <t>mozaikis zedapiriani betonis safexuri siganiT 1.3 metri</t>
  </si>
  <si>
    <t>duRabi mosapirkeTebeli (3.19*0.3*0.15*1.3)100</t>
  </si>
  <si>
    <t xml:space="preserve"> sxvadasxva masalebi (58*0.3*0.15*1.3)100</t>
  </si>
  <si>
    <t>Siga kibeebze 1.5 metri siganis mozaikis zedapiriani betonis anakrebi safexurebis montaJi</t>
  </si>
  <si>
    <t xml:space="preserve"> SromiTi danaxarji (643*0.3*0.15*1.5)100</t>
  </si>
  <si>
    <t xml:space="preserve"> manqanebi (91*0.3*0.15*1.5)100</t>
  </si>
  <si>
    <t>4.1-71 k=1.5</t>
  </si>
  <si>
    <t>mozaikis zedapiriani betonis safexuri siganiT 1.5 metri</t>
  </si>
  <si>
    <t>duRabi mosapirkeTebeli (3.19*0.3*0.15*1.5)100</t>
  </si>
  <si>
    <t xml:space="preserve"> sxvadasxva masalebi (58*0.3*0.15*1.5)100</t>
  </si>
  <si>
    <t>Siga kibeebze 1.75 metri siganis mozaikis zedapiriani betonis anakrebi safexurebis montaJi</t>
  </si>
  <si>
    <t xml:space="preserve"> SromiTi danaxarji (643*0.3*0.15*1.75)100</t>
  </si>
  <si>
    <t xml:space="preserve"> manqanebi (91*0.3*0.15*1.75)100</t>
  </si>
  <si>
    <t>4.1-71 k=1.75</t>
  </si>
  <si>
    <t>mozaikis zedapiriani betonis safexuri siganiT 1.75 metri</t>
  </si>
  <si>
    <t>duRabi mosapirkeTebeli (3.19*0.3*0.15*1.75)100</t>
  </si>
  <si>
    <t xml:space="preserve"> sxvadasxva masalebi (58*0.3*0.15*1.75)100</t>
  </si>
  <si>
    <t>kibis baqnebze xaoiani teqnogranitis filebis dageba webo-cementze</t>
  </si>
  <si>
    <t xml:space="preserve">baqnebze da kibis safexurebze keramogranitis plintusis mowyoba webo-cementze </t>
  </si>
  <si>
    <t>28</t>
  </si>
  <si>
    <t>sn da w  IV-2-82 t-2 damateba    cx.7-58-1</t>
  </si>
  <si>
    <t xml:space="preserve">   Siga kibeebze oTxkuTxa milebisagan damzadebuli liTonis moajirebis montaJi da wiwvovani masalis xis saxelurebis dayeneba</t>
  </si>
  <si>
    <t>1.9-68</t>
  </si>
  <si>
    <t>oTxkuTxa milebisagan damzadebuli  liTonis moajiri</t>
  </si>
  <si>
    <t>5.1-136</t>
  </si>
  <si>
    <t>wiwvovani masalis xis saxeluri</t>
  </si>
  <si>
    <t>29</t>
  </si>
  <si>
    <t xml:space="preserve">sn da w  IV-2-82 t-2 cx.9-7-2-misad             </t>
  </si>
  <si>
    <t>sxvenSi asasvleli liTonis kibis da luqis montaJi mowyoba (2 kompleqti)</t>
  </si>
  <si>
    <t>13 - 44</t>
  </si>
  <si>
    <t>amwe 10 tn</t>
  </si>
  <si>
    <t>1.4 - 1</t>
  </si>
  <si>
    <t>sxvadasxva sortamentis liTonis profili</t>
  </si>
  <si>
    <t>1.6 - 45</t>
  </si>
  <si>
    <t xml:space="preserve"> foladis furceli 4 mm</t>
  </si>
  <si>
    <t>5-168</t>
  </si>
  <si>
    <t>liTonis anjama</t>
  </si>
  <si>
    <t>liTonis samontaJo konstruqcia</t>
  </si>
  <si>
    <t>1.10-17</t>
  </si>
  <si>
    <t>WanWki</t>
  </si>
  <si>
    <t xml:space="preserve"> sxvadasxva  masalebi</t>
  </si>
  <si>
    <t>30</t>
  </si>
  <si>
    <t>sn da w  IV-2-82 t-2 cx.13-15-6</t>
  </si>
  <si>
    <t xml:space="preserve"> kibis liTonis moajiris, sxvenSi asasvleli kibisa da luqis zedapirebis dagruntva</t>
  </si>
  <si>
    <t>4.2-101</t>
  </si>
  <si>
    <t>grunti gamxsneliT</t>
  </si>
  <si>
    <t>4.2-131</t>
  </si>
  <si>
    <t>31</t>
  </si>
  <si>
    <t>kibis liTonis moajiris, sxvenSi asasvleli kibisa da luqis zedapirebis SeRebva antikoroziuli saRebaviT 2 jer.</t>
  </si>
  <si>
    <t>32</t>
  </si>
  <si>
    <t xml:space="preserve"> xis saxelurebis damuSaveba da SeRebva zeTovani saRebaviT</t>
  </si>
  <si>
    <t>33</t>
  </si>
  <si>
    <t>sn da w  IV-2-82 t-2 cx.11-11-8</t>
  </si>
  <si>
    <t>sxvadasxva saxeobebis iatakebs Soris Sepirapirebis adgilebSi feradi liTonis dekoratiuli profilis mowyoba</t>
  </si>
  <si>
    <t>feradi liTonis dekoratiuli profili</t>
  </si>
  <si>
    <t>34</t>
  </si>
  <si>
    <t>sportuli moednis daxazva</t>
  </si>
  <si>
    <t>moedani</t>
  </si>
  <si>
    <t xml:space="preserve">materialuri resursi </t>
  </si>
  <si>
    <t>jami (iatakebi da Siga kibeebi)</t>
  </si>
  <si>
    <t>Sekiduli Werebi da karnizebi</t>
  </si>
  <si>
    <t xml:space="preserve">sn da w  IV-2-82  cx.34-59-7-misad.             </t>
  </si>
  <si>
    <t>plastikatis Sekiduli WerisaTvis liTonis karkasis mowyoba</t>
  </si>
  <si>
    <t xml:space="preserve"> SromiTi danaxarji k-0.4</t>
  </si>
  <si>
    <t>liTonis karkasi (liTonis profilebi, sakidebi, gadasabmeli elementebi, sarWi da sxva)</t>
  </si>
  <si>
    <t xml:space="preserve">sn da w  IV-2-82 t-5 cx. 34-61-13 -misad.             </t>
  </si>
  <si>
    <t xml:space="preserve"> Sekiduli Weris mowyoba plastikatis lartyebis montaJi</t>
  </si>
  <si>
    <t>.10.4-6</t>
  </si>
  <si>
    <t>plastmasis Weris profili siganiT 28 sm</t>
  </si>
  <si>
    <t>10.4-7</t>
  </si>
  <si>
    <t>plastmasis kuTxovana</t>
  </si>
  <si>
    <t>3</t>
  </si>
  <si>
    <t>TabaSir-muyaos Sekiduli WerisaTvis liTonis karkasis mowyoba</t>
  </si>
  <si>
    <t xml:space="preserve">Sekiduli Weris mowyoba nestgamZle TabaSir-muyaos filebiT  </t>
  </si>
  <si>
    <t>.10.1-2</t>
  </si>
  <si>
    <t xml:space="preserve"> nestgamZle TabaSirmuyaos fila</t>
  </si>
  <si>
    <t>.10.1-44</t>
  </si>
  <si>
    <t>TviTwebadi wyalgaumtari lenta</t>
  </si>
  <si>
    <t>.10.1-45</t>
  </si>
  <si>
    <t>fuga-TabaSiri</t>
  </si>
  <si>
    <t xml:space="preserve"> Sekiduli WerisaTvis liTonis karkasis mowyoba da amstrongis filebis montaJi</t>
  </si>
  <si>
    <t xml:space="preserve"> SromiTi danaxarji k-0.6</t>
  </si>
  <si>
    <t>10.4-2</t>
  </si>
  <si>
    <t>amstrongis fila da liTonis karkasi (liTonis profilebi, sakidebi, gadasabmeli elementebi da sxva)</t>
  </si>
  <si>
    <t xml:space="preserve">sn da w  IV-2-82 t-3 cx.15-101-1 misadagebiT             </t>
  </si>
  <si>
    <t>70 mm simaRlis penoplastis karnizebis montaJi</t>
  </si>
  <si>
    <t>4.3-22</t>
  </si>
  <si>
    <t>penoplastis karnizi simaRliT 70 mm</t>
  </si>
  <si>
    <t>jami (Sekiduli Werebi da karnizebi)</t>
  </si>
  <si>
    <t xml:space="preserve">kedlebisa da tixrebis mowyoba </t>
  </si>
  <si>
    <t>I. arsebuli korpusi</t>
  </si>
  <si>
    <t xml:space="preserve">sn da w  IV-2-82 t-8 cx.46-2-2             </t>
  </si>
  <si>
    <t>40 sm kedlebSi gamotexili Riobebis moCarCoeba liTonis (kuTxovana 75*75*5, zolovana 50*5) elementebiT</t>
  </si>
  <si>
    <t>4.1-375</t>
  </si>
  <si>
    <t>cementis duRabi 1:3</t>
  </si>
  <si>
    <t>1.4 - 31</t>
  </si>
  <si>
    <t>kuTxovana 75*75*5 mm</t>
  </si>
  <si>
    <t>1.6 - 63</t>
  </si>
  <si>
    <t>zolovana 50*5 mm</t>
  </si>
  <si>
    <t>tn</t>
  </si>
  <si>
    <t>sn da w   IV-2-82 t-2 cx.8-15-1</t>
  </si>
  <si>
    <t xml:space="preserve"> Riobebis amoSeneba betonis mcire sakedle blokebiT</t>
  </si>
  <si>
    <t xml:space="preserve"> duRabi wyobis</t>
  </si>
  <si>
    <t>4.1-36</t>
  </si>
  <si>
    <t xml:space="preserve"> wvrili sakedle bloki 20*19*40</t>
  </si>
  <si>
    <t xml:space="preserve"> kedlebis amoSeneba betonis mcire sakedle blokebiT sisqiT 20 sm</t>
  </si>
  <si>
    <t xml:space="preserve"> tixrebis mowyoba  betonis mcire sakedle blokebiT kedlis sisqiT 10 sm </t>
  </si>
  <si>
    <t>4.1-39</t>
  </si>
  <si>
    <t xml:space="preserve"> wvrili sakedle bloki 39*10*19</t>
  </si>
  <si>
    <t>sn da w   IV-2-82 t-2 cx.8-7-3</t>
  </si>
  <si>
    <t>kedlebisa da tixrebis wyobis armireba da Caankereba kedlebis da gadaxurvis mzid konstruqciebSi А-I klasis armaturiT</t>
  </si>
  <si>
    <t>1.1-26</t>
  </si>
  <si>
    <t xml:space="preserve"> armatura А-I</t>
  </si>
  <si>
    <t>sn da w  IV-2-82 t-2 cx.6-15-9</t>
  </si>
  <si>
    <r>
      <t xml:space="preserve">axlad mowyobil Riobebze monoliTuri rk.betonis zRudarebis mowyoba </t>
    </r>
    <r>
      <rPr>
        <b/>
        <sz val="10"/>
        <rFont val="Calibri"/>
        <family val="2"/>
      </rPr>
      <t>B</t>
    </r>
    <r>
      <rPr>
        <b/>
        <sz val="10"/>
        <rFont val="LitNusx"/>
      </rPr>
      <t>-20 klasis betoniT</t>
    </r>
  </si>
  <si>
    <t>4.1 - 339</t>
  </si>
  <si>
    <r>
      <t xml:space="preserve">betoni </t>
    </r>
    <r>
      <rPr>
        <sz val="10"/>
        <rFont val="Calibri"/>
        <family val="2"/>
      </rPr>
      <t>B</t>
    </r>
    <r>
      <rPr>
        <sz val="10"/>
        <rFont val="LitNusx"/>
      </rPr>
      <t>-20</t>
    </r>
  </si>
  <si>
    <t>armatura А500С</t>
  </si>
  <si>
    <t>5 - 138</t>
  </si>
  <si>
    <t>5 - 21</t>
  </si>
  <si>
    <t>ficari wiwvovani jiSis, δ=40 mm</t>
  </si>
  <si>
    <t>II. Aaxali korpusi</t>
  </si>
  <si>
    <t>gare perimetris armrebuli kedlebis wyoba sakedle samSeneblo blokebiT sisqiT 30 sm.</t>
  </si>
  <si>
    <t>4.1-45</t>
  </si>
  <si>
    <t xml:space="preserve"> sakedle gazobloki 60*25*20</t>
  </si>
  <si>
    <t>4.1-47</t>
  </si>
  <si>
    <t xml:space="preserve"> sakedle gazobloki 60*25*10</t>
  </si>
  <si>
    <r>
      <t xml:space="preserve">axlad mowyobili tixrebis Riobebze monoliTuri rk.betonis zRudarebis mowyoba </t>
    </r>
    <r>
      <rPr>
        <b/>
        <sz val="10"/>
        <rFont val="Calibri"/>
        <family val="2"/>
      </rPr>
      <t>B</t>
    </r>
    <r>
      <rPr>
        <b/>
        <sz val="10"/>
        <rFont val="LitNusx"/>
      </rPr>
      <t>-20 klasis betoniT</t>
    </r>
  </si>
  <si>
    <t>jami (kedlebi da tixrebi)</t>
  </si>
  <si>
    <t xml:space="preserve">Siga zedapirebis  Selesva, sveli wertilebis kedlebis kafeliT mopirkeTeba, zedapirebis SeRebva </t>
  </si>
  <si>
    <t>sn da w  IV-2-82 t-2 cx.15-55-9 teqn.nawili cx. 3-11</t>
  </si>
  <si>
    <t xml:space="preserve">Siga axlad amoSenebuli da baTqaSCamoyrili zedapirebis maRalxarisxovani Selesva qv/cementis xsnariT </t>
  </si>
  <si>
    <t xml:space="preserve"> SromiTi danaxarji 1.16*1.01</t>
  </si>
  <si>
    <t>14 - 190</t>
  </si>
  <si>
    <t>xsnaris tumbo 1 kub.m/sT 1.15*0.041</t>
  </si>
  <si>
    <t>sxva manqanebi</t>
  </si>
  <si>
    <t>4.1 - 375</t>
  </si>
  <si>
    <t>duRabi 1.05*0.0238</t>
  </si>
  <si>
    <t>1.9 - 48</t>
  </si>
  <si>
    <t>bade sabaTqaSo plastmasis</t>
  </si>
  <si>
    <t>sn da w  IV-2-82 t-2 cx.15-55-14</t>
  </si>
  <si>
    <t xml:space="preserve"> betonis Werebis  gadalesva mosapirkeTebeli duRabiT</t>
  </si>
  <si>
    <t>sn da w  IV-2-82 t-2 cx.15-55-5 teqn.nawili cx. 3-11</t>
  </si>
  <si>
    <t xml:space="preserve">kafelis mopirkeTebis qveS Siga kedlebis gaumjobesebuli Selesva qv/cementis xsnariT </t>
  </si>
  <si>
    <t xml:space="preserve"> SromiTi danaxarji 1.16*0.64</t>
  </si>
  <si>
    <t>srg</t>
  </si>
  <si>
    <t>13-190</t>
  </si>
  <si>
    <t>qv/cementis xsnari 0,0158+0,002=0,0178 1.05*0.0178</t>
  </si>
  <si>
    <t>kub.m.</t>
  </si>
  <si>
    <t>sn da w  IV-2-82 t-2  cx.15-15-3</t>
  </si>
  <si>
    <t>svel wertilebSi mTels simaRleze, laboratoriis xelsabanebTan fragmentulad kedelze kafelis filebis akvra</t>
  </si>
  <si>
    <t>4.3-17</t>
  </si>
  <si>
    <t xml:space="preserve"> kafeli</t>
  </si>
  <si>
    <t>sn da w  IV-2-82 t-2 cx.15-168-8</t>
  </si>
  <si>
    <t xml:space="preserve"> TabaSir-muyaos da betonis Werebis  SefiTxvna da SeRebva Siga dafarvis wyaldispersiuri saRebaviT orjer </t>
  </si>
  <si>
    <t>.4.2-46</t>
  </si>
  <si>
    <t>Siga dafarvis wyalemulsiis saRebavi</t>
  </si>
  <si>
    <t>4.2-84</t>
  </si>
  <si>
    <t>fiTxi</t>
  </si>
  <si>
    <t>sn da w  IV-2-82 t-2 cx.15-168-7</t>
  </si>
  <si>
    <t>sn da w  IV-2-82 t-2 cx.8-22-6</t>
  </si>
  <si>
    <t xml:space="preserve"> sportdarbazis blokSi horizontaluri inventaruli xaraCos dayeneba da daSla </t>
  </si>
  <si>
    <t xml:space="preserve"> kvm hor..pr</t>
  </si>
  <si>
    <t>.1.9-57</t>
  </si>
  <si>
    <t xml:space="preserve"> xaraCos liTonis detalebi</t>
  </si>
  <si>
    <t xml:space="preserve"> xaraCos xis detalebi</t>
  </si>
  <si>
    <t xml:space="preserve"> fenilis fari</t>
  </si>
  <si>
    <t>jami (Siga farTebis Selesva, SeRebva)</t>
  </si>
  <si>
    <t xml:space="preserve">gare kibeebi, pandusi da winafrebi </t>
  </si>
  <si>
    <t xml:space="preserve"> pandusebis mosawyobad gruntis damuSaveba xeliT</t>
  </si>
  <si>
    <t xml:space="preserve">pandusebis qveS qviSa-RorRis nareviT </t>
  </si>
  <si>
    <t>4.1-235</t>
  </si>
  <si>
    <t>qviSa-RorRis narevi</t>
  </si>
  <si>
    <t xml:space="preserve">qviSa-RorRis datkepna pnevmaturi satkepniT </t>
  </si>
  <si>
    <t>sn da w  IV-2-82 t-2 cx.6-16-5-s misadagebiT</t>
  </si>
  <si>
    <r>
      <t xml:space="preserve">monoliTuri betonis pandusebis (saZirkvlebi, kedlebi da fila)  mowyoba </t>
    </r>
    <r>
      <rPr>
        <b/>
        <sz val="10"/>
        <rFont val="Academiuri Nuskhuri"/>
      </rPr>
      <t>B</t>
    </r>
    <r>
      <rPr>
        <b/>
        <sz val="10"/>
        <rFont val="LitNusx"/>
      </rPr>
      <t>-20 klasis betoniT</t>
    </r>
  </si>
  <si>
    <t>4.1-339</t>
  </si>
  <si>
    <r>
      <t>betoni B</t>
    </r>
    <r>
      <rPr>
        <sz val="10"/>
        <rFont val="Calibri"/>
        <family val="2"/>
      </rPr>
      <t>B</t>
    </r>
    <r>
      <rPr>
        <sz val="10"/>
        <rFont val="LitNusx"/>
      </rPr>
      <t>-20 (3,06+0,51*14)</t>
    </r>
  </si>
  <si>
    <t>ficari wiwvovani jiSis δ(1,4+4,29+0,2)/100=0,0589</t>
  </si>
  <si>
    <t xml:space="preserve">pandusebis ubeebis Sevseba qviSa-RorRis nareviT </t>
  </si>
  <si>
    <t xml:space="preserve">gruntis ukuCayra xeliT </t>
  </si>
  <si>
    <t xml:space="preserve">ukuCayrili gruntisa da qviSa-RorRis narevis datkepna pnevmaturi satkepniT </t>
  </si>
  <si>
    <t xml:space="preserve"> axlad mowyobili pandusebis, gare konstruqculi  da arsebuli  kibebis filis, baqnebis, safexurebis (SublebiT) mosapirkeTeblad  cementis mWimis mowyoba m-150 markis qviSa-cementis xsnariT saSualo sisqiT 2.0 sm</t>
  </si>
  <si>
    <t xml:space="preserve">msxvilfraqciuli duRabi m-150 </t>
  </si>
  <si>
    <t xml:space="preserve">sn da w  IV-2-82 t-2 cx.11-30-5 </t>
  </si>
  <si>
    <t>axlad mowyobili pandusebis da konstruqciuli kibis, arsebuli kibeebis filis, baqnebis, safexurebis (SublebiT) mopirkeTeba 2.0 sm sisqis daburCatebuli bazaltis filebiT yinvagamZle webo-cementze</t>
  </si>
  <si>
    <t>4.1-274</t>
  </si>
  <si>
    <t>daburCatebuli bazaltis  fila sisqiT 2.0 sm</t>
  </si>
  <si>
    <t>4.2 - 116</t>
  </si>
  <si>
    <t>webo pva</t>
  </si>
  <si>
    <t>4.1-206</t>
  </si>
  <si>
    <t>yinva-gamZle webo-cementi</t>
  </si>
  <si>
    <t>sn da w  IV-2-82 t-2 damateba 1  cx.7-58-4</t>
  </si>
  <si>
    <t>pandusebze da gare kibeze  uJangavi liTonis moajiris mowyoba</t>
  </si>
  <si>
    <t>3-32-s misad.</t>
  </si>
  <si>
    <t>uJangavi liTonis moajiri</t>
  </si>
  <si>
    <t>saTadarigo kibeze oTxkuTxa milebisagan damzadebuli liTonis moajiris mowyoba</t>
  </si>
  <si>
    <t>1.9 - 68</t>
  </si>
  <si>
    <t>liTonis moajiri</t>
  </si>
  <si>
    <t xml:space="preserve"> liTonis moajiris zedapirebis gawmenda da dagruntva</t>
  </si>
  <si>
    <t xml:space="preserve">sn da w  IV-2-82 t-2 cx.15-164-8 </t>
  </si>
  <si>
    <t xml:space="preserve"> liTonis moajiris zedapirebis  SeRebva antikoroziuli saRebaviT 2 jer.</t>
  </si>
  <si>
    <t xml:space="preserve"> sxva masalebi</t>
  </si>
  <si>
    <t>sn da w  IV-2-82 t-8 cx.46-43-1</t>
  </si>
  <si>
    <t xml:space="preserve">winafris mosawyobad kedlebis  gaburRva siRrmiT 20 sm - diametriT 20 mm </t>
  </si>
  <si>
    <t>13-181</t>
  </si>
  <si>
    <t>saburRi mowyobiloba</t>
  </si>
  <si>
    <t>almasis burRi</t>
  </si>
  <si>
    <t>sxva masalebi 0,0036-0,0005 (dasabrunebeli masalis Rirebuleba)</t>
  </si>
  <si>
    <t>sn da w  IV-2-82 t-2 cx.9-32-10</t>
  </si>
  <si>
    <t>60*40*3 mm. (100,2 grZ.m) da 15*15*2 mm.(58,2 grZ.m) liTonis oTxkuTxa milisagan winafris konstruqciis damzadeba da montaJi (6 cali)</t>
  </si>
  <si>
    <t xml:space="preserve">sxva manqanebi </t>
  </si>
  <si>
    <t>2.2-53</t>
  </si>
  <si>
    <t>60*40*3 mm liTonis profili</t>
  </si>
  <si>
    <t>proet.</t>
  </si>
  <si>
    <t>2.2-10</t>
  </si>
  <si>
    <t>15*15*2 mm liTonis profili</t>
  </si>
  <si>
    <t>1.10-14</t>
  </si>
  <si>
    <t>sn da w  IV-2-82 t-2 cx.6-9-1</t>
  </si>
  <si>
    <t>d-18 mm liTonis ankeri sigrZiT 25 sm</t>
  </si>
  <si>
    <t>liTonis profilebis gawmenda da dagruntva</t>
  </si>
  <si>
    <t xml:space="preserve"> liTonis profilebis SeRebva antikoroziuli saRebaviT 2 jer.</t>
  </si>
  <si>
    <t>sn da w  IV-2-82 t-2 cx.12-6-2 misadag.</t>
  </si>
  <si>
    <t xml:space="preserve">winafrebis burulis mowyoba profilirebuli galvanizirebuli feradi Tunuqis furclebiT sisqiT aranakleb  0.5 mm, </t>
  </si>
  <si>
    <t>winafris saxuravis kedelSi CakeTebisaTvis Raris gamotexva</t>
  </si>
  <si>
    <t xml:space="preserve">winafris Tunuqis saxuravebis fasadis kedlebSi CakeTeba </t>
  </si>
  <si>
    <t>4.2-123</t>
  </si>
  <si>
    <t xml:space="preserve">jami (gare kibeebi, pandusi da winafrebi) </t>
  </si>
  <si>
    <t>fasadis mopirkeTeba</t>
  </si>
  <si>
    <t>sn da w  IV-2-82 t-2 cx.15-52-1 teqn.nawili cx. 3-13</t>
  </si>
  <si>
    <t>gare kedlebis baTqaSCamoyrili nawilebis maRalxarisxovani Selesva</t>
  </si>
  <si>
    <t xml:space="preserve"> SromiTi danaxarji 1.05*0.93</t>
  </si>
  <si>
    <t>13 - 190</t>
  </si>
  <si>
    <t xml:space="preserve">xsnaris tumbo 1 kub.m/sT </t>
  </si>
  <si>
    <t>sn da w  IV-2-82 t-2 cx.15-55-13</t>
  </si>
  <si>
    <t>arsebuli korpusis gadalesvaCamoyrili da axali korpusis SesaRebi (dekoratiuli da wyalemulsiuri) zedapirebis gadalesva yinvagamZle webocementiT</t>
  </si>
  <si>
    <t>4.1 - 206</t>
  </si>
  <si>
    <t>yinvagamZle webocementi</t>
  </si>
  <si>
    <t>sn da w IV-2-82 t-2 cx.15-169-2</t>
  </si>
  <si>
    <t xml:space="preserve">Zveli da axali korpusebis fasadis zedapirebis dekoratiuli Selesva-SeRebva (,,miunxeni" an analogi) faqturuli saRebaviT </t>
  </si>
  <si>
    <t>4.2-62</t>
  </si>
  <si>
    <t>saRebavi faqturuli ,,miunxeni"</t>
  </si>
  <si>
    <t>4.2-56</t>
  </si>
  <si>
    <t xml:space="preserve">gare dafarvis wyaldispersiuli saRebavi </t>
  </si>
  <si>
    <t xml:space="preserve"> sxvadasxva masalebi </t>
  </si>
  <si>
    <t>sn da w IV-2-82 t-2 cx.15-156-4</t>
  </si>
  <si>
    <t>Zveli da axali korpusebis betonis zedapirebis (ferdoebis, gasasvleli sivrces, saevakuacio kibis qveda zedapirebis CaTvliT) damuSaveba fasadis fiTxiT da SeRebva gare dafarvis wyaldispersiuli saRebaviT orjer</t>
  </si>
  <si>
    <t>gamxsneli</t>
  </si>
  <si>
    <t>4.2-102</t>
  </si>
  <si>
    <t>grunti</t>
  </si>
  <si>
    <t>4.2-85</t>
  </si>
  <si>
    <t>fasadis fiTxi</t>
  </si>
  <si>
    <t>kg.</t>
  </si>
  <si>
    <t xml:space="preserve">sn da w  IV-2-82 t-2 cx.8-5-8            </t>
  </si>
  <si>
    <t>axali korpusis fasadis zedapirebis mopirkeTeba maRali gamZleobis fasadis keramikuli aguriT Sesabamisi teqnologiiT yinvagamZle webo-cementze</t>
  </si>
  <si>
    <t>webo-cementi yinvagamZle</t>
  </si>
  <si>
    <t>4.1-4</t>
  </si>
  <si>
    <t xml:space="preserve">maRali gamZleobis fasadis keramikuli aguri </t>
  </si>
  <si>
    <t>sn da w  IV-2-82 t-2 cx.12-8-3 misadag.</t>
  </si>
  <si>
    <t xml:space="preserve">Senobis fasadis fanjrebze  sacremleebis mowyoba feradi faqturis galvanizirebuli TunuqiT sisqiT aranakleb 0,5 mm-sa </t>
  </si>
  <si>
    <t>1.5-16</t>
  </si>
  <si>
    <t>Tunuqi feradi faqturis sisqiT aranakleb 0,5 mm-sa</t>
  </si>
  <si>
    <t>sn da w  IV-2-82 t-2 cx.8-22-2</t>
  </si>
  <si>
    <t xml:space="preserve">Zveli da axali Senobebis fasadze inventaruli xaraCos dayeneba da daSla </t>
  </si>
  <si>
    <t xml:space="preserve"> kvm vert.pr</t>
  </si>
  <si>
    <t>5-8</t>
  </si>
  <si>
    <t>5-144</t>
  </si>
  <si>
    <t>jami (fasadis mopirkeTeba)</t>
  </si>
  <si>
    <t xml:space="preserve">sportuli inventari </t>
  </si>
  <si>
    <t>kompl.</t>
  </si>
  <si>
    <t xml:space="preserve"> SromiTi resursebi</t>
  </si>
  <si>
    <t>materialuri danaxarji</t>
  </si>
  <si>
    <t>frenburTis badis mowyoba kedelSi ankerebis mowyobiT</t>
  </si>
  <si>
    <t>Sveduri kedlis mowyoba</t>
  </si>
  <si>
    <t>sportuli bagiris mowyoba</t>
  </si>
  <si>
    <t>jami (sportuli inventari)</t>
  </si>
  <si>
    <t>sul lokalur-resursuli uwyisis jami:</t>
  </si>
  <si>
    <t>jami</t>
  </si>
  <si>
    <t xml:space="preserve"> zednadebi xarjebi </t>
  </si>
  <si>
    <t xml:space="preserve">j a m i </t>
  </si>
  <si>
    <t>saxarjTaRricxvo mogeba</t>
  </si>
  <si>
    <t>sul xarjTaRricxviT:</t>
  </si>
  <si>
    <t>ქ.ბათუმის #15 საჯარო სკოლის ახალი სასწავლო და სპორტული კორპუსების მშენებლობა, არსებული კორპუსის რეაბილიტაცია და ტერიტორიის კეთილმოწყობა</t>
  </si>
  <si>
    <t>lokalur-resursuli xarjTaRricxva #1/2</t>
  </si>
  <si>
    <t>Siga santeqnikuri qselebis (civi wyali da kanalizacia) mowyoba</t>
  </si>
  <si>
    <t>I. wyalmomarageba</t>
  </si>
  <si>
    <t>sn da w  IV-2-82 t-3 cx.16-24-2 (damat. gam. .#2)</t>
  </si>
  <si>
    <t xml:space="preserve"> wyalmomaragebis qselis mowyoba d-20 mm pn 25 plastmasis miliT fasonuri nawilebis gamoyenebiT. sistemis hidravlikuri gamocda da misi garecxva qlorirebiT.</t>
  </si>
  <si>
    <t>2.6-21</t>
  </si>
  <si>
    <t xml:space="preserve">plastmasis mili  d-20 mm  pn 25 </t>
  </si>
  <si>
    <t>6-689</t>
  </si>
  <si>
    <t>plastmasis quro d-20 mm</t>
  </si>
  <si>
    <t>6-515</t>
  </si>
  <si>
    <t>plastmasis muxli d-20 mm</t>
  </si>
  <si>
    <t>6-421</t>
  </si>
  <si>
    <t xml:space="preserve"> plastmasis gadamyvani </t>
  </si>
  <si>
    <t>6-772</t>
  </si>
  <si>
    <t>samkapi d-20 mm da plastmasis samkapi gadamyvaniT (0.04+0.19)</t>
  </si>
  <si>
    <t xml:space="preserve"> wyalmomaragebis qselis mowyoba d-20 mm pn 25 armirebuli plastmasis miliT fasonuri nawilebis gamoyenebiT. sistemis hidravlikuri gamocda da misi garecxva qlorirebiT.</t>
  </si>
  <si>
    <t>2.6-34</t>
  </si>
  <si>
    <t xml:space="preserve">armirebuli plastmasis mili  d-20 mm  pn 25 </t>
  </si>
  <si>
    <t>sn da w  IV-2-82 t-3 cx.16-24-3 (damat. gam. .#2)</t>
  </si>
  <si>
    <t>wyalmomaragebis qselis mowyoba d-25 mm pn 25 plastmasis miliT fasonuri nawilebis gamoyenebiT. sistemis hidravlikuri gamocda da misi garecxva qlorirebiT.</t>
  </si>
  <si>
    <t>2.6-22</t>
  </si>
  <si>
    <t xml:space="preserve">plastmasis mili d-25 mm pn25 </t>
  </si>
  <si>
    <t>6-690</t>
  </si>
  <si>
    <t>plastmasis quro d-25 mm</t>
  </si>
  <si>
    <t>6-516</t>
  </si>
  <si>
    <t>plastmasis muxli d-25 mm</t>
  </si>
  <si>
    <t>6-422</t>
  </si>
  <si>
    <t>6-773</t>
  </si>
  <si>
    <t>samkapi d-25 mm da plastmasis samkapi gadamyvaniT (0.04+0.13)</t>
  </si>
  <si>
    <t>wyalmomaragebis qselis mowyoba d-25 mm pn 25 armirebuli  plastmasis miliT fasonuri nawilebis gamoyenebiT. sistemis hidravlikuri gamocda da misi garecxva qlorirebiT.</t>
  </si>
  <si>
    <t>2.6-36</t>
  </si>
  <si>
    <t xml:space="preserve">armirebuli plastmasis mili d-25 mm pn25 </t>
  </si>
  <si>
    <t>sn da w  IV-2-82 t-3 cx.16-24-4 (damat. gam. .#2)</t>
  </si>
  <si>
    <t>wyalmomaragebis qselis mowyoba d-32 mm pn 25 plastmasis miliT fasonuri nawilebis gamoyenebiT. sistemis hidravlikuri gamocda da misi garecxva qlorirebiT.</t>
  </si>
  <si>
    <t>2.6-23</t>
  </si>
  <si>
    <t xml:space="preserve">plastmasis mili d-32 mm pn25 </t>
  </si>
  <si>
    <t>6-691</t>
  </si>
  <si>
    <t>plastmasis quro d-32 mm</t>
  </si>
  <si>
    <t>6-517</t>
  </si>
  <si>
    <t>plastmasis muxli d-32 mm</t>
  </si>
  <si>
    <t>6-774</t>
  </si>
  <si>
    <t>samkapi d-32 mm da plastmasis samkapi gadamyvaniT 0.4+0.1</t>
  </si>
  <si>
    <t>sn da w  IV-2-82 t-3 cx.16-12-1</t>
  </si>
  <si>
    <t xml:space="preserve">milsadenebze d-20 mm plastmasis sferuli ventilis dayeneba </t>
  </si>
  <si>
    <t>6-57</t>
  </si>
  <si>
    <t>plastmasis sferuli ventili d-20 mm</t>
  </si>
  <si>
    <t xml:space="preserve">milsadenebze d-25 mm plastmasis sferuli ventilis dayeneba </t>
  </si>
  <si>
    <t>6-58</t>
  </si>
  <si>
    <t>plastmasis sferuli ventili d-25 mm</t>
  </si>
  <si>
    <t xml:space="preserve">milsadenebze d-32 mm plastmasis sferuli ventilis dayeneba </t>
  </si>
  <si>
    <t>6-59</t>
  </si>
  <si>
    <t>plastmasis sferuli ventili d-32 mm</t>
  </si>
  <si>
    <t>sn da w  IV-2-82 t-3 cx.17-3-3</t>
  </si>
  <si>
    <t xml:space="preserve"> 1/2" ventilis (valveqsi) dayeneba</t>
  </si>
  <si>
    <t>6-123 misad/</t>
  </si>
  <si>
    <t xml:space="preserve"> 1/2" ventili (valveqsi)</t>
  </si>
  <si>
    <t>xelsabanis onkanis dayeneba</t>
  </si>
  <si>
    <t>xelsabanis onkani</t>
  </si>
  <si>
    <t>s.n. da w. IV-2-82t-3 cx.17.2</t>
  </si>
  <si>
    <t>Sxapis Semrevis montaJi</t>
  </si>
  <si>
    <t xml:space="preserve">SromiTi resursebi </t>
  </si>
  <si>
    <t>kac\sT</t>
  </si>
  <si>
    <t>.6-9</t>
  </si>
  <si>
    <t>Sxapis Semrevi</t>
  </si>
  <si>
    <t>kompl</t>
  </si>
  <si>
    <t>jami (Tavi I)</t>
  </si>
  <si>
    <t xml:space="preserve"> kanalizacia</t>
  </si>
  <si>
    <t>sn da w  IV-2-82 t-3 cx.16-6-1</t>
  </si>
  <si>
    <t xml:space="preserve">d-50 mm. plastmasis sakanalizacio milis gayvana fasonuri nawilebisa da samagrebis gamoyenebiT da maTi hidravlikuri gamocda </t>
  </si>
  <si>
    <t>2.6-25</t>
  </si>
  <si>
    <t>plastmasis sakanalizacio mili d-50 mm fasonuri nawilebiT</t>
  </si>
  <si>
    <t>milebis samagri detalebi</t>
  </si>
  <si>
    <t xml:space="preserve">d-100 mm. plastmasis sakanalizacio milis gayvana fasonuri nawilebisa da samagrebis gamoyenebiT, da maTi hidravlikuri gamocda </t>
  </si>
  <si>
    <t>2.6-75</t>
  </si>
  <si>
    <t xml:space="preserve">plastmasis sakanalizacio mili d-100 mm fasonuri nawilebiT </t>
  </si>
  <si>
    <t>sn da w  IV-2-82 t-3 cx.17-1-3</t>
  </si>
  <si>
    <t>SSm pirTaTvis xelsabanis (sifoniTa da gamSvebiT) dayeneba</t>
  </si>
  <si>
    <t>komp.</t>
  </si>
  <si>
    <t>.6-18</t>
  </si>
  <si>
    <t xml:space="preserve">Bxelsabani (sifoni, gamSvebi) </t>
  </si>
  <si>
    <t>4.2-135</t>
  </si>
  <si>
    <t>sn da w  IV-2-82 t-3 cx.17-4-1</t>
  </si>
  <si>
    <t>SSm pirTaTvis unitazis (Camrecxi avziT) dayeneba</t>
  </si>
  <si>
    <t>.6-29</t>
  </si>
  <si>
    <t xml:space="preserve">SSm pirTa unitazi (Camrecxi avziT) </t>
  </si>
  <si>
    <t xml:space="preserve"> sxvadasxva masala</t>
  </si>
  <si>
    <t>sn da w  IV-2-82 t-3 cx.17-3-2-s misadagebiT</t>
  </si>
  <si>
    <t>SSm pirTaTvis xelCasavlebi aqsesuarebis dayeneba</t>
  </si>
  <si>
    <t xml:space="preserve">SSm pirTa xelCasavlebi aqsesuarebiM </t>
  </si>
  <si>
    <t xml:space="preserve"> unitazis (Camrecxi avziT) dayeneba</t>
  </si>
  <si>
    <t>.6-24</t>
  </si>
  <si>
    <t xml:space="preserve"> unitazi (Camrecxi avziT) </t>
  </si>
  <si>
    <t>xelsabanis  (sifoniTa da gamSvebiT) dayeneba</t>
  </si>
  <si>
    <t>.6-13</t>
  </si>
  <si>
    <t>sn da w  IV-2-82 t-3 cx.17-4-4</t>
  </si>
  <si>
    <t>aziuri unitazis (Camrecxi avziT) dayeneba</t>
  </si>
  <si>
    <t>.6-26 da 6-27</t>
  </si>
  <si>
    <t xml:space="preserve">aziuri unitazi (Camrecxi avziT) </t>
  </si>
  <si>
    <t>sn da w  IV-2-82 t-3 cx.17-2</t>
  </si>
  <si>
    <t>6+3-misad.</t>
  </si>
  <si>
    <t>jami (Tavi II)</t>
  </si>
  <si>
    <t>lokalur-resursuli uwyisis jami: (Tavi I+Tavi II)</t>
  </si>
  <si>
    <t>maT Soris: SromiTi resursi</t>
  </si>
  <si>
    <t xml:space="preserve">zednadebi xarjebi </t>
  </si>
  <si>
    <t>jami:</t>
  </si>
  <si>
    <t xml:space="preserve">gegmiuri dagroveba </t>
  </si>
  <si>
    <t xml:space="preserve">sul xarjTaRricxviT: </t>
  </si>
  <si>
    <t>lokalur-resursuli xarjTaRricxva #1/3</t>
  </si>
  <si>
    <t>Siga gaTbobis sistemis mowyoba</t>
  </si>
  <si>
    <t xml:space="preserve">sn da w  IV-2-82 t-3 damateba 2 cx.18-16 </t>
  </si>
  <si>
    <r>
      <t xml:space="preserve">22 </t>
    </r>
    <r>
      <rPr>
        <b/>
        <sz val="9"/>
        <rFont val="Academiuri Nuskhuri"/>
      </rPr>
      <t>PKKP</t>
    </r>
    <r>
      <rPr>
        <b/>
        <sz val="10"/>
        <rFont val="LitNusx"/>
      </rPr>
      <t xml:space="preserve"> 600 markis sxvadasxva sigrZis liTonis paneluri radiatoris dayeneba</t>
    </r>
  </si>
  <si>
    <t>ek.m</t>
  </si>
  <si>
    <t xml:space="preserve">7-23-s misad. </t>
  </si>
  <si>
    <r>
      <t xml:space="preserve">600*300 </t>
    </r>
    <r>
      <rPr>
        <sz val="10"/>
        <rFont val="Calibri"/>
        <family val="2"/>
        <charset val="204"/>
      </rPr>
      <t xml:space="preserve">PKKP-22 </t>
    </r>
    <r>
      <rPr>
        <sz val="10"/>
        <rFont val="LitNusx"/>
      </rPr>
      <t>markis liTonis paneluri radiatori</t>
    </r>
  </si>
  <si>
    <t>proeqtiT</t>
  </si>
  <si>
    <t>7-23 da 7-24</t>
  </si>
  <si>
    <r>
      <t xml:space="preserve">600*500 </t>
    </r>
    <r>
      <rPr>
        <sz val="10"/>
        <rFont val="Calibri"/>
        <family val="2"/>
        <charset val="204"/>
      </rPr>
      <t xml:space="preserve">PKKP-22 </t>
    </r>
    <r>
      <rPr>
        <sz val="10"/>
        <rFont val="LitNusx"/>
      </rPr>
      <t>markis liTonis paneluri radiatori</t>
    </r>
  </si>
  <si>
    <t xml:space="preserve"> 7-24</t>
  </si>
  <si>
    <r>
      <t xml:space="preserve">600*600 </t>
    </r>
    <r>
      <rPr>
        <sz val="10"/>
        <rFont val="Calibri"/>
        <family val="2"/>
        <charset val="204"/>
      </rPr>
      <t xml:space="preserve">PKKP-22 </t>
    </r>
    <r>
      <rPr>
        <sz val="10"/>
        <rFont val="LitNusx"/>
      </rPr>
      <t>markis liTonis paneluri radiatori</t>
    </r>
  </si>
  <si>
    <t xml:space="preserve">7-24 da 7-25 </t>
  </si>
  <si>
    <r>
      <t xml:space="preserve">600*800 </t>
    </r>
    <r>
      <rPr>
        <sz val="10"/>
        <rFont val="Calibri"/>
        <family val="2"/>
        <charset val="204"/>
      </rPr>
      <t xml:space="preserve">PKKP-22 </t>
    </r>
    <r>
      <rPr>
        <sz val="10"/>
        <rFont val="LitNusx"/>
      </rPr>
      <t>markis liTonis paneluri radiatori</t>
    </r>
  </si>
  <si>
    <t>7-25 da 7-26</t>
  </si>
  <si>
    <r>
      <t xml:space="preserve">600*1100 </t>
    </r>
    <r>
      <rPr>
        <sz val="10"/>
        <rFont val="Calibri"/>
        <family val="2"/>
        <charset val="204"/>
      </rPr>
      <t xml:space="preserve">PKKP-22 </t>
    </r>
    <r>
      <rPr>
        <sz val="10"/>
        <rFont val="LitNusx"/>
      </rPr>
      <t>markis liTonis paneluri radiatori</t>
    </r>
  </si>
  <si>
    <r>
      <t xml:space="preserve">600*1200 </t>
    </r>
    <r>
      <rPr>
        <sz val="10"/>
        <rFont val="Calibri"/>
        <family val="2"/>
        <charset val="204"/>
      </rPr>
      <t xml:space="preserve">PKKP-22 </t>
    </r>
    <r>
      <rPr>
        <sz val="10"/>
        <rFont val="LitNusx"/>
      </rPr>
      <t>markis liTonis paneluri radiatori</t>
    </r>
  </si>
  <si>
    <r>
      <t xml:space="preserve">600*1300 </t>
    </r>
    <r>
      <rPr>
        <sz val="10"/>
        <rFont val="Calibri"/>
        <family val="2"/>
        <charset val="204"/>
      </rPr>
      <t xml:space="preserve">PKKP-22 </t>
    </r>
    <r>
      <rPr>
        <sz val="10"/>
        <rFont val="LitNusx"/>
      </rPr>
      <t>markis  liTonis paneluri radiatori</t>
    </r>
  </si>
  <si>
    <t xml:space="preserve"> 7-26</t>
  </si>
  <si>
    <r>
      <t xml:space="preserve">600*1500 </t>
    </r>
    <r>
      <rPr>
        <sz val="10"/>
        <rFont val="Calibri"/>
        <family val="2"/>
        <charset val="204"/>
      </rPr>
      <t xml:space="preserve">PKKP-22 </t>
    </r>
    <r>
      <rPr>
        <sz val="10"/>
        <rFont val="LitNusx"/>
      </rPr>
      <t>markis  liTonis paneluri radiatori</t>
    </r>
  </si>
  <si>
    <t>7-28 da 7-29</t>
  </si>
  <si>
    <r>
      <t xml:space="preserve">600*2000 </t>
    </r>
    <r>
      <rPr>
        <sz val="10"/>
        <rFont val="Calibri"/>
        <family val="2"/>
        <charset val="204"/>
      </rPr>
      <t xml:space="preserve">PKKP-22 </t>
    </r>
    <r>
      <rPr>
        <sz val="10"/>
        <rFont val="LitNusx"/>
      </rPr>
      <t>markis  liTonis paneluri radiatori</t>
    </r>
  </si>
  <si>
    <t>5.240-s misadagebiT k=2</t>
  </si>
  <si>
    <t>kronSteini 2.53*2</t>
  </si>
  <si>
    <t>gaTbobis qselis mowyoba d-20 mm pn25 plastmasis armirebuli miliT fasonuri nawilebis gamoyenebiT. sistemis hidravlikuri gamocda da misi garecxva qlorirebiT.</t>
  </si>
  <si>
    <t xml:space="preserve">plastmasis armirebuli mili d-25 mm pn25 </t>
  </si>
  <si>
    <t>gaTbobis qselis mowyoba  d-32 mm pn25  plastmasis armirebuli miliT fasonuri nawilebis gamoyenebiT. sistemis hidravlikuri gamocda da misi garecxva qlorirebiT.</t>
  </si>
  <si>
    <t>2.6-37</t>
  </si>
  <si>
    <t xml:space="preserve">plastmasis armirebuli mili d-32 mm pn25 </t>
  </si>
  <si>
    <t>sn da w  IV-2-82 t-3 cx.16-24-5 (damat. gam. .#2)</t>
  </si>
  <si>
    <t>gaTbobis qselis mowyoba d-40 mm pn25 plastmasis armirebuli miliT. sistemis hidravlikuri gamocda da misi garecxva qlorirebiT.</t>
  </si>
  <si>
    <t>2.6-51</t>
  </si>
  <si>
    <t xml:space="preserve">plastmasis armirebuli mili d-40 mm pn25 </t>
  </si>
  <si>
    <t>6-692</t>
  </si>
  <si>
    <t>plastmasis quro d-40 mm</t>
  </si>
  <si>
    <t>6-518</t>
  </si>
  <si>
    <t>plastmasis muxli d-40 mm</t>
  </si>
  <si>
    <t>6-425</t>
  </si>
  <si>
    <t>6-776</t>
  </si>
  <si>
    <t>samkapi d-40 mm da plastmasis samkapi gadamyvaniT 0.4+0.4</t>
  </si>
  <si>
    <t>gaTbobis qselis mowyoba d-50 mm pn25 plastmasis armirebuli miliT. sistemis hidravlikuri gamocda da misi garecxva qlorirebiT.</t>
  </si>
  <si>
    <t>2.6-54</t>
  </si>
  <si>
    <t xml:space="preserve">plastmasis armirebuli mili d-50 mm pn25 </t>
  </si>
  <si>
    <t>6-693</t>
  </si>
  <si>
    <t>plastmasis quro d-50 mm</t>
  </si>
  <si>
    <t>6-519</t>
  </si>
  <si>
    <t>plastmasis muxli d-50 mm</t>
  </si>
  <si>
    <t>6-427</t>
  </si>
  <si>
    <t>6-779</t>
  </si>
  <si>
    <t>samkapi d-50 mm da plastmasis samkapi gadamyvaniT 0.04+0.04</t>
  </si>
  <si>
    <t>sn da w  IV-2-82 t-3 cx.16-24-6 (damat. gam. .#2)</t>
  </si>
  <si>
    <t xml:space="preserve"> d-63 mm pn25 plastmasis armirebuli milis montaJi fasonuri nawilebis gamoyenebiT. sistemis hidravlikuri gamocda da misi garecxva qlorirebiT.</t>
  </si>
  <si>
    <t>2.6-56</t>
  </si>
  <si>
    <t xml:space="preserve">plastmasis armirebuli mili d-63 mm pn25 </t>
  </si>
  <si>
    <t>6-428</t>
  </si>
  <si>
    <t>6-782</t>
  </si>
  <si>
    <t>samkapi d-63 mm da plastmasis samkapi gadamyvaniT 0.04+0.03</t>
  </si>
  <si>
    <t xml:space="preserve">milsadenebze d-40 mm sferuli ventilis dayeneba </t>
  </si>
  <si>
    <t>6-60</t>
  </si>
  <si>
    <t>sferuli ventili d-40 mm</t>
  </si>
  <si>
    <t>sn da w  IV-2-82 t-3 cx.16-12-2</t>
  </si>
  <si>
    <t xml:space="preserve"> d-50 mm sferuli ventilis dayeneba </t>
  </si>
  <si>
    <t>6-68</t>
  </si>
  <si>
    <t xml:space="preserve"> sferuli ventili d-50 mm</t>
  </si>
  <si>
    <t xml:space="preserve"> d-63 mm sferuli ventilis dayeneba </t>
  </si>
  <si>
    <t>6-67</t>
  </si>
  <si>
    <t xml:space="preserve"> sferuli ventili d-63 mm</t>
  </si>
  <si>
    <t>radiatoris  ventilebis dayeneba</t>
  </si>
  <si>
    <t>6-100</t>
  </si>
  <si>
    <t>ventili radiatoris (Sesvla)</t>
  </si>
  <si>
    <t>radiatoris ukusvlis ventilebis dayeneba</t>
  </si>
  <si>
    <t>6-101</t>
  </si>
  <si>
    <t>ukusvlis ventili radiatoris</t>
  </si>
  <si>
    <t>sn da w  IV-2-82 t-3 cx.22-16-1-s misad</t>
  </si>
  <si>
    <t>d-32 mm milze Tboizolaciis mowyoba</t>
  </si>
  <si>
    <t>g/m</t>
  </si>
  <si>
    <t>6-87</t>
  </si>
  <si>
    <t xml:space="preserve"> d-32 mm milis Tboizolaciaa</t>
  </si>
  <si>
    <t xml:space="preserve">sxva masalebi </t>
  </si>
  <si>
    <t>d-40 mm milze Tboizolaciis mowyoba</t>
  </si>
  <si>
    <t>6-88</t>
  </si>
  <si>
    <t xml:space="preserve"> d-40 mm milis Tboizolaciaa</t>
  </si>
  <si>
    <t>sn da w  IV-2-82 t-3 cx.22-16-2-s misad</t>
  </si>
  <si>
    <t>d-50 mm milze  Tboizolaciis mowyoba</t>
  </si>
  <si>
    <t>6-89</t>
  </si>
  <si>
    <t xml:space="preserve"> d-50 mm milis Tboizolaciaa</t>
  </si>
  <si>
    <t>d-63 mm milze  Tboizolaciis mowyoba</t>
  </si>
  <si>
    <t>6-90</t>
  </si>
  <si>
    <t xml:space="preserve"> d-63 mm milis Tboizolaciaa</t>
  </si>
  <si>
    <t>lokalur-resursuli uwyisis jami</t>
  </si>
  <si>
    <t>lokalur-resursuli xarjTaRricxva #1/4</t>
  </si>
  <si>
    <t>sn da w  IV-2-82 t-3 cx.16-8-3</t>
  </si>
  <si>
    <t xml:space="preserve"> d-89 mm liTonis milis gayvana da Sesabamisi fasonuri nawilebis da samagrebis dayeneba. sistemis garecxva qlorirebiT.</t>
  </si>
  <si>
    <t>2.1-37</t>
  </si>
  <si>
    <t>liTonis mili d-89 mm</t>
  </si>
  <si>
    <t>6-464</t>
  </si>
  <si>
    <t>liTonis muxli d-89 mm 90 gr.</t>
  </si>
  <si>
    <t>6-157</t>
  </si>
  <si>
    <t>liTonis miltuCi d-80 mm WanWik-qanCebiT</t>
  </si>
  <si>
    <t>6-178</t>
  </si>
  <si>
    <t xml:space="preserve">d-90mm. plastmasis adaptori  </t>
  </si>
  <si>
    <t>6-792</t>
  </si>
  <si>
    <t xml:space="preserve">plastmasis samkapi 90*90*90 mm  </t>
  </si>
  <si>
    <t>6-238</t>
  </si>
  <si>
    <t>liTonis milis samagri 89 mm</t>
  </si>
  <si>
    <t xml:space="preserve"> d-76 mm liTonis milis gayvana da Sesabamisi fasonuri nawilebis da samagrebis dayeneba. sistemis garecxva qlorirebiT.</t>
  </si>
  <si>
    <t>2.1-32</t>
  </si>
  <si>
    <t>liTonis mili d-76 mm</t>
  </si>
  <si>
    <t>6-462</t>
  </si>
  <si>
    <t>liTonis muxli d-76 mm 90 gr.</t>
  </si>
  <si>
    <t>6-236</t>
  </si>
  <si>
    <t>liTonis milis samagri 76 mm</t>
  </si>
  <si>
    <t>sn da w  IV-2-82 t-3 cx.16-8-2</t>
  </si>
  <si>
    <t xml:space="preserve"> d-57 mm liTonis milis gayvana da Sesabamisi fasonuri nawilebis da samagrebis dayeneba. sistemis garecxva qlorirebiT.</t>
  </si>
  <si>
    <t>2.1-26</t>
  </si>
  <si>
    <t>liTonis mili d-57 mm</t>
  </si>
  <si>
    <t>6-460</t>
  </si>
  <si>
    <t>liTonis muxli d-57 mm 90 gr.</t>
  </si>
  <si>
    <t>6-237</t>
  </si>
  <si>
    <t>liTonis milis samagri 57 mm</t>
  </si>
  <si>
    <t>sn da w  IV-2-82 t-3 cx.16-8-1</t>
  </si>
  <si>
    <t xml:space="preserve"> d-42 mm liTonis milis gayvana da Sesabamisi fasonuri nawilebis da samagrebis dayeneba. sistemis garecxva qlorirebiT.</t>
  </si>
  <si>
    <t>2.1-19</t>
  </si>
  <si>
    <t>liTonis mili d-42 mm</t>
  </si>
  <si>
    <t>6-458</t>
  </si>
  <si>
    <t>liTonis muxli d-42 mm 90 gr.</t>
  </si>
  <si>
    <t>liTonis milis samagri 42 mm</t>
  </si>
  <si>
    <t xml:space="preserve"> d-32 mm liTonis milis gayvana da Sesabamisi fasonuri nawilebis da samagrebis dayeneba. sistemis garecxva qlorirebiT.</t>
  </si>
  <si>
    <t>2.1-12</t>
  </si>
  <si>
    <t>liTonis mili d-32 mm</t>
  </si>
  <si>
    <t>6-457</t>
  </si>
  <si>
    <t>liTonis muxli d-32 mm 90 gr.</t>
  </si>
  <si>
    <t>samkapi d-32 mm 90 gr.</t>
  </si>
  <si>
    <t>6-234</t>
  </si>
  <si>
    <t>liTonis milis samagri 32 mm</t>
  </si>
  <si>
    <t xml:space="preserve">s.n. da w.  t.3 cx. 22-20-4   </t>
  </si>
  <si>
    <t>d-32-42 mm  liTonis milebis hidravlikuri gamocda</t>
  </si>
  <si>
    <t>SromiTi danaxarjebi</t>
  </si>
  <si>
    <t>semeki</t>
  </si>
  <si>
    <t xml:space="preserve"> wyali</t>
  </si>
  <si>
    <t>d-57-76-89 mm  liTonis milebis hidravlikuri gamocda</t>
  </si>
  <si>
    <t>liTonis milebis da fasonuri nawilebis gawmenda da dagruntva</t>
  </si>
  <si>
    <t>liTonis milebis da fasonuri nawilebis SeRebva antikoroziuli saRebaviT 2 jer.</t>
  </si>
  <si>
    <t>sn da w  IV-2-82 t-3 cx.16-16-1-misad</t>
  </si>
  <si>
    <t xml:space="preserve"> sasignalo-sakontrolo sarqvelis dayeneba</t>
  </si>
  <si>
    <t>12.1-36</t>
  </si>
  <si>
    <t xml:space="preserve"> sasignalo-sakontrolo sarqveli </t>
  </si>
  <si>
    <t>sn da w  IV-2-82 t-3 cx.18-15-3</t>
  </si>
  <si>
    <t xml:space="preserve"> manometris (0-10 bari) dayeneba</t>
  </si>
  <si>
    <t>7-588</t>
  </si>
  <si>
    <t xml:space="preserve"> manometri (0-10 bari) </t>
  </si>
  <si>
    <t>komp</t>
  </si>
  <si>
    <t>sn da w  IV-2-82 t-3 cx.18-11-7</t>
  </si>
  <si>
    <t>d-15 avtomaturi haergamSvebis dayeneba</t>
  </si>
  <si>
    <t>d-15 mm  avtomaturi haergamSvebi</t>
  </si>
  <si>
    <t>sn da w  IV-2-82 t-3 cx.16-16-2-misad</t>
  </si>
  <si>
    <t>12.1-41</t>
  </si>
  <si>
    <t xml:space="preserve">saxanZro spilkeri </t>
  </si>
  <si>
    <t>lokalur-resursuli xarjTaRricxva #1/5</t>
  </si>
  <si>
    <t>saventilacio sistemis mowyoba</t>
  </si>
  <si>
    <t>samuSaoebisa da danaxarjebis dasaxeleba</t>
  </si>
  <si>
    <t>ganzomilebis       erTeuli</t>
  </si>
  <si>
    <t>saxarjRaRricxvo Rirebuleba</t>
  </si>
  <si>
    <t>ganzomilebis erTeulze</t>
  </si>
  <si>
    <t>saproeqto monacemebze</t>
  </si>
  <si>
    <t>sul</t>
  </si>
  <si>
    <t>sn da w  IV-2-82 t-3 cx.20-1-1</t>
  </si>
  <si>
    <t>saventilacio Hhaersataris mowyoba 0,6 mm moTuTiebuli furclebisagan haersataris permetriT 1000 m.m.-de</t>
  </si>
  <si>
    <t>7-623</t>
  </si>
  <si>
    <t>haersatari 0,6 mm sisqis moTuTiebuli milisagan</t>
  </si>
  <si>
    <t>1.10-16-s misad.</t>
  </si>
  <si>
    <t>haersataris samagri</t>
  </si>
  <si>
    <t>sn da w  IV-2-82 t-3 cx.20-7-1</t>
  </si>
  <si>
    <t>100*100 mm cxauris dayeneba</t>
  </si>
  <si>
    <t xml:space="preserve">7-515-s misad. </t>
  </si>
  <si>
    <t>100*100 mm  cxauri</t>
  </si>
  <si>
    <t>lokalur-resursuli uwyisis jami:</t>
  </si>
  <si>
    <t>lokalur-resursuli xarjTaRricxva #1/6</t>
  </si>
  <si>
    <t>Siga el.samontaJo samuSaoebi</t>
  </si>
  <si>
    <t>sn da w  IV-6-82 T-6 cx.8-524-10</t>
  </si>
  <si>
    <t>kedelze samontaJo mTavari gamanawilebeli faris dayeneba (dacvis klasi ip-54) Sesabamisi samagri detalebis gamoyenebiT</t>
  </si>
  <si>
    <t>8.14-299-misad</t>
  </si>
  <si>
    <t>mTavari gamanawilebeli fari-samagri detalebiT (dacvis klasi ip-54)</t>
  </si>
  <si>
    <t>sn da w  IV-6-82 t.3 cx. 21-24-2</t>
  </si>
  <si>
    <t xml:space="preserve">mTavar gamanawilebel farSi 3*63a avtomaturi amomrTvelis dayeneba da momzadeba CarTvisaTvis </t>
  </si>
  <si>
    <t>8.14-60</t>
  </si>
  <si>
    <t>sampolusa avtomaturi amomrTveli 100 a</t>
  </si>
  <si>
    <t>sn da w  IV-6-82 t.3 cx. 21-24-1</t>
  </si>
  <si>
    <t xml:space="preserve">mTavar gamanawilebel farSi 3*16a avtomaturi amomrTvelis dayeneba da momzadeba CarTvisaTvis </t>
  </si>
  <si>
    <t>8.14-56</t>
  </si>
  <si>
    <t>sampolusa avtomaturi amomrTveli 16 a</t>
  </si>
  <si>
    <t xml:space="preserve"> mTavar gamanawilebel farSi 1*25a avtomaturi amomrTvelis dayeneba da momzadeba CarTvisaTvis </t>
  </si>
  <si>
    <t>8.14-53</t>
  </si>
  <si>
    <t>erTpolusa avtomaturi amomrTveli 25 a</t>
  </si>
  <si>
    <t xml:space="preserve"> mTavar gamanawilebel farSi 1*16a avtomaturi amomrTvelis dayeneba da momzadeba CarTvisaTvis </t>
  </si>
  <si>
    <t>erTpolusa avtomaturi amomrTveli 16 a</t>
  </si>
  <si>
    <t xml:space="preserve"> mTavar gamanawilebel farSi 1*10a avtomaturi amomrTvelis dayeneba da momzadeba CarTvisaTvis </t>
  </si>
  <si>
    <t>erTpolusa avtomaturi amomrTveli 10 a</t>
  </si>
  <si>
    <t xml:space="preserve"> mTavar gamanawilebel farSi 1*6a avtomaturi amomrTvelis dayeneba da momzadeba CarTvisaTvis </t>
  </si>
  <si>
    <t>8.14-53-msad.</t>
  </si>
  <si>
    <t>erTpolusa avtomaturi amomrTveli 6 a</t>
  </si>
  <si>
    <t>sn da w  IV-6-82 T-6 cx.8-527-1</t>
  </si>
  <si>
    <t xml:space="preserve">liftisaTvis Semyvan-gamanawilebeli faris dayeneba </t>
  </si>
  <si>
    <t>8.14-328</t>
  </si>
  <si>
    <t xml:space="preserve"> Semyvan-gamanawilebeli fari</t>
  </si>
  <si>
    <t xml:space="preserve">liftis Semyvan-gamanawilebel farSi 3*16a avtomaturi amomrTvelis dayeneba da momzadeba CarTvisaTvis </t>
  </si>
  <si>
    <t xml:space="preserve">avariuli ganaTebis faris dayeneba </t>
  </si>
  <si>
    <t xml:space="preserve"> avariuli ganaTebis farSi 1*10a avtomaturi amomrTvelis dayeneba da momzadeba CarTvisaTvis </t>
  </si>
  <si>
    <t xml:space="preserve">Cafluli tipis 12 jgufiani Semyvan-gamanawilebeli faris dayeneba </t>
  </si>
  <si>
    <t>8.14-330</t>
  </si>
  <si>
    <t>12 jgufiani Semyvan-gamanawilebeli fari</t>
  </si>
  <si>
    <t xml:space="preserve">Cafluli tipis 6 jgufiani Semyvan-gamanawilebeli faris dayeneba </t>
  </si>
  <si>
    <t>6 jgufiani Semyvan-gamanawilebeli fari</t>
  </si>
  <si>
    <t xml:space="preserve">Semyvan-gamanawilebel farebSi 3*16a avtomaturi amomrTvelis dayeneba da momzadeba CarTvisaTvis </t>
  </si>
  <si>
    <t xml:space="preserve">Semyvan-gamanawilebel farebSi 1*16a avtomaturi amomrTvelis dayeneba da momzadeba CarTvisaTvis </t>
  </si>
  <si>
    <t xml:space="preserve">Semyvan-gamanawilebel farebSi 1*10a avtomaturi amomrTvelis dayeneba da momzadeba CarTvisaTvis </t>
  </si>
  <si>
    <t xml:space="preserve">Semyvan-gamanawilebel farebSi 1*10a diferencialuri avtomaturi amomrTvelis dayeneba da momzadeba CarTvisaTvis </t>
  </si>
  <si>
    <t>8.14-97-misad</t>
  </si>
  <si>
    <t>erTpolusa diferencialuri avtomaturi amomrTveli 10 a</t>
  </si>
  <si>
    <t>sn da w  IV-6-82 T-6 cx.
10-698-1-misad.</t>
  </si>
  <si>
    <t>80*80 mm gamanawilebeli kolofebis montaJi</t>
  </si>
  <si>
    <t>8.14-341</t>
  </si>
  <si>
    <t>gamanawilebeli kolofi 80*80 mm.</t>
  </si>
  <si>
    <t>sn da w  IV-2-82 Tavi 6 cx.8-591-7</t>
  </si>
  <si>
    <t>damiwebis kontaqtiani Cafluli tipis faruli Stefseluri rozetis dayeneba</t>
  </si>
  <si>
    <t>8.14-237</t>
  </si>
  <si>
    <t xml:space="preserve">damiwebis kontaqtiani Cafluli tipis faruli Stefseluri rozeti </t>
  </si>
  <si>
    <t>sn da w  IV-2-82 Tavi 6 cx.8-591-2</t>
  </si>
  <si>
    <t>erT polusa Cafluli tipis CamrTvelis dayeneba</t>
  </si>
  <si>
    <t>8.14-14</t>
  </si>
  <si>
    <t>erTpolusa CamrTveli samontaJo kolofiT</t>
  </si>
  <si>
    <t>sn da w  IV-2-82 Tavi 6 cx.8-591-10</t>
  </si>
  <si>
    <t>orpolusa Cafluli tipis CamrTvelis dayeneba</t>
  </si>
  <si>
    <t>8.14-15</t>
  </si>
  <si>
    <t>orpolusa CamrTveli samontaJo kolofiT</t>
  </si>
  <si>
    <t>sn da w  IV-2-82 Tavi 6 cx.10-744-4</t>
  </si>
  <si>
    <t xml:space="preserve">eletrozaris dayeneba </t>
  </si>
  <si>
    <t>1.14-289</t>
  </si>
  <si>
    <t>eletrozari</t>
  </si>
  <si>
    <t>23</t>
  </si>
  <si>
    <t>sn da w  IV-2-82 t-3 cx.21-25-5</t>
  </si>
  <si>
    <t>1*36 vt. simZlavris Suqdioduri universaluri paneli naTuriT ( dacvis klasi aranakleb ip20-sa)</t>
  </si>
  <si>
    <t>24</t>
  </si>
  <si>
    <t>sn da w  IV-2-82 Tavi 6 cx.8-597-1</t>
  </si>
  <si>
    <t xml:space="preserve"> 1*30 vt. simZlavris proJeqtoruli tipis Suqdioduri sanaTuris (dacvis klasi ip65) da naTuris dayeneba </t>
  </si>
  <si>
    <t>1*30 vt. simZlavris Suqdioduri sanaTuri naTuriT (150*120*38 mm, dacvis klasi ip65)</t>
  </si>
  <si>
    <t>25</t>
  </si>
  <si>
    <t xml:space="preserve"> 1*24 vt. simZlavris saaqto darbazis, scenis led sanaTis (dacvis klasi aranakleb ip20)  da naTuris dayeneba </t>
  </si>
  <si>
    <t>8.14-225</t>
  </si>
  <si>
    <t>1*24 vt. led sanaTi naTuriT (dacvis klasi aranakleb ip20)</t>
  </si>
  <si>
    <t>26</t>
  </si>
  <si>
    <t xml:space="preserve"> 1*15 vt. simZlavris kedlis/Weris Suqdoduri led sanaTis (dacvis klasi aranakleb ip20)  da naTuris dayeneba </t>
  </si>
  <si>
    <t xml:space="preserve">1*15 vt. simZlavris kedlis/Weris Suqdoduri led sanaTis (dacvis klasi aranakleb ip20)  da naTura </t>
  </si>
  <si>
    <t>27</t>
  </si>
  <si>
    <t>sn da w  IV-2-82 t-3 damat. 1  cx.21-28-1</t>
  </si>
  <si>
    <t xml:space="preserve"> 1*15 vt. simZlavris kedlis led sanaTuris (dacvis klasi ip54)  da naTuris dayeneba </t>
  </si>
  <si>
    <t>1*15 vt. simZlavris led sanaTi naTuriT (dacvis klasi ip54)</t>
  </si>
  <si>
    <t xml:space="preserve"> 1*9 vt. simZlavris hermetuli Sesrulebis Weris led sanaTuris (dacvis klasi ip54)  da naTuris dayeneba </t>
  </si>
  <si>
    <t>8.14-195</t>
  </si>
  <si>
    <t>1*9 vt. simZlavris hermetuli Sesrulebis led sanaTi naTuriT (dacvis klasi ip54)</t>
  </si>
  <si>
    <t xml:space="preserve"> 1*9 vt. simZlavris akumulatoriT integrirebuli kedlis/Weris led sanaTis ( dacvis klasi aranakleb ip20-sa)  da naTuris dayeneba </t>
  </si>
  <si>
    <t xml:space="preserve"> 1*9 vt. simZlavris akumulatoriT integrirebuli kedlis/Weris led sanaTis ( dacvis klasi aranakleb ip20-sa)  da naTura </t>
  </si>
  <si>
    <t>sn da w  IV-2-82 t-3 cx.21-29</t>
  </si>
  <si>
    <t>perforirebuli liTonis 200*40 mm  kabel-arxis gayvana</t>
  </si>
  <si>
    <t>8.14-399</t>
  </si>
  <si>
    <t xml:space="preserve">perforirebuli liTonis 50*50*0.7 mm  kabel-arxi </t>
  </si>
  <si>
    <t>8.14-405-misad</t>
  </si>
  <si>
    <t>sakabelo arxis samagri Weris kronSteini</t>
  </si>
  <si>
    <t>1.10-22</t>
  </si>
  <si>
    <t xml:space="preserve">sarWi </t>
  </si>
  <si>
    <t>sn da w  IV-2-82 t-3 cx.21-15-3</t>
  </si>
  <si>
    <t>d-50 mm. poliqlorvinilis gluvi mili sakabelo arxis gayvana</t>
  </si>
  <si>
    <t>2.6-1</t>
  </si>
  <si>
    <t xml:space="preserve">poliqlorvinilis  mili d-50 </t>
  </si>
  <si>
    <t>sn da w  IV-2-82 t-3 cx.21-18-1</t>
  </si>
  <si>
    <r>
      <t>H</t>
    </r>
    <r>
      <rPr>
        <b/>
        <sz val="10"/>
        <rFont val="Sylfaen"/>
        <family val="1"/>
        <charset val="204"/>
      </rPr>
      <t>H</t>
    </r>
    <r>
      <rPr>
        <b/>
        <sz val="10"/>
        <rFont val="LitNusx"/>
      </rPr>
      <t>2X</t>
    </r>
    <r>
      <rPr>
        <b/>
        <sz val="10"/>
        <rFont val="Sylfaen"/>
        <family val="1"/>
        <charset val="204"/>
      </rPr>
      <t>H-3</t>
    </r>
    <r>
      <rPr>
        <b/>
        <sz val="10"/>
        <rFont val="LitNusx"/>
      </rPr>
      <t>*1,5 kv.mm ganikveTis spilenZis eleqtro sadenis gayvana daxuruli el.gayvanilobisTvis</t>
    </r>
  </si>
  <si>
    <t>8.3-20</t>
  </si>
  <si>
    <r>
      <t>H</t>
    </r>
    <r>
      <rPr>
        <sz val="10"/>
        <rFont val="Sylfaen"/>
        <family val="1"/>
        <charset val="204"/>
      </rPr>
      <t>H</t>
    </r>
    <r>
      <rPr>
        <sz val="10"/>
        <rFont val="LitNusx"/>
      </rPr>
      <t>2X</t>
    </r>
    <r>
      <rPr>
        <sz val="10"/>
        <rFont val="Sylfaen"/>
        <family val="1"/>
        <charset val="204"/>
      </rPr>
      <t>H</t>
    </r>
    <r>
      <rPr>
        <sz val="10"/>
        <rFont val="LitNusx"/>
      </rPr>
      <t>-3*1,5 kv.mm ganikveTis spilenZis eleqtro sadeni</t>
    </r>
  </si>
  <si>
    <r>
      <t xml:space="preserve"> H</t>
    </r>
    <r>
      <rPr>
        <b/>
        <sz val="10"/>
        <rFont val="Sylfaen"/>
        <family val="1"/>
        <charset val="204"/>
      </rPr>
      <t>H</t>
    </r>
    <r>
      <rPr>
        <b/>
        <sz val="10"/>
        <rFont val="LitNusx"/>
      </rPr>
      <t>2X</t>
    </r>
    <r>
      <rPr>
        <b/>
        <sz val="10"/>
        <rFont val="Sylfaen"/>
        <family val="1"/>
        <charset val="204"/>
      </rPr>
      <t>H-</t>
    </r>
    <r>
      <rPr>
        <b/>
        <sz val="10"/>
        <rFont val="LitNusx"/>
      </rPr>
      <t>3*2,5 kv.mm ganikveTis spilenZis eleqtro sadenebis gayvana daxuruli el.gayvanilobisTvis</t>
    </r>
  </si>
  <si>
    <t>8.3-21</t>
  </si>
  <si>
    <r>
      <t>H</t>
    </r>
    <r>
      <rPr>
        <sz val="10"/>
        <rFont val="Sylfaen"/>
        <family val="1"/>
        <charset val="204"/>
      </rPr>
      <t>H</t>
    </r>
    <r>
      <rPr>
        <sz val="10"/>
        <rFont val="LitNusx"/>
      </rPr>
      <t>2X</t>
    </r>
    <r>
      <rPr>
        <sz val="10"/>
        <rFont val="Sylfaen"/>
        <family val="1"/>
        <charset val="204"/>
      </rPr>
      <t>H</t>
    </r>
    <r>
      <rPr>
        <sz val="10"/>
        <rFont val="LitNusx"/>
      </rPr>
      <t>-3*2,5 kv.mm ganikveTis spilenZis eleqtro sadeni</t>
    </r>
  </si>
  <si>
    <r>
      <t>H</t>
    </r>
    <r>
      <rPr>
        <b/>
        <sz val="10"/>
        <rFont val="Sylfaen"/>
        <family val="1"/>
        <charset val="204"/>
      </rPr>
      <t>H</t>
    </r>
    <r>
      <rPr>
        <b/>
        <sz val="10"/>
        <rFont val="LitNusx"/>
      </rPr>
      <t>2X</t>
    </r>
    <r>
      <rPr>
        <b/>
        <sz val="10"/>
        <rFont val="Sylfaen"/>
        <family val="1"/>
        <charset val="204"/>
      </rPr>
      <t>H-</t>
    </r>
    <r>
      <rPr>
        <b/>
        <sz val="10"/>
        <rFont val="LitNusx"/>
      </rPr>
      <t>3*4 kv.mm ganikveTis spilenZis eleqtro sadenebis gayvana daxuruli el.gayvanilobisTvis</t>
    </r>
  </si>
  <si>
    <t>8.3-62</t>
  </si>
  <si>
    <r>
      <t>H</t>
    </r>
    <r>
      <rPr>
        <sz val="10"/>
        <rFont val="Sylfaen"/>
        <family val="1"/>
        <charset val="204"/>
      </rPr>
      <t>H</t>
    </r>
    <r>
      <rPr>
        <sz val="10"/>
        <rFont val="LitNusx"/>
      </rPr>
      <t>2X</t>
    </r>
    <r>
      <rPr>
        <sz val="10"/>
        <rFont val="Sylfaen"/>
        <family val="1"/>
        <charset val="204"/>
      </rPr>
      <t>H</t>
    </r>
    <r>
      <rPr>
        <sz val="10"/>
        <rFont val="LitNusx"/>
      </rPr>
      <t>-3*4 kv.mm ganikveTis spilenZis eleqtro sadeni</t>
    </r>
  </si>
  <si>
    <t>35</t>
  </si>
  <si>
    <r>
      <t>H</t>
    </r>
    <r>
      <rPr>
        <b/>
        <sz val="10"/>
        <rFont val="Sylfaen"/>
        <family val="1"/>
        <charset val="204"/>
      </rPr>
      <t>H</t>
    </r>
    <r>
      <rPr>
        <b/>
        <sz val="10"/>
        <rFont val="LitNusx"/>
      </rPr>
      <t>2X</t>
    </r>
    <r>
      <rPr>
        <b/>
        <sz val="10"/>
        <rFont val="Sylfaen"/>
        <family val="1"/>
        <charset val="204"/>
      </rPr>
      <t>H-5</t>
    </r>
    <r>
      <rPr>
        <b/>
        <sz val="10"/>
        <rFont val="LitNusx"/>
      </rPr>
      <t>*4 kv.mm ganikveTis spilenZis eleqtro sadenebis gayvana daxuruli el.gayvanilobisTvis</t>
    </r>
  </si>
  <si>
    <t>8.3-30</t>
  </si>
  <si>
    <r>
      <t>H</t>
    </r>
    <r>
      <rPr>
        <sz val="10"/>
        <rFont val="Sylfaen"/>
        <family val="1"/>
        <charset val="204"/>
      </rPr>
      <t>H</t>
    </r>
    <r>
      <rPr>
        <sz val="10"/>
        <rFont val="LitNusx"/>
      </rPr>
      <t>2X</t>
    </r>
    <r>
      <rPr>
        <sz val="10"/>
        <rFont val="Sylfaen"/>
        <family val="1"/>
        <charset val="204"/>
      </rPr>
      <t>H</t>
    </r>
    <r>
      <rPr>
        <sz val="10"/>
        <rFont val="LitNusx"/>
      </rPr>
      <t>-5*4 kv.mm ganikveTis spilenZis eleqtro sadeni</t>
    </r>
  </si>
  <si>
    <t>36</t>
  </si>
  <si>
    <r>
      <t>H</t>
    </r>
    <r>
      <rPr>
        <b/>
        <sz val="10"/>
        <rFont val="Sylfaen"/>
        <family val="1"/>
        <charset val="204"/>
      </rPr>
      <t>H</t>
    </r>
    <r>
      <rPr>
        <b/>
        <sz val="10"/>
        <rFont val="LitNusx"/>
      </rPr>
      <t>2X</t>
    </r>
    <r>
      <rPr>
        <b/>
        <sz val="10"/>
        <rFont val="Sylfaen"/>
        <family val="1"/>
        <charset val="204"/>
      </rPr>
      <t>H-5</t>
    </r>
    <r>
      <rPr>
        <b/>
        <sz val="10"/>
        <rFont val="LitNusx"/>
      </rPr>
      <t>*6 kv.mm ganikveTis spilenZis eleqtro sadenebis gayvana daxuruli el.gayvanilobisTvis</t>
    </r>
  </si>
  <si>
    <t>8.3-31</t>
  </si>
  <si>
    <t>sn da w  IV-2-82 Tavi 6 cx.8-471-4</t>
  </si>
  <si>
    <t>d-18 mm damiwebis eleqtrodebis, simaRliT 3 m, Casoba gruntSi</t>
  </si>
  <si>
    <t>1.1-20</t>
  </si>
  <si>
    <t>damiwebis eleqtrodi d-18 mm</t>
  </si>
  <si>
    <t>sn da w  IV-2-82 Tavi 6 cx.8-472-2</t>
  </si>
  <si>
    <t xml:space="preserve"> damiwebis horizontaluri konturis mowyoba 40X4 zolovanaTi</t>
  </si>
  <si>
    <t>1.6-59</t>
  </si>
  <si>
    <t>zolovana 40х4</t>
  </si>
  <si>
    <t>39</t>
  </si>
  <si>
    <r>
      <t>H</t>
    </r>
    <r>
      <rPr>
        <b/>
        <sz val="10"/>
        <rFont val="Sylfaen"/>
        <family val="1"/>
        <charset val="204"/>
      </rPr>
      <t>H</t>
    </r>
    <r>
      <rPr>
        <b/>
        <sz val="10"/>
        <rFont val="LitNusx"/>
      </rPr>
      <t>2X</t>
    </r>
    <r>
      <rPr>
        <b/>
        <sz val="10"/>
        <rFont val="Sylfaen"/>
        <family val="1"/>
        <charset val="204"/>
      </rPr>
      <t>H-1</t>
    </r>
    <r>
      <rPr>
        <b/>
        <sz val="10"/>
        <rFont val="LitNusx"/>
      </rPr>
      <t>*16 kv.mm ganikveTis spilenZis eleqtro sadenebis SeerTeba damiwebis konturTan</t>
    </r>
  </si>
  <si>
    <t>8.3-85</t>
  </si>
  <si>
    <r>
      <t>H</t>
    </r>
    <r>
      <rPr>
        <sz val="10"/>
        <rFont val="Sylfaen"/>
        <family val="1"/>
        <charset val="204"/>
      </rPr>
      <t>H</t>
    </r>
    <r>
      <rPr>
        <sz val="10"/>
        <rFont val="LitNusx"/>
      </rPr>
      <t>2X</t>
    </r>
    <r>
      <rPr>
        <sz val="10"/>
        <rFont val="Sylfaen"/>
        <family val="1"/>
        <charset val="204"/>
      </rPr>
      <t>H</t>
    </r>
    <r>
      <rPr>
        <sz val="10"/>
        <rFont val="LitNusx"/>
      </rPr>
      <t>-1*16 kv.mm ganikveTis spilenZis eleqtro sadeni bunikebiT</t>
    </r>
  </si>
  <si>
    <t>8.14-408</t>
  </si>
  <si>
    <t>kabeldamaboloebeli buniki 16 kv.mm</t>
  </si>
  <si>
    <t>pr.</t>
  </si>
  <si>
    <t>1.10-28</t>
  </si>
  <si>
    <t>WanWiki da qanCi m-6</t>
  </si>
  <si>
    <t xml:space="preserve">lokalur-resursuli uwyisis jami: 
</t>
  </si>
  <si>
    <t>maT Soris: SromiTi danaxarji</t>
  </si>
  <si>
    <t>zednadebi xarjebi SromiTi resursebidan</t>
  </si>
  <si>
    <t>j a m i</t>
  </si>
  <si>
    <t>saxanZro signalizaciis qselis mowyoba</t>
  </si>
  <si>
    <t>sn da w IV-6-82 T-6 cx.10-742-13</t>
  </si>
  <si>
    <t>12.1-61</t>
  </si>
  <si>
    <t>saxanZro signalizaciis marTvis paneli</t>
  </si>
  <si>
    <t>sn da w IV-6-82 T-6 cx.8-121-1</t>
  </si>
  <si>
    <t xml:space="preserve"> akumulatoris dayeneba </t>
  </si>
  <si>
    <t>8.14-36</t>
  </si>
  <si>
    <t>აკუმულატორი 12v/7 a/s rsa 15</t>
  </si>
  <si>
    <t>sn da w IV-6-82 T-6 cx.10-743-2</t>
  </si>
  <si>
    <t>samisamarTo kvamlis deteqtoris  (universaluri samagri ZiriT) dayeneba</t>
  </si>
  <si>
    <t>12.1-59</t>
  </si>
  <si>
    <r>
      <t xml:space="preserve">samisamarTo kvamlis deteqtori </t>
    </r>
    <r>
      <rPr>
        <sz val="10"/>
        <rFont val="Academiuri Nuskhuri"/>
      </rPr>
      <t/>
    </r>
  </si>
  <si>
    <t>12.1-63</t>
  </si>
  <si>
    <r>
      <t xml:space="preserve">universaluri samagri Ziri </t>
    </r>
    <r>
      <rPr>
        <sz val="10"/>
        <rFont val="Academiuri Nuskhuri"/>
      </rPr>
      <t/>
    </r>
  </si>
  <si>
    <t>sn da w IV-6-82 T-6 cx.10-744-5</t>
  </si>
  <si>
    <t>samisamarTo xelis Rilakiani deteqtoris (xp-95)  dayeneba</t>
  </si>
  <si>
    <t>12.1-69</t>
  </si>
  <si>
    <t>samisamarTo xelis Rilakiani deteqtori</t>
  </si>
  <si>
    <t>sn da w IV-6-82 T-6 cx.10-744-6</t>
  </si>
  <si>
    <t>obtikur-akustikuri mauwyebelis (sirena - sayviri db-100) dayeneba</t>
  </si>
  <si>
    <t>12.1-64</t>
  </si>
  <si>
    <t xml:space="preserve">optikur-akustikuri mauwyebeli db-100 </t>
  </si>
  <si>
    <t>sn da w  IV-2-82 Tavi 6 cx.8-599-1</t>
  </si>
  <si>
    <t xml:space="preserve"> avariuli naTebis akumulatoriT integrirebuli Suqdioduri sanaTis (365*180*25 mm, 3 v, 50 h, 40 lm)  warweriT ,,gasasvleli" dayeneba </t>
  </si>
  <si>
    <t>9-81</t>
  </si>
  <si>
    <t xml:space="preserve"> avariuli naTebis akumulatoriT integrirebuli Suqdioduri sanaTi (365*180*25 mm, 3 v, 50 h, 40 lm)  warweriT ,,gasasvleli" </t>
  </si>
  <si>
    <t>sn da w IV-6-82 T-6 cx.10-54-11</t>
  </si>
  <si>
    <r>
      <t xml:space="preserve">saxanZro signalizaciis da sirenis 2*2*0.8 </t>
    </r>
    <r>
      <rPr>
        <b/>
        <sz val="10"/>
        <rFont val="Sylfaen"/>
        <family val="1"/>
        <charset val="204"/>
      </rPr>
      <t xml:space="preserve">JH (st) H FE 180  FE 180 </t>
    </r>
    <r>
      <rPr>
        <b/>
        <sz val="10"/>
        <rFont val="LitNusx"/>
      </rPr>
      <t>kabelebis gayvana</t>
    </r>
  </si>
  <si>
    <t xml:space="preserve"> grZ.m</t>
  </si>
  <si>
    <t>12.1-57</t>
  </si>
  <si>
    <r>
      <t>saxanZro signalizaciis da sirenis kabeli   2×2×0,8 mm</t>
    </r>
    <r>
      <rPr>
        <vertAlign val="superscript"/>
        <sz val="10"/>
        <rFont val="LitNusx"/>
      </rPr>
      <t>2</t>
    </r>
    <r>
      <rPr>
        <sz val="10"/>
        <rFont val="LitNusx"/>
      </rPr>
      <t xml:space="preserve">² </t>
    </r>
    <r>
      <rPr>
        <sz val="10"/>
        <rFont val="Sylfaen"/>
        <family val="1"/>
        <charset val="204"/>
      </rPr>
      <t xml:space="preserve">JH(st) H FE 180 FE </t>
    </r>
    <r>
      <rPr>
        <sz val="10"/>
        <rFont val="LitNusx"/>
      </rPr>
      <t>180  FE</t>
    </r>
  </si>
  <si>
    <r>
      <t>H</t>
    </r>
    <r>
      <rPr>
        <b/>
        <sz val="10"/>
        <rFont val="Sylfaen"/>
        <family val="1"/>
        <charset val="204"/>
      </rPr>
      <t>H</t>
    </r>
    <r>
      <rPr>
        <b/>
        <sz val="10"/>
        <rFont val="LitNusx"/>
      </rPr>
      <t>2X</t>
    </r>
    <r>
      <rPr>
        <b/>
        <sz val="10"/>
        <rFont val="Sylfaen"/>
        <family val="1"/>
        <charset val="204"/>
      </rPr>
      <t>H-2</t>
    </r>
    <r>
      <rPr>
        <b/>
        <sz val="10"/>
        <rFont val="LitNusx"/>
      </rPr>
      <t>*1,5 kv.mm ganikveTis spilenZis eleqtro sadenis gayvana daxuruli el.gayvanilobisTvis</t>
    </r>
  </si>
  <si>
    <t>8.3-19</t>
  </si>
  <si>
    <r>
      <t>H</t>
    </r>
    <r>
      <rPr>
        <sz val="10"/>
        <rFont val="Sylfaen"/>
        <family val="1"/>
        <charset val="204"/>
      </rPr>
      <t>H</t>
    </r>
    <r>
      <rPr>
        <sz val="10"/>
        <rFont val="LitNusx"/>
      </rPr>
      <t>2X</t>
    </r>
    <r>
      <rPr>
        <sz val="10"/>
        <rFont val="Sylfaen"/>
        <family val="1"/>
        <charset val="204"/>
      </rPr>
      <t>H</t>
    </r>
    <r>
      <rPr>
        <sz val="10"/>
        <rFont val="LitNusx"/>
      </rPr>
      <t>-2*1,5 kv.mm ganikveTis spilenZis eleqtro sadeni</t>
    </r>
  </si>
  <si>
    <t>cecxlsaqrobis montaJi</t>
  </si>
  <si>
    <t>12.1-.10</t>
  </si>
  <si>
    <t xml:space="preserve">lokalur-resursuli uwyisis jami </t>
  </si>
  <si>
    <t>zednadebi xarjebi (SromiTi resursebidan)</t>
  </si>
  <si>
    <t>mTliani saxarjTaRricxvo Rirebuleba</t>
  </si>
  <si>
    <t>lokalur-resursuli xarjTaRricxva #1/8</t>
  </si>
  <si>
    <t>susti denebis qselis mowyoba</t>
  </si>
  <si>
    <t>sn da w IV-6-82 T-6 cx.8-591-7</t>
  </si>
  <si>
    <t xml:space="preserve">internet rozetis dayeneba </t>
  </si>
  <si>
    <t xml:space="preserve"> cali</t>
  </si>
  <si>
    <t>9-42</t>
  </si>
  <si>
    <t>internet rozeti kolofiT</t>
  </si>
  <si>
    <t>modemis montaJi</t>
  </si>
  <si>
    <r>
      <t>12 portiani gamanawilebeli xabis (</t>
    </r>
    <r>
      <rPr>
        <b/>
        <sz val="10"/>
        <rFont val="Geo_Lit"/>
        <family val="2"/>
      </rPr>
      <t>Switch</t>
    </r>
    <r>
      <rPr>
        <b/>
        <sz val="10"/>
        <rFont val="LitNusx"/>
      </rPr>
      <t>) montaJi</t>
    </r>
  </si>
  <si>
    <r>
      <t>18 portiani gamanawilebeli xabis (</t>
    </r>
    <r>
      <rPr>
        <b/>
        <sz val="10"/>
        <rFont val="Geo_Lit"/>
        <family val="2"/>
      </rPr>
      <t>Switch</t>
    </r>
    <r>
      <rPr>
        <b/>
        <sz val="10"/>
        <rFont val="LitNusx"/>
      </rPr>
      <t>) montaJi</t>
    </r>
  </si>
  <si>
    <t>sn da w  IV-2-82 t-3 cx.10-350-22-s misadagebiT</t>
  </si>
  <si>
    <t xml:space="preserve">  gare dadgmulobis saTval-Tvalo kameris montaJi 180 gradusiani xedviT</t>
  </si>
  <si>
    <t>9-47</t>
  </si>
  <si>
    <t xml:space="preserve"> gare saTvalTvalo kamera</t>
  </si>
  <si>
    <t>sn da w  IV-2-82 t-3 cx.21-25-2</t>
  </si>
  <si>
    <t xml:space="preserve"> DSiga saTvalTvalo kameris montaJi</t>
  </si>
  <si>
    <t>9-46</t>
  </si>
  <si>
    <t>Siga saTvalTvalo kamera</t>
  </si>
  <si>
    <t>sn da w IV-6-82 T-6 cx.10-682-5</t>
  </si>
  <si>
    <t>denis Senaxvis wyaros (ups) montaJi</t>
  </si>
  <si>
    <t>.9-89</t>
  </si>
  <si>
    <t xml:space="preserve">denis Senaxvis wyaro  </t>
  </si>
  <si>
    <t>mudmivi mexsierebis (hdd-4tb) montaJi</t>
  </si>
  <si>
    <t>8 arxiani Camweri mowyobis  montaJi</t>
  </si>
  <si>
    <t>sn da w  IV-2-82 t-2 cx.21-29</t>
  </si>
  <si>
    <t>uwvadi perforirebuli liTonis 50*50*0.7 mm  kabel-arxis gayvana</t>
  </si>
  <si>
    <t xml:space="preserve"> ftp-6X2X0,5 kabelis gayvana </t>
  </si>
  <si>
    <t>8.4-7</t>
  </si>
  <si>
    <t xml:space="preserve">ftp-6X2X0,5 kabeli </t>
  </si>
  <si>
    <t xml:space="preserve">jami </t>
  </si>
  <si>
    <t>lokalur-resursuli xarjTaRricxva #1/9</t>
  </si>
  <si>
    <t>liftis saZirkvelis mowyoba da 320 kg tviTamweobis SSm pirTa samgzavro liftis montaJi</t>
  </si>
  <si>
    <t>I) samontaJo samuSaoebi</t>
  </si>
  <si>
    <t>sn da w  IV-6-82 T-6 cx.3-560-1(4 da 6)</t>
  </si>
  <si>
    <t xml:space="preserve"> SSm pirTaTvis samgzavro lifti ( tvirTamweoba _ 320 kg, asvlis siCqare _0,6 m/wm, gaCerebebis raodenoba _ 3) </t>
  </si>
  <si>
    <t xml:space="preserve"> Sromatevadoba 802-X6*73-18*11</t>
  </si>
  <si>
    <t xml:space="preserve"> manqanebis eqspluat. 186-6X17,4-18X2,78</t>
  </si>
  <si>
    <t xml:space="preserve"> masalebi 71-6X3,2-18X0,33</t>
  </si>
  <si>
    <t xml:space="preserve"> zednadebi xarjebi SromiTi resursebidan </t>
  </si>
  <si>
    <t>I Tavis jami</t>
  </si>
  <si>
    <t>Tavi II</t>
  </si>
  <si>
    <t>8.13-32</t>
  </si>
  <si>
    <t xml:space="preserve"> SSm pirTaTvis samgzavro lifti ( tvirTamweoba _ 320 kg, asvlis siCqare _0,6 m/wm, gaCerebebis raodenoba _ 3) transportirebiT</t>
  </si>
  <si>
    <t>II Tavis jami</t>
  </si>
  <si>
    <t>sul lokalur-resursuli xarjTaRricxvis jami (Tavi I + Tavi II)</t>
  </si>
  <si>
    <t>lokalur-resursuli xarjTaRricxva #3</t>
  </si>
  <si>
    <t>wyalsadenis gare qselis mowyoba</t>
  </si>
  <si>
    <t>sn da w  IV-2-82 t-1 cx.1-78-3</t>
  </si>
  <si>
    <t xml:space="preserve"> gruntis gaTxra arxSi xeliT</t>
  </si>
  <si>
    <t>sn da w  IV-2-82 t-3 cx.22-8-1</t>
  </si>
  <si>
    <t xml:space="preserve"> d-32 mm. pn25 plastmasis milis gayvana fasonuri nawilebis gamoyenebiT da hidravlikuri gamocda</t>
  </si>
  <si>
    <t>2.6 - 134</t>
  </si>
  <si>
    <t>mili plastmasis d-32 mm fasonuri nawilebiT</t>
  </si>
  <si>
    <t xml:space="preserve"> d-40 mm. pn25 plastmasis milis gayvana fasonuri nawilebis gamoyenebiT da hidravlikuri gamocda</t>
  </si>
  <si>
    <t>2.6 - 135</t>
  </si>
  <si>
    <t>mili plastmasis d-40 mm fasonuri nawilebiT</t>
  </si>
  <si>
    <t xml:space="preserve">s.n. da w.  t.3 cx. 22-20-1   </t>
  </si>
  <si>
    <t xml:space="preserve">d-32  plastmasis milis garecxva da dezinfeqcia </t>
  </si>
  <si>
    <t>semekis d.</t>
  </si>
  <si>
    <t>qloriani wyali</t>
  </si>
  <si>
    <t xml:space="preserve">d-40  plastmasis milis garecxva da dezinfeqcia </t>
  </si>
  <si>
    <t>sn da w  IV-2-82 t-3 cx.22-25-1</t>
  </si>
  <si>
    <t>milsadenze d-40mm. plastmasis ventilis dayeneba</t>
  </si>
  <si>
    <t>plastmasis ventili d-40 mm</t>
  </si>
  <si>
    <t>gruntis ukuCayra da zedmeti gruntis adgilze mosworeba</t>
  </si>
  <si>
    <t xml:space="preserve">ukuCayrili gruntis datkepna pnevmaturi satkepniT </t>
  </si>
  <si>
    <t>lokalur-resursuli xarjTaRricxva #4</t>
  </si>
  <si>
    <t>kanalizaciis gare sistemis mowyoba</t>
  </si>
  <si>
    <t>sn da w  IV-2-82 t-3 cx22-8-5 misadag.</t>
  </si>
  <si>
    <t xml:space="preserve">fekaluri sakanalizacio qselisaTvis d-150 mm. gofrirebuli milis Cadeba arxSi </t>
  </si>
  <si>
    <t>2.6-110</t>
  </si>
  <si>
    <t xml:space="preserve"> gofrirebuli plastmasis mili d-150 mm fasonuri nawilebiT</t>
  </si>
  <si>
    <t>sn da w  IV-2-82 t-3 cx.23-15-1</t>
  </si>
  <si>
    <r>
      <t xml:space="preserve">monoliTuri betonis sakanalizacio Wis (6 cali) mowyoba </t>
    </r>
    <r>
      <rPr>
        <b/>
        <sz val="10"/>
        <rFont val="Academiuri Nuskhuri"/>
      </rPr>
      <t>B</t>
    </r>
    <r>
      <rPr>
        <b/>
        <sz val="10"/>
        <rFont val="LitNusx"/>
      </rPr>
      <t xml:space="preserve">-20 klasis betoniT da 600*600 oTxkuTxa Tujis xufis montaJi </t>
    </r>
  </si>
  <si>
    <r>
      <t xml:space="preserve">betoni </t>
    </r>
    <r>
      <rPr>
        <sz val="10"/>
        <rFont val="Academiuri Nuskhuri"/>
      </rPr>
      <t>B</t>
    </r>
    <r>
      <rPr>
        <sz val="10"/>
        <rFont val="LitNusx"/>
      </rPr>
      <t xml:space="preserve">-20 kl. </t>
    </r>
  </si>
  <si>
    <t>1.1-27</t>
  </si>
  <si>
    <t>armatura</t>
  </si>
  <si>
    <t xml:space="preserve">duRabi cementis 1:2 </t>
  </si>
  <si>
    <t>5-19</t>
  </si>
  <si>
    <t>ficari wiwvovani sisqiT 25_32 mm</t>
  </si>
  <si>
    <t>Tujis xufi CarCoTi d-600*600 mm</t>
  </si>
  <si>
    <t>sn da w  IV-2-82 t-3 cx.23-22-2</t>
  </si>
  <si>
    <t>kanalizaciis sistemis CarTva arsebul sistemaSi</t>
  </si>
  <si>
    <t>wert.</t>
  </si>
  <si>
    <r>
      <t xml:space="preserve">betoni </t>
    </r>
    <r>
      <rPr>
        <sz val="10"/>
        <rFont val="Academiuri Nuskhuri"/>
      </rPr>
      <t>B</t>
    </r>
    <r>
      <rPr>
        <sz val="10"/>
        <rFont val="LitNusx"/>
      </rPr>
      <t>-10kl.</t>
    </r>
  </si>
  <si>
    <t>4.1-233</t>
  </si>
  <si>
    <t>qviSa</t>
  </si>
  <si>
    <t>saxanZro wyalsadenis gare qselis mowyoba da saxanZro hidrantebis montaJi</t>
  </si>
  <si>
    <t>sn da w  IV-2-82 t-4  cx.27-9-4</t>
  </si>
  <si>
    <t xml:space="preserve"> asfalto-betonis safaris gafrezva</t>
  </si>
  <si>
    <t>13-125</t>
  </si>
  <si>
    <t>samtvrevi CaquCi</t>
  </si>
  <si>
    <t>sn da w  IV-2-82 t-1  1-12-6 
t.n cx3 p.3.5</t>
  </si>
  <si>
    <t>III kategoriis gruntis (gafrizuli asfaltis safaris CaTvliT) damuSavebaATxrilSi 0,4 kub.m tevadobis eqskavatoriT, gruntis avtiTviTmcleleze datvirTviT</t>
  </si>
  <si>
    <t>SromiTi danaxarji 1,1*0,0114</t>
  </si>
  <si>
    <t>eqskavatori 0,4 kub.m  1,1*0,0509</t>
  </si>
  <si>
    <t>m/sT</t>
  </si>
  <si>
    <t>gruntis gatana 5 km manZilze</t>
  </si>
  <si>
    <t>sn da w  IV-2-82 t-1 cx. 1-80-3 t.n cx3 p.3.107</t>
  </si>
  <si>
    <t xml:space="preserve"> III  kategoriis gruntis  damuSaveba xeliT, Txrilidan amoyra da  da adgilze mosworeba</t>
  </si>
  <si>
    <t xml:space="preserve"> SromiTi danaxarji 1.2*2.06</t>
  </si>
  <si>
    <t>s.n da w t.3 cx.                                                                                                                                                                                                                                                                                                                  23-1-1</t>
  </si>
  <si>
    <t xml:space="preserve"> polieTilenis milsadenebis qveS  qviSis safuZvlis mowyoba sisqiT 10 sm.M</t>
  </si>
  <si>
    <t>kbm</t>
  </si>
  <si>
    <t xml:space="preserve">SromiTi danaxarjebi </t>
  </si>
  <si>
    <t>k/sT</t>
  </si>
  <si>
    <t>sn da w t.3 cx.                                                                                                                                                                                                                                                                                                                                  22-8-4</t>
  </si>
  <si>
    <t xml:space="preserve">d-110 mm-iani sdr 17 pn-10 pe-100 polieTilenis miliT saxanZro wyalsadenis qselis mowyoba TxrilSi da hidravlikuri gamocda </t>
  </si>
  <si>
    <t>grZ. m.</t>
  </si>
  <si>
    <t>.2.6-46</t>
  </si>
  <si>
    <t>d110 mm-iani polieTilenis  mili sdr17  pn-10 pe100</t>
  </si>
  <si>
    <t xml:space="preserve">d-90 mm-iani sdr 17 pn-10 pe-100 polieTilenis miliT saxanZro wyalsadenis qselis mowyoba TxrilSi da hidravlikuri gamocda </t>
  </si>
  <si>
    <t>.2.6-45</t>
  </si>
  <si>
    <t>d-90 mm-iani polieTilenis  mili sdr17  pn-10 pe100</t>
  </si>
  <si>
    <t xml:space="preserve"> polieTilenis milsadenebis mowyobis Semdeg qviSiT milis gverdebis Sevseba da safaris mowyoba </t>
  </si>
  <si>
    <t>s.n.daw.  t.3 cx.22-27-4-s misadagebiT</t>
  </si>
  <si>
    <t>qalaqis qselze d-110 mm diametris unagiris montaJi</t>
  </si>
  <si>
    <t>unagiri d-110mm</t>
  </si>
  <si>
    <t>Txrilis darCenili nawilis  Sevseba balastiT</t>
  </si>
  <si>
    <t>4.1-236</t>
  </si>
  <si>
    <t>balasti</t>
  </si>
  <si>
    <t xml:space="preserve">balastis datkepna </t>
  </si>
  <si>
    <t>urdulebis damcavi da saxanZro hidrantis WebisaTvis III kategoriis gruntis  damuSavebaA0,4 kub.m tevadobis eqskavatoriT, gruntis avtiTviTmcleleze datvirTviT</t>
  </si>
  <si>
    <t>14-125</t>
  </si>
  <si>
    <t>sn da w  IV-2-82 t-3 cx.22-30-1</t>
  </si>
  <si>
    <t>urdulebis damcavi (2 cali) anakrebi rkinabetonis wriuli Webis (Siga d-100 sm, simaRle 100 sm) montaJi d-600 mm  xufiT (2 Wa)</t>
  </si>
  <si>
    <t>4.1-139</t>
  </si>
  <si>
    <t xml:space="preserve">rkinabetonis Wis mrgvali Ziri d-1.0 m rgolisaTvis </t>
  </si>
  <si>
    <t>4.1-103</t>
  </si>
  <si>
    <t>rkinabetonis rgoli Wis d-1000 mm. simaRle 1000 mm</t>
  </si>
  <si>
    <t>4.1-111</t>
  </si>
  <si>
    <t>rkinabetonis gadaxurvis fila 1.2*1.2 m (sisqiT 22 sm) mrgvali xufiT</t>
  </si>
  <si>
    <t>4.1 - 336</t>
  </si>
  <si>
    <r>
      <t xml:space="preserve">betoni </t>
    </r>
    <r>
      <rPr>
        <sz val="10"/>
        <rFont val="Arial"/>
        <family val="2"/>
        <charset val="204"/>
      </rPr>
      <t>B10</t>
    </r>
  </si>
  <si>
    <t>saxanZro hidrantebis (2 cali)  anakrebi rkinabetonis wriuli Webis (Siga d-100 sm, simaRle 120 sm) montaJi d-600 mm  xufiT (2 Wa)</t>
  </si>
  <si>
    <t>4.1-104-misa</t>
  </si>
  <si>
    <t>rkinabetonis rgoli Wis d-1000 mm. simaRle 1200 mm</t>
  </si>
  <si>
    <t>Webis mowyobis Semdeg ferdoebis Sevseba qviSa-xreSovani nareviT</t>
  </si>
  <si>
    <t>sn da w  IV-2-82 t-2 cx.6-1-13</t>
  </si>
  <si>
    <t>d-100 mm urdulebis da saxanZro hidrantebis  qveS sayrdenebis mowyoba m-200 markis betoniT</t>
  </si>
  <si>
    <t>4.1-337</t>
  </si>
  <si>
    <t>betoni m-200</t>
  </si>
  <si>
    <t xml:space="preserve"> fari yalibis</t>
  </si>
  <si>
    <t>ficari wiwvovani jiSis, δsisqiT 25_32 mm</t>
  </si>
  <si>
    <r>
      <t xml:space="preserve">s.n.da w. t.3 cx.  22-25-2 </t>
    </r>
    <r>
      <rPr>
        <b/>
        <sz val="10"/>
        <rFont val="Arial"/>
        <family val="2"/>
        <charset val="204"/>
      </rPr>
      <t/>
    </r>
  </si>
  <si>
    <t xml:space="preserve">  d-100 mm-iani urdulis montaJi d-100 mm miltuCisa (flaneci) da d-110 mm  adaptoris gamoyenebiT</t>
  </si>
  <si>
    <t>6-345</t>
  </si>
  <si>
    <t xml:space="preserve">Tujis urduli d-100 mm </t>
  </si>
  <si>
    <t>6-158</t>
  </si>
  <si>
    <t>liTonis miltuCi d-100 mm WanWik-qanCebiT</t>
  </si>
  <si>
    <t xml:space="preserve">Suasadebi d-100 mm </t>
  </si>
  <si>
    <t>6-172</t>
  </si>
  <si>
    <t xml:space="preserve">d-110mm. plastmasis adaptori  </t>
  </si>
  <si>
    <t xml:space="preserve">sxvadasxva masalebi </t>
  </si>
  <si>
    <t xml:space="preserve">  d-80 mm-iani urdulis montaJi d-80 mm miltuCisa (flaneci) da d-90 mm  adaptoris gamoyenebiT</t>
  </si>
  <si>
    <t>6-343</t>
  </si>
  <si>
    <t xml:space="preserve">Tujis urduli d-80 mm </t>
  </si>
  <si>
    <t xml:space="preserve">Suasadebi d-80 mm </t>
  </si>
  <si>
    <t>d-80 mm muxldgari</t>
  </si>
  <si>
    <r>
      <t xml:space="preserve">s.n.da w. t.3 cx.  22-26-3 </t>
    </r>
    <r>
      <rPr>
        <b/>
        <sz val="10"/>
        <rFont val="Arial"/>
        <family val="2"/>
        <charset val="204"/>
      </rPr>
      <t/>
    </r>
  </si>
  <si>
    <t xml:space="preserve">dn-80 mm miwiszeda saxanZro hidrantis montaJi </t>
  </si>
  <si>
    <t>ცალი</t>
  </si>
  <si>
    <t>12.1-29-mis.</t>
  </si>
  <si>
    <t>d-80 mm miwiszeda  saxanZro hidranti</t>
  </si>
  <si>
    <t xml:space="preserve">s.n. da w.  t.3 cx. 22-20-2   </t>
  </si>
  <si>
    <t xml:space="preserve">d-90 mm polieTilenis milebis garecxva da dezinfeqcia </t>
  </si>
  <si>
    <t xml:space="preserve">d-110 mm  polieTilenis milebis garecxva da dezinfeqcia </t>
  </si>
  <si>
    <t>aRsadgeni asfalto-betonis safaris qveS RorRis safuZvelis mowyoba saSualo sisqiT 5.0 sm</t>
  </si>
  <si>
    <t xml:space="preserve">RorRis datkepna pnevmaturi satkepniT </t>
  </si>
  <si>
    <t>სნ და წ  IV-2-82 ტ-4 ცხ.27-63-1</t>
  </si>
  <si>
    <t xml:space="preserve">ასფალტობეტონის საფარის ქვეშ თხევადი ბიტუმის მოსხმა (12*0.0005=0.350 ) </t>
  </si>
  <si>
    <t>ტონა</t>
  </si>
  <si>
    <t>14 - 198</t>
  </si>
  <si>
    <t>ავტოგუდრონატორი 3500 ლ</t>
  </si>
  <si>
    <t>მანქ.სთ</t>
  </si>
  <si>
    <t>4-528</t>
  </si>
  <si>
    <t>თხევადი ბიტუმი</t>
  </si>
  <si>
    <t>სნ და წ  IV-2-82 ტ-4 ცხ.27-39-1(2) და 27-40-1</t>
  </si>
  <si>
    <t>მსხვილმარცლოვანი ასფალტობეტონის საფარის მოწყობა სისქით  5,0 სმ</t>
  </si>
  <si>
    <t>კვმ</t>
  </si>
  <si>
    <t>სრფ</t>
  </si>
  <si>
    <t xml:space="preserve">შრომითი დანახარჯები    0,0375+2*0,00007               </t>
  </si>
  <si>
    <t>კ/სთ</t>
  </si>
  <si>
    <t>13-232</t>
  </si>
  <si>
    <t>ასფალტობეტონის დამგები</t>
  </si>
  <si>
    <t>მ/სთ</t>
  </si>
  <si>
    <t>სატკეპნი 5 ტნ</t>
  </si>
  <si>
    <t>13-219</t>
  </si>
  <si>
    <t>სატკეპნი 10 ტნ</t>
  </si>
  <si>
    <t>მანქანები</t>
  </si>
  <si>
    <t>ლარი</t>
  </si>
  <si>
    <t>4.1-511</t>
  </si>
  <si>
    <t>მსხვილმარცლოვანი ასფალტობეტონი  0,0974+2*0,0121</t>
  </si>
  <si>
    <t xml:space="preserve"> სხვადასხვა მასალები 0,0145+2*0,00002</t>
  </si>
  <si>
    <t>lokalur-resursuli xarjTaRricxva #6</t>
  </si>
  <si>
    <t>gare cxeli wylisa da gaTbobis Tboqselis mowyoba</t>
  </si>
  <si>
    <t>saxarjTaRricxvo Rirebuleba</t>
  </si>
  <si>
    <t>cxeli wylis Tboqseli</t>
  </si>
  <si>
    <t>sn da w  IV-2-82 t-3 cx.23-2-1-misad</t>
  </si>
  <si>
    <t xml:space="preserve">gaTbobis milsadenebis izolaciisTvis d-150 mm  plastmasis gofrirebuli  milis-garsacmis Cadeba arxSi </t>
  </si>
  <si>
    <t xml:space="preserve">d-20 mm armirebuli plastmasis milis gayvana fasonuri nawilebis gamoyenebiT da hidravlikuri gamocda </t>
  </si>
  <si>
    <t>2.6-33</t>
  </si>
  <si>
    <t xml:space="preserve">d-20 mm plastmasis armirebuli mili fasonuri nawilebiT  </t>
  </si>
  <si>
    <t xml:space="preserve">d-25 mm armirebuli plastmasis milis gayvana fasonuri nawilebis gamoyenebiT da hidravlikuri gamocda </t>
  </si>
  <si>
    <t>2.6-35</t>
  </si>
  <si>
    <t xml:space="preserve">d-25 mm plastmasis armirebuli mili fasonuri nawilebiT  </t>
  </si>
  <si>
    <t>sn da w  IV-2-82 t-3 cx.26-4-3</t>
  </si>
  <si>
    <t xml:space="preserve"> Tboqselis milsadenis izolaciis mowyoba saizolacio RrubeliT</t>
  </si>
  <si>
    <t>4.1 - 485</t>
  </si>
  <si>
    <t>saizolacio Rrubeli</t>
  </si>
  <si>
    <t>rul.</t>
  </si>
  <si>
    <t>4.2 -123</t>
  </si>
  <si>
    <t>silikaturi qafura</t>
  </si>
  <si>
    <t>1.1 - 46</t>
  </si>
  <si>
    <t>sn da w  IV-2-82 t-3 cx.22-27-1</t>
  </si>
  <si>
    <t xml:space="preserve"> axali qselis CarTva arsebul qselSi</t>
  </si>
  <si>
    <t>gruntis ukuCayra da adgilze moSandakeba xeliT</t>
  </si>
  <si>
    <t xml:space="preserve"> gaTbobis Tboqseli</t>
  </si>
  <si>
    <t>sn da w  IV-2-82 t-3 cx.23-2-3-misad</t>
  </si>
  <si>
    <t xml:space="preserve">gaTbobis milsadenebis izolaciisTvis d-200 mm  plastmasis gofrirebuli  milis-garsacmis Cadeba arxSi </t>
  </si>
  <si>
    <t>2.6-112</t>
  </si>
  <si>
    <t xml:space="preserve"> plastmasis gofrirebuli mili d-200 mm</t>
  </si>
  <si>
    <t xml:space="preserve">d-50 mm armirebuli plastmasis milis gayvana fasonuri nawilebis gamoyenebiT da hidravlikuri gamocda </t>
  </si>
  <si>
    <t xml:space="preserve">d-50 mm plastmasis armirebuli mili fasonuri nawilebiT  </t>
  </si>
  <si>
    <t>milsadenze d-50 mm. Pplastmasis sferuli ventilis dayeneba</t>
  </si>
  <si>
    <t>plastmasis sferuli ventili d-50 mm</t>
  </si>
  <si>
    <t>lokalur-resursuli xarjTaRricxva #7</t>
  </si>
  <si>
    <t>gare ganaTebis mowyoba</t>
  </si>
  <si>
    <r>
      <t xml:space="preserve">sn da w  IV-2-82 t-5 cx.33-251-6 </t>
    </r>
    <r>
      <rPr>
        <b/>
        <sz val="8"/>
        <rFont val="LitNusx"/>
      </rPr>
      <t>misadag.</t>
    </r>
  </si>
  <si>
    <t xml:space="preserve"> ganaTebis sayrdenebisaTvis monoliTuri betonis saZirkvlis mowyoba da landSafturi dekoratiuli sayrdenebis (simaRliT 3,0 m) dayeneba </t>
  </si>
  <si>
    <t>13 - 300</t>
  </si>
  <si>
    <t xml:space="preserve">avtoamwe saburRi mowyobilobiT </t>
  </si>
  <si>
    <t>13 - 43</t>
  </si>
  <si>
    <t>avtoamwe 6.3 toniani</t>
  </si>
  <si>
    <t>betoni m-250  markis</t>
  </si>
  <si>
    <t>.1-14</t>
  </si>
  <si>
    <t>armatura glinula d-6 mm</t>
  </si>
  <si>
    <t>.1-15</t>
  </si>
  <si>
    <t>armatura d-8 a_III</t>
  </si>
  <si>
    <t>gare ganaTebis landSaftur dekoratiuli sayrdeni simaRliT 3,0 m</t>
  </si>
  <si>
    <t>liTonis sayrdenebis gawmenda da dagruntva</t>
  </si>
  <si>
    <t>liTonis sayrdebebis SeRebva antikoroziuli saRebaviT 2 jer.</t>
  </si>
  <si>
    <t>sul: samSeneblo samuSaoebi</t>
  </si>
  <si>
    <t>II. eleqtro samontaJo samuSaoebi</t>
  </si>
  <si>
    <t>sn da w  IV-2-82 t-5 cx.34-103</t>
  </si>
  <si>
    <t xml:space="preserve">poliqlorvinilis gluvi milis Cadeba arxSi diametriT 50 mm </t>
  </si>
  <si>
    <t>2.6-17</t>
  </si>
  <si>
    <t xml:space="preserve">poliqlorvinilis gluvi mili d-50 mm </t>
  </si>
  <si>
    <t>sn da w  IV-6-82 T-6 cx.8-142-1</t>
  </si>
  <si>
    <t>arxSi kabelis qviSis safenis da safaris mowyoba lentis Cadeba</t>
  </si>
  <si>
    <t>grZ.m arxi</t>
  </si>
  <si>
    <t xml:space="preserve"> SromiTi danaxarji 2*0,05</t>
  </si>
  <si>
    <t>4.1-231</t>
  </si>
  <si>
    <t>sn da w  IV-6-82 T-6 cx.8-142-2-misad</t>
  </si>
  <si>
    <t>arxSi kabelis mimaniSnebeli lentis Cadeba</t>
  </si>
  <si>
    <t>kabelis mimaniSnebeli lenti</t>
  </si>
  <si>
    <t xml:space="preserve">foto-reles (fr-12 t ip 54 komutaciis deni 10 a) dayeneba da momzadeba CarTvisaTvis </t>
  </si>
  <si>
    <t>8.14-162</t>
  </si>
  <si>
    <t xml:space="preserve">foto-rele (fr-12 t ip 54 komutaciis deni 10a ) </t>
  </si>
  <si>
    <t>sn da w  IV-6-82 T-6 cx.8-149-1</t>
  </si>
  <si>
    <r>
      <t>0,4 kvN</t>
    </r>
    <r>
      <rPr>
        <b/>
        <sz val="10"/>
        <rFont val="Sylfaen"/>
        <family val="1"/>
        <charset val="204"/>
      </rPr>
      <t>NAYY 3</t>
    </r>
    <r>
      <rPr>
        <b/>
        <sz val="10"/>
        <rFont val="LitNusx"/>
      </rPr>
      <t xml:space="preserve">X4 kv.mm ganikveTis aluminis eleqtro kabelis gayvana milSi </t>
    </r>
  </si>
  <si>
    <t>8.2-12</t>
  </si>
  <si>
    <r>
      <t xml:space="preserve">N0,4 kv </t>
    </r>
    <r>
      <rPr>
        <sz val="10"/>
        <rFont val="Sylfaen"/>
        <family val="1"/>
        <charset val="204"/>
      </rPr>
      <t>NAYY-1 3</t>
    </r>
    <r>
      <rPr>
        <sz val="10"/>
        <rFont val="LitNusx"/>
      </rPr>
      <t>X4 kv.mm ganikveTis aluminis eleqtro kabeli</t>
    </r>
  </si>
  <si>
    <t>sn da w IV-6-82 T-6 cx.8-370-2</t>
  </si>
  <si>
    <t xml:space="preserve">gare ganaTebis drantis tipis sanaTis da naTuris  (led 1*35 vt) dayeneba </t>
  </si>
  <si>
    <t xml:space="preserve">gare ganaTebis drantis tipis sanaTi da naTura (led 1*35 vt) </t>
  </si>
  <si>
    <t>sn da w  IV-2-82 t-3 cx.21-17-1</t>
  </si>
  <si>
    <t>eleqtro sadenebis ayvana ganaTebis boZebSi kveTiT 3х1,5 kv.mm</t>
  </si>
  <si>
    <t>eleqtro sadeni kveTiT 3х1,5 kv.mm</t>
  </si>
  <si>
    <t>sn da w  IV-2-82 Tavi 6 cx.8-471-1</t>
  </si>
  <si>
    <t xml:space="preserve"> damiwebis konturis mowyoba 50*50*4 kuTxovaniT</t>
  </si>
  <si>
    <t>1.4-43</t>
  </si>
  <si>
    <t>kuTxovana 50*50*4</t>
  </si>
  <si>
    <t xml:space="preserve">j a m i: </t>
  </si>
  <si>
    <t xml:space="preserve"> sul: II eleqtro samontaJo samuSaoebi</t>
  </si>
  <si>
    <t>sul xarjTaRricxviT: (I+II): samSeneblo da eleqtrosamontaJo samuSaoebi</t>
  </si>
  <si>
    <t>lokalur-resursuli xarjTaRricxva #8</t>
  </si>
  <si>
    <t>arsebuli Robis reabilitacia da axali Robeebis mowyoba</t>
  </si>
  <si>
    <t>№</t>
  </si>
  <si>
    <t>samuSaos dasaxeleba</t>
  </si>
  <si>
    <t>a) daSliTi samuSaoebi</t>
  </si>
  <si>
    <t>s.n.da w.    7-21-11 misad.</t>
  </si>
  <si>
    <t>arsebuli amortizirebuli martivi tipis liTonis Robis demontaJi</t>
  </si>
  <si>
    <t>SromiTi danaxarjebi 1.66*0.5</t>
  </si>
  <si>
    <t>sxvadasxva manqanebi 0.05*0.5</t>
  </si>
  <si>
    <t>lariı</t>
  </si>
  <si>
    <t>sxva masalebi 0.06*0.5</t>
  </si>
  <si>
    <t>sxvadasxva manqanebi 0.04*0.5</t>
  </si>
  <si>
    <t>s.n.da w.    7-21-13 misad.</t>
  </si>
  <si>
    <t>arsebuli amortizirebuli mavTulbadiTa da TunuqiT SemosazRvruli Robis demontaJi</t>
  </si>
  <si>
    <t>SromiTi danaxarjebi 1.75*0.5</t>
  </si>
  <si>
    <t>sxva masalebi 0.11*0.5</t>
  </si>
  <si>
    <t xml:space="preserve"> arsebuli betonis Robis daSla</t>
  </si>
  <si>
    <t xml:space="preserve">arsebuli Robeebidan amortizirebuli baTqaSis da gadalesvebis Camoyra  </t>
  </si>
  <si>
    <t>sareabilitacio betonis Robis zedapirebidan uswormasworo nawilebis Camotexva</t>
  </si>
  <si>
    <t>b) arsebuli betonis Robis reabilitacia</t>
  </si>
  <si>
    <t>sareabilitacio Robis gamotovebuli monakveTebis amoSeneba betonis mcire sakedle blokebiT sisqiT 30 sm</t>
  </si>
  <si>
    <t>4.1-41</t>
  </si>
  <si>
    <t xml:space="preserve"> wvrili sakedle bloki 30*19*40</t>
  </si>
  <si>
    <t>sn da w  IV-2-82 t-2 cx.15-51-1</t>
  </si>
  <si>
    <t xml:space="preserve">axlad amoSenebuli da SeubaTqaSebeli Robis zedapirebis gaumjobesebuli Selesva qv/cementis xsnariT </t>
  </si>
  <si>
    <t>duRabis tumbo 1 kub.m/sT</t>
  </si>
  <si>
    <t xml:space="preserve">qv/cementis xsnari </t>
  </si>
  <si>
    <t>betonis zedapirebis  gadalesva yinvagamZle webo-cementiT</t>
  </si>
  <si>
    <t>yinvagamZle webo-cementi</t>
  </si>
  <si>
    <t>sn da w  IV-2-82 t-2 cx.15-156-3-s misadagebiT</t>
  </si>
  <si>
    <t xml:space="preserve">Siga mxridan Robis zedapiris  SeRebva qviSanarevi dekoratiuli cementis (pigmentis damatebiT) naSxefiT  </t>
  </si>
  <si>
    <t xml:space="preserve">srf </t>
  </si>
  <si>
    <t>4.1-210</t>
  </si>
  <si>
    <t>dekoratiuli cementi</t>
  </si>
  <si>
    <t>4.1-232</t>
  </si>
  <si>
    <t xml:space="preserve">qviSa Cveulebrivi an  feradi                 </t>
  </si>
  <si>
    <t xml:space="preserve"> sxvadasxva masalebi (pigmenti da sxva)</t>
  </si>
  <si>
    <t>g) axali betonis Robis mowyoba</t>
  </si>
  <si>
    <t xml:space="preserve"> sn da w  IV-2-82 t-1 cx. 1-78-3</t>
  </si>
  <si>
    <t xml:space="preserve">   Robis saZirkvlis da zeZirkvelis mosawyobad gruntis damuSaveba xeliT </t>
  </si>
  <si>
    <t xml:space="preserve">saZirkvlis qveS qviSa-RorRis baliSis mowyoba </t>
  </si>
  <si>
    <t>sn da w  IV-2-82 t-2 cx.6-11-1</t>
  </si>
  <si>
    <t>monoliTuri betonis saZirkvlisa da zeZirkvlis mowyoba В20 klasis betoniT</t>
  </si>
  <si>
    <t>4.1-350</t>
  </si>
  <si>
    <t>betoni В20</t>
  </si>
  <si>
    <t>ficari wiwvovani, III xarisxis δ=40 mm</t>
  </si>
  <si>
    <t>WanWiki</t>
  </si>
  <si>
    <r>
      <t xml:space="preserve">monoliTuri rk.betonis gulanebis mowyoba </t>
    </r>
    <r>
      <rPr>
        <b/>
        <sz val="10"/>
        <rFont val="Academiuri Nuskhuri"/>
      </rPr>
      <t>B</t>
    </r>
    <r>
      <rPr>
        <b/>
        <sz val="10"/>
        <rFont val="LitNusx"/>
      </rPr>
      <t xml:space="preserve">-20 klasis betoniT </t>
    </r>
  </si>
  <si>
    <r>
      <t xml:space="preserve">betoni </t>
    </r>
    <r>
      <rPr>
        <sz val="10"/>
        <rFont val="Academiuri Nuskhuri"/>
      </rPr>
      <t>B</t>
    </r>
    <r>
      <rPr>
        <sz val="10"/>
        <rFont val="LitNusx"/>
      </rPr>
      <t>-20</t>
    </r>
  </si>
  <si>
    <t>Robis saZirkvlebisa da zeZirkvelis mowyobis Semdeg gruntis ukuCayra da zedmeti gruntis adgilze mosworeba</t>
  </si>
  <si>
    <t xml:space="preserve"> Robis mowyoba betonis mcire sakedle blokebiT kedlis sisqiT 20 sm </t>
  </si>
  <si>
    <t xml:space="preserve">Ribis Siga mxridan betonis da qvis  zedapirebis gaumjobesebuli Selesva qv/cementis xsnariT </t>
  </si>
  <si>
    <t xml:space="preserve">axali Robis saZirkvlis da zeZirkvelis mosawyobad gruntis damuSaveba xeliT </t>
  </si>
  <si>
    <t>s.n.da w.    7-22-1 misad.</t>
  </si>
  <si>
    <t xml:space="preserve">liTonkvadratebiT Sedgenili dekoratiuli WiSkaris (sxmuli elementebis CanarTebiT) montaJi </t>
  </si>
  <si>
    <t xml:space="preserve">sxvadasxva manqanebi </t>
  </si>
  <si>
    <r>
      <t xml:space="preserve">betoni </t>
    </r>
    <r>
      <rPr>
        <b/>
        <sz val="10"/>
        <rFont val="LitNusx"/>
      </rPr>
      <t>B</t>
    </r>
    <r>
      <rPr>
        <sz val="10"/>
        <rFont val="Academiuri Nuskhuri"/>
      </rPr>
      <t>B-20</t>
    </r>
  </si>
  <si>
    <t>2.2-109</t>
  </si>
  <si>
    <t>liTonis milkvadrati 120*120</t>
  </si>
  <si>
    <t>1.9-65-s misad</t>
  </si>
  <si>
    <t xml:space="preserve">liTonis dekoratiuli  WiSkari sxmuli elementebis CanarTebiT </t>
  </si>
  <si>
    <t>1.9-71-s misad.</t>
  </si>
  <si>
    <t>samontaJo elementi</t>
  </si>
  <si>
    <t>s.n.da w.    7-22-8 misad.</t>
  </si>
  <si>
    <t xml:space="preserve">liTonkvadratebiT Sedgenili dekoratiuli kutikaris (sxmuli elementebis CanarTebiT) montaJi </t>
  </si>
  <si>
    <t xml:space="preserve">liTonis dekoratiuli kutikari sxmuli elementebis CanarTebiT </t>
  </si>
  <si>
    <t xml:space="preserve">liTonkvadratebiT Sedgenili dekoratiuli seqciuri Robis (sxmuli elementebis CanarTebiT, seqciis simaRliT 1,60 m)  montaJi </t>
  </si>
  <si>
    <t>1.9-68-misad.</t>
  </si>
  <si>
    <t>liTonis dekoratiuli seqciuri Robe</t>
  </si>
  <si>
    <t>Robis zeZirkvelis gaumjobesebuli Selesva qv/cementis xsnariT (orive mxridan)</t>
  </si>
  <si>
    <t xml:space="preserve">Robis zeZirkvelis SeRebva qviSanarevi dekoratiuli cementis (pigmentis damatebiT) naSxefiT  </t>
  </si>
  <si>
    <t xml:space="preserve"> liTonis Robis zedapirebis gawmenda da dagruntva</t>
  </si>
  <si>
    <t>liTonis zedapirebis SeRebva antikoroziuli saRebaviT 2 jer.</t>
  </si>
  <si>
    <t xml:space="preserve">AliTonis dgarebis Tavebze 120*120*6 mm liTonis furcelisa da d-75 mm burTulis montaJi </t>
  </si>
  <si>
    <t>1.6-32</t>
  </si>
  <si>
    <t>liTonis furceli 120*120*6 mm</t>
  </si>
  <si>
    <t>liTonis burTula d-75 mm</t>
  </si>
  <si>
    <t>lokalur-resursuli xarjTaRricxva #9</t>
  </si>
  <si>
    <t>saniaRvre wyalgamwovi Webis mowyoba</t>
  </si>
  <si>
    <t xml:space="preserve"> gruntis gaTxra xeliT saniaRvre Webisa da milgayvanilobisaTvis</t>
  </si>
  <si>
    <t>სნ და წ  IV-2-82 ტ-2 ცხ.6-31-3 მისადაგ.</t>
  </si>
  <si>
    <t xml:space="preserve">წვიმმიმღები ჭების მოსაწყობად ყორე ქვის ჩაყრა </t>
  </si>
  <si>
    <t>კუბ.მ</t>
  </si>
  <si>
    <t xml:space="preserve"> შრომითი დანახარჯი </t>
  </si>
  <si>
    <t>კაც.სთ</t>
  </si>
  <si>
    <t>4.1-239</t>
  </si>
  <si>
    <t xml:space="preserve">  ყორე ქვა</t>
  </si>
  <si>
    <t>მონოლითური რკ.ბეტონის წვივმიმღები ჭის მოწყობა B-25 კლასის ბეტონით და ოთხკუთხა 600*600 მმ ზომის თუჯის ცხაურის მონტაჟი (8 ცალი)</t>
  </si>
  <si>
    <t xml:space="preserve"> მანქანები </t>
  </si>
  <si>
    <t>ბეტონი B-25</t>
  </si>
  <si>
    <t>კუბმ</t>
  </si>
  <si>
    <t>არმატურა</t>
  </si>
  <si>
    <t xml:space="preserve">დუღაბი ცემენტის 1:2 </t>
  </si>
  <si>
    <t>5-22</t>
  </si>
  <si>
    <t>ფიცარი წიწვოვანი</t>
  </si>
  <si>
    <t>4.1-125-misad.</t>
  </si>
  <si>
    <t>თუჯის ცხაური 600*600 მმ.</t>
  </si>
  <si>
    <t>pr</t>
  </si>
  <si>
    <t>სხვადასხვა მასალები</t>
  </si>
  <si>
    <t>lokalur-resursuli xarjTaRricxva #10</t>
  </si>
  <si>
    <t xml:space="preserve"> teritoriis keTilmowyoba-gamwvaneba </t>
  </si>
  <si>
    <t>sn da w  IV-2-82 t-8  cx.46-23-5</t>
  </si>
  <si>
    <t>arsebuli saxelosnos erTsarTuliani qvis Senobis daSla.</t>
  </si>
  <si>
    <t>sn da w  IV-2-82 t-8  cx.46-25-1</t>
  </si>
  <si>
    <t>teritoriaze gamouyenebeli sxvadasxva betonis nakeTobebis daSla.</t>
  </si>
  <si>
    <t>sn da w
IV-2-82 t-1
cx.1-112-1(4,7)</t>
  </si>
  <si>
    <t>13-166</t>
  </si>
  <si>
    <t>buCqmWreli traqtoriT simZlavriT 79 cx.Z</t>
  </si>
  <si>
    <t>13-164</t>
  </si>
  <si>
    <t>amomZirkvel-momgrovebeli traqtoriT simZlavriT -108 cx.Z</t>
  </si>
  <si>
    <t>13-159</t>
  </si>
  <si>
    <t>focxi buCqnarisaTvis</t>
  </si>
  <si>
    <t>13-7</t>
  </si>
  <si>
    <t>traqtoriT simZlavriT -108 cx.Z</t>
  </si>
  <si>
    <t>sn da w
IV-2-82 t-1
cx.1-114-1</t>
  </si>
  <si>
    <t>amoZirkvuli xis fesvebis dawva</t>
  </si>
  <si>
    <t>სნ და წ  IV-2-82 ტ-4  ცხ.27-9-7</t>
  </si>
  <si>
    <t>ტერიტორიაზე არსებული ბეტონის ბორდიურების დემონტაჟი  და ვარგისი ნაწილის დასასწყობება (დამკვეთის განკარგულებაში)</t>
  </si>
  <si>
    <t>კვ.მ</t>
  </si>
  <si>
    <t>სნ და წ  IV-2-82 ტ-8  ცხ.46-30-5</t>
  </si>
  <si>
    <t>ტერიტორიაზე არსებული ბეტონის  ფილების დემონტაჟი  და ვარგისი ნაწილის დასასწყობება (დამკვეთის განკარგულებაში)</t>
  </si>
  <si>
    <t>სნ და წ  IV-2-82 ტ-1 ცხ.1-22-3</t>
  </si>
  <si>
    <t>სამშენებლო ნაგავის ავტოთვითმცლელზე დატვირთვა 1,0 კუბ.მ ჩამჩის ტევადობის ექსკავატორით</t>
  </si>
  <si>
    <t>13-121</t>
  </si>
  <si>
    <t xml:space="preserve">ექსკავატორი 1,0 კუბ.მ </t>
  </si>
  <si>
    <t xml:space="preserve">მანქანები </t>
  </si>
  <si>
    <t xml:space="preserve">სამშენებლო ნაგავის  გატანა 5.0  კმ-მდე მანძილზე </t>
  </si>
  <si>
    <t xml:space="preserve"> ტრანსპორტირება 5 კმ. მანძილზე</t>
  </si>
  <si>
    <t>სნ და წ  IV-2-82 ტ-4 ცხ.27-8-2</t>
  </si>
  <si>
    <t xml:space="preserve">ტერიტორიის კეთილმოწყობისათვის გრუნტისა და სხვადასხვა ამორტიზირებული ფენილების მოხსნა,  გრუნტის გადაადგილება, ტერიტორიის მოშანდაება და დატკეპნა მექანიზირებული წესით, ახალი მასალის დამატების გარეშე </t>
  </si>
  <si>
    <t xml:space="preserve">შრომითი დანახარჯები                   </t>
  </si>
  <si>
    <t>13-200</t>
  </si>
  <si>
    <t>ავტოგრეიდერი 79 კვტ (108 ც/ძ)</t>
  </si>
  <si>
    <t>.13-7</t>
  </si>
  <si>
    <t>ტრაქტორი მუხლუხა სვლაზე 108 ც.ძ</t>
  </si>
  <si>
    <t>13-228</t>
  </si>
  <si>
    <t>სარწყავი მანქანა</t>
  </si>
  <si>
    <t>სემეკი #51</t>
  </si>
  <si>
    <t>წყალი</t>
  </si>
  <si>
    <t>სნ და წ  IV-2-82 ტ-1 ცხ.1-78-3</t>
  </si>
  <si>
    <t xml:space="preserve"> ბაზალტის ბორდიურების მოსაწყობად გრუნტის დამუშავება ხელით</t>
  </si>
  <si>
    <t xml:space="preserve"> კუბმ</t>
  </si>
  <si>
    <t>სნ და წ  IV-2-82 ტ-4 ცხ.27-19-3</t>
  </si>
  <si>
    <t xml:space="preserve"> ბაზალტის ბორდიურების (10*15 სმ) დაყენება ბეტონის საფუძველზე</t>
  </si>
  <si>
    <t>გრძ.მ</t>
  </si>
  <si>
    <t xml:space="preserve"> შრომითი დანახარჯები </t>
  </si>
  <si>
    <t>4.1-327–მისად</t>
  </si>
  <si>
    <t>ბაზალტის ბორდიური (10*15 სმ)</t>
  </si>
  <si>
    <t>ბეტონი B_15</t>
  </si>
  <si>
    <t>დუღაბი</t>
  </si>
  <si>
    <t xml:space="preserve"> სხვადასხვა მასალები</t>
  </si>
  <si>
    <t>სნ და წ  IV-2-82 ტ-1 ცხ.1-81-3</t>
  </si>
  <si>
    <t xml:space="preserve">ადგილზე არსებული გრუნტის უკუჩაყრა ხელით, ზედმეტი გრუნტის ადგილზე მოსწორებით </t>
  </si>
  <si>
    <t xml:space="preserve"> sn da w  IV-2-82 t-1 cx. 1-80-7</t>
  </si>
  <si>
    <t>flagStokis konstruqciisaTvis saZirkvlis mosawyobad gruntis damuSaveba xeliT</t>
  </si>
  <si>
    <t>sn da w  IV-2-82 t-2 cx.6-11-2</t>
  </si>
  <si>
    <r>
      <t xml:space="preserve">monoliTuri betonis saZirkvlis mowyoba </t>
    </r>
    <r>
      <rPr>
        <b/>
        <sz val="10"/>
        <rFont val="Times New Roman"/>
        <family val="1"/>
        <charset val="204"/>
      </rPr>
      <t>B</t>
    </r>
    <r>
      <rPr>
        <b/>
        <sz val="10"/>
        <rFont val="LitNusx"/>
      </rPr>
      <t xml:space="preserve">-20 klasis betoniT </t>
    </r>
  </si>
  <si>
    <r>
      <t xml:space="preserve">betoni </t>
    </r>
    <r>
      <rPr>
        <sz val="10"/>
        <rFont val="Arial"/>
        <family val="2"/>
        <charset val="204"/>
      </rPr>
      <t>B</t>
    </r>
    <r>
      <rPr>
        <sz val="10"/>
        <rFont val="LitNusx"/>
      </rPr>
      <t>-20 kl.</t>
    </r>
  </si>
  <si>
    <t xml:space="preserve"> yalibis fari</t>
  </si>
  <si>
    <t>ficari wiwvovani δsisqiT 40 mm</t>
  </si>
  <si>
    <t xml:space="preserve">d-76 mm uJangavi liTonis milis, rolikebisa da bagirisagan damzadebuli (miwis zedapiridan 8 metri simaRlis) flagStokis montaJi mza saZirkvelze </t>
  </si>
  <si>
    <t xml:space="preserve"> materialuri resursi</t>
  </si>
  <si>
    <t>sn da w  IV-2-82 t-4 cx.27-7-4</t>
  </si>
  <si>
    <t xml:space="preserve">dekoratiuli filis da betonis Semonakirwylis qveS 15.0 sm sisqis RorRis safuZvelis  mowyoba </t>
  </si>
  <si>
    <t>13 - 200</t>
  </si>
  <si>
    <t xml:space="preserve">saSualo tipis avtogreideri _ 108 cx.Z </t>
  </si>
  <si>
    <t>13 - 222</t>
  </si>
  <si>
    <t>satkepni sagzao, pnevmosvlaze -18 t</t>
  </si>
  <si>
    <t>13 - 218</t>
  </si>
  <si>
    <t>satkepni sagzao-TviTmavali -5 t</t>
  </si>
  <si>
    <t>13 - 219</t>
  </si>
  <si>
    <t>satkepni sagzao-TviTmavali -10 t</t>
  </si>
  <si>
    <t>13 - 229</t>
  </si>
  <si>
    <t xml:space="preserve">mosarwyavi manqana _ 6000 l </t>
  </si>
  <si>
    <t>4.1-243</t>
  </si>
  <si>
    <t xml:space="preserve">სემეკის #51 </t>
  </si>
  <si>
    <t>wyali</t>
  </si>
  <si>
    <t>s.n. da w.  IV-2-82 t-4 cx.27-24-17(18)-misad.</t>
  </si>
  <si>
    <r>
      <t>Senobis garSemo betonis Semonakirwylis mowyoba siganiT 1,0 m., sisqiT 10 sm, B</t>
    </r>
    <r>
      <rPr>
        <b/>
        <sz val="10"/>
        <rFont val="Calibri"/>
        <family val="2"/>
      </rPr>
      <t>B</t>
    </r>
    <r>
      <rPr>
        <b/>
        <sz val="10"/>
        <rFont val="LitNusx"/>
      </rPr>
      <t>-20 klasis betoniT</t>
    </r>
  </si>
  <si>
    <t xml:space="preserve"> SromiTi danaxarji (405-10*4.64)1000</t>
  </si>
  <si>
    <t>13-229</t>
  </si>
  <si>
    <t>sarwyavi manqana 6000 l</t>
  </si>
  <si>
    <t>manq/sT</t>
  </si>
  <si>
    <t>manqanebi (13.5-10*0.1)/1000</t>
  </si>
  <si>
    <r>
      <t>betoni B</t>
    </r>
    <r>
      <rPr>
        <sz val="10"/>
        <rFont val="Calibri"/>
        <family val="2"/>
      </rPr>
      <t>B</t>
    </r>
    <r>
      <rPr>
        <sz val="10"/>
        <rFont val="LitNusx"/>
      </rPr>
      <t>-20 (204-10*10.2)</t>
    </r>
  </si>
  <si>
    <t>fari yalibis (11.7-10*0.59)/1000</t>
  </si>
  <si>
    <t>4.1-531</t>
  </si>
  <si>
    <t>bitumis mastika (0.23-10*0.01)/1000</t>
  </si>
  <si>
    <t>meSkovina</t>
  </si>
  <si>
    <t>kv</t>
  </si>
  <si>
    <t>sxvadasxva masalebi (6.4-10*0.19)</t>
  </si>
  <si>
    <t>sn da w  IV-2-82 t-4 cx.27-44-2</t>
  </si>
  <si>
    <t xml:space="preserve">teritoriaze 6,0 (5+1) sm. sisqis  orSriani betonis filebis dageba, msxvilmarcvlovani qviSis 5 sm sisqis narevze, filebis nakerebis msxvilmarclovani qviSiT SevsebiT   </t>
  </si>
  <si>
    <t xml:space="preserve"> SromiTi danaxarji  </t>
  </si>
  <si>
    <t>საბაზრო</t>
  </si>
  <si>
    <t>betonis fila sisqiT 6, sm orSriani transportirebiT</t>
  </si>
  <si>
    <t xml:space="preserve">.  qviSa msxvilmarcvlovani </t>
  </si>
  <si>
    <t>qviSa msxvilmarcvlovani pirapirebis Semavsebeli</t>
  </si>
  <si>
    <t>sn da w  IV-2-82 t-1 cx.1-22-14</t>
  </si>
  <si>
    <t>karierSi mcenareuli gruntis datvirTva av.TviTmclelebze 0.5 kub.m CamCis tevadobis eqskavaToriT</t>
  </si>
  <si>
    <t>13-118</t>
  </si>
  <si>
    <t xml:space="preserve">eqskavatori CamCis tevadobiT 0.5 m </t>
  </si>
  <si>
    <t>mamq./sT</t>
  </si>
  <si>
    <t>mcenareuli gruntis Semotana karieridan 15 km manZilze</t>
  </si>
  <si>
    <t>14 - 15</t>
  </si>
  <si>
    <t>sn da w  IV-2-82 t-9 cx.48-18-6</t>
  </si>
  <si>
    <t xml:space="preserve">mcenareuli gruntis Setana da momzadeba balaxis dasaTesad </t>
  </si>
  <si>
    <t xml:space="preserve"> SromiTi resursi</t>
  </si>
  <si>
    <t>gamwvanebisaTvis balaxis daTesva</t>
  </si>
  <si>
    <t xml:space="preserve">balaxis Tesli </t>
  </si>
  <si>
    <t xml:space="preserve">სემეკის  #51 </t>
  </si>
  <si>
    <t>გრანიტით შემოსილი წყაროს დაყენება თანმდევი დამატებითი (მიწის სამუშაოები, მილგაყვანილობა და სხვა) სამუშაოების გათვალისწინებით</t>
  </si>
  <si>
    <t>შრომითი რესურსი</t>
  </si>
  <si>
    <t xml:space="preserve"> მატერიალური რესურსი</t>
  </si>
  <si>
    <t xml:space="preserve">მარტივი ტიპის ძელსკამების მოწყობა ლითონის ფეხებზე </t>
  </si>
  <si>
    <t>მატერიალური რესურსი</t>
  </si>
  <si>
    <t xml:space="preserve"> j a m i: </t>
  </si>
  <si>
    <t xml:space="preserve">rezervi gauTvaliswinebel samuSaoebze (damkveTis gankargulebaSi) </t>
  </si>
  <si>
    <t>dRg _ 18%</t>
  </si>
  <si>
    <t>eleqtro qselze mierTebis safasuri</t>
  </si>
  <si>
    <t xml:space="preserve">sul krebsiTi saxarjTaRricxvo Rirebuleba </t>
  </si>
  <si>
    <t>lokalur-resursuli xarjTaRricxva #1/7</t>
  </si>
  <si>
    <t>lokalur-resursuli xarjTaRricxva #2</t>
  </si>
  <si>
    <t>მთლიანი ჯამი</t>
  </si>
  <si>
    <t xml:space="preserve">I თავი samSeneblo samuSaoebi </t>
  </si>
  <si>
    <t>jami (daSliTi samuSaoebi) (მაქსიმალური ღირებულება 
30 000 ლარი)</t>
  </si>
  <si>
    <t>jami (axali korpusebi- konstruqciuli nawili) (maqsimaluri Rirebuleba 
800 000 lari)</t>
  </si>
  <si>
    <t>jami (saxuravi) (maqsimaluri Rirebuleba 200 000 lari)</t>
  </si>
  <si>
    <t>d) axali liTonis dekoratiuli Robis, WiSkris da patara WiSkris mowyoba</t>
  </si>
  <si>
    <t>arsebuli Senobis saxuravis Tunuqis burulis daSla da dasawyobeba (skolis gankargulebaSi)</t>
  </si>
  <si>
    <t xml:space="preserve"> arsebuli kar-fanjrebis demontaJi da dasawyobeba skolis gankargulebaSi</t>
  </si>
  <si>
    <t>Senobis gare zedapirebidan amortizirebuli baTqaSis da gadalesvebis Camoyra ferdoebis CaTvliT</t>
  </si>
  <si>
    <t>sxvadasxva tipis iatakebidan  fenilebis (lagebiTurT) ayra da vargisi ficruli fenilis dasawyobeba (skolis gankargulebaSi)</t>
  </si>
  <si>
    <t>Aarsebuli santeqnikuri, eleqtro, susti denebis sistemebis  demontaJi vargisi masalebis dasawyobeba (skolis gankargulebaSi)</t>
  </si>
  <si>
    <t>saxuravebis burulis qveS molartyvis mowyoba (ficari 150*30 mm, ficrebs Soris daSoreba 200 mm) SenaRarebis qveS mTliani molartyviT</t>
  </si>
  <si>
    <t xml:space="preserve">saxuravis burulis mowyoba profilirebuli galvanizirebuli feradi liTonis furclebiT sisqiT aranakleb 0,5 mm-sa, analogiuri feris da sisqis brtyeli TunuqiT kexis mowyoba </t>
  </si>
  <si>
    <r>
      <rPr>
        <b/>
        <sz val="11"/>
        <rFont val="LitNusx"/>
      </rPr>
      <t xml:space="preserve"> `m.d.f.~-is karebis montaJi da Tamasebis mowyoba ferdoebis CaTvliT.</t>
    </r>
    <r>
      <rPr>
        <b/>
        <sz val="10"/>
        <rFont val="LitNusx"/>
      </rPr>
      <t xml:space="preserve"> კარი უნდა იყოს მაქსიმალურად გამძლე მექანიკური დაზიანების მიმართ. ფერი შეთანხმდეს შემსყიდველთან. კარებთან იატაკზე უნდა დამონტაჟდეს ბოლომდე გაღების დამცავი ბარიერი.</t>
    </r>
  </si>
  <si>
    <t xml:space="preserve"> Piatakebis safaris qveS armirebuli (konstruqciuli SeduRebuli liTonis bade) cementis mWimis mowyoba m-150 markis qviSa-cementis xsnariT saSualo sisqiT 3.0 sm</t>
  </si>
  <si>
    <t>22</t>
  </si>
  <si>
    <t>samSeneblo moednis SemoRobva, imis gaTvaliswinebiT, rom javaxiSvilis quCis mxridan moxdes skolis arsebul korpusSi usafrTxod Sesvla ori Sesasvlelidan (javaxiSvilis mxares arsebuli karebidan da centraluri karebidan arsebuli pandusis meSveobiT. amasTan pandusi droebiT unda moewyos derefnis msgavsad, kerZod moewyos xis masaliT kedeli da gadaixuros ise, rom iyos usafrTxo gadaadgilebisaTvis)</t>
  </si>
  <si>
    <t>arsebul mcire darbazSi iatakze 6.0 mm sisqis mravalSriani antistatikuri, antibaqteriuli vinilis fenilis mowyoba cveTamedegi SriT 0.70 mm zedapiri daculi laqebidan. iataki unda iyos or ferSi.</t>
  </si>
  <si>
    <r>
      <t xml:space="preserve">saaqto darbazSi iatakze maRali cveTamedegobis aranakleb 12 mm. sisqis laminirebuli parketis dageba paralonis qvesagebis safuZvelze, კლასი არანაკლებ 32, ეკოლოგიურად სუფთა </t>
    </r>
    <r>
      <rPr>
        <b/>
        <sz val="10"/>
        <rFont val="Arial"/>
        <family val="2"/>
        <charset val="204"/>
      </rPr>
      <t>E1</t>
    </r>
    <r>
      <rPr>
        <b/>
        <sz val="10"/>
        <rFont val="LitNusx"/>
      </rPr>
      <t xml:space="preserve"> სერტიფიკატი. ფერი შეთანხმდეს შემსყიდველთან. </t>
    </r>
  </si>
  <si>
    <t>2.5 mm sisqis vinilis da saaqto darbazis iatakebisaTvis maRali xarisxis 80 mm simaRlis mdf-s plinTusebis mowyoba</t>
  </si>
  <si>
    <t>maRali xarisxis 80 mm simaRlis mdf-s plintusi</t>
  </si>
  <si>
    <r>
      <t xml:space="preserve">iatakze maRali cveTamedegobis aranakleb 12 mm. sisqis laminirebuli parketis dageba paralonis qvesagebis safuZvelze, plintusebis mowyobiT. კლასი არანაკლებ 32, ეკოლოგიურად სუფთა </t>
    </r>
    <r>
      <rPr>
        <b/>
        <sz val="10"/>
        <rFont val="Arial"/>
        <family val="2"/>
        <charset val="204"/>
      </rPr>
      <t>E1</t>
    </r>
    <r>
      <rPr>
        <b/>
        <sz val="10"/>
        <rFont val="LitNusx"/>
      </rPr>
      <t xml:space="preserve"> სერტიფიკატი. ფერი შეთანხმდეს შემსყიდველთან.</t>
    </r>
  </si>
  <si>
    <t>iatakze 2.5 mm sisqis mravalSriani antistatikuri, antibaqteriuli, ekologiurad sufTa vinilis fenilis mowyoba cveTamedegi SriT 0.70 mm zedapiri daculi laqebidan. iataki unda iyos or an sam ferSi. vizuali eskizis mixedviT</t>
  </si>
  <si>
    <t>iatakze xaoiani teqnogranitis filebis dageba webo-cementze. დაგებული იატაკის ზედაპირი უნდა იყოს მაქსიმალურად თანაბრად გასწორებული. ფერი შეთანხმდეს შემსყიდველთან.</t>
  </si>
  <si>
    <t>iatakze xaoiani meTlaxis filebis dageba webo-cementze. დაგებული იატაკის ზედაპირი უნდა იყოს მაქსიმალურად თანაბრად გასწორებული. ფერი შეთანხმდეს შემსყიდველთან.</t>
  </si>
  <si>
    <t>gaburRuli xvrelebis gasufTaveba mtverisagan da d-18 mm liTonis ankeris (sigrZiT 25 sm) Caankereba orkomponentiani qimiuri duRabiT</t>
  </si>
  <si>
    <t xml:space="preserve">qimiuri saankere orkomponentiani duRabi
</t>
  </si>
  <si>
    <t>sportdarbazSi transformirebadi kalaTburTis faris (qarxnuli) dayeneba</t>
  </si>
  <si>
    <t>sportdarbazSi kalaTburTis faris (qarxnuli, orgmina karkasiT, zambariani rgoliT) dayeneba (mcire darbazi)</t>
  </si>
  <si>
    <t>saSxape kabinis montaJi</t>
  </si>
  <si>
    <t>saSxape kabina</t>
  </si>
  <si>
    <t>saxanZro-sprinkleruli sistemis mowyoba</t>
  </si>
  <si>
    <t xml:space="preserve"> saxanZro sprinkleris Tavakis dayeneba</t>
  </si>
  <si>
    <t xml:space="preserve"> 1*36 vt. simZlavris Suqdioduri universaluri panelis (dacvis klasi aranakleb ip20-sa)  da naTuris dayeneba </t>
  </si>
  <si>
    <t xml:space="preserve">  saxanZro signalizaciis marTvis panelis da akumulatoris dayeneba </t>
  </si>
  <si>
    <t>arsebuli WiSkrebis demontaJi da dasawyobeba (skolis gankargulebaSi)</t>
  </si>
  <si>
    <t>miSenebisa da Robis mowyobis arealSi moxvedrili, xemcenareebis, buCqnarisa da ekal-bardebis amoReba, moWra-gakafva, fesvebis amoZirkva da xemcenareebis da buCqnaris gadargva skolis teritoriaze (mwvane zonaSi)</t>
  </si>
  <si>
    <t>Siga kedlebis da kar-fanjrebis ferdoebis SefiTxvna da SeRebva Siga dafarvis wyalemulsiis saRebaviT orjer, რომლის ტექნიკურ ინფორმაციაში გამოყენების სფეროში მითითებული უნდა იყოს სკოლები ან/და საბავშვო დაწესებულებები. შეღებილი კედელი უნდა იყოს სველი დასუფთავების (გარეცხვის) მიმართ გამძლე. ფერები (კლასების, დერეფნების) შეთანხმდეს შემსყიდველთან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</si>
</sst>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numFmt numFmtId="166" formatCode="0.000"/>
    <numFmt numFmtId="167" formatCode="0.00000"/>
    <numFmt numFmtId="168" formatCode="0.0000"/>
    <numFmt numFmtId="169" formatCode="#,##0.000"/>
    <numFmt numFmtId="170" formatCode="#,##0.0"/>
    <numFmt numFmtId="171" formatCode="#,##0.0000"/>
    <numFmt numFmtId="172" formatCode="#,##0.00000"/>
  </numFmts>
  <fonts count="47">
    <font>
      <sz val="11"/>
      <color theme="1"/>
      <name val="Calibri"/>
      <family val="2"/>
      <scheme val="minor"/>
    </font>
    <font>
      <sz val="11"/>
      <color theme="1"/>
      <name val="Calibri"/>
      <family val="2"/>
      <scheme val="minor"/>
    </font>
    <font>
      <b/>
      <sz val="11"/>
      <color theme="1"/>
      <name val="Calibri"/>
      <family val="2"/>
      <scheme val="minor"/>
    </font>
    <font>
      <b/>
      <sz val="11"/>
      <name val="LitNusx"/>
    </font>
    <font>
      <sz val="10"/>
      <name val="LitNusx"/>
    </font>
    <font>
      <b/>
      <i/>
      <sz val="10"/>
      <name val="LitNusx"/>
    </font>
    <font>
      <sz val="9"/>
      <name val="LitNusx"/>
    </font>
    <font>
      <sz val="11"/>
      <name val="LitNusx"/>
    </font>
    <font>
      <b/>
      <sz val="10"/>
      <name val="LitNusx"/>
    </font>
    <font>
      <b/>
      <sz val="9"/>
      <name val="LitNusx"/>
    </font>
    <font>
      <b/>
      <sz val="10"/>
      <name val="AcadNusx"/>
    </font>
    <font>
      <sz val="10"/>
      <name val="Arial"/>
      <family val="2"/>
      <charset val="204"/>
    </font>
    <font>
      <sz val="9"/>
      <name val="AcadNusx"/>
    </font>
    <font>
      <sz val="10"/>
      <name val="AcadNusx"/>
    </font>
    <font>
      <sz val="10"/>
      <name val="Cambria"/>
      <family val="1"/>
      <charset val="204"/>
      <scheme val="major"/>
    </font>
    <font>
      <b/>
      <sz val="10"/>
      <name val="Academiuri Nuskhuri"/>
    </font>
    <font>
      <sz val="10"/>
      <name val="Academiuri Nuskhuri"/>
    </font>
    <font>
      <b/>
      <sz val="10"/>
      <name val="Calibri"/>
      <family val="2"/>
    </font>
    <font>
      <b/>
      <sz val="8"/>
      <name val="LitNusx"/>
    </font>
    <font>
      <sz val="10"/>
      <name val="Arial Cyr"/>
      <charset val="204"/>
    </font>
    <font>
      <sz val="10"/>
      <name val="Arial"/>
      <family val="2"/>
    </font>
    <font>
      <sz val="10"/>
      <name val="Times New Roman"/>
      <family val="1"/>
    </font>
    <font>
      <sz val="10"/>
      <name val="Calibri"/>
      <family val="2"/>
    </font>
    <font>
      <b/>
      <sz val="9"/>
      <name val="AcadNusx"/>
    </font>
    <font>
      <b/>
      <sz val="11"/>
      <name val="Calibri"/>
      <family val="2"/>
      <charset val="204"/>
      <scheme val="minor"/>
    </font>
    <font>
      <sz val="11"/>
      <name val="Calibri"/>
      <family val="2"/>
      <charset val="204"/>
      <scheme val="minor"/>
    </font>
    <font>
      <b/>
      <sz val="10"/>
      <name val="Calibri"/>
      <family val="2"/>
      <charset val="204"/>
      <scheme val="minor"/>
    </font>
    <font>
      <sz val="10"/>
      <name val="Calibri"/>
      <family val="2"/>
      <charset val="204"/>
      <scheme val="minor"/>
    </font>
    <font>
      <b/>
      <u/>
      <sz val="10"/>
      <name val="LitNusx"/>
    </font>
    <font>
      <b/>
      <sz val="11"/>
      <name val="AcadNusx"/>
    </font>
    <font>
      <b/>
      <sz val="9"/>
      <name val="Academiuri Nuskhuri"/>
    </font>
    <font>
      <sz val="10"/>
      <name val="Calibri"/>
      <family val="2"/>
      <charset val="204"/>
    </font>
    <font>
      <sz val="8"/>
      <name val="AcadNusx"/>
    </font>
    <font>
      <b/>
      <sz val="10"/>
      <name val="LitNusx"/>
      <family val="2"/>
      <charset val="204"/>
    </font>
    <font>
      <sz val="10"/>
      <name val="LitNusx"/>
      <family val="2"/>
      <charset val="204"/>
    </font>
    <font>
      <b/>
      <sz val="10"/>
      <name val="Sylfaen"/>
      <family val="1"/>
      <charset val="204"/>
    </font>
    <font>
      <sz val="10"/>
      <name val="Sylfaen"/>
      <family val="1"/>
      <charset val="204"/>
    </font>
    <font>
      <vertAlign val="superscript"/>
      <sz val="10"/>
      <name val="LitNusx"/>
    </font>
    <font>
      <b/>
      <sz val="10"/>
      <name val="Geo_Lit"/>
      <family val="2"/>
    </font>
    <font>
      <sz val="11"/>
      <color theme="1"/>
      <name val="Calibri"/>
      <family val="2"/>
      <charset val="204"/>
      <scheme val="minor"/>
    </font>
    <font>
      <b/>
      <sz val="10"/>
      <name val="Arial"/>
      <family val="2"/>
      <charset val="204"/>
    </font>
    <font>
      <b/>
      <sz val="9"/>
      <name val="Cambria"/>
      <family val="1"/>
      <charset val="204"/>
      <scheme val="major"/>
    </font>
    <font>
      <sz val="9"/>
      <name val="Cambria"/>
      <family val="1"/>
      <charset val="204"/>
      <scheme val="major"/>
    </font>
    <font>
      <b/>
      <i/>
      <sz val="11"/>
      <name val="LitNusx"/>
    </font>
    <font>
      <b/>
      <sz val="8"/>
      <name val="Cambria"/>
      <family val="1"/>
      <charset val="204"/>
      <scheme val="major"/>
    </font>
    <font>
      <b/>
      <sz val="10"/>
      <name val="Times New Roman"/>
      <family val="1"/>
      <charset val="204"/>
    </font>
    <font>
      <b/>
      <sz val="12"/>
      <name val="LitNusx"/>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BFFFF"/>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00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0" fontId="11" fillId="0" borderId="0"/>
    <xf numFmtId="0" fontId="11" fillId="0" borderId="0"/>
    <xf numFmtId="0" fontId="19"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164" fontId="11" fillId="0" borderId="0" applyFont="0" applyFill="0" applyBorder="0" applyAlignment="0" applyProtection="0"/>
    <xf numFmtId="0" fontId="39" fillId="0" borderId="0"/>
    <xf numFmtId="0" fontId="11" fillId="0" borderId="0"/>
    <xf numFmtId="0" fontId="1" fillId="0" borderId="0"/>
    <xf numFmtId="0" fontId="11" fillId="0" borderId="0"/>
    <xf numFmtId="0" fontId="11" fillId="0" borderId="0"/>
    <xf numFmtId="0" fontId="19" fillId="0" borderId="0"/>
  </cellStyleXfs>
  <cellXfs count="523">
    <xf numFmtId="0" fontId="0" fillId="0" borderId="0" xfId="0"/>
    <xf numFmtId="49" fontId="8" fillId="0"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1" fontId="8" fillId="0" borderId="2"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1" xfId="0" applyNumberFormat="1" applyFont="1" applyFill="1" applyBorder="1" applyAlignment="1">
      <alignment vertical="center" wrapText="1"/>
    </xf>
    <xf numFmtId="1" fontId="8"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4" fontId="8" fillId="3"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8" fillId="0" borderId="1" xfId="0" applyFont="1" applyFill="1" applyBorder="1" applyAlignment="1">
      <alignment vertical="center"/>
    </xf>
    <xf numFmtId="166" fontId="4" fillId="0" borderId="1" xfId="0" applyNumberFormat="1" applyFont="1" applyFill="1" applyBorder="1" applyAlignment="1">
      <alignment horizontal="center" vertical="center"/>
    </xf>
    <xf numFmtId="49" fontId="8" fillId="0" borderId="4"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2" fontId="8" fillId="2"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xf>
    <xf numFmtId="2" fontId="14"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2" xfId="0" applyNumberFormat="1" applyFont="1" applyBorder="1" applyAlignment="1">
      <alignment horizontal="center" vertical="center" wrapText="1"/>
    </xf>
    <xf numFmtId="0" fontId="8" fillId="2" borderId="1" xfId="0" applyFont="1" applyFill="1" applyBorder="1" applyAlignment="1">
      <alignment horizontal="right" vertical="center" wrapText="1"/>
    </xf>
    <xf numFmtId="165" fontId="8"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168" fontId="4" fillId="2"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2" fontId="8" fillId="3" borderId="1" xfId="2" applyNumberFormat="1" applyFont="1" applyFill="1" applyBorder="1" applyAlignment="1">
      <alignment horizontal="center" vertical="center"/>
    </xf>
    <xf numFmtId="49" fontId="6" fillId="2" borderId="1" xfId="2"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49" fontId="18" fillId="2" borderId="1" xfId="2"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center" vertical="center"/>
    </xf>
    <xf numFmtId="165" fontId="8" fillId="2" borderId="1" xfId="2" applyNumberFormat="1" applyFont="1" applyFill="1" applyBorder="1" applyAlignment="1">
      <alignment horizontal="center" vertical="center"/>
    </xf>
    <xf numFmtId="49" fontId="6" fillId="2" borderId="1" xfId="2" applyNumberFormat="1"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2" fontId="4" fillId="2" borderId="1" xfId="2" applyNumberFormat="1" applyFont="1" applyFill="1" applyBorder="1" applyAlignment="1">
      <alignment horizontal="center" vertical="center"/>
    </xf>
    <xf numFmtId="2" fontId="8" fillId="2" borderId="1" xfId="2" applyNumberFormat="1" applyFont="1" applyFill="1" applyBorder="1" applyAlignment="1">
      <alignment horizontal="center" vertical="center"/>
    </xf>
    <xf numFmtId="0" fontId="8" fillId="2" borderId="1" xfId="3"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49" fontId="8" fillId="2" borderId="1" xfId="4" applyNumberFormat="1" applyFont="1" applyFill="1" applyBorder="1" applyAlignment="1">
      <alignment horizontal="center" vertical="center" wrapText="1"/>
    </xf>
    <xf numFmtId="0" fontId="8" fillId="2" borderId="1" xfId="4" applyNumberFormat="1" applyFont="1" applyFill="1" applyBorder="1" applyAlignment="1">
      <alignment horizontal="center" vertical="center" wrapText="1"/>
    </xf>
    <xf numFmtId="0" fontId="18" fillId="0" borderId="1" xfId="4" applyNumberFormat="1" applyFont="1" applyFill="1" applyBorder="1" applyAlignment="1">
      <alignment horizontal="center" vertical="center" wrapText="1"/>
    </xf>
    <xf numFmtId="2" fontId="8" fillId="2" borderId="1" xfId="4" applyNumberFormat="1" applyFont="1" applyFill="1" applyBorder="1" applyAlignment="1">
      <alignment horizontal="center" vertical="center" wrapText="1"/>
    </xf>
    <xf numFmtId="2" fontId="8" fillId="3" borderId="1" xfId="4" applyNumberFormat="1" applyFont="1" applyFill="1" applyBorder="1" applyAlignment="1">
      <alignment horizontal="center" vertical="center" wrapText="1"/>
    </xf>
    <xf numFmtId="0" fontId="8" fillId="0" borderId="1" xfId="5"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0" fontId="4" fillId="2" borderId="1" xfId="6"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49" fontId="9" fillId="2" borderId="1" xfId="4" applyNumberFormat="1"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68" fontId="4" fillId="0" borderId="1" xfId="4" applyNumberFormat="1" applyFont="1" applyFill="1" applyBorder="1" applyAlignment="1">
      <alignment horizontal="center" vertical="center" wrapText="1"/>
    </xf>
    <xf numFmtId="2" fontId="4" fillId="2" borderId="1" xfId="4" applyNumberFormat="1" applyFont="1" applyFill="1" applyBorder="1" applyAlignment="1">
      <alignment horizontal="center" vertical="center" wrapText="1"/>
    </xf>
    <xf numFmtId="166" fontId="4" fillId="2" borderId="1" xfId="4" applyNumberFormat="1" applyFont="1" applyFill="1" applyBorder="1" applyAlignment="1">
      <alignment horizontal="center" vertical="center" wrapText="1"/>
    </xf>
    <xf numFmtId="168" fontId="4" fillId="2" borderId="1" xfId="4" applyNumberFormat="1"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xf>
    <xf numFmtId="0" fontId="4" fillId="0" borderId="1" xfId="2"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wrapText="1"/>
    </xf>
    <xf numFmtId="0" fontId="10" fillId="2" borderId="1" xfId="7" applyNumberFormat="1" applyFont="1" applyFill="1" applyBorder="1" applyAlignment="1">
      <alignment horizontal="center" vertical="center" wrapText="1"/>
    </xf>
    <xf numFmtId="0" fontId="10" fillId="4" borderId="1" xfId="7" applyNumberFormat="1" applyFont="1" applyFill="1" applyBorder="1" applyAlignment="1">
      <alignment horizontal="center" vertical="center" wrapText="1"/>
    </xf>
    <xf numFmtId="0" fontId="13" fillId="4" borderId="1" xfId="7" applyNumberFormat="1" applyFont="1" applyFill="1" applyBorder="1" applyAlignment="1">
      <alignment horizontal="center" vertical="center" wrapText="1"/>
    </xf>
    <xf numFmtId="0" fontId="13" fillId="2" borderId="1" xfId="8" applyNumberFormat="1" applyFont="1" applyFill="1" applyBorder="1" applyAlignment="1">
      <alignment horizontal="center" vertical="center" wrapText="1"/>
    </xf>
    <xf numFmtId="0" fontId="21" fillId="2" borderId="1" xfId="8" applyNumberFormat="1" applyFont="1" applyFill="1" applyBorder="1" applyAlignment="1">
      <alignment horizontal="center" vertical="center" wrapText="1"/>
    </xf>
    <xf numFmtId="2" fontId="21" fillId="2" borderId="1" xfId="8"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xf>
    <xf numFmtId="0" fontId="8" fillId="2" borderId="1" xfId="0" quotePrefix="1" applyFont="1" applyFill="1" applyBorder="1" applyAlignment="1">
      <alignment horizontal="center" vertical="center" wrapText="1"/>
    </xf>
    <xf numFmtId="3" fontId="8" fillId="2" borderId="1" xfId="9" applyNumberFormat="1" applyFont="1" applyFill="1" applyBorder="1" applyAlignment="1">
      <alignment horizontal="center" vertical="center" wrapText="1"/>
    </xf>
    <xf numFmtId="4" fontId="8" fillId="2" borderId="1" xfId="9" applyNumberFormat="1" applyFont="1" applyFill="1" applyBorder="1" applyAlignment="1">
      <alignment horizontal="center" vertical="center" wrapText="1"/>
    </xf>
    <xf numFmtId="4" fontId="8" fillId="3" borderId="1" xfId="9" applyNumberFormat="1" applyFont="1" applyFill="1" applyBorder="1" applyAlignment="1">
      <alignment horizontal="center" vertical="center" wrapText="1"/>
    </xf>
    <xf numFmtId="4" fontId="4" fillId="2" borderId="1" xfId="9" applyNumberFormat="1" applyFont="1" applyFill="1" applyBorder="1" applyAlignment="1">
      <alignment horizontal="center" vertical="center" wrapText="1"/>
    </xf>
    <xf numFmtId="0" fontId="8" fillId="2" borderId="1" xfId="0" applyFont="1" applyFill="1" applyBorder="1" applyAlignment="1">
      <alignment vertical="center" wrapText="1"/>
    </xf>
    <xf numFmtId="0" fontId="4" fillId="2" borderId="1" xfId="0" applyNumberFormat="1" applyFont="1" applyFill="1" applyBorder="1" applyAlignment="1">
      <alignment horizontal="center" vertical="center" wrapText="1"/>
    </xf>
    <xf numFmtId="0" fontId="4" fillId="0" borderId="1" xfId="10" applyNumberFormat="1"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49" fontId="4" fillId="2" borderId="1" xfId="0"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4" fillId="2" borderId="4"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4" fontId="8" fillId="0" borderId="1" xfId="9"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xf>
    <xf numFmtId="4" fontId="4" fillId="0" borderId="1" xfId="9"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vertical="center" wrapText="1"/>
    </xf>
    <xf numFmtId="0" fontId="4" fillId="2" borderId="2" xfId="0"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8" fontId="4" fillId="0" borderId="1" xfId="1" applyNumberFormat="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2" fontId="4" fillId="2" borderId="1" xfId="6"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5" fillId="2" borderId="1" xfId="1" applyNumberFormat="1" applyFont="1" applyFill="1" applyBorder="1" applyAlignment="1">
      <alignment vertical="center" wrapText="1"/>
    </xf>
    <xf numFmtId="0" fontId="5" fillId="2" borderId="1" xfId="1" applyNumberFormat="1" applyFont="1" applyFill="1" applyBorder="1" applyAlignment="1">
      <alignment horizontal="center" vertical="center" wrapText="1"/>
    </xf>
    <xf numFmtId="168"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9" fontId="23" fillId="2" borderId="1" xfId="0"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168" fontId="4" fillId="2" borderId="1" xfId="9"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165" fontId="8" fillId="0"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9" fontId="4" fillId="2" borderId="1" xfId="11" applyNumberFormat="1" applyFont="1" applyFill="1" applyBorder="1" applyAlignment="1">
      <alignment horizontal="center" vertical="center"/>
    </xf>
    <xf numFmtId="165" fontId="4" fillId="2" borderId="1" xfId="11" applyNumberFormat="1" applyFont="1" applyFill="1" applyBorder="1" applyAlignment="1">
      <alignment horizontal="center" vertical="center"/>
    </xf>
    <xf numFmtId="2" fontId="4" fillId="2" borderId="1" xfId="11" applyNumberFormat="1" applyFont="1" applyFill="1" applyBorder="1" applyAlignment="1">
      <alignment horizontal="center" vertical="center"/>
    </xf>
    <xf numFmtId="4" fontId="4" fillId="0" borderId="1" xfId="11" applyNumberFormat="1" applyFont="1" applyFill="1" applyBorder="1" applyAlignment="1">
      <alignment horizontal="center" vertical="center"/>
    </xf>
    <xf numFmtId="165" fontId="4" fillId="0" borderId="1" xfId="11" applyNumberFormat="1" applyFont="1" applyFill="1" applyBorder="1" applyAlignment="1">
      <alignment horizontal="center" vertical="center"/>
    </xf>
    <xf numFmtId="49" fontId="8"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2" fontId="4" fillId="2" borderId="1" xfId="3" applyNumberFormat="1" applyFont="1" applyFill="1" applyBorder="1" applyAlignment="1">
      <alignment horizontal="center" vertical="center"/>
    </xf>
    <xf numFmtId="170" fontId="4" fillId="2" borderId="1" xfId="3" applyNumberFormat="1" applyFont="1" applyFill="1" applyBorder="1" applyAlignment="1">
      <alignment horizontal="center" vertical="center"/>
    </xf>
    <xf numFmtId="168" fontId="4" fillId="2" borderId="1" xfId="2" applyNumberFormat="1" applyFont="1" applyFill="1" applyBorder="1" applyAlignment="1">
      <alignment horizontal="center" vertical="center"/>
    </xf>
    <xf numFmtId="0" fontId="8" fillId="2" borderId="3" xfId="0" applyFont="1" applyFill="1" applyBorder="1" applyAlignment="1">
      <alignment vertical="center" wrapText="1"/>
    </xf>
    <xf numFmtId="0" fontId="8" fillId="4" borderId="1" xfId="0"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165" fontId="8" fillId="2" borderId="1" xfId="2" applyNumberFormat="1" applyFont="1" applyFill="1" applyBorder="1" applyAlignment="1">
      <alignment horizontal="center" vertical="center" wrapText="1"/>
    </xf>
    <xf numFmtId="2" fontId="24" fillId="3" borderId="1" xfId="2" applyNumberFormat="1" applyFont="1" applyFill="1" applyBorder="1" applyAlignment="1">
      <alignment horizontal="center" vertical="center"/>
    </xf>
    <xf numFmtId="49" fontId="4"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170" fontId="4" fillId="0" borderId="1" xfId="2" applyNumberFormat="1" applyFont="1" applyFill="1" applyBorder="1" applyAlignment="1">
      <alignment horizontal="center" vertical="center" wrapText="1"/>
    </xf>
    <xf numFmtId="2" fontId="25" fillId="0" borderId="1" xfId="2" applyNumberFormat="1" applyFont="1" applyBorder="1" applyAlignment="1">
      <alignment horizontal="center" vertical="center"/>
    </xf>
    <xf numFmtId="49" fontId="6" fillId="0" borderId="1" xfId="2" applyNumberFormat="1" applyFont="1" applyFill="1" applyBorder="1" applyAlignment="1">
      <alignment horizontal="center" vertical="center"/>
    </xf>
    <xf numFmtId="49" fontId="9" fillId="2" borderId="1" xfId="2" applyNumberFormat="1" applyFont="1" applyFill="1" applyBorder="1" applyAlignment="1">
      <alignment horizontal="center" vertical="center" wrapText="1"/>
    </xf>
    <xf numFmtId="170" fontId="8" fillId="2" borderId="1" xfId="2" applyNumberFormat="1" applyFont="1" applyFill="1" applyBorder="1" applyAlignment="1">
      <alignment horizontal="center" vertical="center" wrapText="1"/>
    </xf>
    <xf numFmtId="2" fontId="26" fillId="3" borderId="1" xfId="2" applyNumberFormat="1" applyFont="1" applyFill="1" applyBorder="1" applyAlignment="1">
      <alignment horizontal="center" vertical="center"/>
    </xf>
    <xf numFmtId="2" fontId="27" fillId="0" borderId="1" xfId="2" applyNumberFormat="1" applyFont="1" applyBorder="1" applyAlignment="1">
      <alignment horizontal="center" vertical="center"/>
    </xf>
    <xf numFmtId="0" fontId="8" fillId="3"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textRotation="90" wrapText="1"/>
    </xf>
    <xf numFmtId="2" fontId="9" fillId="0" borderId="1" xfId="0" applyNumberFormat="1" applyFont="1" applyBorder="1" applyAlignment="1">
      <alignment horizontal="center" vertical="center" textRotation="90" wrapText="1"/>
    </xf>
    <xf numFmtId="2" fontId="9" fillId="0" borderId="1" xfId="0" applyNumberFormat="1" applyFont="1" applyFill="1" applyBorder="1" applyAlignment="1">
      <alignment horizontal="center" vertical="center" textRotation="90" wrapText="1"/>
    </xf>
    <xf numFmtId="49" fontId="10" fillId="2"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2" borderId="1" xfId="9" applyFont="1" applyFill="1" applyBorder="1" applyAlignment="1">
      <alignment horizontal="center" vertical="center"/>
    </xf>
    <xf numFmtId="4" fontId="13" fillId="2" borderId="1" xfId="9" applyNumberFormat="1" applyFont="1" applyFill="1" applyBorder="1" applyAlignment="1">
      <alignment horizontal="center" vertical="center" wrapText="1"/>
    </xf>
    <xf numFmtId="0" fontId="4" fillId="2" borderId="1" xfId="9" applyFont="1" applyFill="1" applyBorder="1" applyAlignment="1">
      <alignment horizontal="center" vertical="center"/>
    </xf>
    <xf numFmtId="169" fontId="13" fillId="2" borderId="1" xfId="9"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2" fontId="8" fillId="0" borderId="5" xfId="0" applyNumberFormat="1" applyFont="1" applyBorder="1" applyAlignment="1">
      <alignment horizontal="center" vertical="center" wrapText="1"/>
    </xf>
    <xf numFmtId="49" fontId="9" fillId="0" borderId="5" xfId="0" applyNumberFormat="1" applyFont="1" applyFill="1" applyBorder="1" applyAlignment="1">
      <alignment horizontal="center" vertical="center" wrapText="1"/>
    </xf>
    <xf numFmtId="0" fontId="28" fillId="0" borderId="5" xfId="0" applyFont="1" applyBorder="1" applyAlignment="1">
      <alignment horizontal="center" vertical="center" wrapText="1"/>
    </xf>
    <xf numFmtId="0" fontId="8" fillId="0" borderId="5" xfId="0" applyFont="1" applyBorder="1" applyAlignment="1">
      <alignment horizontal="center" vertical="center" wrapText="1"/>
    </xf>
    <xf numFmtId="2" fontId="8"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0"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textRotation="90" wrapText="1"/>
    </xf>
    <xf numFmtId="1" fontId="23" fillId="2" borderId="1" xfId="0" applyNumberFormat="1" applyFont="1" applyFill="1" applyBorder="1" applyAlignment="1">
      <alignment horizontal="center" vertical="center" textRotation="90" wrapText="1"/>
    </xf>
    <xf numFmtId="166" fontId="6" fillId="2"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32" fillId="2" borderId="1" xfId="9" applyFont="1" applyFill="1" applyBorder="1" applyAlignment="1">
      <alignment horizontal="center" vertical="center" wrapText="1"/>
    </xf>
    <xf numFmtId="169" fontId="4" fillId="2" borderId="1" xfId="9" applyNumberFormat="1" applyFont="1" applyFill="1" applyBorder="1" applyAlignment="1">
      <alignment horizontal="center" vertical="center" wrapText="1"/>
    </xf>
    <xf numFmtId="2" fontId="4" fillId="2" borderId="1" xfId="9" applyNumberFormat="1" applyFont="1" applyFill="1" applyBorder="1" applyAlignment="1">
      <alignment horizontal="center" vertical="center" wrapText="1"/>
    </xf>
    <xf numFmtId="49" fontId="33" fillId="0" borderId="1" xfId="0" applyNumberFormat="1" applyFont="1" applyBorder="1" applyAlignment="1">
      <alignment horizontal="center" vertical="center" wrapText="1"/>
    </xf>
    <xf numFmtId="0" fontId="33" fillId="0" borderId="1" xfId="0" applyNumberFormat="1" applyFont="1" applyBorder="1" applyAlignment="1">
      <alignment horizontal="center" vertical="center" wrapText="1"/>
    </xf>
    <xf numFmtId="2" fontId="33" fillId="0" borderId="1" xfId="0" applyNumberFormat="1" applyFont="1" applyBorder="1" applyAlignment="1">
      <alignment horizontal="center" vertical="center" wrapText="1"/>
    </xf>
    <xf numFmtId="2" fontId="33" fillId="3" borderId="1" xfId="0" applyNumberFormat="1" applyFont="1" applyFill="1" applyBorder="1" applyAlignment="1">
      <alignment horizontal="center" vertical="center" wrapText="1"/>
    </xf>
    <xf numFmtId="165" fontId="34" fillId="0" borderId="1"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wrapText="1"/>
    </xf>
    <xf numFmtId="2" fontId="34" fillId="0" borderId="1" xfId="0" applyNumberFormat="1" applyFont="1" applyFill="1" applyBorder="1" applyAlignment="1">
      <alignment horizontal="center" vertical="center" wrapText="1"/>
    </xf>
    <xf numFmtId="2" fontId="34"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1" xfId="9" applyFont="1" applyFill="1" applyBorder="1" applyAlignment="1">
      <alignment horizontal="center" vertical="center" wrapText="1"/>
    </xf>
    <xf numFmtId="0" fontId="10" fillId="2" borderId="1" xfId="0" applyFont="1" applyFill="1" applyBorder="1" applyAlignment="1">
      <alignment horizontal="center" vertical="center" textRotation="90" wrapText="1"/>
    </xf>
    <xf numFmtId="1" fontId="8"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2" fontId="8" fillId="2"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171" fontId="4" fillId="2" borderId="1" xfId="0" applyNumberFormat="1" applyFont="1" applyFill="1" applyBorder="1" applyAlignment="1">
      <alignment horizontal="center" vertical="center" wrapText="1"/>
    </xf>
    <xf numFmtId="168"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1" fontId="9" fillId="0" borderId="1" xfId="0" applyNumberFormat="1" applyFont="1" applyFill="1" applyBorder="1" applyAlignment="1">
      <alignment horizontal="center" vertical="center" textRotation="90" wrapText="1"/>
    </xf>
    <xf numFmtId="49" fontId="4" fillId="6" borderId="1" xfId="0"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6" fontId="8" fillId="0" borderId="1" xfId="0"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xf>
    <xf numFmtId="0" fontId="8" fillId="0" borderId="2" xfId="0" applyFont="1" applyBorder="1" applyAlignment="1">
      <alignment horizontal="center" vertical="center"/>
    </xf>
    <xf numFmtId="0" fontId="4" fillId="0" borderId="2" xfId="0"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17" fontId="13" fillId="2" borderId="1" xfId="9"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8" applyNumberFormat="1" applyFont="1" applyFill="1" applyBorder="1" applyAlignment="1">
      <alignment horizontal="center" vertical="center" wrapText="1"/>
    </xf>
    <xf numFmtId="0" fontId="8" fillId="2" borderId="1" xfId="8" applyNumberFormat="1" applyFont="1" applyFill="1" applyBorder="1" applyAlignment="1">
      <alignment horizontal="center" vertical="center" wrapText="1"/>
    </xf>
    <xf numFmtId="0" fontId="8" fillId="0" borderId="1" xfId="12" applyFont="1" applyFill="1" applyBorder="1" applyAlignment="1">
      <alignment horizontal="center" vertical="center" wrapText="1"/>
    </xf>
    <xf numFmtId="0" fontId="4" fillId="2" borderId="1" xfId="13" applyFont="1" applyFill="1" applyBorder="1" applyAlignment="1">
      <alignment horizontal="center" vertical="center" wrapText="1"/>
    </xf>
    <xf numFmtId="0" fontId="8" fillId="0" borderId="1" xfId="13" applyFont="1" applyFill="1" applyBorder="1" applyAlignment="1">
      <alignment horizontal="center" vertical="center"/>
    </xf>
    <xf numFmtId="2" fontId="8" fillId="0" borderId="1" xfId="12" applyNumberFormat="1" applyFont="1" applyFill="1" applyBorder="1" applyAlignment="1">
      <alignment horizontal="center" vertical="center"/>
    </xf>
    <xf numFmtId="0" fontId="8" fillId="0" borderId="1" xfId="8" applyFont="1" applyFill="1" applyBorder="1" applyAlignment="1">
      <alignment horizontal="center" vertical="center" wrapText="1"/>
    </xf>
    <xf numFmtId="0" fontId="8" fillId="3" borderId="1" xfId="8" applyFont="1" applyFill="1" applyBorder="1" applyAlignment="1">
      <alignment horizontal="center" vertical="center" wrapText="1"/>
    </xf>
    <xf numFmtId="0" fontId="4" fillId="0" borderId="1" xfId="12" applyFont="1" applyFill="1" applyBorder="1" applyAlignment="1">
      <alignment horizontal="center" vertical="center"/>
    </xf>
    <xf numFmtId="0" fontId="4" fillId="0" borderId="1" xfId="12" applyFont="1" applyFill="1" applyBorder="1" applyAlignment="1">
      <alignment horizontal="center" vertical="center" wrapText="1"/>
    </xf>
    <xf numFmtId="0" fontId="4" fillId="2" borderId="1" xfId="14" applyNumberFormat="1" applyFont="1" applyFill="1" applyBorder="1" applyAlignment="1">
      <alignment horizontal="center" vertical="center" wrapText="1"/>
    </xf>
    <xf numFmtId="0" fontId="8" fillId="0" borderId="1" xfId="12" applyFont="1" applyFill="1" applyBorder="1" applyAlignment="1">
      <alignment horizontal="center" vertical="center"/>
    </xf>
    <xf numFmtId="0" fontId="8" fillId="0" borderId="1" xfId="8" applyFont="1" applyFill="1" applyBorder="1" applyAlignment="1">
      <alignment horizontal="center" vertical="center"/>
    </xf>
    <xf numFmtId="0" fontId="8" fillId="0" borderId="1" xfId="7" applyNumberFormat="1"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2" fontId="4" fillId="0" borderId="1" xfId="10" applyNumberFormat="1" applyFont="1" applyFill="1" applyBorder="1" applyAlignment="1">
      <alignment horizontal="center" vertical="center" wrapText="1"/>
    </xf>
    <xf numFmtId="9" fontId="4" fillId="0" borderId="1" xfId="7" applyNumberFormat="1" applyFont="1" applyFill="1" applyBorder="1" applyAlignment="1">
      <alignment horizontal="center" vertical="center" wrapText="1"/>
    </xf>
    <xf numFmtId="2" fontId="4" fillId="0" borderId="1" xfId="7" applyNumberFormat="1" applyFont="1" applyFill="1" applyBorder="1" applyAlignment="1">
      <alignment horizontal="center" vertical="center" wrapText="1"/>
    </xf>
    <xf numFmtId="2" fontId="8" fillId="0" borderId="1" xfId="8" applyNumberFormat="1" applyFont="1" applyFill="1" applyBorder="1" applyAlignment="1">
      <alignment horizontal="center" vertical="center"/>
    </xf>
    <xf numFmtId="9" fontId="4" fillId="0" borderId="1" xfId="12" applyNumberFormat="1" applyFont="1" applyFill="1" applyBorder="1" applyAlignment="1">
      <alignment horizontal="center" vertical="center"/>
    </xf>
    <xf numFmtId="0" fontId="4" fillId="0" borderId="1" xfId="8" applyFont="1" applyFill="1" applyBorder="1" applyAlignment="1">
      <alignment horizontal="center" vertical="center"/>
    </xf>
    <xf numFmtId="2" fontId="4" fillId="0" borderId="1" xfId="8" applyNumberFormat="1" applyFont="1" applyFill="1" applyBorder="1" applyAlignment="1">
      <alignment horizontal="center" vertical="center"/>
    </xf>
    <xf numFmtId="0" fontId="4" fillId="0" borderId="1" xfId="13" applyFont="1" applyFill="1" applyBorder="1" applyAlignment="1">
      <alignment horizontal="center" vertical="center" wrapText="1"/>
    </xf>
    <xf numFmtId="2" fontId="4" fillId="2" borderId="1" xfId="13" applyNumberFormat="1" applyFont="1" applyFill="1" applyBorder="1" applyAlignment="1">
      <alignment horizontal="center" vertical="center" wrapText="1"/>
    </xf>
    <xf numFmtId="2" fontId="4" fillId="2" borderId="1" xfId="14"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textRotation="90" wrapText="1"/>
    </xf>
    <xf numFmtId="1" fontId="10" fillId="0" borderId="1" xfId="0" applyNumberFormat="1" applyFont="1" applyFill="1" applyBorder="1" applyAlignment="1">
      <alignment horizontal="center" vertical="center" wrapText="1"/>
    </xf>
    <xf numFmtId="0" fontId="8" fillId="0" borderId="1" xfId="0" applyFont="1" applyFill="1" applyBorder="1" applyAlignment="1">
      <alignment horizontal="right" vertical="center"/>
    </xf>
    <xf numFmtId="49" fontId="13" fillId="0"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xf>
    <xf numFmtId="0" fontId="12" fillId="2" borderId="1" xfId="9"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49" fontId="4" fillId="2" borderId="1" xfId="15" applyNumberFormat="1" applyFont="1" applyFill="1" applyBorder="1" applyAlignment="1">
      <alignment horizontal="center" vertical="center"/>
    </xf>
    <xf numFmtId="1" fontId="41" fillId="2" borderId="1" xfId="16" applyNumberFormat="1" applyFont="1" applyFill="1" applyBorder="1" applyAlignment="1">
      <alignment horizontal="center" vertical="center" wrapText="1"/>
    </xf>
    <xf numFmtId="49" fontId="41" fillId="2" borderId="1" xfId="16" applyNumberFormat="1" applyFont="1" applyFill="1" applyBorder="1" applyAlignment="1">
      <alignment horizontal="center" vertical="center" wrapText="1"/>
    </xf>
    <xf numFmtId="0" fontId="41" fillId="2" borderId="1" xfId="16" applyFont="1" applyFill="1" applyBorder="1" applyAlignment="1">
      <alignment horizontal="center" vertical="center" wrapText="1"/>
    </xf>
    <xf numFmtId="0" fontId="41" fillId="0" borderId="1" xfId="16" applyFont="1" applyFill="1" applyBorder="1" applyAlignment="1">
      <alignment horizontal="center" vertical="center" wrapText="1"/>
    </xf>
    <xf numFmtId="169" fontId="41" fillId="2" borderId="1" xfId="16" applyNumberFormat="1" applyFont="1" applyFill="1" applyBorder="1" applyAlignment="1">
      <alignment horizontal="center" vertical="center" wrapText="1"/>
    </xf>
    <xf numFmtId="4" fontId="41" fillId="3" borderId="1" xfId="16" applyNumberFormat="1" applyFont="1" applyFill="1" applyBorder="1" applyAlignment="1">
      <alignment horizontal="center" vertical="center" wrapText="1"/>
    </xf>
    <xf numFmtId="49" fontId="42" fillId="2" borderId="1" xfId="16" applyNumberFormat="1" applyFont="1" applyFill="1" applyBorder="1" applyAlignment="1">
      <alignment horizontal="center" vertical="center" wrapText="1"/>
    </xf>
    <xf numFmtId="0" fontId="42" fillId="2" borderId="1" xfId="16" applyFont="1" applyFill="1" applyBorder="1" applyAlignment="1">
      <alignment horizontal="center" vertical="center" wrapText="1"/>
    </xf>
    <xf numFmtId="0" fontId="42" fillId="0" borderId="1" xfId="16" applyFont="1" applyFill="1" applyBorder="1" applyAlignment="1">
      <alignment horizontal="center" vertical="center" wrapText="1"/>
    </xf>
    <xf numFmtId="168" fontId="42" fillId="2" borderId="1" xfId="16" applyNumberFormat="1" applyFont="1" applyFill="1" applyBorder="1" applyAlignment="1">
      <alignment horizontal="center" vertical="center" wrapText="1"/>
    </xf>
    <xf numFmtId="0" fontId="41" fillId="0" borderId="1" xfId="16" applyFont="1" applyBorder="1" applyAlignment="1">
      <alignment horizontal="center" vertical="center" wrapText="1"/>
    </xf>
    <xf numFmtId="2" fontId="41" fillId="0" borderId="1" xfId="16" applyNumberFormat="1" applyFont="1" applyBorder="1" applyAlignment="1">
      <alignment horizontal="center" vertical="center" wrapText="1"/>
    </xf>
    <xf numFmtId="2" fontId="41" fillId="3" borderId="1" xfId="16" applyNumberFormat="1" applyFont="1" applyFill="1" applyBorder="1" applyAlignment="1">
      <alignment horizontal="center" vertical="center" wrapText="1"/>
    </xf>
    <xf numFmtId="165" fontId="42" fillId="0" borderId="1" xfId="16" applyNumberFormat="1" applyFont="1" applyBorder="1" applyAlignment="1">
      <alignment horizontal="center" vertical="center" wrapText="1"/>
    </xf>
    <xf numFmtId="0" fontId="42" fillId="0" borderId="1" xfId="16" applyFont="1" applyBorder="1" applyAlignment="1">
      <alignment horizontal="center" vertical="center" wrapText="1"/>
    </xf>
    <xf numFmtId="168" fontId="42" fillId="0" borderId="1" xfId="16" applyNumberFormat="1" applyFont="1" applyBorder="1" applyAlignment="1">
      <alignment horizontal="center" vertical="center" wrapText="1"/>
    </xf>
    <xf numFmtId="2" fontId="42" fillId="2" borderId="1" xfId="16" applyNumberFormat="1" applyFont="1" applyFill="1" applyBorder="1" applyAlignment="1">
      <alignment horizontal="center" vertical="center" wrapText="1"/>
    </xf>
    <xf numFmtId="167" fontId="42" fillId="0" borderId="1" xfId="16" applyNumberFormat="1" applyFont="1" applyBorder="1" applyAlignment="1">
      <alignment horizontal="center" vertical="center" wrapText="1"/>
    </xf>
    <xf numFmtId="172" fontId="13" fillId="2" borderId="1" xfId="9"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6" fontId="6" fillId="2" borderId="1" xfId="0" applyNumberFormat="1" applyFont="1" applyFill="1" applyBorder="1" applyAlignment="1">
      <alignment horizontal="center" vertical="center" wrapText="1"/>
    </xf>
    <xf numFmtId="0" fontId="12" fillId="2" borderId="1" xfId="9" applyFont="1" applyFill="1" applyBorder="1" applyAlignment="1">
      <alignment horizontal="center" vertical="center" wrapText="1"/>
    </xf>
    <xf numFmtId="49" fontId="6" fillId="6" borderId="1" xfId="1"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6" fillId="6" borderId="1" xfId="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69" fontId="4"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2" fontId="8" fillId="0" borderId="1" xfId="0" applyNumberFormat="1"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49" fontId="41" fillId="2" borderId="1" xfId="17" applyNumberFormat="1" applyFont="1" applyFill="1" applyBorder="1" applyAlignment="1">
      <alignment horizontal="center" vertical="center" wrapText="1"/>
    </xf>
    <xf numFmtId="49" fontId="44" fillId="2" borderId="1" xfId="17" applyNumberFormat="1" applyFont="1" applyFill="1" applyBorder="1" applyAlignment="1">
      <alignment horizontal="center" vertical="center" wrapText="1"/>
    </xf>
    <xf numFmtId="0" fontId="41" fillId="2" borderId="1" xfId="17" applyFont="1" applyFill="1" applyBorder="1" applyAlignment="1">
      <alignment horizontal="center" vertical="center" wrapText="1"/>
    </xf>
    <xf numFmtId="2" fontId="41" fillId="2" borderId="1" xfId="17" applyNumberFormat="1" applyFont="1" applyFill="1" applyBorder="1" applyAlignment="1">
      <alignment horizontal="center" vertical="center" wrapText="1"/>
    </xf>
    <xf numFmtId="4" fontId="41" fillId="3" borderId="1" xfId="17" applyNumberFormat="1" applyFont="1" applyFill="1" applyBorder="1" applyAlignment="1">
      <alignment horizontal="center" vertical="center" wrapText="1"/>
    </xf>
    <xf numFmtId="49" fontId="42" fillId="2" borderId="1" xfId="17" applyNumberFormat="1" applyFont="1" applyFill="1" applyBorder="1" applyAlignment="1">
      <alignment horizontal="center" vertical="center" wrapText="1"/>
    </xf>
    <xf numFmtId="0" fontId="42" fillId="2" borderId="1" xfId="17" applyFont="1" applyFill="1" applyBorder="1" applyAlignment="1">
      <alignment horizontal="center" vertical="center" wrapText="1"/>
    </xf>
    <xf numFmtId="2" fontId="42" fillId="2" borderId="1" xfId="17" applyNumberFormat="1" applyFont="1" applyFill="1" applyBorder="1" applyAlignment="1">
      <alignment horizontal="center" vertical="center" wrapText="1"/>
    </xf>
    <xf numFmtId="2" fontId="42" fillId="2" borderId="1" xfId="17" applyNumberFormat="1" applyFont="1" applyFill="1" applyBorder="1" applyAlignment="1">
      <alignment horizontal="center" vertical="center"/>
    </xf>
    <xf numFmtId="4" fontId="42" fillId="2" borderId="1" xfId="17" applyNumberFormat="1" applyFont="1" applyFill="1" applyBorder="1" applyAlignment="1">
      <alignment horizontal="center" vertical="center"/>
    </xf>
    <xf numFmtId="0" fontId="42" fillId="2" borderId="1" xfId="17" applyFont="1" applyFill="1" applyBorder="1" applyAlignment="1">
      <alignment horizontal="center" vertical="center"/>
    </xf>
    <xf numFmtId="1"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1" xfId="0" applyFont="1" applyFill="1" applyBorder="1" applyAlignment="1">
      <alignment horizontal="center" vertical="center"/>
    </xf>
    <xf numFmtId="2" fontId="41" fillId="2" borderId="1" xfId="0" applyNumberFormat="1" applyFont="1" applyFill="1" applyBorder="1" applyAlignment="1">
      <alignment horizontal="center" vertical="center"/>
    </xf>
    <xf numFmtId="49" fontId="42"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horizontal="center" vertical="center"/>
    </xf>
    <xf numFmtId="2" fontId="42" fillId="2" borderId="1" xfId="0" applyNumberFormat="1" applyFont="1" applyFill="1" applyBorder="1" applyAlignment="1">
      <alignment horizontal="center" vertical="center"/>
    </xf>
    <xf numFmtId="49" fontId="12" fillId="2" borderId="1" xfId="9" applyNumberFormat="1" applyFont="1" applyFill="1" applyBorder="1" applyAlignment="1">
      <alignment horizontal="center" vertical="center"/>
    </xf>
    <xf numFmtId="1" fontId="41" fillId="2" borderId="1" xfId="4"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0" fontId="41" fillId="2" borderId="1" xfId="4" applyFont="1" applyFill="1" applyBorder="1" applyAlignment="1">
      <alignment horizontal="center" vertical="center" wrapText="1"/>
    </xf>
    <xf numFmtId="170" fontId="41" fillId="2" borderId="1" xfId="4" applyNumberFormat="1" applyFont="1" applyFill="1" applyBorder="1" applyAlignment="1">
      <alignment horizontal="center" vertical="center" wrapText="1"/>
    </xf>
    <xf numFmtId="2" fontId="41" fillId="3" borderId="1" xfId="4" applyNumberFormat="1" applyFont="1" applyFill="1" applyBorder="1" applyAlignment="1">
      <alignment horizontal="center" vertical="center" wrapText="1"/>
    </xf>
    <xf numFmtId="49" fontId="42" fillId="2" borderId="1" xfId="4" applyNumberFormat="1" applyFont="1" applyFill="1" applyBorder="1" applyAlignment="1">
      <alignment horizontal="center" vertical="center" wrapText="1"/>
    </xf>
    <xf numFmtId="0" fontId="42" fillId="2" borderId="1" xfId="4" applyFont="1" applyFill="1" applyBorder="1" applyAlignment="1">
      <alignment horizontal="center" vertical="center" wrapText="1"/>
    </xf>
    <xf numFmtId="2" fontId="42" fillId="2" borderId="1" xfId="4" applyNumberFormat="1" applyFont="1" applyFill="1" applyBorder="1" applyAlignment="1">
      <alignment horizontal="center" vertical="center" wrapText="1"/>
    </xf>
    <xf numFmtId="49" fontId="41" fillId="0" borderId="1" xfId="4"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4" fontId="41" fillId="2" borderId="1" xfId="0" applyNumberFormat="1" applyFont="1" applyFill="1" applyBorder="1" applyAlignment="1">
      <alignment horizontal="center" vertical="center" wrapText="1"/>
    </xf>
    <xf numFmtId="2" fontId="41" fillId="2" borderId="1" xfId="0" applyNumberFormat="1" applyFont="1" applyFill="1" applyBorder="1" applyAlignment="1">
      <alignment horizontal="center" vertical="center" wrapText="1"/>
    </xf>
    <xf numFmtId="4" fontId="41" fillId="3" borderId="1" xfId="0" applyNumberFormat="1" applyFont="1" applyFill="1" applyBorder="1" applyAlignment="1">
      <alignment horizontal="center" vertical="center" wrapText="1"/>
    </xf>
    <xf numFmtId="49"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167" fontId="42" fillId="2" borderId="1" xfId="0" applyNumberFormat="1" applyFont="1" applyFill="1" applyBorder="1" applyAlignment="1">
      <alignment horizontal="center" vertical="center" wrapText="1"/>
    </xf>
    <xf numFmtId="2" fontId="42" fillId="2" borderId="1" xfId="0" applyNumberFormat="1" applyFont="1" applyFill="1" applyBorder="1" applyAlignment="1">
      <alignment horizontal="center" vertical="center" wrapText="1"/>
    </xf>
    <xf numFmtId="4" fontId="42" fillId="2" borderId="1" xfId="0" applyNumberFormat="1"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4" fontId="42" fillId="7" borderId="1" xfId="0" applyNumberFormat="1" applyFont="1" applyFill="1" applyBorder="1" applyAlignment="1">
      <alignment horizontal="center" vertical="center"/>
    </xf>
    <xf numFmtId="4" fontId="41" fillId="0" borderId="1" xfId="0" applyNumberFormat="1" applyFont="1" applyFill="1" applyBorder="1" applyAlignment="1">
      <alignment horizontal="center" vertical="center" wrapText="1"/>
    </xf>
    <xf numFmtId="4" fontId="41" fillId="3" borderId="1" xfId="0" applyNumberFormat="1" applyFont="1" applyFill="1" applyBorder="1" applyAlignment="1">
      <alignment horizontal="center" vertical="center"/>
    </xf>
    <xf numFmtId="165" fontId="42" fillId="2" borderId="1" xfId="0" applyNumberFormat="1" applyFont="1" applyFill="1" applyBorder="1" applyAlignment="1">
      <alignment horizontal="center" vertical="center" wrapText="1"/>
    </xf>
    <xf numFmtId="1" fontId="41"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2" fontId="41" fillId="0" borderId="1" xfId="0" applyNumberFormat="1" applyFont="1" applyBorder="1" applyAlignment="1">
      <alignment horizontal="center" vertical="center" wrapText="1"/>
    </xf>
    <xf numFmtId="2" fontId="41" fillId="3" borderId="1" xfId="0" applyNumberFormat="1" applyFont="1" applyFill="1" applyBorder="1" applyAlignment="1">
      <alignment horizontal="center" vertical="center" wrapText="1"/>
    </xf>
    <xf numFmtId="165" fontId="42"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168" fontId="42" fillId="0" borderId="1" xfId="0" applyNumberFormat="1" applyFont="1" applyBorder="1" applyAlignment="1">
      <alignment horizontal="center" vertical="center" wrapText="1"/>
    </xf>
    <xf numFmtId="166" fontId="42" fillId="2" borderId="1" xfId="4" applyNumberFormat="1" applyFont="1" applyFill="1" applyBorder="1" applyAlignment="1">
      <alignment horizontal="center" vertical="center" wrapText="1"/>
    </xf>
    <xf numFmtId="2" fontId="42" fillId="0" borderId="1" xfId="0" applyNumberFormat="1" applyFont="1" applyBorder="1" applyAlignment="1">
      <alignment horizontal="center" vertical="center" wrapText="1"/>
    </xf>
    <xf numFmtId="167" fontId="42" fillId="0" borderId="1" xfId="0" applyNumberFormat="1" applyFont="1" applyBorder="1" applyAlignment="1">
      <alignment horizontal="center" vertical="center" wrapText="1"/>
    </xf>
    <xf numFmtId="16" fontId="42" fillId="0" borderId="1" xfId="0" applyNumberFormat="1" applyFont="1" applyBorder="1" applyAlignment="1">
      <alignment horizontal="center" vertical="center" wrapText="1"/>
    </xf>
    <xf numFmtId="166" fontId="42" fillId="0" borderId="1" xfId="0" applyNumberFormat="1" applyFont="1" applyBorder="1" applyAlignment="1">
      <alignment horizontal="center" vertical="center" wrapText="1"/>
    </xf>
    <xf numFmtId="49" fontId="41" fillId="2" borderId="1" xfId="4" applyNumberFormat="1" applyFont="1" applyFill="1" applyBorder="1" applyAlignment="1">
      <alignment horizontal="center" vertical="center" wrapText="1"/>
    </xf>
    <xf numFmtId="2" fontId="41" fillId="2" borderId="1" xfId="4" applyNumberFormat="1" applyFont="1" applyFill="1" applyBorder="1" applyAlignment="1">
      <alignment horizontal="center" vertical="center" wrapText="1"/>
    </xf>
    <xf numFmtId="165" fontId="41" fillId="2" borderId="1" xfId="4" applyNumberFormat="1" applyFont="1" applyFill="1" applyBorder="1" applyAlignment="1">
      <alignment horizontal="center" vertical="center" wrapText="1"/>
    </xf>
    <xf numFmtId="49" fontId="42" fillId="2" borderId="1" xfId="4" applyNumberFormat="1" applyFont="1" applyFill="1" applyBorder="1" applyAlignment="1">
      <alignment horizontal="center" vertical="center"/>
    </xf>
    <xf numFmtId="1" fontId="8" fillId="0" borderId="1" xfId="16" applyNumberFormat="1" applyFont="1" applyFill="1" applyBorder="1" applyAlignment="1">
      <alignment horizontal="center" vertical="center" wrapText="1"/>
    </xf>
    <xf numFmtId="0" fontId="8" fillId="2" borderId="1" xfId="16" applyFont="1" applyFill="1" applyBorder="1" applyAlignment="1">
      <alignment horizontal="center" vertical="center" wrapText="1"/>
    </xf>
    <xf numFmtId="0" fontId="9" fillId="0" borderId="1" xfId="16" applyFont="1" applyFill="1" applyBorder="1" applyAlignment="1">
      <alignment horizontal="center" vertical="center" wrapText="1"/>
    </xf>
    <xf numFmtId="0" fontId="8" fillId="0" borderId="1" xfId="16" applyFont="1" applyFill="1" applyBorder="1" applyAlignment="1">
      <alignment horizontal="center" vertical="center"/>
    </xf>
    <xf numFmtId="170" fontId="8" fillId="2" borderId="1" xfId="16" applyNumberFormat="1" applyFont="1" applyFill="1" applyBorder="1" applyAlignment="1">
      <alignment horizontal="center" vertical="center"/>
    </xf>
    <xf numFmtId="0" fontId="6" fillId="2" borderId="1" xfId="9" applyFont="1" applyFill="1" applyBorder="1" applyAlignment="1">
      <alignment horizontal="center" vertical="center"/>
    </xf>
    <xf numFmtId="0" fontId="19" fillId="2" borderId="1" xfId="0" applyFont="1" applyFill="1" applyBorder="1" applyAlignment="1">
      <alignment horizontal="center" vertical="center"/>
    </xf>
    <xf numFmtId="166" fontId="42" fillId="2" borderId="1" xfId="16" applyNumberFormat="1" applyFont="1" applyFill="1" applyBorder="1" applyAlignment="1">
      <alignment horizontal="center" vertical="center" wrapText="1"/>
    </xf>
    <xf numFmtId="170" fontId="8"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166" fontId="4" fillId="2" borderId="2" xfId="0" applyNumberFormat="1" applyFont="1" applyFill="1" applyBorder="1" applyAlignment="1">
      <alignment horizontal="center" vertical="center"/>
    </xf>
    <xf numFmtId="2" fontId="4" fillId="2" borderId="2" xfId="0" applyNumberFormat="1" applyFont="1" applyFill="1" applyBorder="1" applyAlignment="1">
      <alignment horizontal="center" vertical="center"/>
    </xf>
    <xf numFmtId="0" fontId="9" fillId="2" borderId="1" xfId="4" applyFont="1" applyFill="1" applyBorder="1" applyAlignment="1">
      <alignment horizontal="center" vertical="center" wrapText="1"/>
    </xf>
    <xf numFmtId="0" fontId="9" fillId="2" borderId="1" xfId="4" applyFont="1" applyFill="1" applyBorder="1" applyAlignment="1">
      <alignment horizontal="center" vertical="center"/>
    </xf>
    <xf numFmtId="0" fontId="8" fillId="2" borderId="1" xfId="4" applyFont="1" applyFill="1" applyBorder="1" applyAlignment="1">
      <alignment horizontal="center" vertical="center"/>
    </xf>
    <xf numFmtId="2" fontId="8" fillId="0" borderId="1" xfId="4" applyNumberFormat="1" applyFont="1" applyFill="1" applyBorder="1" applyAlignment="1">
      <alignment horizontal="center" vertical="center"/>
    </xf>
    <xf numFmtId="49" fontId="4"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4" fillId="0" borderId="1" xfId="4" applyFont="1" applyFill="1" applyBorder="1" applyAlignment="1">
      <alignment horizontal="center" vertical="center"/>
    </xf>
    <xf numFmtId="49" fontId="8" fillId="0" borderId="1" xfId="4" applyNumberFormat="1" applyFont="1" applyFill="1" applyBorder="1" applyAlignment="1">
      <alignment horizontal="center" vertical="center" wrapText="1"/>
    </xf>
    <xf numFmtId="0" fontId="9" fillId="0" borderId="1" xfId="4" applyFont="1" applyFill="1" applyBorder="1" applyAlignment="1">
      <alignment horizontal="center" vertical="center"/>
    </xf>
    <xf numFmtId="0" fontId="8" fillId="0" borderId="1" xfId="4" applyFont="1" applyFill="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46" fillId="0" borderId="1" xfId="0" applyFont="1" applyFill="1" applyBorder="1" applyAlignment="1">
      <alignment horizontal="center" vertical="center" wrapText="1"/>
    </xf>
    <xf numFmtId="3" fontId="2" fillId="0" borderId="1" xfId="0" applyNumberFormat="1" applyFont="1" applyBorder="1" applyAlignment="1">
      <alignment horizontal="center" vertical="center"/>
    </xf>
    <xf numFmtId="2" fontId="8" fillId="4"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wrapText="1"/>
    </xf>
    <xf numFmtId="2" fontId="8" fillId="4" borderId="1" xfId="10" applyNumberFormat="1" applyFont="1" applyFill="1" applyBorder="1" applyAlignment="1">
      <alignment horizontal="center" vertical="center" wrapText="1"/>
    </xf>
    <xf numFmtId="165" fontId="8" fillId="8" borderId="1" xfId="0" applyNumberFormat="1" applyFont="1" applyFill="1" applyBorder="1" applyAlignment="1">
      <alignment horizontal="center" vertical="center"/>
    </xf>
    <xf numFmtId="2" fontId="8" fillId="8" borderId="1" xfId="0" applyNumberFormat="1" applyFont="1" applyFill="1" applyBorder="1" applyAlignment="1">
      <alignment horizontal="center" vertical="center"/>
    </xf>
    <xf numFmtId="0" fontId="8" fillId="8" borderId="1" xfId="0" applyFont="1" applyFill="1" applyBorder="1" applyAlignment="1">
      <alignment horizontal="center" vertical="center" wrapText="1"/>
    </xf>
    <xf numFmtId="2" fontId="8" fillId="8" borderId="1" xfId="0" applyNumberFormat="1" applyFont="1" applyFill="1" applyBorder="1" applyAlignment="1">
      <alignment horizontal="center" vertical="center" wrapText="1"/>
    </xf>
    <xf numFmtId="168" fontId="8" fillId="8" borderId="1" xfId="1" applyNumberFormat="1" applyFont="1" applyFill="1" applyBorder="1" applyAlignment="1">
      <alignment horizontal="center" vertical="center" wrapText="1"/>
    </xf>
    <xf numFmtId="0" fontId="8" fillId="8" borderId="1" xfId="1" applyNumberFormat="1" applyFont="1" applyFill="1" applyBorder="1" applyAlignment="1">
      <alignment horizontal="center" vertical="center" wrapText="1"/>
    </xf>
    <xf numFmtId="2" fontId="8" fillId="8" borderId="1" xfId="1" applyNumberFormat="1" applyFont="1" applyFill="1" applyBorder="1" applyAlignment="1">
      <alignment horizontal="center" vertical="center" wrapText="1"/>
    </xf>
    <xf numFmtId="2"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9" borderId="1" xfId="0" applyFont="1" applyFill="1" applyBorder="1" applyAlignment="1">
      <alignment horizontal="center" vertical="center"/>
    </xf>
    <xf numFmtId="2" fontId="2" fillId="9"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9"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168" fontId="6" fillId="0" borderId="1" xfId="1" applyNumberFormat="1" applyFont="1" applyFill="1" applyBorder="1" applyAlignment="1">
      <alignment horizontal="center" vertical="center" wrapText="1"/>
    </xf>
    <xf numFmtId="2" fontId="3" fillId="0" borderId="0" xfId="0" applyNumberFormat="1" applyFont="1" applyFill="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49" fontId="10"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textRotation="90" wrapText="1"/>
    </xf>
    <xf numFmtId="0" fontId="29" fillId="2" borderId="1" xfId="0" applyFont="1" applyFill="1" applyBorder="1" applyAlignment="1">
      <alignment horizontal="center" vertical="center" wrapText="1"/>
    </xf>
    <xf numFmtId="0" fontId="10" fillId="2" borderId="1" xfId="0" applyFont="1" applyFill="1" applyBorder="1" applyAlignment="1">
      <alignment horizontal="center" vertical="center" textRotation="90" wrapText="1"/>
    </xf>
    <xf numFmtId="0" fontId="10"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49" fontId="9" fillId="0" borderId="1" xfId="0" applyNumberFormat="1" applyFont="1" applyFill="1" applyBorder="1" applyAlignment="1">
      <alignment horizontal="center" vertical="center" textRotation="90" wrapText="1"/>
    </xf>
    <xf numFmtId="0" fontId="3" fillId="2" borderId="0" xfId="0" applyFont="1" applyFill="1" applyAlignment="1">
      <alignment horizontal="center" vertical="center"/>
    </xf>
    <xf numFmtId="2" fontId="3"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43" fillId="0" borderId="0" xfId="0" applyFont="1" applyAlignment="1">
      <alignment horizontal="center" vertical="center" wrapText="1"/>
    </xf>
    <xf numFmtId="0" fontId="43" fillId="3" borderId="3"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cellXfs>
  <cellStyles count="18">
    <cellStyle name="Normal" xfId="0" builtinId="0"/>
    <cellStyle name="Normal 11 2" xfId="16"/>
    <cellStyle name="Normal 14_anakia II etapi.xls sm. defeqturi" xfId="13"/>
    <cellStyle name="Normal 2 11" xfId="9"/>
    <cellStyle name="Normal 3" xfId="12"/>
    <cellStyle name="Normal 49" xfId="14"/>
    <cellStyle name="Normal_gare wyalsadfenigagarini 10" xfId="10"/>
    <cellStyle name="Normal_gare wyalsadfenigagarini 2 2" xfId="8"/>
    <cellStyle name="Normal_gare wyalsadfenigagarini 2_SMSH2008-IIkv ." xfId="6"/>
    <cellStyle name="Normal_SMETA 3" xfId="5"/>
    <cellStyle name="Обычный 2 2" xfId="1"/>
    <cellStyle name="Обычный 2 2 2" xfId="4"/>
    <cellStyle name="Обычный 2 4" xfId="17"/>
    <cellStyle name="Обычный 3" xfId="2"/>
    <cellStyle name="Обычный 4 2" xfId="7"/>
    <cellStyle name="Обычный_Спецификация оборудования, изделий и материалов" xfId="15"/>
    <cellStyle name="Обычный_დემონტაჟი" xfId="3"/>
    <cellStyle name="Финансовый 2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7"/>
  <sheetViews>
    <sheetView tabSelected="1" zoomScaleNormal="100" workbookViewId="0">
      <selection activeCell="C330" sqref="C330"/>
    </sheetView>
  </sheetViews>
  <sheetFormatPr defaultRowHeight="15"/>
  <cols>
    <col min="1" max="1" width="4" customWidth="1"/>
    <col min="2" max="2" width="10.140625" customWidth="1"/>
    <col min="3" max="3" width="37.5703125" customWidth="1"/>
    <col min="6" max="6" width="9.42578125" bestFit="1" customWidth="1"/>
    <col min="8" max="8" width="13.5703125" customWidth="1"/>
  </cols>
  <sheetData>
    <row r="1" spans="1:8" ht="39.75" customHeight="1">
      <c r="A1" s="486" t="s">
        <v>691</v>
      </c>
      <c r="B1" s="486"/>
      <c r="C1" s="486"/>
      <c r="D1" s="486"/>
      <c r="E1" s="486"/>
      <c r="F1" s="486"/>
      <c r="G1" s="486"/>
      <c r="H1" s="486"/>
    </row>
    <row r="2" spans="1:8">
      <c r="A2" s="487" t="s">
        <v>0</v>
      </c>
      <c r="B2" s="487"/>
      <c r="C2" s="487"/>
      <c r="D2" s="487"/>
      <c r="E2" s="487"/>
      <c r="F2" s="487"/>
      <c r="G2" s="487"/>
      <c r="H2" s="487"/>
    </row>
    <row r="3" spans="1:8">
      <c r="A3" s="488" t="s">
        <v>1</v>
      </c>
      <c r="B3" s="488"/>
      <c r="C3" s="488"/>
      <c r="D3" s="488"/>
      <c r="E3" s="488"/>
      <c r="F3" s="488"/>
      <c r="G3" s="488"/>
      <c r="H3" s="488"/>
    </row>
    <row r="4" spans="1:8">
      <c r="A4" s="487" t="s">
        <v>2</v>
      </c>
      <c r="B4" s="487"/>
      <c r="C4" s="487"/>
      <c r="D4" s="487"/>
      <c r="E4" s="487"/>
      <c r="F4" s="487"/>
      <c r="G4" s="487"/>
      <c r="H4" s="487"/>
    </row>
    <row r="5" spans="1:8" ht="28.5" customHeight="1">
      <c r="A5" s="492" t="s">
        <v>5</v>
      </c>
      <c r="B5" s="493" t="s">
        <v>6</v>
      </c>
      <c r="C5" s="494" t="s">
        <v>7</v>
      </c>
      <c r="D5" s="495" t="s">
        <v>8</v>
      </c>
      <c r="E5" s="496" t="s">
        <v>9</v>
      </c>
      <c r="F5" s="496"/>
      <c r="G5" s="496" t="s">
        <v>10</v>
      </c>
      <c r="H5" s="496"/>
    </row>
    <row r="6" spans="1:8" ht="78" customHeight="1">
      <c r="A6" s="492"/>
      <c r="B6" s="493"/>
      <c r="C6" s="494"/>
      <c r="D6" s="495"/>
      <c r="E6" s="226" t="s">
        <v>11</v>
      </c>
      <c r="F6" s="226" t="s">
        <v>12</v>
      </c>
      <c r="G6" s="227" t="s">
        <v>11</v>
      </c>
      <c r="H6" s="228" t="s">
        <v>12</v>
      </c>
    </row>
    <row r="7" spans="1:8">
      <c r="A7" s="1" t="s">
        <v>13</v>
      </c>
      <c r="B7" s="2">
        <v>2</v>
      </c>
      <c r="C7" s="3">
        <v>3</v>
      </c>
      <c r="D7" s="3">
        <v>4</v>
      </c>
      <c r="E7" s="3">
        <v>5</v>
      </c>
      <c r="F7" s="3">
        <v>6</v>
      </c>
      <c r="G7" s="4">
        <v>7</v>
      </c>
      <c r="H7" s="3">
        <v>8</v>
      </c>
    </row>
    <row r="8" spans="1:8">
      <c r="A8" s="1"/>
      <c r="B8" s="5"/>
      <c r="C8" s="6" t="s">
        <v>14</v>
      </c>
      <c r="D8" s="7"/>
      <c r="E8" s="3"/>
      <c r="F8" s="3"/>
      <c r="G8" s="3"/>
      <c r="H8" s="3"/>
    </row>
    <row r="9" spans="1:8" ht="54">
      <c r="A9" s="8">
        <v>1</v>
      </c>
      <c r="B9" s="9" t="s">
        <v>15</v>
      </c>
      <c r="C9" s="10" t="s">
        <v>1655</v>
      </c>
      <c r="D9" s="11" t="s">
        <v>16</v>
      </c>
      <c r="E9" s="11"/>
      <c r="F9" s="12">
        <v>726</v>
      </c>
      <c r="G9" s="11"/>
      <c r="H9" s="13">
        <f>SUM(H10:H11)</f>
        <v>0</v>
      </c>
    </row>
    <row r="10" spans="1:8">
      <c r="A10" s="14"/>
      <c r="B10" s="15" t="s">
        <v>17</v>
      </c>
      <c r="C10" s="16" t="s">
        <v>18</v>
      </c>
      <c r="D10" s="17" t="s">
        <v>19</v>
      </c>
      <c r="E10" s="17">
        <v>8.2000000000000003E-2</v>
      </c>
      <c r="F10" s="18">
        <f>E10*F9</f>
        <v>59.532000000000004</v>
      </c>
      <c r="G10" s="17"/>
      <c r="H10" s="19">
        <f>G10*F10</f>
        <v>0</v>
      </c>
    </row>
    <row r="11" spans="1:8">
      <c r="A11" s="14"/>
      <c r="B11" s="15" t="s">
        <v>17</v>
      </c>
      <c r="C11" s="16" t="s">
        <v>20</v>
      </c>
      <c r="D11" s="17" t="s">
        <v>3</v>
      </c>
      <c r="E11" s="17">
        <v>1.9E-2</v>
      </c>
      <c r="F11" s="18">
        <f>E11*F9</f>
        <v>13.794</v>
      </c>
      <c r="G11" s="17"/>
      <c r="H11" s="19">
        <f>G11*F11</f>
        <v>0</v>
      </c>
    </row>
    <row r="12" spans="1:8" ht="81">
      <c r="A12" s="8">
        <v>2</v>
      </c>
      <c r="B12" s="9" t="s">
        <v>21</v>
      </c>
      <c r="C12" s="20" t="s">
        <v>22</v>
      </c>
      <c r="D12" s="10" t="s">
        <v>23</v>
      </c>
      <c r="E12" s="11"/>
      <c r="F12" s="21">
        <v>6</v>
      </c>
      <c r="G12" s="11"/>
      <c r="H12" s="13">
        <f>SUM(H13:H15)</f>
        <v>0</v>
      </c>
    </row>
    <row r="13" spans="1:8">
      <c r="A13" s="22"/>
      <c r="B13" s="23" t="s">
        <v>17</v>
      </c>
      <c r="C13" s="17" t="s">
        <v>24</v>
      </c>
      <c r="D13" s="17" t="s">
        <v>19</v>
      </c>
      <c r="E13" s="17">
        <f>23.8*0.5</f>
        <v>11.9</v>
      </c>
      <c r="F13" s="18">
        <f>E13*F12</f>
        <v>71.400000000000006</v>
      </c>
      <c r="G13" s="18"/>
      <c r="H13" s="19">
        <f>G13*F13</f>
        <v>0</v>
      </c>
    </row>
    <row r="14" spans="1:8">
      <c r="A14" s="22"/>
      <c r="B14" s="23" t="s">
        <v>17</v>
      </c>
      <c r="C14" s="17" t="s">
        <v>25</v>
      </c>
      <c r="D14" s="17" t="s">
        <v>3</v>
      </c>
      <c r="E14" s="17">
        <f>2.1*0.5</f>
        <v>1.05</v>
      </c>
      <c r="F14" s="18">
        <f>E14*F12</f>
        <v>6.3000000000000007</v>
      </c>
      <c r="G14" s="17"/>
      <c r="H14" s="19">
        <f>G14*F14</f>
        <v>0</v>
      </c>
    </row>
    <row r="15" spans="1:8">
      <c r="A15" s="22"/>
      <c r="B15" s="24" t="s">
        <v>17</v>
      </c>
      <c r="C15" s="16" t="s">
        <v>26</v>
      </c>
      <c r="D15" s="17" t="s">
        <v>3</v>
      </c>
      <c r="E15" s="17">
        <f>0.93*0.5</f>
        <v>0.46500000000000002</v>
      </c>
      <c r="F15" s="18">
        <f>E15*F12</f>
        <v>2.79</v>
      </c>
      <c r="G15" s="17"/>
      <c r="H15" s="19">
        <f>G15*F15</f>
        <v>0</v>
      </c>
    </row>
    <row r="16" spans="1:8" ht="48">
      <c r="A16" s="8">
        <v>3</v>
      </c>
      <c r="B16" s="9" t="s">
        <v>27</v>
      </c>
      <c r="C16" s="10" t="s">
        <v>1656</v>
      </c>
      <c r="D16" s="11" t="s">
        <v>16</v>
      </c>
      <c r="E16" s="11"/>
      <c r="F16" s="21">
        <v>323</v>
      </c>
      <c r="G16" s="11"/>
      <c r="H16" s="13">
        <f>SUM(H17:H18)</f>
        <v>0</v>
      </c>
    </row>
    <row r="17" spans="1:8">
      <c r="A17" s="14"/>
      <c r="B17" s="15" t="s">
        <v>17</v>
      </c>
      <c r="C17" s="16" t="s">
        <v>28</v>
      </c>
      <c r="D17" s="17" t="s">
        <v>19</v>
      </c>
      <c r="E17" s="17">
        <v>0.88700000000000001</v>
      </c>
      <c r="F17" s="18">
        <f>E17*F16</f>
        <v>286.50099999999998</v>
      </c>
      <c r="G17" s="17"/>
      <c r="H17" s="19">
        <f>G17*F17</f>
        <v>0</v>
      </c>
    </row>
    <row r="18" spans="1:8">
      <c r="A18" s="14"/>
      <c r="B18" s="15" t="s">
        <v>17</v>
      </c>
      <c r="C18" s="16" t="s">
        <v>20</v>
      </c>
      <c r="D18" s="17" t="s">
        <v>3</v>
      </c>
      <c r="E18" s="17">
        <v>9.8400000000000001E-2</v>
      </c>
      <c r="F18" s="18">
        <f>E18*F16</f>
        <v>31.783200000000001</v>
      </c>
      <c r="G18" s="17"/>
      <c r="H18" s="19">
        <f>G18*F18</f>
        <v>0</v>
      </c>
    </row>
    <row r="19" spans="1:8" ht="48">
      <c r="A19" s="25">
        <v>4</v>
      </c>
      <c r="B19" s="9" t="s">
        <v>29</v>
      </c>
      <c r="C19" s="20" t="s">
        <v>30</v>
      </c>
      <c r="D19" s="26" t="s">
        <v>23</v>
      </c>
      <c r="E19" s="26"/>
      <c r="F19" s="12">
        <v>54</v>
      </c>
      <c r="G19" s="26"/>
      <c r="H19" s="27">
        <f>SUM(H20:H21)</f>
        <v>0</v>
      </c>
    </row>
    <row r="20" spans="1:8">
      <c r="A20" s="15"/>
      <c r="B20" s="15" t="s">
        <v>17</v>
      </c>
      <c r="C20" s="28" t="s">
        <v>18</v>
      </c>
      <c r="D20" s="29" t="s">
        <v>19</v>
      </c>
      <c r="E20" s="29">
        <v>6.5</v>
      </c>
      <c r="F20" s="19">
        <f>E20*F19</f>
        <v>351</v>
      </c>
      <c r="G20" s="29"/>
      <c r="H20" s="30">
        <f>F20*G20</f>
        <v>0</v>
      </c>
    </row>
    <row r="21" spans="1:8">
      <c r="A21" s="15"/>
      <c r="B21" s="15" t="s">
        <v>17</v>
      </c>
      <c r="C21" s="28" t="s">
        <v>31</v>
      </c>
      <c r="D21" s="29" t="s">
        <v>3</v>
      </c>
      <c r="E21" s="29">
        <v>1.8</v>
      </c>
      <c r="F21" s="19">
        <f>E21*F19</f>
        <v>97.2</v>
      </c>
      <c r="G21" s="29"/>
      <c r="H21" s="31">
        <f>F21*G21</f>
        <v>0</v>
      </c>
    </row>
    <row r="22" spans="1:8" ht="54">
      <c r="A22" s="8">
        <v>5</v>
      </c>
      <c r="B22" s="9" t="s">
        <v>32</v>
      </c>
      <c r="C22" s="10" t="s">
        <v>1657</v>
      </c>
      <c r="D22" s="32" t="s">
        <v>33</v>
      </c>
      <c r="E22" s="11"/>
      <c r="F22" s="12">
        <v>1180</v>
      </c>
      <c r="G22" s="11"/>
      <c r="H22" s="27">
        <f>SUM(H23:H24)</f>
        <v>0</v>
      </c>
    </row>
    <row r="23" spans="1:8">
      <c r="A23" s="14"/>
      <c r="B23" s="15" t="s">
        <v>17</v>
      </c>
      <c r="C23" s="16" t="s">
        <v>18</v>
      </c>
      <c r="D23" s="17" t="s">
        <v>19</v>
      </c>
      <c r="E23" s="17">
        <v>0.186</v>
      </c>
      <c r="F23" s="18">
        <f>E23*F22</f>
        <v>219.48</v>
      </c>
      <c r="G23" s="17"/>
      <c r="H23" s="30">
        <f>F23*G23</f>
        <v>0</v>
      </c>
    </row>
    <row r="24" spans="1:8">
      <c r="A24" s="14"/>
      <c r="B24" s="15" t="s">
        <v>17</v>
      </c>
      <c r="C24" s="16" t="s">
        <v>31</v>
      </c>
      <c r="D24" s="17" t="s">
        <v>3</v>
      </c>
      <c r="E24" s="17">
        <v>1.6000000000000001E-3</v>
      </c>
      <c r="F24" s="18">
        <f>F22*E24</f>
        <v>1.8880000000000001</v>
      </c>
      <c r="G24" s="17"/>
      <c r="H24" s="31">
        <f>F24*G24</f>
        <v>0</v>
      </c>
    </row>
    <row r="25" spans="1:8" ht="48">
      <c r="A25" s="8">
        <v>6</v>
      </c>
      <c r="B25" s="9" t="s">
        <v>32</v>
      </c>
      <c r="C25" s="10" t="s">
        <v>34</v>
      </c>
      <c r="D25" s="32" t="s">
        <v>33</v>
      </c>
      <c r="E25" s="11"/>
      <c r="F25" s="12">
        <v>390</v>
      </c>
      <c r="G25" s="11"/>
      <c r="H25" s="27">
        <f>SUM(H26:H27)</f>
        <v>0</v>
      </c>
    </row>
    <row r="26" spans="1:8">
      <c r="A26" s="14"/>
      <c r="B26" s="15" t="s">
        <v>17</v>
      </c>
      <c r="C26" s="16" t="s">
        <v>18</v>
      </c>
      <c r="D26" s="17" t="s">
        <v>19</v>
      </c>
      <c r="E26" s="17">
        <v>0.186</v>
      </c>
      <c r="F26" s="18">
        <f>E26*F25</f>
        <v>72.540000000000006</v>
      </c>
      <c r="G26" s="17"/>
      <c r="H26" s="30">
        <f>F26*G26</f>
        <v>0</v>
      </c>
    </row>
    <row r="27" spans="1:8">
      <c r="A27" s="14"/>
      <c r="B27" s="15" t="s">
        <v>17</v>
      </c>
      <c r="C27" s="16" t="s">
        <v>31</v>
      </c>
      <c r="D27" s="17" t="s">
        <v>3</v>
      </c>
      <c r="E27" s="17">
        <v>1.6000000000000001E-3</v>
      </c>
      <c r="F27" s="18">
        <f>F25*E27</f>
        <v>0.624</v>
      </c>
      <c r="G27" s="17"/>
      <c r="H27" s="31">
        <f>F27*G27</f>
        <v>0</v>
      </c>
    </row>
    <row r="28" spans="1:8" ht="67.5">
      <c r="A28" s="8">
        <v>7</v>
      </c>
      <c r="B28" s="9" t="s">
        <v>35</v>
      </c>
      <c r="C28" s="10" t="s">
        <v>1658</v>
      </c>
      <c r="D28" s="11" t="s">
        <v>16</v>
      </c>
      <c r="E28" s="11"/>
      <c r="F28" s="12">
        <v>1745</v>
      </c>
      <c r="G28" s="11"/>
      <c r="H28" s="27">
        <f>SUM(H29:H30)</f>
        <v>0</v>
      </c>
    </row>
    <row r="29" spans="1:8">
      <c r="A29" s="14"/>
      <c r="B29" s="15" t="s">
        <v>17</v>
      </c>
      <c r="C29" s="16" t="s">
        <v>36</v>
      </c>
      <c r="D29" s="17" t="s">
        <v>19</v>
      </c>
      <c r="E29" s="33">
        <f>(0.289+0.472+0.611)/3</f>
        <v>0.45733333333333331</v>
      </c>
      <c r="F29" s="18">
        <f>E29*F28</f>
        <v>798.04666666666662</v>
      </c>
      <c r="G29" s="17"/>
      <c r="H29" s="30">
        <f>F29*G29</f>
        <v>0</v>
      </c>
    </row>
    <row r="30" spans="1:8">
      <c r="A30" s="14"/>
      <c r="B30" s="15" t="s">
        <v>17</v>
      </c>
      <c r="C30" s="16" t="s">
        <v>37</v>
      </c>
      <c r="D30" s="17" t="s">
        <v>3</v>
      </c>
      <c r="E30" s="33">
        <f>(0.0625+0.0301+0.293)/3</f>
        <v>0.12853333333333333</v>
      </c>
      <c r="F30" s="18">
        <f>E30*F28</f>
        <v>224.29066666666665</v>
      </c>
      <c r="G30" s="17"/>
      <c r="H30" s="31">
        <f>F30*G30</f>
        <v>0</v>
      </c>
    </row>
    <row r="31" spans="1:8" ht="48">
      <c r="A31" s="25">
        <v>8</v>
      </c>
      <c r="B31" s="9" t="s">
        <v>38</v>
      </c>
      <c r="C31" s="20" t="s">
        <v>39</v>
      </c>
      <c r="D31" s="26" t="s">
        <v>16</v>
      </c>
      <c r="E31" s="26"/>
      <c r="F31" s="12">
        <v>1705</v>
      </c>
      <c r="G31" s="11"/>
      <c r="H31" s="13">
        <f>SUM(H32:H33)</f>
        <v>0</v>
      </c>
    </row>
    <row r="32" spans="1:8">
      <c r="A32" s="14"/>
      <c r="B32" s="15" t="s">
        <v>17</v>
      </c>
      <c r="C32" s="16" t="s">
        <v>18</v>
      </c>
      <c r="D32" s="17" t="s">
        <v>19</v>
      </c>
      <c r="E32" s="17">
        <v>0.20499999999999999</v>
      </c>
      <c r="F32" s="18">
        <f>E32*F31</f>
        <v>349.52499999999998</v>
      </c>
      <c r="G32" s="17"/>
      <c r="H32" s="19">
        <f>F32*G32</f>
        <v>0</v>
      </c>
    </row>
    <row r="33" spans="1:8">
      <c r="A33" s="14"/>
      <c r="B33" s="15" t="s">
        <v>17</v>
      </c>
      <c r="C33" s="16" t="s">
        <v>31</v>
      </c>
      <c r="D33" s="17" t="s">
        <v>3</v>
      </c>
      <c r="E33" s="17">
        <v>7.8E-2</v>
      </c>
      <c r="F33" s="18">
        <f>E33*F31</f>
        <v>132.99</v>
      </c>
      <c r="G33" s="17"/>
      <c r="H33" s="31">
        <f>F33*G33</f>
        <v>0</v>
      </c>
    </row>
    <row r="34" spans="1:8" ht="72">
      <c r="A34" s="25">
        <v>9</v>
      </c>
      <c r="B34" s="9" t="s">
        <v>40</v>
      </c>
      <c r="C34" s="20" t="s">
        <v>41</v>
      </c>
      <c r="D34" s="11" t="s">
        <v>16</v>
      </c>
      <c r="E34" s="11"/>
      <c r="F34" s="12">
        <v>250</v>
      </c>
      <c r="G34" s="11"/>
      <c r="H34" s="13">
        <f>SUM(H35:H36)</f>
        <v>0</v>
      </c>
    </row>
    <row r="35" spans="1:8">
      <c r="A35" s="14"/>
      <c r="B35" s="15" t="s">
        <v>17</v>
      </c>
      <c r="C35" s="16" t="s">
        <v>18</v>
      </c>
      <c r="D35" s="17" t="s">
        <v>19</v>
      </c>
      <c r="E35" s="17">
        <v>0.61099999999999999</v>
      </c>
      <c r="F35" s="18">
        <f>E35*F34</f>
        <v>152.75</v>
      </c>
      <c r="G35" s="17"/>
      <c r="H35" s="19">
        <f>F35*G35</f>
        <v>0</v>
      </c>
    </row>
    <row r="36" spans="1:8">
      <c r="A36" s="14"/>
      <c r="B36" s="15" t="s">
        <v>17</v>
      </c>
      <c r="C36" s="16" t="s">
        <v>31</v>
      </c>
      <c r="D36" s="17" t="s">
        <v>3</v>
      </c>
      <c r="E36" s="17">
        <v>0.29299999999999998</v>
      </c>
      <c r="F36" s="18">
        <f>E36*F34</f>
        <v>73.25</v>
      </c>
      <c r="G36" s="17"/>
      <c r="H36" s="31">
        <f>F36*G36</f>
        <v>0</v>
      </c>
    </row>
    <row r="37" spans="1:8" ht="96">
      <c r="A37" s="34" t="s">
        <v>42</v>
      </c>
      <c r="B37" s="35" t="s">
        <v>43</v>
      </c>
      <c r="C37" s="36" t="s">
        <v>44</v>
      </c>
      <c r="D37" s="37" t="s">
        <v>45</v>
      </c>
      <c r="E37" s="37"/>
      <c r="F37" s="38">
        <v>40</v>
      </c>
      <c r="G37" s="37"/>
      <c r="H37" s="39">
        <f>H38+H39+H40</f>
        <v>0</v>
      </c>
    </row>
    <row r="38" spans="1:8">
      <c r="A38" s="40"/>
      <c r="B38" s="41" t="s">
        <v>17</v>
      </c>
      <c r="C38" s="42" t="s">
        <v>46</v>
      </c>
      <c r="D38" s="42" t="s">
        <v>19</v>
      </c>
      <c r="E38" s="42">
        <f>1.83*0.5</f>
        <v>0.91500000000000004</v>
      </c>
      <c r="F38" s="43">
        <f>E38*F37</f>
        <v>36.6</v>
      </c>
      <c r="G38" s="42"/>
      <c r="H38" s="44">
        <f>G38*F38</f>
        <v>0</v>
      </c>
    </row>
    <row r="39" spans="1:8">
      <c r="A39" s="40"/>
      <c r="B39" s="41" t="s">
        <v>17</v>
      </c>
      <c r="C39" s="42" t="s">
        <v>47</v>
      </c>
      <c r="D39" s="42" t="s">
        <v>3</v>
      </c>
      <c r="E39" s="42">
        <f>0.036*0.5</f>
        <v>1.7999999999999999E-2</v>
      </c>
      <c r="F39" s="43">
        <f>E39*F37</f>
        <v>0.72</v>
      </c>
      <c r="G39" s="42"/>
      <c r="H39" s="43">
        <f>G39*F39</f>
        <v>0</v>
      </c>
    </row>
    <row r="40" spans="1:8">
      <c r="A40" s="40"/>
      <c r="B40" s="45" t="s">
        <v>17</v>
      </c>
      <c r="C40" s="42" t="s">
        <v>48</v>
      </c>
      <c r="D40" s="42" t="s">
        <v>3</v>
      </c>
      <c r="E40" s="42">
        <f>0.432*0.5</f>
        <v>0.216</v>
      </c>
      <c r="F40" s="43">
        <f>E40*F37</f>
        <v>8.64</v>
      </c>
      <c r="G40" s="42"/>
      <c r="H40" s="43">
        <f>G40*F40</f>
        <v>0</v>
      </c>
    </row>
    <row r="41" spans="1:8" ht="48">
      <c r="A41" s="25">
        <v>11</v>
      </c>
      <c r="B41" s="9" t="s">
        <v>49</v>
      </c>
      <c r="C41" s="20" t="s">
        <v>50</v>
      </c>
      <c r="D41" s="11" t="s">
        <v>45</v>
      </c>
      <c r="E41" s="11"/>
      <c r="F41" s="21">
        <v>148.25</v>
      </c>
      <c r="G41" s="11"/>
      <c r="H41" s="27">
        <f>SUM(H42:H43)</f>
        <v>0</v>
      </c>
    </row>
    <row r="42" spans="1:8">
      <c r="A42" s="14"/>
      <c r="B42" s="14" t="s">
        <v>17</v>
      </c>
      <c r="C42" s="16" t="s">
        <v>18</v>
      </c>
      <c r="D42" s="17" t="s">
        <v>19</v>
      </c>
      <c r="E42" s="17">
        <v>0.72599999999999998</v>
      </c>
      <c r="F42" s="18">
        <f>E42*F41</f>
        <v>107.62949999999999</v>
      </c>
      <c r="G42" s="17"/>
      <c r="H42" s="30">
        <f>F42*G42</f>
        <v>0</v>
      </c>
    </row>
    <row r="43" spans="1:8">
      <c r="A43" s="14"/>
      <c r="B43" s="14" t="s">
        <v>17</v>
      </c>
      <c r="C43" s="16" t="s">
        <v>31</v>
      </c>
      <c r="D43" s="17" t="s">
        <v>3</v>
      </c>
      <c r="E43" s="17">
        <v>0.378</v>
      </c>
      <c r="F43" s="18">
        <f>E43*F41</f>
        <v>56.038499999999999</v>
      </c>
      <c r="G43" s="17"/>
      <c r="H43" s="31">
        <f>F43*G43</f>
        <v>0</v>
      </c>
    </row>
    <row r="44" spans="1:8" ht="48">
      <c r="A44" s="8">
        <v>12</v>
      </c>
      <c r="B44" s="9" t="s">
        <v>27</v>
      </c>
      <c r="C44" s="10" t="s">
        <v>51</v>
      </c>
      <c r="D44" s="11" t="s">
        <v>16</v>
      </c>
      <c r="E44" s="11"/>
      <c r="F44" s="21">
        <v>19.2</v>
      </c>
      <c r="G44" s="11"/>
      <c r="H44" s="13">
        <f>SUM(H45:H46)</f>
        <v>0</v>
      </c>
    </row>
    <row r="45" spans="1:8">
      <c r="A45" s="14"/>
      <c r="B45" s="15" t="s">
        <v>17</v>
      </c>
      <c r="C45" s="16" t="s">
        <v>28</v>
      </c>
      <c r="D45" s="17" t="s">
        <v>19</v>
      </c>
      <c r="E45" s="17">
        <v>0.88700000000000001</v>
      </c>
      <c r="F45" s="18">
        <f>E45*F44</f>
        <v>17.0304</v>
      </c>
      <c r="G45" s="17"/>
      <c r="H45" s="19">
        <f>G45*F45</f>
        <v>0</v>
      </c>
    </row>
    <row r="46" spans="1:8">
      <c r="A46" s="14"/>
      <c r="B46" s="15" t="s">
        <v>17</v>
      </c>
      <c r="C46" s="16" t="s">
        <v>20</v>
      </c>
      <c r="D46" s="17" t="s">
        <v>3</v>
      </c>
      <c r="E46" s="17">
        <v>9.8400000000000001E-2</v>
      </c>
      <c r="F46" s="18">
        <f>E46*F44</f>
        <v>1.8892799999999998</v>
      </c>
      <c r="G46" s="17"/>
      <c r="H46" s="19">
        <f>G46*F46</f>
        <v>0</v>
      </c>
    </row>
    <row r="47" spans="1:8" ht="67.5">
      <c r="A47" s="8">
        <v>13</v>
      </c>
      <c r="B47" s="9" t="s">
        <v>52</v>
      </c>
      <c r="C47" s="10" t="s">
        <v>1659</v>
      </c>
      <c r="D47" s="10" t="s">
        <v>53</v>
      </c>
      <c r="E47" s="11"/>
      <c r="F47" s="21">
        <v>3</v>
      </c>
      <c r="G47" s="11"/>
      <c r="H47" s="13">
        <f>SUM(H48:H48)</f>
        <v>0</v>
      </c>
    </row>
    <row r="48" spans="1:8">
      <c r="A48" s="14"/>
      <c r="B48" s="15" t="s">
        <v>52</v>
      </c>
      <c r="C48" s="16" t="s">
        <v>28</v>
      </c>
      <c r="D48" s="17" t="s">
        <v>53</v>
      </c>
      <c r="E48" s="17">
        <v>1</v>
      </c>
      <c r="F48" s="18">
        <f>E48*F47</f>
        <v>3</v>
      </c>
      <c r="G48" s="17"/>
      <c r="H48" s="19">
        <f>G48*F48</f>
        <v>0</v>
      </c>
    </row>
    <row r="49" spans="1:8" ht="48">
      <c r="A49" s="25">
        <v>14</v>
      </c>
      <c r="B49" s="46" t="s">
        <v>54</v>
      </c>
      <c r="C49" s="20" t="s">
        <v>55</v>
      </c>
      <c r="D49" s="11" t="s">
        <v>23</v>
      </c>
      <c r="E49" s="11"/>
      <c r="F49" s="47">
        <v>16</v>
      </c>
      <c r="G49" s="11"/>
      <c r="H49" s="27">
        <f>SUM(H50:H51)</f>
        <v>0</v>
      </c>
    </row>
    <row r="50" spans="1:8">
      <c r="A50" s="14"/>
      <c r="B50" s="14" t="s">
        <v>17</v>
      </c>
      <c r="C50" s="16" t="s">
        <v>18</v>
      </c>
      <c r="D50" s="17" t="s">
        <v>19</v>
      </c>
      <c r="E50" s="17">
        <v>7.3</v>
      </c>
      <c r="F50" s="18">
        <f>E50*F49</f>
        <v>116.8</v>
      </c>
      <c r="G50" s="17"/>
      <c r="H50" s="30">
        <f>F50*G50</f>
        <v>0</v>
      </c>
    </row>
    <row r="51" spans="1:8">
      <c r="A51" s="14"/>
      <c r="B51" s="14" t="s">
        <v>17</v>
      </c>
      <c r="C51" s="16" t="s">
        <v>31</v>
      </c>
      <c r="D51" s="17" t="s">
        <v>3</v>
      </c>
      <c r="E51" s="17">
        <v>2.9</v>
      </c>
      <c r="F51" s="18">
        <f>E51*F49</f>
        <v>46.4</v>
      </c>
      <c r="G51" s="17"/>
      <c r="H51" s="31">
        <f>F51*G51</f>
        <v>0</v>
      </c>
    </row>
    <row r="52" spans="1:8" ht="48">
      <c r="A52" s="25">
        <v>15</v>
      </c>
      <c r="B52" s="9" t="s">
        <v>38</v>
      </c>
      <c r="C52" s="20" t="s">
        <v>56</v>
      </c>
      <c r="D52" s="26" t="s">
        <v>16</v>
      </c>
      <c r="E52" s="26"/>
      <c r="F52" s="12">
        <v>38</v>
      </c>
      <c r="G52" s="11"/>
      <c r="H52" s="13">
        <f>SUM(H53:H54)</f>
        <v>0</v>
      </c>
    </row>
    <row r="53" spans="1:8">
      <c r="A53" s="14"/>
      <c r="B53" s="15" t="s">
        <v>17</v>
      </c>
      <c r="C53" s="16" t="s">
        <v>18</v>
      </c>
      <c r="D53" s="17" t="s">
        <v>19</v>
      </c>
      <c r="E53" s="17">
        <v>0.20499999999999999</v>
      </c>
      <c r="F53" s="18">
        <f>E53*F52</f>
        <v>7.7899999999999991</v>
      </c>
      <c r="G53" s="17"/>
      <c r="H53" s="19">
        <f>F53*G53</f>
        <v>0</v>
      </c>
    </row>
    <row r="54" spans="1:8">
      <c r="A54" s="14"/>
      <c r="B54" s="15" t="s">
        <v>17</v>
      </c>
      <c r="C54" s="16" t="s">
        <v>31</v>
      </c>
      <c r="D54" s="17" t="s">
        <v>3</v>
      </c>
      <c r="E54" s="17">
        <v>7.8E-2</v>
      </c>
      <c r="F54" s="18">
        <f>E54*F52</f>
        <v>2.964</v>
      </c>
      <c r="G54" s="17"/>
      <c r="H54" s="31">
        <f>F54*G54</f>
        <v>0</v>
      </c>
    </row>
    <row r="55" spans="1:8" ht="40.5">
      <c r="A55" s="48">
        <v>16</v>
      </c>
      <c r="B55" s="9" t="s">
        <v>57</v>
      </c>
      <c r="C55" s="10" t="s">
        <v>58</v>
      </c>
      <c r="D55" s="26" t="s">
        <v>59</v>
      </c>
      <c r="E55" s="26"/>
      <c r="F55" s="12">
        <v>570</v>
      </c>
      <c r="G55" s="26"/>
      <c r="H55" s="27">
        <f>SUM(H56)</f>
        <v>0</v>
      </c>
    </row>
    <row r="56" spans="1:8">
      <c r="A56" s="49"/>
      <c r="B56" s="28" t="s">
        <v>17</v>
      </c>
      <c r="C56" s="50" t="s">
        <v>60</v>
      </c>
      <c r="D56" s="51" t="s">
        <v>19</v>
      </c>
      <c r="E56" s="52">
        <v>1.46</v>
      </c>
      <c r="F56" s="53">
        <f>F55*E56</f>
        <v>832.19999999999993</v>
      </c>
      <c r="G56" s="52"/>
      <c r="H56" s="54">
        <f>F56*G56</f>
        <v>0</v>
      </c>
    </row>
    <row r="57" spans="1:8" ht="27">
      <c r="A57" s="25">
        <v>17</v>
      </c>
      <c r="B57" s="55" t="s">
        <v>61</v>
      </c>
      <c r="C57" s="20" t="s">
        <v>62</v>
      </c>
      <c r="D57" s="11" t="s">
        <v>59</v>
      </c>
      <c r="E57" s="11"/>
      <c r="F57" s="12">
        <v>610</v>
      </c>
      <c r="G57" s="11"/>
      <c r="H57" s="13">
        <f>SUM(H58:H58)</f>
        <v>0</v>
      </c>
    </row>
    <row r="58" spans="1:8">
      <c r="A58" s="15"/>
      <c r="B58" s="24" t="s">
        <v>17</v>
      </c>
      <c r="C58" s="28" t="s">
        <v>63</v>
      </c>
      <c r="D58" s="17" t="s">
        <v>19</v>
      </c>
      <c r="E58" s="17">
        <v>0.53</v>
      </c>
      <c r="F58" s="19">
        <f>F57*E58</f>
        <v>323.3</v>
      </c>
      <c r="G58" s="18"/>
      <c r="H58" s="19">
        <f>F58*G58</f>
        <v>0</v>
      </c>
    </row>
    <row r="59" spans="1:8" ht="27">
      <c r="A59" s="8">
        <v>18</v>
      </c>
      <c r="B59" s="55" t="s">
        <v>64</v>
      </c>
      <c r="C59" s="20" t="s">
        <v>65</v>
      </c>
      <c r="D59" s="11" t="s">
        <v>59</v>
      </c>
      <c r="E59" s="11"/>
      <c r="F59" s="12">
        <f>F57</f>
        <v>610</v>
      </c>
      <c r="G59" s="11"/>
      <c r="H59" s="13">
        <f>SUM(H60:H60)</f>
        <v>0</v>
      </c>
    </row>
    <row r="60" spans="1:8">
      <c r="A60" s="14"/>
      <c r="B60" s="15" t="s">
        <v>66</v>
      </c>
      <c r="C60" s="16" t="s">
        <v>67</v>
      </c>
      <c r="D60" s="17" t="s">
        <v>59</v>
      </c>
      <c r="E60" s="17">
        <v>1</v>
      </c>
      <c r="F60" s="56">
        <f>F59*E60</f>
        <v>610</v>
      </c>
      <c r="G60" s="18"/>
      <c r="H60" s="19">
        <f>F60*G60</f>
        <v>0</v>
      </c>
    </row>
    <row r="61" spans="1:8" ht="55.5" customHeight="1">
      <c r="A61" s="482"/>
      <c r="B61" s="482"/>
      <c r="C61" s="467" t="s">
        <v>1651</v>
      </c>
      <c r="D61" s="483" t="s">
        <v>3</v>
      </c>
      <c r="E61" s="483"/>
      <c r="F61" s="465"/>
      <c r="G61" s="466"/>
      <c r="H61" s="466">
        <f>H9+H12+H16+H19+H22+H25+H28+H31+H34+H37+H41+H44+H47+H49+H52+H55+H57+H59</f>
        <v>0</v>
      </c>
    </row>
    <row r="62" spans="1:8" ht="40.5" customHeight="1">
      <c r="A62" s="1"/>
      <c r="B62" s="489" t="s">
        <v>69</v>
      </c>
      <c r="C62" s="490"/>
      <c r="D62" s="490"/>
      <c r="E62" s="491"/>
      <c r="F62" s="3"/>
      <c r="G62" s="58"/>
      <c r="H62" s="3"/>
    </row>
    <row r="63" spans="1:8" ht="194.25" customHeight="1">
      <c r="A63" s="480" t="s">
        <v>13</v>
      </c>
      <c r="B63" s="480" t="s">
        <v>52</v>
      </c>
      <c r="C63" s="480" t="s">
        <v>1665</v>
      </c>
      <c r="D63" s="480" t="s">
        <v>209</v>
      </c>
      <c r="E63" s="480"/>
      <c r="F63" s="481">
        <v>1</v>
      </c>
      <c r="G63" s="69"/>
      <c r="H63" s="219">
        <f>F63*G63</f>
        <v>0</v>
      </c>
    </row>
    <row r="64" spans="1:8" ht="67.5">
      <c r="A64" s="25">
        <v>2</v>
      </c>
      <c r="B64" s="9" t="s">
        <v>70</v>
      </c>
      <c r="C64" s="20" t="s">
        <v>71</v>
      </c>
      <c r="D64" s="20" t="s">
        <v>23</v>
      </c>
      <c r="E64" s="59"/>
      <c r="F64" s="60">
        <v>240</v>
      </c>
      <c r="G64" s="20"/>
      <c r="H64" s="39">
        <f>H65</f>
        <v>0</v>
      </c>
    </row>
    <row r="65" spans="1:8">
      <c r="A65" s="61"/>
      <c r="B65" s="15" t="s">
        <v>17</v>
      </c>
      <c r="C65" s="28" t="s">
        <v>28</v>
      </c>
      <c r="D65" s="28" t="s">
        <v>19</v>
      </c>
      <c r="E65" s="28">
        <v>3.88</v>
      </c>
      <c r="F65" s="44">
        <f>F64*E65</f>
        <v>931.19999999999993</v>
      </c>
      <c r="G65" s="28"/>
      <c r="H65" s="44">
        <f>G65*F65</f>
        <v>0</v>
      </c>
    </row>
    <row r="66" spans="1:8" ht="67.5">
      <c r="A66" s="62" t="s">
        <v>480</v>
      </c>
      <c r="B66" s="46" t="s">
        <v>73</v>
      </c>
      <c r="C66" s="10" t="s">
        <v>74</v>
      </c>
      <c r="D66" s="10" t="s">
        <v>75</v>
      </c>
      <c r="E66" s="63"/>
      <c r="F66" s="60">
        <v>1450</v>
      </c>
      <c r="G66" s="10"/>
      <c r="H66" s="39">
        <f>H67+H68</f>
        <v>0</v>
      </c>
    </row>
    <row r="67" spans="1:8">
      <c r="A67" s="64"/>
      <c r="B67" s="14" t="s">
        <v>17</v>
      </c>
      <c r="C67" s="16" t="s">
        <v>28</v>
      </c>
      <c r="D67" s="16" t="s">
        <v>19</v>
      </c>
      <c r="E67" s="65">
        <v>9.9600000000000001E-3</v>
      </c>
      <c r="F67" s="66">
        <f>F66*E67</f>
        <v>14.442</v>
      </c>
      <c r="G67" s="16"/>
      <c r="H67" s="44">
        <f>G67*F67</f>
        <v>0</v>
      </c>
    </row>
    <row r="68" spans="1:8" ht="27">
      <c r="A68" s="64"/>
      <c r="B68" s="67" t="s">
        <v>76</v>
      </c>
      <c r="C68" s="16" t="s">
        <v>77</v>
      </c>
      <c r="D68" s="16" t="s">
        <v>78</v>
      </c>
      <c r="E68" s="66">
        <v>2.23E-2</v>
      </c>
      <c r="F68" s="66">
        <f>F66*E68</f>
        <v>32.335000000000001</v>
      </c>
      <c r="G68" s="17"/>
      <c r="H68" s="44">
        <f>G68*F68</f>
        <v>0</v>
      </c>
    </row>
    <row r="69" spans="1:8" ht="81">
      <c r="A69" s="25">
        <v>4</v>
      </c>
      <c r="B69" s="46" t="s">
        <v>73</v>
      </c>
      <c r="C69" s="20" t="s">
        <v>79</v>
      </c>
      <c r="D69" s="20" t="s">
        <v>23</v>
      </c>
      <c r="E69" s="59"/>
      <c r="F69" s="60">
        <v>550</v>
      </c>
      <c r="G69" s="20"/>
      <c r="H69" s="39">
        <f>H70+H71</f>
        <v>0</v>
      </c>
    </row>
    <row r="70" spans="1:8">
      <c r="A70" s="61"/>
      <c r="B70" s="15" t="s">
        <v>17</v>
      </c>
      <c r="C70" s="28" t="s">
        <v>28</v>
      </c>
      <c r="D70" s="28" t="s">
        <v>19</v>
      </c>
      <c r="E70" s="65">
        <v>9.9600000000000001E-3</v>
      </c>
      <c r="F70" s="44">
        <f>F69*E70</f>
        <v>5.4779999999999998</v>
      </c>
      <c r="G70" s="28"/>
      <c r="H70" s="44">
        <f>G70*F70</f>
        <v>0</v>
      </c>
    </row>
    <row r="71" spans="1:8" ht="27">
      <c r="A71" s="61"/>
      <c r="B71" s="67" t="s">
        <v>76</v>
      </c>
      <c r="C71" s="16" t="s">
        <v>77</v>
      </c>
      <c r="D71" s="16" t="s">
        <v>78</v>
      </c>
      <c r="E71" s="66">
        <v>2.23E-2</v>
      </c>
      <c r="F71" s="66">
        <f>F69*E71</f>
        <v>12.265000000000001</v>
      </c>
      <c r="G71" s="17"/>
      <c r="H71" s="44">
        <f>G71*F71</f>
        <v>0</v>
      </c>
    </row>
    <row r="72" spans="1:8" ht="54">
      <c r="A72" s="25">
        <v>5</v>
      </c>
      <c r="B72" s="9" t="s">
        <v>80</v>
      </c>
      <c r="C72" s="20" t="s">
        <v>81</v>
      </c>
      <c r="D72" s="20" t="s">
        <v>23</v>
      </c>
      <c r="E72" s="59"/>
      <c r="F72" s="60">
        <v>110</v>
      </c>
      <c r="G72" s="20"/>
      <c r="H72" s="39">
        <f>H73</f>
        <v>0</v>
      </c>
    </row>
    <row r="73" spans="1:8">
      <c r="A73" s="61"/>
      <c r="B73" s="15" t="s">
        <v>17</v>
      </c>
      <c r="C73" s="28" t="s">
        <v>28</v>
      </c>
      <c r="D73" s="28" t="s">
        <v>19</v>
      </c>
      <c r="E73" s="28">
        <v>2.06</v>
      </c>
      <c r="F73" s="44">
        <f>F72*E73</f>
        <v>226.6</v>
      </c>
      <c r="G73" s="28"/>
      <c r="H73" s="44">
        <f>G73*F73</f>
        <v>0</v>
      </c>
    </row>
    <row r="74" spans="1:8" ht="48">
      <c r="A74" s="68" t="s">
        <v>88</v>
      </c>
      <c r="B74" s="55" t="s">
        <v>83</v>
      </c>
      <c r="C74" s="20" t="s">
        <v>84</v>
      </c>
      <c r="D74" s="20" t="s">
        <v>75</v>
      </c>
      <c r="E74" s="20"/>
      <c r="F74" s="69">
        <v>22.2</v>
      </c>
      <c r="G74" s="10"/>
      <c r="H74" s="39">
        <f>SUM(H75:H78)</f>
        <v>0</v>
      </c>
    </row>
    <row r="75" spans="1:8">
      <c r="A75" s="64"/>
      <c r="B75" s="14" t="s">
        <v>17</v>
      </c>
      <c r="C75" s="16" t="s">
        <v>28</v>
      </c>
      <c r="D75" s="28" t="s">
        <v>19</v>
      </c>
      <c r="E75" s="16">
        <v>3.52</v>
      </c>
      <c r="F75" s="43">
        <f>E75*F74</f>
        <v>78.143999999999991</v>
      </c>
      <c r="G75" s="17"/>
      <c r="H75" s="44">
        <f>G75*F75</f>
        <v>0</v>
      </c>
    </row>
    <row r="76" spans="1:8">
      <c r="A76" s="64"/>
      <c r="B76" s="67" t="s">
        <v>17</v>
      </c>
      <c r="C76" s="28" t="s">
        <v>20</v>
      </c>
      <c r="D76" s="16" t="s">
        <v>3</v>
      </c>
      <c r="E76" s="16">
        <v>1.06</v>
      </c>
      <c r="F76" s="70">
        <f>F74*E76</f>
        <v>23.532</v>
      </c>
      <c r="G76" s="16"/>
      <c r="H76" s="43">
        <f>G76*F76</f>
        <v>0</v>
      </c>
    </row>
    <row r="77" spans="1:8">
      <c r="A77" s="64"/>
      <c r="B77" s="67" t="s">
        <v>85</v>
      </c>
      <c r="C77" s="16" t="s">
        <v>86</v>
      </c>
      <c r="D77" s="16" t="s">
        <v>75</v>
      </c>
      <c r="E77" s="16">
        <v>1.24</v>
      </c>
      <c r="F77" s="43">
        <f>E77*F74</f>
        <v>27.527999999999999</v>
      </c>
      <c r="G77" s="16"/>
      <c r="H77" s="43">
        <f>G77*F77</f>
        <v>0</v>
      </c>
    </row>
    <row r="78" spans="1:8">
      <c r="A78" s="64"/>
      <c r="B78" s="14" t="s">
        <v>17</v>
      </c>
      <c r="C78" s="28" t="s">
        <v>87</v>
      </c>
      <c r="D78" s="16" t="s">
        <v>3</v>
      </c>
      <c r="E78" s="16">
        <v>0.01</v>
      </c>
      <c r="F78" s="43">
        <f>E78*F74</f>
        <v>0.222</v>
      </c>
      <c r="G78" s="16"/>
      <c r="H78" s="43">
        <f>G78*F78</f>
        <v>0</v>
      </c>
    </row>
    <row r="79" spans="1:8" ht="48">
      <c r="A79" s="9" t="s">
        <v>95</v>
      </c>
      <c r="B79" s="9" t="s">
        <v>89</v>
      </c>
      <c r="C79" s="20" t="s">
        <v>90</v>
      </c>
      <c r="D79" s="20" t="s">
        <v>23</v>
      </c>
      <c r="E79" s="20"/>
      <c r="F79" s="69">
        <f>F74+0</f>
        <v>22.2</v>
      </c>
      <c r="G79" s="20"/>
      <c r="H79" s="39">
        <f>H80+H81</f>
        <v>0</v>
      </c>
    </row>
    <row r="80" spans="1:8" ht="27">
      <c r="A80" s="15"/>
      <c r="B80" s="23" t="s">
        <v>91</v>
      </c>
      <c r="C80" s="28" t="s">
        <v>92</v>
      </c>
      <c r="D80" s="28" t="s">
        <v>19</v>
      </c>
      <c r="E80" s="71">
        <f>(12.9-2*1.27)/1000</f>
        <v>1.0359999999999999E-2</v>
      </c>
      <c r="F80" s="72">
        <f>E80*F79</f>
        <v>0.22999199999999997</v>
      </c>
      <c r="G80" s="28"/>
      <c r="H80" s="44">
        <f>G80*F80</f>
        <v>0</v>
      </c>
    </row>
    <row r="81" spans="1:8" ht="27">
      <c r="A81" s="15"/>
      <c r="B81" s="23" t="s">
        <v>93</v>
      </c>
      <c r="C81" s="28" t="s">
        <v>94</v>
      </c>
      <c r="D81" s="28" t="s">
        <v>19</v>
      </c>
      <c r="E81" s="71">
        <f>(3.18-2*0.32)/1000</f>
        <v>2.5400000000000002E-3</v>
      </c>
      <c r="F81" s="71">
        <f>E81*F79</f>
        <v>5.6388000000000001E-2</v>
      </c>
      <c r="G81" s="28"/>
      <c r="H81" s="44">
        <f>G81*F81</f>
        <v>0</v>
      </c>
    </row>
    <row r="82" spans="1:8" ht="40.5">
      <c r="A82" s="62" t="s">
        <v>101</v>
      </c>
      <c r="B82" s="73" t="s">
        <v>96</v>
      </c>
      <c r="C82" s="20" t="s">
        <v>97</v>
      </c>
      <c r="D82" s="10" t="s">
        <v>75</v>
      </c>
      <c r="E82" s="10"/>
      <c r="F82" s="60">
        <v>22.2</v>
      </c>
      <c r="G82" s="10"/>
      <c r="H82" s="39">
        <f>SUM(H83:H86)</f>
        <v>0</v>
      </c>
    </row>
    <row r="83" spans="1:8">
      <c r="A83" s="64"/>
      <c r="B83" s="67" t="s">
        <v>17</v>
      </c>
      <c r="C83" s="28" t="s">
        <v>28</v>
      </c>
      <c r="D83" s="16" t="s">
        <v>19</v>
      </c>
      <c r="E83" s="16">
        <v>1.37</v>
      </c>
      <c r="F83" s="70">
        <f>E83*F82</f>
        <v>30.414000000000001</v>
      </c>
      <c r="G83" s="16"/>
      <c r="H83" s="44">
        <f>G83*F83</f>
        <v>0</v>
      </c>
    </row>
    <row r="84" spans="1:8">
      <c r="A84" s="64"/>
      <c r="B84" s="67" t="s">
        <v>17</v>
      </c>
      <c r="C84" s="28" t="s">
        <v>20</v>
      </c>
      <c r="D84" s="16" t="s">
        <v>3</v>
      </c>
      <c r="E84" s="16">
        <v>0.28299999999999997</v>
      </c>
      <c r="F84" s="70">
        <f>F82*E84</f>
        <v>6.2825999999999995</v>
      </c>
      <c r="G84" s="16"/>
      <c r="H84" s="43">
        <f>G84*F84</f>
        <v>0</v>
      </c>
    </row>
    <row r="85" spans="1:8">
      <c r="A85" s="64"/>
      <c r="B85" s="67" t="s">
        <v>98</v>
      </c>
      <c r="C85" s="28" t="s">
        <v>99</v>
      </c>
      <c r="D85" s="16" t="s">
        <v>75</v>
      </c>
      <c r="E85" s="16">
        <v>1.02</v>
      </c>
      <c r="F85" s="70">
        <f>E85*F82</f>
        <v>22.643999999999998</v>
      </c>
      <c r="G85" s="28"/>
      <c r="H85" s="43">
        <f>G85*F85</f>
        <v>0</v>
      </c>
    </row>
    <row r="86" spans="1:8">
      <c r="A86" s="64"/>
      <c r="B86" s="24" t="s">
        <v>17</v>
      </c>
      <c r="C86" s="16" t="s">
        <v>100</v>
      </c>
      <c r="D86" s="16" t="s">
        <v>3</v>
      </c>
      <c r="E86" s="16">
        <v>0.62</v>
      </c>
      <c r="F86" s="70">
        <f>E86*F82</f>
        <v>13.763999999999999</v>
      </c>
      <c r="G86" s="16"/>
      <c r="H86" s="43">
        <f>G86*F86</f>
        <v>0</v>
      </c>
    </row>
    <row r="87" spans="1:8" ht="40.5">
      <c r="A87" s="62" t="s">
        <v>42</v>
      </c>
      <c r="B87" s="55" t="s">
        <v>102</v>
      </c>
      <c r="C87" s="10" t="s">
        <v>103</v>
      </c>
      <c r="D87" s="10" t="s">
        <v>23</v>
      </c>
      <c r="E87" s="10"/>
      <c r="F87" s="69">
        <v>83.7</v>
      </c>
      <c r="G87" s="10"/>
      <c r="H87" s="39">
        <f>SUM(H88:H95)</f>
        <v>0</v>
      </c>
    </row>
    <row r="88" spans="1:8">
      <c r="A88" s="64"/>
      <c r="B88" s="14" t="s">
        <v>17</v>
      </c>
      <c r="C88" s="16" t="s">
        <v>28</v>
      </c>
      <c r="D88" s="28" t="s">
        <v>19</v>
      </c>
      <c r="E88" s="16">
        <v>6.66</v>
      </c>
      <c r="F88" s="70">
        <f>E88*F87</f>
        <v>557.44200000000001</v>
      </c>
      <c r="G88" s="17"/>
      <c r="H88" s="44">
        <f t="shared" ref="H88:H95" si="0">G88*F88</f>
        <v>0</v>
      </c>
    </row>
    <row r="89" spans="1:8">
      <c r="A89" s="64"/>
      <c r="B89" s="14" t="s">
        <v>17</v>
      </c>
      <c r="C89" s="16" t="s">
        <v>20</v>
      </c>
      <c r="D89" s="16" t="s">
        <v>3</v>
      </c>
      <c r="E89" s="16">
        <v>0.59</v>
      </c>
      <c r="F89" s="70">
        <f>F87*E89</f>
        <v>49.382999999999996</v>
      </c>
      <c r="G89" s="16"/>
      <c r="H89" s="43">
        <f t="shared" si="0"/>
        <v>0</v>
      </c>
    </row>
    <row r="90" spans="1:8">
      <c r="A90" s="64"/>
      <c r="B90" s="14" t="s">
        <v>52</v>
      </c>
      <c r="C90" s="16" t="s">
        <v>104</v>
      </c>
      <c r="D90" s="16" t="s">
        <v>75</v>
      </c>
      <c r="E90" s="16">
        <v>1.0149999999999999</v>
      </c>
      <c r="F90" s="70">
        <f>F87*E90</f>
        <v>84.955500000000001</v>
      </c>
      <c r="G90" s="16"/>
      <c r="H90" s="18">
        <f t="shared" si="0"/>
        <v>0</v>
      </c>
    </row>
    <row r="91" spans="1:8">
      <c r="A91" s="64"/>
      <c r="B91" s="14" t="s">
        <v>105</v>
      </c>
      <c r="C91" s="16" t="s">
        <v>106</v>
      </c>
      <c r="D91" s="16" t="s">
        <v>75</v>
      </c>
      <c r="E91" s="16">
        <v>1.0149999999999999</v>
      </c>
      <c r="F91" s="70">
        <f>E91*F87</f>
        <v>84.955500000000001</v>
      </c>
      <c r="G91" s="44"/>
      <c r="H91" s="43">
        <f t="shared" si="0"/>
        <v>0</v>
      </c>
    </row>
    <row r="92" spans="1:8">
      <c r="A92" s="64"/>
      <c r="B92" s="28" t="s">
        <v>107</v>
      </c>
      <c r="C92" s="16" t="s">
        <v>108</v>
      </c>
      <c r="D92" s="16" t="s">
        <v>59</v>
      </c>
      <c r="E92" s="16" t="s">
        <v>109</v>
      </c>
      <c r="F92" s="70">
        <v>4.8579999999999997</v>
      </c>
      <c r="G92" s="44"/>
      <c r="H92" s="43">
        <f t="shared" si="0"/>
        <v>0</v>
      </c>
    </row>
    <row r="93" spans="1:8">
      <c r="A93" s="64"/>
      <c r="B93" s="28" t="s">
        <v>110</v>
      </c>
      <c r="C93" s="16" t="s">
        <v>111</v>
      </c>
      <c r="D93" s="16" t="s">
        <v>112</v>
      </c>
      <c r="E93" s="16">
        <v>1.6</v>
      </c>
      <c r="F93" s="70">
        <f>F87*E93</f>
        <v>133.92000000000002</v>
      </c>
      <c r="G93" s="16"/>
      <c r="H93" s="43">
        <f t="shared" si="0"/>
        <v>0</v>
      </c>
    </row>
    <row r="94" spans="1:8">
      <c r="A94" s="64"/>
      <c r="B94" s="14" t="s">
        <v>113</v>
      </c>
      <c r="C94" s="16" t="s">
        <v>114</v>
      </c>
      <c r="D94" s="16" t="s">
        <v>75</v>
      </c>
      <c r="E94" s="16">
        <v>1.83E-2</v>
      </c>
      <c r="F94" s="70">
        <f>F87*E94</f>
        <v>1.5317100000000001</v>
      </c>
      <c r="G94" s="16"/>
      <c r="H94" s="43">
        <f t="shared" si="0"/>
        <v>0</v>
      </c>
    </row>
    <row r="95" spans="1:8">
      <c r="A95" s="64"/>
      <c r="B95" s="67" t="s">
        <v>17</v>
      </c>
      <c r="C95" s="28" t="s">
        <v>87</v>
      </c>
      <c r="D95" s="16" t="s">
        <v>3</v>
      </c>
      <c r="E95" s="16">
        <v>0.4</v>
      </c>
      <c r="F95" s="70">
        <f>E95*F87</f>
        <v>33.480000000000004</v>
      </c>
      <c r="G95" s="16"/>
      <c r="H95" s="43">
        <f t="shared" si="0"/>
        <v>0</v>
      </c>
    </row>
    <row r="96" spans="1:8" ht="48">
      <c r="A96" s="62" t="s">
        <v>124</v>
      </c>
      <c r="B96" s="55" t="s">
        <v>115</v>
      </c>
      <c r="C96" s="10" t="s">
        <v>116</v>
      </c>
      <c r="D96" s="10" t="s">
        <v>23</v>
      </c>
      <c r="E96" s="10"/>
      <c r="F96" s="69">
        <v>36.9</v>
      </c>
      <c r="G96" s="10"/>
      <c r="H96" s="39">
        <f>SUM(H97:H106)</f>
        <v>0</v>
      </c>
    </row>
    <row r="97" spans="1:8">
      <c r="A97" s="64"/>
      <c r="B97" s="14" t="s">
        <v>17</v>
      </c>
      <c r="C97" s="16" t="s">
        <v>28</v>
      </c>
      <c r="D97" s="28" t="s">
        <v>19</v>
      </c>
      <c r="E97" s="16">
        <v>11.1</v>
      </c>
      <c r="F97" s="70">
        <f>E97*F96</f>
        <v>409.59</v>
      </c>
      <c r="G97" s="17"/>
      <c r="H97" s="44">
        <f t="shared" ref="H97:H104" si="1">G97*F97</f>
        <v>0</v>
      </c>
    </row>
    <row r="98" spans="1:8">
      <c r="A98" s="64"/>
      <c r="B98" s="14" t="s">
        <v>17</v>
      </c>
      <c r="C98" s="16" t="s">
        <v>20</v>
      </c>
      <c r="D98" s="16" t="s">
        <v>3</v>
      </c>
      <c r="E98" s="16">
        <v>0.96</v>
      </c>
      <c r="F98" s="70">
        <f>F96*E98</f>
        <v>35.423999999999999</v>
      </c>
      <c r="G98" s="16"/>
      <c r="H98" s="43">
        <f t="shared" si="1"/>
        <v>0</v>
      </c>
    </row>
    <row r="99" spans="1:8">
      <c r="A99" s="64"/>
      <c r="B99" s="14" t="s">
        <v>52</v>
      </c>
      <c r="C99" s="16" t="s">
        <v>104</v>
      </c>
      <c r="D99" s="16" t="s">
        <v>75</v>
      </c>
      <c r="E99" s="16">
        <v>1.0149999999999999</v>
      </c>
      <c r="F99" s="70">
        <f>F96*E99</f>
        <v>37.453499999999998</v>
      </c>
      <c r="G99" s="16"/>
      <c r="H99" s="18">
        <f t="shared" si="1"/>
        <v>0</v>
      </c>
    </row>
    <row r="100" spans="1:8">
      <c r="A100" s="64"/>
      <c r="B100" s="14" t="s">
        <v>105</v>
      </c>
      <c r="C100" s="16" t="s">
        <v>106</v>
      </c>
      <c r="D100" s="16" t="s">
        <v>75</v>
      </c>
      <c r="E100" s="16">
        <v>1.0149999999999999</v>
      </c>
      <c r="F100" s="70">
        <f>E100*F96</f>
        <v>37.453499999999998</v>
      </c>
      <c r="G100" s="44"/>
      <c r="H100" s="43">
        <f t="shared" si="1"/>
        <v>0</v>
      </c>
    </row>
    <row r="101" spans="1:8">
      <c r="A101" s="64"/>
      <c r="B101" s="28" t="s">
        <v>117</v>
      </c>
      <c r="C101" s="16" t="s">
        <v>118</v>
      </c>
      <c r="D101" s="16" t="s">
        <v>59</v>
      </c>
      <c r="E101" s="16" t="s">
        <v>109</v>
      </c>
      <c r="F101" s="70">
        <v>1.1000000000000001</v>
      </c>
      <c r="G101" s="44"/>
      <c r="H101" s="43">
        <f t="shared" si="1"/>
        <v>0</v>
      </c>
    </row>
    <row r="102" spans="1:8">
      <c r="A102" s="64"/>
      <c r="B102" s="28" t="s">
        <v>119</v>
      </c>
      <c r="C102" s="16" t="s">
        <v>120</v>
      </c>
      <c r="D102" s="16" t="s">
        <v>59</v>
      </c>
      <c r="E102" s="16" t="s">
        <v>109</v>
      </c>
      <c r="F102" s="70">
        <v>2.0419999999999998</v>
      </c>
      <c r="G102" s="44"/>
      <c r="H102" s="43">
        <f t="shared" si="1"/>
        <v>0</v>
      </c>
    </row>
    <row r="103" spans="1:8">
      <c r="A103" s="64"/>
      <c r="B103" s="28" t="s">
        <v>110</v>
      </c>
      <c r="C103" s="16" t="s">
        <v>111</v>
      </c>
      <c r="D103" s="16" t="s">
        <v>112</v>
      </c>
      <c r="E103" s="16">
        <v>2.0499999999999998</v>
      </c>
      <c r="F103" s="70">
        <f>F96*E103</f>
        <v>75.644999999999996</v>
      </c>
      <c r="G103" s="16"/>
      <c r="H103" s="43">
        <f t="shared" si="1"/>
        <v>0</v>
      </c>
    </row>
    <row r="104" spans="1:8">
      <c r="A104" s="64"/>
      <c r="B104" s="14" t="s">
        <v>113</v>
      </c>
      <c r="C104" s="16" t="s">
        <v>114</v>
      </c>
      <c r="D104" s="16" t="s">
        <v>75</v>
      </c>
      <c r="E104" s="16">
        <v>3.0800000000000001E-2</v>
      </c>
      <c r="F104" s="70">
        <f>F96*E104</f>
        <v>1.13652</v>
      </c>
      <c r="G104" s="16"/>
      <c r="H104" s="43">
        <f t="shared" si="1"/>
        <v>0</v>
      </c>
    </row>
    <row r="105" spans="1:8">
      <c r="A105" s="14"/>
      <c r="B105" s="14" t="s">
        <v>121</v>
      </c>
      <c r="C105" s="16" t="s">
        <v>122</v>
      </c>
      <c r="D105" s="16" t="s">
        <v>123</v>
      </c>
      <c r="E105" s="16">
        <v>1.7</v>
      </c>
      <c r="F105" s="43">
        <f>E105*F96</f>
        <v>62.73</v>
      </c>
      <c r="G105" s="16"/>
      <c r="H105" s="74">
        <f>G105*F105</f>
        <v>0</v>
      </c>
    </row>
    <row r="106" spans="1:8">
      <c r="A106" s="64"/>
      <c r="B106" s="67" t="s">
        <v>17</v>
      </c>
      <c r="C106" s="28" t="s">
        <v>87</v>
      </c>
      <c r="D106" s="16" t="s">
        <v>3</v>
      </c>
      <c r="E106" s="16">
        <v>0.7</v>
      </c>
      <c r="F106" s="70">
        <f>E106*F96</f>
        <v>25.83</v>
      </c>
      <c r="G106" s="16"/>
      <c r="H106" s="43">
        <f>G106*F106</f>
        <v>0</v>
      </c>
    </row>
    <row r="107" spans="1:8" ht="48">
      <c r="A107" s="68" t="s">
        <v>127</v>
      </c>
      <c r="B107" s="9" t="s">
        <v>125</v>
      </c>
      <c r="C107" s="20" t="s">
        <v>126</v>
      </c>
      <c r="D107" s="20" t="s">
        <v>23</v>
      </c>
      <c r="E107" s="20"/>
      <c r="F107" s="69">
        <v>30</v>
      </c>
      <c r="G107" s="20"/>
      <c r="H107" s="39">
        <f>H108+0</f>
        <v>0</v>
      </c>
    </row>
    <row r="108" spans="1:8">
      <c r="A108" s="61"/>
      <c r="B108" s="23" t="s">
        <v>17</v>
      </c>
      <c r="C108" s="28" t="s">
        <v>28</v>
      </c>
      <c r="D108" s="28" t="s">
        <v>19</v>
      </c>
      <c r="E108" s="72">
        <v>1.21</v>
      </c>
      <c r="F108" s="44">
        <f>F107*E108</f>
        <v>36.299999999999997</v>
      </c>
      <c r="G108" s="28"/>
      <c r="H108" s="44">
        <f>G108*F108</f>
        <v>0</v>
      </c>
    </row>
    <row r="109" spans="1:8" ht="94.5">
      <c r="A109" s="68" t="s">
        <v>132</v>
      </c>
      <c r="B109" s="9" t="s">
        <v>128</v>
      </c>
      <c r="C109" s="20" t="s">
        <v>129</v>
      </c>
      <c r="D109" s="20" t="s">
        <v>23</v>
      </c>
      <c r="E109" s="20"/>
      <c r="F109" s="69">
        <v>2200</v>
      </c>
      <c r="G109" s="20"/>
      <c r="H109" s="39">
        <f>H110+0</f>
        <v>0</v>
      </c>
    </row>
    <row r="110" spans="1:8" ht="27">
      <c r="A110" s="61"/>
      <c r="B110" s="23" t="s">
        <v>130</v>
      </c>
      <c r="C110" s="28" t="s">
        <v>131</v>
      </c>
      <c r="D110" s="28" t="s">
        <v>19</v>
      </c>
      <c r="E110" s="71">
        <f>(9.21+4*4.97)/1000</f>
        <v>2.9090000000000001E-2</v>
      </c>
      <c r="F110" s="71">
        <f>F109*E110</f>
        <v>63.998000000000005</v>
      </c>
      <c r="G110" s="28"/>
      <c r="H110" s="44">
        <f>G110*F110</f>
        <v>0</v>
      </c>
    </row>
    <row r="111" spans="1:8" ht="48">
      <c r="A111" s="68" t="s">
        <v>137</v>
      </c>
      <c r="B111" s="55" t="s">
        <v>133</v>
      </c>
      <c r="C111" s="20" t="s">
        <v>134</v>
      </c>
      <c r="D111" s="20" t="s">
        <v>75</v>
      </c>
      <c r="E111" s="20"/>
      <c r="F111" s="69">
        <v>382</v>
      </c>
      <c r="G111" s="10"/>
      <c r="H111" s="39">
        <f>SUM(H112:H114)</f>
        <v>0</v>
      </c>
    </row>
    <row r="112" spans="1:8">
      <c r="A112" s="64"/>
      <c r="B112" s="14" t="s">
        <v>17</v>
      </c>
      <c r="C112" s="16" t="s">
        <v>28</v>
      </c>
      <c r="D112" s="28" t="s">
        <v>19</v>
      </c>
      <c r="E112" s="16">
        <v>3.16</v>
      </c>
      <c r="F112" s="43">
        <f>E112*F111</f>
        <v>1207.1200000000001</v>
      </c>
      <c r="G112" s="17"/>
      <c r="H112" s="44">
        <f>G112*F112</f>
        <v>0</v>
      </c>
    </row>
    <row r="113" spans="1:8">
      <c r="A113" s="64"/>
      <c r="B113" s="67" t="s">
        <v>135</v>
      </c>
      <c r="C113" s="16" t="s">
        <v>136</v>
      </c>
      <c r="D113" s="16" t="s">
        <v>75</v>
      </c>
      <c r="E113" s="16">
        <v>1.25</v>
      </c>
      <c r="F113" s="43">
        <f>E113*F111</f>
        <v>477.5</v>
      </c>
      <c r="G113" s="16"/>
      <c r="H113" s="43">
        <f>G113*F113</f>
        <v>0</v>
      </c>
    </row>
    <row r="114" spans="1:8">
      <c r="A114" s="64"/>
      <c r="B114" s="14" t="s">
        <v>17</v>
      </c>
      <c r="C114" s="28" t="s">
        <v>87</v>
      </c>
      <c r="D114" s="16" t="s">
        <v>3</v>
      </c>
      <c r="E114" s="16">
        <v>0.01</v>
      </c>
      <c r="F114" s="43">
        <f>E114*F111</f>
        <v>3.8200000000000003</v>
      </c>
      <c r="G114" s="16"/>
      <c r="H114" s="43">
        <f>G114*F114</f>
        <v>0</v>
      </c>
    </row>
    <row r="115" spans="1:8" ht="48">
      <c r="A115" s="9" t="s">
        <v>139</v>
      </c>
      <c r="B115" s="9" t="s">
        <v>89</v>
      </c>
      <c r="C115" s="20" t="s">
        <v>138</v>
      </c>
      <c r="D115" s="20" t="s">
        <v>23</v>
      </c>
      <c r="E115" s="20"/>
      <c r="F115" s="69">
        <f>F107+F109+F111</f>
        <v>2612</v>
      </c>
      <c r="G115" s="20"/>
      <c r="H115" s="39">
        <f>H116+H117</f>
        <v>0</v>
      </c>
    </row>
    <row r="116" spans="1:8" ht="27">
      <c r="A116" s="15"/>
      <c r="B116" s="23" t="s">
        <v>91</v>
      </c>
      <c r="C116" s="28" t="s">
        <v>92</v>
      </c>
      <c r="D116" s="28" t="s">
        <v>19</v>
      </c>
      <c r="E116" s="71">
        <f>(12.9-2*1.27)/1000</f>
        <v>1.0359999999999999E-2</v>
      </c>
      <c r="F116" s="72">
        <f>E116*F115</f>
        <v>27.060319999999997</v>
      </c>
      <c r="G116" s="28"/>
      <c r="H116" s="44">
        <f>G116*F116</f>
        <v>0</v>
      </c>
    </row>
    <row r="117" spans="1:8" ht="27">
      <c r="A117" s="15"/>
      <c r="B117" s="23" t="s">
        <v>93</v>
      </c>
      <c r="C117" s="28" t="s">
        <v>94</v>
      </c>
      <c r="D117" s="28" t="s">
        <v>19</v>
      </c>
      <c r="E117" s="71">
        <f>(3.18-2*0.32)/1000</f>
        <v>2.5400000000000002E-3</v>
      </c>
      <c r="F117" s="71">
        <f>E117*F115</f>
        <v>6.6344800000000008</v>
      </c>
      <c r="G117" s="28"/>
      <c r="H117" s="44">
        <f>G117*F117</f>
        <v>0</v>
      </c>
    </row>
    <row r="118" spans="1:8" ht="48">
      <c r="A118" s="68" t="s">
        <v>253</v>
      </c>
      <c r="B118" s="55" t="s">
        <v>140</v>
      </c>
      <c r="C118" s="20" t="s">
        <v>141</v>
      </c>
      <c r="D118" s="20" t="s">
        <v>75</v>
      </c>
      <c r="E118" s="20"/>
      <c r="F118" s="69">
        <v>143.30000000000001</v>
      </c>
      <c r="G118" s="20"/>
      <c r="H118" s="39">
        <f>SUM(H119:H122)</f>
        <v>0</v>
      </c>
    </row>
    <row r="119" spans="1:8">
      <c r="A119" s="64"/>
      <c r="B119" s="14" t="s">
        <v>17</v>
      </c>
      <c r="C119" s="16" t="s">
        <v>28</v>
      </c>
      <c r="D119" s="28" t="s">
        <v>19</v>
      </c>
      <c r="E119" s="16">
        <v>2.9</v>
      </c>
      <c r="F119" s="43">
        <f>E119*F118</f>
        <v>415.57</v>
      </c>
      <c r="G119" s="17"/>
      <c r="H119" s="44">
        <f>G119*F119</f>
        <v>0</v>
      </c>
    </row>
    <row r="120" spans="1:8">
      <c r="A120" s="64"/>
      <c r="B120" s="14" t="s">
        <v>52</v>
      </c>
      <c r="C120" s="16" t="s">
        <v>104</v>
      </c>
      <c r="D120" s="16" t="s">
        <v>75</v>
      </c>
      <c r="E120" s="16">
        <v>1.0149999999999999</v>
      </c>
      <c r="F120" s="70">
        <f>E120*F118</f>
        <v>145.4495</v>
      </c>
      <c r="G120" s="16"/>
      <c r="H120" s="18">
        <f>G120*F120</f>
        <v>0</v>
      </c>
    </row>
    <row r="121" spans="1:8">
      <c r="A121" s="64"/>
      <c r="B121" s="14" t="s">
        <v>105</v>
      </c>
      <c r="C121" s="16" t="s">
        <v>106</v>
      </c>
      <c r="D121" s="16" t="s">
        <v>75</v>
      </c>
      <c r="E121" s="16">
        <v>1.0149999999999999</v>
      </c>
      <c r="F121" s="43">
        <f>F118*E121</f>
        <v>145.4495</v>
      </c>
      <c r="G121" s="28"/>
      <c r="H121" s="43">
        <f>G121*F121</f>
        <v>0</v>
      </c>
    </row>
    <row r="122" spans="1:8">
      <c r="A122" s="64"/>
      <c r="B122" s="14" t="s">
        <v>17</v>
      </c>
      <c r="C122" s="28" t="s">
        <v>87</v>
      </c>
      <c r="D122" s="16" t="s">
        <v>3</v>
      </c>
      <c r="E122" s="16">
        <v>0.88</v>
      </c>
      <c r="F122" s="43">
        <f>E122*F118</f>
        <v>126.10400000000001</v>
      </c>
      <c r="G122" s="16"/>
      <c r="H122" s="43">
        <f>G122*F122</f>
        <v>0</v>
      </c>
    </row>
    <row r="123" spans="1:8" ht="72">
      <c r="A123" s="8">
        <v>16</v>
      </c>
      <c r="B123" s="73" t="s">
        <v>142</v>
      </c>
      <c r="C123" s="10" t="s">
        <v>143</v>
      </c>
      <c r="D123" s="10" t="s">
        <v>59</v>
      </c>
      <c r="E123" s="10"/>
      <c r="F123" s="75">
        <v>2.956</v>
      </c>
      <c r="G123" s="76"/>
      <c r="H123" s="39">
        <f>H124+H125+H126</f>
        <v>0</v>
      </c>
    </row>
    <row r="124" spans="1:8">
      <c r="A124" s="8"/>
      <c r="B124" s="14" t="s">
        <v>17</v>
      </c>
      <c r="C124" s="16" t="s">
        <v>63</v>
      </c>
      <c r="D124" s="28" t="s">
        <v>19</v>
      </c>
      <c r="E124" s="77">
        <v>23.8</v>
      </c>
      <c r="F124" s="77">
        <f>F123*E124</f>
        <v>70.352800000000002</v>
      </c>
      <c r="G124" s="43"/>
      <c r="H124" s="19">
        <f>F124*G124</f>
        <v>0</v>
      </c>
    </row>
    <row r="125" spans="1:8">
      <c r="A125" s="14"/>
      <c r="B125" s="28" t="s">
        <v>119</v>
      </c>
      <c r="C125" s="16" t="s">
        <v>144</v>
      </c>
      <c r="D125" s="16" t="s">
        <v>59</v>
      </c>
      <c r="E125" s="16">
        <v>1.01</v>
      </c>
      <c r="F125" s="77">
        <f>E125*F123</f>
        <v>2.98556</v>
      </c>
      <c r="G125" s="44"/>
      <c r="H125" s="19">
        <f>F125*G125</f>
        <v>0</v>
      </c>
    </row>
    <row r="126" spans="1:8">
      <c r="A126" s="14"/>
      <c r="B126" s="22" t="s">
        <v>145</v>
      </c>
      <c r="C126" s="16" t="s">
        <v>146</v>
      </c>
      <c r="D126" s="16" t="s">
        <v>123</v>
      </c>
      <c r="E126" s="16">
        <v>5</v>
      </c>
      <c r="F126" s="77">
        <f>E126*F123</f>
        <v>14.78</v>
      </c>
      <c r="G126" s="43"/>
      <c r="H126" s="19">
        <f>F126*G126</f>
        <v>0</v>
      </c>
    </row>
    <row r="127" spans="1:8" ht="48">
      <c r="A127" s="62" t="s">
        <v>153</v>
      </c>
      <c r="B127" s="73" t="s">
        <v>148</v>
      </c>
      <c r="C127" s="10" t="s">
        <v>149</v>
      </c>
      <c r="D127" s="10" t="s">
        <v>23</v>
      </c>
      <c r="E127" s="10"/>
      <c r="F127" s="69">
        <v>92.5</v>
      </c>
      <c r="G127" s="10"/>
      <c r="H127" s="13">
        <f>SUM(H128:H136)</f>
        <v>0</v>
      </c>
    </row>
    <row r="128" spans="1:8">
      <c r="A128" s="64"/>
      <c r="B128" s="67" t="s">
        <v>17</v>
      </c>
      <c r="C128" s="28" t="s">
        <v>28</v>
      </c>
      <c r="D128" s="28" t="s">
        <v>19</v>
      </c>
      <c r="E128" s="16">
        <v>13.3</v>
      </c>
      <c r="F128" s="70">
        <f>E128*F127</f>
        <v>1230.25</v>
      </c>
      <c r="G128" s="16"/>
      <c r="H128" s="19">
        <f t="shared" ref="H128:H136" si="2">G128*F128</f>
        <v>0</v>
      </c>
    </row>
    <row r="129" spans="1:8">
      <c r="A129" s="64"/>
      <c r="B129" s="14" t="s">
        <v>17</v>
      </c>
      <c r="C129" s="16" t="s">
        <v>20</v>
      </c>
      <c r="D129" s="16" t="s">
        <v>3</v>
      </c>
      <c r="E129" s="16">
        <v>3.36</v>
      </c>
      <c r="F129" s="70">
        <f>E129*F127</f>
        <v>310.8</v>
      </c>
      <c r="G129" s="16"/>
      <c r="H129" s="18">
        <f t="shared" si="2"/>
        <v>0</v>
      </c>
    </row>
    <row r="130" spans="1:8">
      <c r="A130" s="64"/>
      <c r="B130" s="14" t="s">
        <v>52</v>
      </c>
      <c r="C130" s="16" t="s">
        <v>104</v>
      </c>
      <c r="D130" s="16" t="s">
        <v>75</v>
      </c>
      <c r="E130" s="16">
        <v>1.0149999999999999</v>
      </c>
      <c r="F130" s="70">
        <f>F127*E130</f>
        <v>93.887499999999989</v>
      </c>
      <c r="G130" s="16"/>
      <c r="H130" s="18">
        <f t="shared" si="2"/>
        <v>0</v>
      </c>
    </row>
    <row r="131" spans="1:8">
      <c r="A131" s="64"/>
      <c r="B131" s="14" t="s">
        <v>105</v>
      </c>
      <c r="C131" s="16" t="s">
        <v>106</v>
      </c>
      <c r="D131" s="16" t="s">
        <v>75</v>
      </c>
      <c r="E131" s="16">
        <v>1.0149999999999999</v>
      </c>
      <c r="F131" s="70">
        <f>E131*F127</f>
        <v>93.887499999999989</v>
      </c>
      <c r="G131" s="28"/>
      <c r="H131" s="43">
        <f t="shared" si="2"/>
        <v>0</v>
      </c>
    </row>
    <row r="132" spans="1:8">
      <c r="A132" s="64"/>
      <c r="B132" s="28" t="s">
        <v>117</v>
      </c>
      <c r="C132" s="16" t="s">
        <v>118</v>
      </c>
      <c r="D132" s="16" t="s">
        <v>59</v>
      </c>
      <c r="E132" s="16" t="s">
        <v>109</v>
      </c>
      <c r="F132" s="70">
        <v>1.0840000000000001</v>
      </c>
      <c r="G132" s="44"/>
      <c r="H132" s="43">
        <f t="shared" si="2"/>
        <v>0</v>
      </c>
    </row>
    <row r="133" spans="1:8">
      <c r="A133" s="64"/>
      <c r="B133" s="28" t="s">
        <v>119</v>
      </c>
      <c r="C133" s="16" t="s">
        <v>120</v>
      </c>
      <c r="D133" s="16" t="s">
        <v>59</v>
      </c>
      <c r="E133" s="16" t="s">
        <v>109</v>
      </c>
      <c r="F133" s="70">
        <v>13.864000000000001</v>
      </c>
      <c r="G133" s="44"/>
      <c r="H133" s="43">
        <f t="shared" si="2"/>
        <v>0</v>
      </c>
    </row>
    <row r="134" spans="1:8">
      <c r="A134" s="64"/>
      <c r="B134" s="14" t="s">
        <v>150</v>
      </c>
      <c r="C134" s="16" t="s">
        <v>151</v>
      </c>
      <c r="D134" s="16" t="s">
        <v>112</v>
      </c>
      <c r="E134" s="16">
        <v>2.42</v>
      </c>
      <c r="F134" s="70">
        <f>E134*F127</f>
        <v>223.85</v>
      </c>
      <c r="G134" s="16"/>
      <c r="H134" s="18">
        <f t="shared" si="2"/>
        <v>0</v>
      </c>
    </row>
    <row r="135" spans="1:8" ht="27">
      <c r="A135" s="64"/>
      <c r="B135" s="14" t="s">
        <v>113</v>
      </c>
      <c r="C135" s="16" t="s">
        <v>152</v>
      </c>
      <c r="D135" s="16" t="s">
        <v>75</v>
      </c>
      <c r="E135" s="16">
        <f>(5.81+0.67)/100</f>
        <v>6.4799999999999996E-2</v>
      </c>
      <c r="F135" s="70">
        <f>E135*F127</f>
        <v>5.9939999999999998</v>
      </c>
      <c r="G135" s="16"/>
      <c r="H135" s="18">
        <f t="shared" si="2"/>
        <v>0</v>
      </c>
    </row>
    <row r="136" spans="1:8">
      <c r="A136" s="64"/>
      <c r="B136" s="67" t="s">
        <v>17</v>
      </c>
      <c r="C136" s="16" t="s">
        <v>100</v>
      </c>
      <c r="D136" s="16" t="s">
        <v>3</v>
      </c>
      <c r="E136" s="16">
        <v>0.6</v>
      </c>
      <c r="F136" s="43">
        <f>E136*F127</f>
        <v>55.5</v>
      </c>
      <c r="G136" s="16"/>
      <c r="H136" s="18">
        <f t="shared" si="2"/>
        <v>0</v>
      </c>
    </row>
    <row r="137" spans="1:8" ht="48">
      <c r="A137" s="62" t="s">
        <v>157</v>
      </c>
      <c r="B137" s="73" t="s">
        <v>154</v>
      </c>
      <c r="C137" s="10" t="s">
        <v>155</v>
      </c>
      <c r="D137" s="10" t="s">
        <v>23</v>
      </c>
      <c r="E137" s="10"/>
      <c r="F137" s="69">
        <v>119.2</v>
      </c>
      <c r="G137" s="10"/>
      <c r="H137" s="13">
        <f>SUM(H138:H147)</f>
        <v>0</v>
      </c>
    </row>
    <row r="138" spans="1:8">
      <c r="A138" s="64"/>
      <c r="B138" s="67" t="s">
        <v>17</v>
      </c>
      <c r="C138" s="28" t="s">
        <v>28</v>
      </c>
      <c r="D138" s="28" t="s">
        <v>19</v>
      </c>
      <c r="E138" s="16">
        <v>9.25</v>
      </c>
      <c r="F138" s="70">
        <f>E138*F137</f>
        <v>1102.6000000000001</v>
      </c>
      <c r="G138" s="16"/>
      <c r="H138" s="19">
        <f t="shared" ref="H138:H147" si="3">G138*F138</f>
        <v>0</v>
      </c>
    </row>
    <row r="139" spans="1:8">
      <c r="A139" s="64"/>
      <c r="B139" s="14" t="s">
        <v>17</v>
      </c>
      <c r="C139" s="16" t="s">
        <v>20</v>
      </c>
      <c r="D139" s="16" t="s">
        <v>3</v>
      </c>
      <c r="E139" s="16">
        <v>1.1399999999999999</v>
      </c>
      <c r="F139" s="70">
        <f>E139*F137</f>
        <v>135.88800000000001</v>
      </c>
      <c r="G139" s="16"/>
      <c r="H139" s="18">
        <f t="shared" si="3"/>
        <v>0</v>
      </c>
    </row>
    <row r="140" spans="1:8">
      <c r="A140" s="64"/>
      <c r="B140" s="14" t="s">
        <v>52</v>
      </c>
      <c r="C140" s="16" t="s">
        <v>104</v>
      </c>
      <c r="D140" s="16" t="s">
        <v>75</v>
      </c>
      <c r="E140" s="16">
        <v>1.0149999999999999</v>
      </c>
      <c r="F140" s="70">
        <f>F137*E140</f>
        <v>120.98799999999999</v>
      </c>
      <c r="G140" s="16"/>
      <c r="H140" s="18">
        <f t="shared" si="3"/>
        <v>0</v>
      </c>
    </row>
    <row r="141" spans="1:8">
      <c r="A141" s="64"/>
      <c r="B141" s="14" t="s">
        <v>105</v>
      </c>
      <c r="C141" s="16" t="s">
        <v>106</v>
      </c>
      <c r="D141" s="16" t="s">
        <v>75</v>
      </c>
      <c r="E141" s="16">
        <v>1.0149999999999999</v>
      </c>
      <c r="F141" s="70">
        <f>E141*F137</f>
        <v>120.98799999999999</v>
      </c>
      <c r="G141" s="28"/>
      <c r="H141" s="43">
        <f t="shared" si="3"/>
        <v>0</v>
      </c>
    </row>
    <row r="142" spans="1:8">
      <c r="A142" s="64"/>
      <c r="B142" s="28" t="s">
        <v>117</v>
      </c>
      <c r="C142" s="16" t="s">
        <v>118</v>
      </c>
      <c r="D142" s="16" t="s">
        <v>59</v>
      </c>
      <c r="E142" s="16" t="s">
        <v>109</v>
      </c>
      <c r="F142" s="70">
        <v>0.129</v>
      </c>
      <c r="G142" s="44"/>
      <c r="H142" s="43">
        <f t="shared" si="3"/>
        <v>0</v>
      </c>
    </row>
    <row r="143" spans="1:8">
      <c r="A143" s="64"/>
      <c r="B143" s="28" t="s">
        <v>119</v>
      </c>
      <c r="C143" s="16" t="s">
        <v>120</v>
      </c>
      <c r="D143" s="16" t="s">
        <v>59</v>
      </c>
      <c r="E143" s="16" t="s">
        <v>109</v>
      </c>
      <c r="F143" s="70">
        <v>11.459</v>
      </c>
      <c r="G143" s="44"/>
      <c r="H143" s="43">
        <f t="shared" si="3"/>
        <v>0</v>
      </c>
    </row>
    <row r="144" spans="1:8">
      <c r="A144" s="64"/>
      <c r="B144" s="14" t="s">
        <v>150</v>
      </c>
      <c r="C144" s="16" t="s">
        <v>151</v>
      </c>
      <c r="D144" s="16" t="s">
        <v>112</v>
      </c>
      <c r="E144" s="16">
        <v>1.76</v>
      </c>
      <c r="F144" s="70">
        <f>E144*F137</f>
        <v>209.792</v>
      </c>
      <c r="G144" s="16"/>
      <c r="H144" s="18">
        <f t="shared" si="3"/>
        <v>0</v>
      </c>
    </row>
    <row r="145" spans="1:8" ht="27">
      <c r="A145" s="64"/>
      <c r="B145" s="14" t="s">
        <v>113</v>
      </c>
      <c r="C145" s="16" t="s">
        <v>156</v>
      </c>
      <c r="D145" s="16" t="s">
        <v>75</v>
      </c>
      <c r="E145" s="16">
        <f>(3.66+0.33)/100</f>
        <v>3.9900000000000005E-2</v>
      </c>
      <c r="F145" s="70">
        <f>E145*F137</f>
        <v>4.7560800000000008</v>
      </c>
      <c r="G145" s="16"/>
      <c r="H145" s="18">
        <f t="shared" si="3"/>
        <v>0</v>
      </c>
    </row>
    <row r="146" spans="1:8">
      <c r="A146" s="14"/>
      <c r="B146" s="14" t="s">
        <v>121</v>
      </c>
      <c r="C146" s="16" t="s">
        <v>122</v>
      </c>
      <c r="D146" s="16" t="s">
        <v>123</v>
      </c>
      <c r="E146" s="16">
        <v>2.7</v>
      </c>
      <c r="F146" s="43">
        <f>E146*F137</f>
        <v>321.84000000000003</v>
      </c>
      <c r="G146" s="16"/>
      <c r="H146" s="74">
        <f>G146*F146</f>
        <v>0</v>
      </c>
    </row>
    <row r="147" spans="1:8">
      <c r="A147" s="64"/>
      <c r="B147" s="67" t="s">
        <v>17</v>
      </c>
      <c r="C147" s="16" t="s">
        <v>100</v>
      </c>
      <c r="D147" s="16" t="s">
        <v>3</v>
      </c>
      <c r="E147" s="16">
        <v>0.32</v>
      </c>
      <c r="F147" s="43">
        <f>E147*F137</f>
        <v>38.143999999999998</v>
      </c>
      <c r="G147" s="16"/>
      <c r="H147" s="18">
        <f t="shared" si="3"/>
        <v>0</v>
      </c>
    </row>
    <row r="148" spans="1:8" ht="48">
      <c r="A148" s="68" t="s">
        <v>162</v>
      </c>
      <c r="B148" s="55" t="s">
        <v>158</v>
      </c>
      <c r="C148" s="20" t="s">
        <v>159</v>
      </c>
      <c r="D148" s="20" t="s">
        <v>75</v>
      </c>
      <c r="E148" s="20"/>
      <c r="F148" s="69">
        <v>102.6</v>
      </c>
      <c r="G148" s="20"/>
      <c r="H148" s="13">
        <f>SUM(H149:H157)</f>
        <v>0</v>
      </c>
    </row>
    <row r="149" spans="1:8">
      <c r="A149" s="61"/>
      <c r="B149" s="24" t="s">
        <v>17</v>
      </c>
      <c r="C149" s="28" t="s">
        <v>28</v>
      </c>
      <c r="D149" s="28" t="s">
        <v>19</v>
      </c>
      <c r="E149" s="72">
        <v>14.7</v>
      </c>
      <c r="F149" s="72">
        <f>E149*F148</f>
        <v>1508.2199999999998</v>
      </c>
      <c r="G149" s="28"/>
      <c r="H149" s="19">
        <f t="shared" ref="H149:H157" si="4">G149*F149</f>
        <v>0</v>
      </c>
    </row>
    <row r="150" spans="1:8">
      <c r="A150" s="61"/>
      <c r="B150" s="15" t="s">
        <v>17</v>
      </c>
      <c r="C150" s="28" t="s">
        <v>20</v>
      </c>
      <c r="D150" s="28" t="s">
        <v>3</v>
      </c>
      <c r="E150" s="72">
        <v>1.21</v>
      </c>
      <c r="F150" s="72">
        <f>E150*F148</f>
        <v>124.14599999999999</v>
      </c>
      <c r="G150" s="28"/>
      <c r="H150" s="19">
        <f t="shared" si="4"/>
        <v>0</v>
      </c>
    </row>
    <row r="151" spans="1:8">
      <c r="A151" s="61"/>
      <c r="B151" s="15" t="s">
        <v>52</v>
      </c>
      <c r="C151" s="28" t="s">
        <v>104</v>
      </c>
      <c r="D151" s="28" t="s">
        <v>75</v>
      </c>
      <c r="E151" s="72">
        <v>1.0149999999999999</v>
      </c>
      <c r="F151" s="72">
        <f>F148*E151</f>
        <v>104.13899999999998</v>
      </c>
      <c r="G151" s="28"/>
      <c r="H151" s="19">
        <f t="shared" si="4"/>
        <v>0</v>
      </c>
    </row>
    <row r="152" spans="1:8">
      <c r="A152" s="61"/>
      <c r="B152" s="14" t="s">
        <v>105</v>
      </c>
      <c r="C152" s="28" t="s">
        <v>106</v>
      </c>
      <c r="D152" s="28" t="s">
        <v>75</v>
      </c>
      <c r="E152" s="72">
        <v>1.0149999999999999</v>
      </c>
      <c r="F152" s="72">
        <f>E152*F148</f>
        <v>104.13899999999998</v>
      </c>
      <c r="G152" s="28"/>
      <c r="H152" s="44">
        <f t="shared" si="4"/>
        <v>0</v>
      </c>
    </row>
    <row r="153" spans="1:8">
      <c r="A153" s="64"/>
      <c r="B153" s="28" t="s">
        <v>117</v>
      </c>
      <c r="C153" s="16" t="s">
        <v>118</v>
      </c>
      <c r="D153" s="16" t="s">
        <v>59</v>
      </c>
      <c r="E153" s="16" t="s">
        <v>109</v>
      </c>
      <c r="F153" s="70">
        <v>3.077</v>
      </c>
      <c r="G153" s="44"/>
      <c r="H153" s="43">
        <f t="shared" si="4"/>
        <v>0</v>
      </c>
    </row>
    <row r="154" spans="1:8">
      <c r="A154" s="64"/>
      <c r="B154" s="28" t="s">
        <v>119</v>
      </c>
      <c r="C154" s="16" t="s">
        <v>120</v>
      </c>
      <c r="D154" s="16" t="s">
        <v>59</v>
      </c>
      <c r="E154" s="16" t="s">
        <v>109</v>
      </c>
      <c r="F154" s="70">
        <v>19.638000000000002</v>
      </c>
      <c r="G154" s="44"/>
      <c r="H154" s="43">
        <f t="shared" si="4"/>
        <v>0</v>
      </c>
    </row>
    <row r="155" spans="1:8">
      <c r="A155" s="61"/>
      <c r="B155" s="15" t="s">
        <v>150</v>
      </c>
      <c r="C155" s="28" t="s">
        <v>160</v>
      </c>
      <c r="D155" s="28" t="s">
        <v>112</v>
      </c>
      <c r="E155" s="72">
        <v>2.46</v>
      </c>
      <c r="F155" s="72">
        <f>E155*F148</f>
        <v>252.39599999999999</v>
      </c>
      <c r="G155" s="28"/>
      <c r="H155" s="19">
        <f t="shared" si="4"/>
        <v>0</v>
      </c>
    </row>
    <row r="156" spans="1:8" ht="27">
      <c r="A156" s="61"/>
      <c r="B156" s="15" t="s">
        <v>113</v>
      </c>
      <c r="C156" s="28" t="s">
        <v>161</v>
      </c>
      <c r="D156" s="28" t="s">
        <v>75</v>
      </c>
      <c r="E156" s="72">
        <f>(1.6+0.7)/100</f>
        <v>2.3E-2</v>
      </c>
      <c r="F156" s="72">
        <f>E156*F148</f>
        <v>2.3597999999999999</v>
      </c>
      <c r="G156" s="28"/>
      <c r="H156" s="19">
        <f t="shared" si="4"/>
        <v>0</v>
      </c>
    </row>
    <row r="157" spans="1:8">
      <c r="A157" s="61"/>
      <c r="B157" s="24" t="s">
        <v>17</v>
      </c>
      <c r="C157" s="28" t="s">
        <v>100</v>
      </c>
      <c r="D157" s="28" t="s">
        <v>3</v>
      </c>
      <c r="E157" s="72">
        <v>0.9</v>
      </c>
      <c r="F157" s="72">
        <f>E157*F148</f>
        <v>92.34</v>
      </c>
      <c r="G157" s="28"/>
      <c r="H157" s="19">
        <f t="shared" si="4"/>
        <v>0</v>
      </c>
    </row>
    <row r="158" spans="1:8" ht="48">
      <c r="A158" s="62" t="s">
        <v>168</v>
      </c>
      <c r="B158" s="55" t="s">
        <v>163</v>
      </c>
      <c r="C158" s="10" t="s">
        <v>164</v>
      </c>
      <c r="D158" s="10" t="s">
        <v>23</v>
      </c>
      <c r="E158" s="10"/>
      <c r="F158" s="69">
        <v>421.4</v>
      </c>
      <c r="G158" s="10"/>
      <c r="H158" s="13">
        <f>SUM(H159:H167)</f>
        <v>0</v>
      </c>
    </row>
    <row r="159" spans="1:8">
      <c r="A159" s="64"/>
      <c r="B159" s="14" t="s">
        <v>17</v>
      </c>
      <c r="C159" s="16" t="s">
        <v>63</v>
      </c>
      <c r="D159" s="28" t="s">
        <v>19</v>
      </c>
      <c r="E159" s="77">
        <v>8.4</v>
      </c>
      <c r="F159" s="77">
        <f>E159*F158</f>
        <v>3539.7599999999998</v>
      </c>
      <c r="G159" s="43"/>
      <c r="H159" s="19">
        <f t="shared" ref="H159:H167" si="5">G159*F159</f>
        <v>0</v>
      </c>
    </row>
    <row r="160" spans="1:8">
      <c r="A160" s="64"/>
      <c r="B160" s="14" t="s">
        <v>17</v>
      </c>
      <c r="C160" s="16" t="s">
        <v>20</v>
      </c>
      <c r="D160" s="16" t="s">
        <v>3</v>
      </c>
      <c r="E160" s="77">
        <v>0.81</v>
      </c>
      <c r="F160" s="77">
        <f>E160*F158</f>
        <v>341.334</v>
      </c>
      <c r="G160" s="16"/>
      <c r="H160" s="18">
        <f t="shared" si="5"/>
        <v>0</v>
      </c>
    </row>
    <row r="161" spans="1:8">
      <c r="A161" s="64"/>
      <c r="B161" s="14" t="s">
        <v>52</v>
      </c>
      <c r="C161" s="16" t="s">
        <v>104</v>
      </c>
      <c r="D161" s="16" t="s">
        <v>75</v>
      </c>
      <c r="E161" s="77">
        <v>1.0149999999999999</v>
      </c>
      <c r="F161" s="77">
        <f>F158*E161</f>
        <v>427.72099999999995</v>
      </c>
      <c r="G161" s="16"/>
      <c r="H161" s="18">
        <f t="shared" si="5"/>
        <v>0</v>
      </c>
    </row>
    <row r="162" spans="1:8">
      <c r="A162" s="64"/>
      <c r="B162" s="14" t="s">
        <v>105</v>
      </c>
      <c r="C162" s="16" t="s">
        <v>106</v>
      </c>
      <c r="D162" s="16" t="s">
        <v>75</v>
      </c>
      <c r="E162" s="77">
        <v>1.0149999999999999</v>
      </c>
      <c r="F162" s="77">
        <f>E162*F158</f>
        <v>427.72099999999995</v>
      </c>
      <c r="G162" s="28"/>
      <c r="H162" s="43">
        <f t="shared" si="5"/>
        <v>0</v>
      </c>
    </row>
    <row r="163" spans="1:8">
      <c r="A163" s="64"/>
      <c r="B163" s="28" t="s">
        <v>117</v>
      </c>
      <c r="C163" s="16" t="s">
        <v>118</v>
      </c>
      <c r="D163" s="16" t="s">
        <v>59</v>
      </c>
      <c r="E163" s="16" t="s">
        <v>109</v>
      </c>
      <c r="F163" s="70">
        <v>1.0289999999999999</v>
      </c>
      <c r="G163" s="44"/>
      <c r="H163" s="43">
        <f t="shared" si="5"/>
        <v>0</v>
      </c>
    </row>
    <row r="164" spans="1:8">
      <c r="A164" s="64"/>
      <c r="B164" s="28" t="s">
        <v>119</v>
      </c>
      <c r="C164" s="16" t="s">
        <v>120</v>
      </c>
      <c r="D164" s="16" t="s">
        <v>59</v>
      </c>
      <c r="E164" s="16" t="s">
        <v>109</v>
      </c>
      <c r="F164" s="70">
        <v>43.942</v>
      </c>
      <c r="G164" s="44"/>
      <c r="H164" s="43">
        <f t="shared" si="5"/>
        <v>0</v>
      </c>
    </row>
    <row r="165" spans="1:8">
      <c r="A165" s="64"/>
      <c r="B165" s="14" t="s">
        <v>165</v>
      </c>
      <c r="C165" s="16" t="s">
        <v>166</v>
      </c>
      <c r="D165" s="16" t="s">
        <v>112</v>
      </c>
      <c r="E165" s="77">
        <v>1.37</v>
      </c>
      <c r="F165" s="77">
        <f>E165*F158</f>
        <v>577.31799999999998</v>
      </c>
      <c r="G165" s="16"/>
      <c r="H165" s="18">
        <f t="shared" si="5"/>
        <v>0</v>
      </c>
    </row>
    <row r="166" spans="1:8" ht="27">
      <c r="A166" s="64"/>
      <c r="B166" s="14" t="s">
        <v>113</v>
      </c>
      <c r="C166" s="16" t="s">
        <v>167</v>
      </c>
      <c r="D166" s="16" t="s">
        <v>75</v>
      </c>
      <c r="E166" s="70">
        <f>(0.84+2.56+0.26)/100</f>
        <v>3.6600000000000001E-2</v>
      </c>
      <c r="F166" s="70">
        <f>F158*E166</f>
        <v>15.42324</v>
      </c>
      <c r="G166" s="16"/>
      <c r="H166" s="18">
        <f t="shared" si="5"/>
        <v>0</v>
      </c>
    </row>
    <row r="167" spans="1:8">
      <c r="A167" s="64"/>
      <c r="B167" s="67" t="s">
        <v>17</v>
      </c>
      <c r="C167" s="16" t="s">
        <v>100</v>
      </c>
      <c r="D167" s="16" t="s">
        <v>3</v>
      </c>
      <c r="E167" s="70">
        <v>0.39</v>
      </c>
      <c r="F167" s="70">
        <f>E167*F158</f>
        <v>164.346</v>
      </c>
      <c r="G167" s="16"/>
      <c r="H167" s="18">
        <f t="shared" si="5"/>
        <v>0</v>
      </c>
    </row>
    <row r="168" spans="1:8" ht="48">
      <c r="A168" s="68" t="s">
        <v>176</v>
      </c>
      <c r="B168" s="55" t="s">
        <v>169</v>
      </c>
      <c r="C168" s="10" t="s">
        <v>170</v>
      </c>
      <c r="D168" s="26" t="s">
        <v>75</v>
      </c>
      <c r="E168" s="26"/>
      <c r="F168" s="21">
        <v>9.9</v>
      </c>
      <c r="G168" s="26"/>
      <c r="H168" s="27">
        <f>SUM(H169:H177)</f>
        <v>0</v>
      </c>
    </row>
    <row r="169" spans="1:8">
      <c r="A169" s="61"/>
      <c r="B169" s="24" t="s">
        <v>17</v>
      </c>
      <c r="C169" s="16" t="s">
        <v>18</v>
      </c>
      <c r="D169" s="29" t="s">
        <v>19</v>
      </c>
      <c r="E169" s="29">
        <f>14.7</f>
        <v>14.7</v>
      </c>
      <c r="F169" s="78">
        <f>E169*F168</f>
        <v>145.53</v>
      </c>
      <c r="G169" s="29"/>
      <c r="H169" s="30">
        <f t="shared" ref="H169:H177" si="6">G169*F169</f>
        <v>0</v>
      </c>
    </row>
    <row r="170" spans="1:8">
      <c r="A170" s="61"/>
      <c r="B170" s="15" t="s">
        <v>17</v>
      </c>
      <c r="C170" s="16" t="s">
        <v>31</v>
      </c>
      <c r="D170" s="29" t="s">
        <v>3</v>
      </c>
      <c r="E170" s="29">
        <v>1.32</v>
      </c>
      <c r="F170" s="19">
        <f>E170*F168</f>
        <v>13.068000000000001</v>
      </c>
      <c r="G170" s="29"/>
      <c r="H170" s="30">
        <f t="shared" si="6"/>
        <v>0</v>
      </c>
    </row>
    <row r="171" spans="1:8">
      <c r="A171" s="64"/>
      <c r="B171" s="14" t="s">
        <v>105</v>
      </c>
      <c r="C171" s="16" t="s">
        <v>106</v>
      </c>
      <c r="D171" s="16" t="s">
        <v>75</v>
      </c>
      <c r="E171" s="77">
        <v>1.0149999999999999</v>
      </c>
      <c r="F171" s="77">
        <f>E171*F168</f>
        <v>10.048499999999999</v>
      </c>
      <c r="G171" s="28"/>
      <c r="H171" s="43">
        <f t="shared" si="6"/>
        <v>0</v>
      </c>
    </row>
    <row r="172" spans="1:8">
      <c r="A172" s="64"/>
      <c r="B172" s="28" t="s">
        <v>117</v>
      </c>
      <c r="C172" s="16" t="s">
        <v>118</v>
      </c>
      <c r="D172" s="16" t="s">
        <v>59</v>
      </c>
      <c r="E172" s="16" t="s">
        <v>109</v>
      </c>
      <c r="F172" s="70">
        <v>0.02</v>
      </c>
      <c r="G172" s="44"/>
      <c r="H172" s="43">
        <f t="shared" si="6"/>
        <v>0</v>
      </c>
    </row>
    <row r="173" spans="1:8">
      <c r="A173" s="64"/>
      <c r="B173" s="28" t="s">
        <v>119</v>
      </c>
      <c r="C173" s="16" t="s">
        <v>120</v>
      </c>
      <c r="D173" s="16" t="s">
        <v>59</v>
      </c>
      <c r="E173" s="16" t="s">
        <v>109</v>
      </c>
      <c r="F173" s="70">
        <v>1.1200000000000001</v>
      </c>
      <c r="G173" s="44"/>
      <c r="H173" s="43">
        <f t="shared" si="6"/>
        <v>0</v>
      </c>
    </row>
    <row r="174" spans="1:8">
      <c r="A174" s="61"/>
      <c r="B174" s="28" t="s">
        <v>110</v>
      </c>
      <c r="C174" s="16" t="s">
        <v>171</v>
      </c>
      <c r="D174" s="29" t="s">
        <v>112</v>
      </c>
      <c r="E174" s="29">
        <v>2.29</v>
      </c>
      <c r="F174" s="19">
        <f>E174*F168</f>
        <v>22.671000000000003</v>
      </c>
      <c r="G174" s="29"/>
      <c r="H174" s="30">
        <f t="shared" si="6"/>
        <v>0</v>
      </c>
    </row>
    <row r="175" spans="1:8">
      <c r="A175" s="61"/>
      <c r="B175" s="28" t="s">
        <v>172</v>
      </c>
      <c r="C175" s="16" t="s">
        <v>173</v>
      </c>
      <c r="D175" s="29" t="s">
        <v>75</v>
      </c>
      <c r="E175" s="29">
        <f>0.014+0.0429+0.0034</f>
        <v>6.0299999999999999E-2</v>
      </c>
      <c r="F175" s="19">
        <f>E175*F168</f>
        <v>0.59697</v>
      </c>
      <c r="G175" s="29"/>
      <c r="H175" s="30">
        <f t="shared" si="6"/>
        <v>0</v>
      </c>
    </row>
    <row r="176" spans="1:8">
      <c r="A176" s="61"/>
      <c r="B176" s="28" t="s">
        <v>174</v>
      </c>
      <c r="C176" s="16" t="s">
        <v>122</v>
      </c>
      <c r="D176" s="29" t="s">
        <v>175</v>
      </c>
      <c r="E176" s="29">
        <v>2.5000000000000001E-3</v>
      </c>
      <c r="F176" s="79">
        <f>F168*E176</f>
        <v>2.4750000000000001E-2</v>
      </c>
      <c r="G176" s="29"/>
      <c r="H176" s="30">
        <f t="shared" si="6"/>
        <v>0</v>
      </c>
    </row>
    <row r="177" spans="1:8">
      <c r="A177" s="61"/>
      <c r="B177" s="24" t="s">
        <v>17</v>
      </c>
      <c r="C177" s="16" t="s">
        <v>100</v>
      </c>
      <c r="D177" s="29" t="s">
        <v>3</v>
      </c>
      <c r="E177" s="29">
        <v>1.2</v>
      </c>
      <c r="F177" s="19">
        <f>E177*F168</f>
        <v>11.88</v>
      </c>
      <c r="G177" s="29"/>
      <c r="H177" s="30">
        <f t="shared" si="6"/>
        <v>0</v>
      </c>
    </row>
    <row r="178" spans="1:8" ht="81">
      <c r="A178" s="68" t="s">
        <v>1664</v>
      </c>
      <c r="B178" s="55" t="s">
        <v>177</v>
      </c>
      <c r="C178" s="10" t="s">
        <v>178</v>
      </c>
      <c r="D178" s="26" t="s">
        <v>75</v>
      </c>
      <c r="E178" s="26"/>
      <c r="F178" s="21">
        <v>5.5</v>
      </c>
      <c r="G178" s="26"/>
      <c r="H178" s="27">
        <f>SUM(H179:H186)</f>
        <v>0</v>
      </c>
    </row>
    <row r="179" spans="1:8">
      <c r="A179" s="61"/>
      <c r="B179" s="24" t="s">
        <v>17</v>
      </c>
      <c r="C179" s="16" t="s">
        <v>18</v>
      </c>
      <c r="D179" s="29" t="s">
        <v>19</v>
      </c>
      <c r="E179" s="29">
        <v>21.9</v>
      </c>
      <c r="F179" s="78">
        <f>E179*F178</f>
        <v>120.44999999999999</v>
      </c>
      <c r="G179" s="29"/>
      <c r="H179" s="30">
        <f t="shared" ref="H179:H186" si="7">G179*F179</f>
        <v>0</v>
      </c>
    </row>
    <row r="180" spans="1:8">
      <c r="A180" s="61"/>
      <c r="B180" s="15" t="s">
        <v>17</v>
      </c>
      <c r="C180" s="16" t="s">
        <v>31</v>
      </c>
      <c r="D180" s="29" t="s">
        <v>3</v>
      </c>
      <c r="E180" s="29">
        <v>1.1399999999999999</v>
      </c>
      <c r="F180" s="19">
        <f>E180*F178</f>
        <v>6.27</v>
      </c>
      <c r="G180" s="29"/>
      <c r="H180" s="30">
        <f t="shared" si="7"/>
        <v>0</v>
      </c>
    </row>
    <row r="181" spans="1:8">
      <c r="A181" s="64"/>
      <c r="B181" s="14" t="s">
        <v>105</v>
      </c>
      <c r="C181" s="16" t="s">
        <v>106</v>
      </c>
      <c r="D181" s="16" t="s">
        <v>75</v>
      </c>
      <c r="E181" s="77">
        <v>1.0149999999999999</v>
      </c>
      <c r="F181" s="77">
        <f>E181*F178</f>
        <v>5.5824999999999996</v>
      </c>
      <c r="G181" s="28"/>
      <c r="H181" s="43">
        <f t="shared" si="7"/>
        <v>0</v>
      </c>
    </row>
    <row r="182" spans="1:8">
      <c r="A182" s="64"/>
      <c r="B182" s="28" t="s">
        <v>117</v>
      </c>
      <c r="C182" s="16" t="s">
        <v>118</v>
      </c>
      <c r="D182" s="16" t="s">
        <v>59</v>
      </c>
      <c r="E182" s="16" t="s">
        <v>109</v>
      </c>
      <c r="F182" s="70">
        <v>0.16</v>
      </c>
      <c r="G182" s="44"/>
      <c r="H182" s="43">
        <f t="shared" si="7"/>
        <v>0</v>
      </c>
    </row>
    <row r="183" spans="1:8">
      <c r="A183" s="64"/>
      <c r="B183" s="28" t="s">
        <v>119</v>
      </c>
      <c r="C183" s="16" t="s">
        <v>120</v>
      </c>
      <c r="D183" s="16" t="s">
        <v>59</v>
      </c>
      <c r="E183" s="16" t="s">
        <v>109</v>
      </c>
      <c r="F183" s="70">
        <v>1.1000000000000001</v>
      </c>
      <c r="G183" s="44"/>
      <c r="H183" s="43">
        <f t="shared" si="7"/>
        <v>0</v>
      </c>
    </row>
    <row r="184" spans="1:8">
      <c r="A184" s="61"/>
      <c r="B184" s="28" t="s">
        <v>110</v>
      </c>
      <c r="C184" s="16" t="s">
        <v>171</v>
      </c>
      <c r="D184" s="29" t="s">
        <v>112</v>
      </c>
      <c r="E184" s="29">
        <v>7.07</v>
      </c>
      <c r="F184" s="19">
        <f>E184*F178</f>
        <v>38.885000000000005</v>
      </c>
      <c r="G184" s="29"/>
      <c r="H184" s="30">
        <f t="shared" si="7"/>
        <v>0</v>
      </c>
    </row>
    <row r="185" spans="1:8">
      <c r="A185" s="61"/>
      <c r="B185" s="28" t="s">
        <v>172</v>
      </c>
      <c r="C185" s="16" t="s">
        <v>173</v>
      </c>
      <c r="D185" s="29" t="s">
        <v>75</v>
      </c>
      <c r="E185" s="29">
        <v>0.1711</v>
      </c>
      <c r="F185" s="19">
        <f>E185*F178</f>
        <v>0.94105000000000005</v>
      </c>
      <c r="G185" s="29"/>
      <c r="H185" s="30">
        <f t="shared" si="7"/>
        <v>0</v>
      </c>
    </row>
    <row r="186" spans="1:8">
      <c r="A186" s="61"/>
      <c r="B186" s="24" t="s">
        <v>17</v>
      </c>
      <c r="C186" s="16" t="s">
        <v>100</v>
      </c>
      <c r="D186" s="29" t="s">
        <v>3</v>
      </c>
      <c r="E186" s="29">
        <v>1.5</v>
      </c>
      <c r="F186" s="19">
        <f>E186*F178</f>
        <v>8.25</v>
      </c>
      <c r="G186" s="29"/>
      <c r="H186" s="30">
        <f t="shared" si="7"/>
        <v>0</v>
      </c>
    </row>
    <row r="187" spans="1:8" ht="68.25" customHeight="1">
      <c r="A187" s="46"/>
      <c r="B187" s="9"/>
      <c r="C187" s="467" t="s">
        <v>1652</v>
      </c>
      <c r="D187" s="11" t="s">
        <v>3</v>
      </c>
      <c r="E187" s="11"/>
      <c r="F187" s="47"/>
      <c r="G187" s="466"/>
      <c r="H187" s="466">
        <f>H64+H66+H69+H72+H74+H79+H82+H87+H96+H107+H109+H111+H115+H118+H123+H127+H137+H148+H158+H168+H178+H63</f>
        <v>0</v>
      </c>
    </row>
    <row r="188" spans="1:8" ht="30" customHeight="1">
      <c r="A188" s="14"/>
      <c r="B188" s="23"/>
      <c r="C188" s="80" t="s">
        <v>179</v>
      </c>
      <c r="D188" s="16"/>
      <c r="E188" s="16"/>
      <c r="F188" s="77"/>
      <c r="G188" s="16"/>
      <c r="H188" s="43"/>
    </row>
    <row r="189" spans="1:8" ht="40.5">
      <c r="A189" s="8">
        <v>1</v>
      </c>
      <c r="B189" s="9" t="s">
        <v>180</v>
      </c>
      <c r="C189" s="10" t="s">
        <v>181</v>
      </c>
      <c r="D189" s="10" t="s">
        <v>23</v>
      </c>
      <c r="E189" s="11"/>
      <c r="F189" s="21">
        <v>3.5</v>
      </c>
      <c r="G189" s="11"/>
      <c r="H189" s="13">
        <f>SUM(H190:H196)</f>
        <v>0</v>
      </c>
    </row>
    <row r="190" spans="1:8">
      <c r="A190" s="22"/>
      <c r="B190" s="23" t="s">
        <v>17</v>
      </c>
      <c r="C190" s="17" t="s">
        <v>28</v>
      </c>
      <c r="D190" s="17" t="s">
        <v>19</v>
      </c>
      <c r="E190" s="17">
        <v>23.8</v>
      </c>
      <c r="F190" s="18">
        <f>E190*F189</f>
        <v>83.3</v>
      </c>
      <c r="G190" s="18"/>
      <c r="H190" s="19">
        <f>G190*F190</f>
        <v>0</v>
      </c>
    </row>
    <row r="191" spans="1:8">
      <c r="A191" s="22"/>
      <c r="B191" s="23" t="s">
        <v>17</v>
      </c>
      <c r="C191" s="17" t="s">
        <v>20</v>
      </c>
      <c r="D191" s="17" t="s">
        <v>3</v>
      </c>
      <c r="E191" s="17">
        <v>2.1</v>
      </c>
      <c r="F191" s="18">
        <f>E191*F189</f>
        <v>7.3500000000000005</v>
      </c>
      <c r="G191" s="17"/>
      <c r="H191" s="19">
        <f>G191*F191</f>
        <v>0</v>
      </c>
    </row>
    <row r="192" spans="1:8">
      <c r="A192" s="22"/>
      <c r="B192" s="23" t="s">
        <v>182</v>
      </c>
      <c r="C192" s="17" t="s">
        <v>183</v>
      </c>
      <c r="D192" s="17" t="s">
        <v>75</v>
      </c>
      <c r="E192" s="17">
        <v>1.05</v>
      </c>
      <c r="F192" s="18">
        <f>E192*F189</f>
        <v>3.6750000000000003</v>
      </c>
      <c r="G192" s="472">
        <v>0</v>
      </c>
      <c r="H192" s="472"/>
    </row>
    <row r="193" spans="1:8">
      <c r="A193" s="22"/>
      <c r="B193" s="23" t="s">
        <v>184</v>
      </c>
      <c r="C193" s="17" t="s">
        <v>185</v>
      </c>
      <c r="D193" s="17" t="s">
        <v>123</v>
      </c>
      <c r="E193" s="17">
        <v>1.96</v>
      </c>
      <c r="F193" s="18">
        <f>E193*F189</f>
        <v>6.8599999999999994</v>
      </c>
      <c r="G193" s="17"/>
      <c r="H193" s="19">
        <f>G193*F193</f>
        <v>0</v>
      </c>
    </row>
    <row r="194" spans="1:8">
      <c r="A194" s="22"/>
      <c r="B194" s="23" t="s">
        <v>186</v>
      </c>
      <c r="C194" s="17" t="s">
        <v>187</v>
      </c>
      <c r="D194" s="17" t="s">
        <v>123</v>
      </c>
      <c r="E194" s="17">
        <v>4.38</v>
      </c>
      <c r="F194" s="18">
        <f>E194*F189</f>
        <v>15.33</v>
      </c>
      <c r="G194" s="17"/>
      <c r="H194" s="19">
        <f>G194*F194</f>
        <v>0</v>
      </c>
    </row>
    <row r="195" spans="1:8">
      <c r="A195" s="22"/>
      <c r="B195" s="23" t="s">
        <v>188</v>
      </c>
      <c r="C195" s="17" t="s">
        <v>189</v>
      </c>
      <c r="D195" s="17" t="s">
        <v>123</v>
      </c>
      <c r="E195" s="17">
        <v>7.2</v>
      </c>
      <c r="F195" s="18">
        <f>F189*E195</f>
        <v>25.2</v>
      </c>
      <c r="G195" s="17"/>
      <c r="H195" s="19">
        <f>G195*F195</f>
        <v>0</v>
      </c>
    </row>
    <row r="196" spans="1:8">
      <c r="A196" s="22"/>
      <c r="B196" s="24" t="s">
        <v>17</v>
      </c>
      <c r="C196" s="16" t="s">
        <v>190</v>
      </c>
      <c r="D196" s="17" t="s">
        <v>3</v>
      </c>
      <c r="E196" s="17">
        <v>0.93</v>
      </c>
      <c r="F196" s="18">
        <f>E196*F189</f>
        <v>3.2550000000000003</v>
      </c>
      <c r="G196" s="17"/>
      <c r="H196" s="19">
        <f>G196*F196</f>
        <v>0</v>
      </c>
    </row>
    <row r="197" spans="1:8" ht="54">
      <c r="A197" s="8">
        <v>2</v>
      </c>
      <c r="B197" s="9" t="s">
        <v>180</v>
      </c>
      <c r="C197" s="10" t="s">
        <v>191</v>
      </c>
      <c r="D197" s="10" t="s">
        <v>23</v>
      </c>
      <c r="E197" s="11"/>
      <c r="F197" s="21">
        <v>30.5</v>
      </c>
      <c r="G197" s="11"/>
      <c r="H197" s="13">
        <f>SUM(H198:H205)</f>
        <v>0</v>
      </c>
    </row>
    <row r="198" spans="1:8">
      <c r="A198" s="22"/>
      <c r="B198" s="23" t="s">
        <v>17</v>
      </c>
      <c r="C198" s="17" t="s">
        <v>28</v>
      </c>
      <c r="D198" s="17" t="s">
        <v>19</v>
      </c>
      <c r="E198" s="17">
        <v>23.8</v>
      </c>
      <c r="F198" s="18">
        <f>E198*F197</f>
        <v>725.9</v>
      </c>
      <c r="G198" s="18"/>
      <c r="H198" s="19">
        <f>G198*F198</f>
        <v>0</v>
      </c>
    </row>
    <row r="199" spans="1:8">
      <c r="A199" s="22"/>
      <c r="B199" s="23" t="s">
        <v>17</v>
      </c>
      <c r="C199" s="17" t="s">
        <v>20</v>
      </c>
      <c r="D199" s="17" t="s">
        <v>3</v>
      </c>
      <c r="E199" s="17">
        <v>2.1</v>
      </c>
      <c r="F199" s="18">
        <f>E199*F197</f>
        <v>64.05</v>
      </c>
      <c r="G199" s="17"/>
      <c r="H199" s="19">
        <f>G199*F199</f>
        <v>0</v>
      </c>
    </row>
    <row r="200" spans="1:8">
      <c r="A200" s="22"/>
      <c r="B200" s="23" t="s">
        <v>113</v>
      </c>
      <c r="C200" s="17" t="s">
        <v>192</v>
      </c>
      <c r="D200" s="17" t="s">
        <v>75</v>
      </c>
      <c r="E200" s="17">
        <v>1.05</v>
      </c>
      <c r="F200" s="18">
        <f>E200*F197</f>
        <v>32.024999999999999</v>
      </c>
      <c r="G200" s="18"/>
      <c r="H200" s="19">
        <f>F200*G200</f>
        <v>0</v>
      </c>
    </row>
    <row r="201" spans="1:8">
      <c r="A201" s="22"/>
      <c r="B201" s="23" t="s">
        <v>184</v>
      </c>
      <c r="C201" s="17" t="s">
        <v>185</v>
      </c>
      <c r="D201" s="17" t="s">
        <v>123</v>
      </c>
      <c r="E201" s="17">
        <v>1.96</v>
      </c>
      <c r="F201" s="18">
        <f>E201*F197</f>
        <v>59.78</v>
      </c>
      <c r="G201" s="17"/>
      <c r="H201" s="19">
        <f>G201*F201</f>
        <v>0</v>
      </c>
    </row>
    <row r="202" spans="1:8">
      <c r="A202" s="22"/>
      <c r="B202" s="23" t="s">
        <v>193</v>
      </c>
      <c r="C202" s="17" t="s">
        <v>194</v>
      </c>
      <c r="D202" s="17" t="s">
        <v>16</v>
      </c>
      <c r="E202" s="17">
        <v>3.38</v>
      </c>
      <c r="F202" s="18">
        <f>E202*F197</f>
        <v>103.09</v>
      </c>
      <c r="G202" s="17"/>
      <c r="H202" s="19">
        <f>G202*F202</f>
        <v>0</v>
      </c>
    </row>
    <row r="203" spans="1:8">
      <c r="A203" s="22"/>
      <c r="B203" s="23" t="s">
        <v>186</v>
      </c>
      <c r="C203" s="17" t="s">
        <v>187</v>
      </c>
      <c r="D203" s="17" t="s">
        <v>123</v>
      </c>
      <c r="E203" s="17">
        <v>4.38</v>
      </c>
      <c r="F203" s="18">
        <f>E203*F197</f>
        <v>133.59</v>
      </c>
      <c r="G203" s="17"/>
      <c r="H203" s="19">
        <f>G203*F203</f>
        <v>0</v>
      </c>
    </row>
    <row r="204" spans="1:8">
      <c r="A204" s="22"/>
      <c r="B204" s="23" t="s">
        <v>188</v>
      </c>
      <c r="C204" s="17" t="s">
        <v>189</v>
      </c>
      <c r="D204" s="17" t="s">
        <v>123</v>
      </c>
      <c r="E204" s="17">
        <v>7.2</v>
      </c>
      <c r="F204" s="18">
        <f>F197*E204</f>
        <v>219.6</v>
      </c>
      <c r="G204" s="17"/>
      <c r="H204" s="19">
        <f>G204*F204</f>
        <v>0</v>
      </c>
    </row>
    <row r="205" spans="1:8">
      <c r="A205" s="22"/>
      <c r="B205" s="24" t="s">
        <v>17</v>
      </c>
      <c r="C205" s="16" t="s">
        <v>190</v>
      </c>
      <c r="D205" s="17" t="s">
        <v>3</v>
      </c>
      <c r="E205" s="17">
        <v>0.93</v>
      </c>
      <c r="F205" s="18">
        <f>E205*F197</f>
        <v>28.365000000000002</v>
      </c>
      <c r="G205" s="17"/>
      <c r="H205" s="19">
        <f>G205*F205</f>
        <v>0</v>
      </c>
    </row>
    <row r="206" spans="1:8" ht="72">
      <c r="A206" s="25">
        <v>3</v>
      </c>
      <c r="B206" s="9" t="s">
        <v>195</v>
      </c>
      <c r="C206" s="20" t="s">
        <v>1660</v>
      </c>
      <c r="D206" s="20" t="s">
        <v>16</v>
      </c>
      <c r="E206" s="26"/>
      <c r="F206" s="21">
        <v>1860</v>
      </c>
      <c r="G206" s="26"/>
      <c r="H206" s="81">
        <f>H207+H208+H209+H210+H211</f>
        <v>0</v>
      </c>
    </row>
    <row r="207" spans="1:8">
      <c r="A207" s="23"/>
      <c r="B207" s="23" t="s">
        <v>17</v>
      </c>
      <c r="C207" s="29" t="s">
        <v>28</v>
      </c>
      <c r="D207" s="29" t="s">
        <v>19</v>
      </c>
      <c r="E207" s="29">
        <v>0.28399999999999997</v>
      </c>
      <c r="F207" s="19">
        <f>E207*F206</f>
        <v>528.24</v>
      </c>
      <c r="G207" s="19"/>
      <c r="H207" s="19">
        <f>G207*F207</f>
        <v>0</v>
      </c>
    </row>
    <row r="208" spans="1:8">
      <c r="A208" s="23"/>
      <c r="B208" s="23" t="s">
        <v>17</v>
      </c>
      <c r="C208" s="29" t="s">
        <v>20</v>
      </c>
      <c r="D208" s="29" t="s">
        <v>3</v>
      </c>
      <c r="E208" s="29">
        <v>2.3099999999999999E-2</v>
      </c>
      <c r="F208" s="19">
        <f>E208*F206</f>
        <v>42.966000000000001</v>
      </c>
      <c r="G208" s="29"/>
      <c r="H208" s="19">
        <f>G208*F208</f>
        <v>0</v>
      </c>
    </row>
    <row r="209" spans="1:8">
      <c r="A209" s="23"/>
      <c r="B209" s="23" t="s">
        <v>113</v>
      </c>
      <c r="C209" s="29" t="s">
        <v>192</v>
      </c>
      <c r="D209" s="29" t="s">
        <v>75</v>
      </c>
      <c r="E209" s="29">
        <v>1.7999999999999999E-2</v>
      </c>
      <c r="F209" s="19">
        <f>E209*F206</f>
        <v>33.479999999999997</v>
      </c>
      <c r="G209" s="19"/>
      <c r="H209" s="19">
        <f>F209*G209</f>
        <v>0</v>
      </c>
    </row>
    <row r="210" spans="1:8">
      <c r="A210" s="23"/>
      <c r="B210" s="23" t="s">
        <v>188</v>
      </c>
      <c r="C210" s="29" t="s">
        <v>189</v>
      </c>
      <c r="D210" s="29" t="s">
        <v>123</v>
      </c>
      <c r="E210" s="29">
        <v>7.9000000000000001E-2</v>
      </c>
      <c r="F210" s="19">
        <f>F206*E210</f>
        <v>146.94</v>
      </c>
      <c r="G210" s="17"/>
      <c r="H210" s="19">
        <f>G210*F210</f>
        <v>0</v>
      </c>
    </row>
    <row r="211" spans="1:8">
      <c r="A211" s="23"/>
      <c r="B211" s="24" t="s">
        <v>17</v>
      </c>
      <c r="C211" s="16" t="s">
        <v>190</v>
      </c>
      <c r="D211" s="29" t="s">
        <v>3</v>
      </c>
      <c r="E211" s="29">
        <v>5.2299999999999999E-2</v>
      </c>
      <c r="F211" s="19">
        <f>E211*F206</f>
        <v>97.277999999999992</v>
      </c>
      <c r="G211" s="29"/>
      <c r="H211" s="19">
        <f>G211*F211</f>
        <v>0</v>
      </c>
    </row>
    <row r="212" spans="1:8" ht="48">
      <c r="A212" s="8">
        <v>4</v>
      </c>
      <c r="B212" s="55" t="s">
        <v>196</v>
      </c>
      <c r="C212" s="10" t="s">
        <v>197</v>
      </c>
      <c r="D212" s="10" t="s">
        <v>112</v>
      </c>
      <c r="E212" s="10"/>
      <c r="F212" s="60">
        <v>1860</v>
      </c>
      <c r="G212" s="76"/>
      <c r="H212" s="39">
        <f>SUM(H213:H216)</f>
        <v>0</v>
      </c>
    </row>
    <row r="213" spans="1:8">
      <c r="A213" s="14"/>
      <c r="B213" s="15" t="s">
        <v>17</v>
      </c>
      <c r="C213" s="16" t="s">
        <v>18</v>
      </c>
      <c r="D213" s="16" t="s">
        <v>19</v>
      </c>
      <c r="E213" s="16">
        <v>3.0300000000000001E-2</v>
      </c>
      <c r="F213" s="44">
        <f>E213*F212</f>
        <v>56.358000000000004</v>
      </c>
      <c r="G213" s="43"/>
      <c r="H213" s="44">
        <f>F213*G213</f>
        <v>0</v>
      </c>
    </row>
    <row r="214" spans="1:8">
      <c r="A214" s="14"/>
      <c r="B214" s="15" t="s">
        <v>17</v>
      </c>
      <c r="C214" s="16" t="s">
        <v>20</v>
      </c>
      <c r="D214" s="16" t="s">
        <v>3</v>
      </c>
      <c r="E214" s="16">
        <f>0.0041</f>
        <v>4.1000000000000003E-3</v>
      </c>
      <c r="F214" s="44">
        <f>F212*E214</f>
        <v>7.6260000000000003</v>
      </c>
      <c r="G214" s="16"/>
      <c r="H214" s="43">
        <f>G214*F214</f>
        <v>0</v>
      </c>
    </row>
    <row r="215" spans="1:8">
      <c r="A215" s="14"/>
      <c r="B215" s="15" t="s">
        <v>52</v>
      </c>
      <c r="C215" s="16" t="s">
        <v>198</v>
      </c>
      <c r="D215" s="16" t="s">
        <v>123</v>
      </c>
      <c r="E215" s="16">
        <v>0.32400000000000001</v>
      </c>
      <c r="F215" s="44">
        <f>F212*E215</f>
        <v>602.64</v>
      </c>
      <c r="G215" s="16"/>
      <c r="H215" s="43">
        <f>G215*F215</f>
        <v>0</v>
      </c>
    </row>
    <row r="216" spans="1:8">
      <c r="A216" s="14"/>
      <c r="B216" s="24" t="s">
        <v>17</v>
      </c>
      <c r="C216" s="16" t="s">
        <v>190</v>
      </c>
      <c r="D216" s="16" t="s">
        <v>3</v>
      </c>
      <c r="E216" s="16">
        <v>4.0000000000000002E-4</v>
      </c>
      <c r="F216" s="44">
        <f>F212*E216</f>
        <v>0.74399999999999999</v>
      </c>
      <c r="G216" s="16"/>
      <c r="H216" s="43">
        <f>G216*F216</f>
        <v>0</v>
      </c>
    </row>
    <row r="217" spans="1:8" ht="48">
      <c r="A217" s="8">
        <v>5</v>
      </c>
      <c r="B217" s="55" t="s">
        <v>199</v>
      </c>
      <c r="C217" s="10" t="s">
        <v>200</v>
      </c>
      <c r="D217" s="10" t="s">
        <v>112</v>
      </c>
      <c r="E217" s="10"/>
      <c r="F217" s="60">
        <f>F212+0</f>
        <v>1860</v>
      </c>
      <c r="G217" s="76"/>
      <c r="H217" s="39">
        <f>H218+H219+H220</f>
        <v>0</v>
      </c>
    </row>
    <row r="218" spans="1:8">
      <c r="A218" s="14"/>
      <c r="B218" s="15" t="s">
        <v>17</v>
      </c>
      <c r="C218" s="16" t="s">
        <v>28</v>
      </c>
      <c r="D218" s="16" t="s">
        <v>19</v>
      </c>
      <c r="E218" s="16">
        <v>4.24E-2</v>
      </c>
      <c r="F218" s="43">
        <f>E218*F217</f>
        <v>78.864000000000004</v>
      </c>
      <c r="G218" s="43"/>
      <c r="H218" s="44">
        <f>G218*F218</f>
        <v>0</v>
      </c>
    </row>
    <row r="219" spans="1:8">
      <c r="A219" s="14"/>
      <c r="B219" s="15" t="s">
        <v>17</v>
      </c>
      <c r="C219" s="16" t="s">
        <v>20</v>
      </c>
      <c r="D219" s="16" t="s">
        <v>3</v>
      </c>
      <c r="E219" s="16">
        <f>0.0021</f>
        <v>2.0999999999999999E-3</v>
      </c>
      <c r="F219" s="43">
        <f>F217*E219</f>
        <v>3.9059999999999997</v>
      </c>
      <c r="G219" s="16"/>
      <c r="H219" s="43">
        <f>G219*F219</f>
        <v>0</v>
      </c>
    </row>
    <row r="220" spans="1:8">
      <c r="A220" s="14"/>
      <c r="B220" s="23" t="s">
        <v>184</v>
      </c>
      <c r="C220" s="16" t="s">
        <v>201</v>
      </c>
      <c r="D220" s="16" t="s">
        <v>59</v>
      </c>
      <c r="E220" s="67">
        <v>1.4999999999999999E-4</v>
      </c>
      <c r="F220" s="43">
        <f>F217*E220</f>
        <v>0.27899999999999997</v>
      </c>
      <c r="G220" s="16"/>
      <c r="H220" s="43">
        <f>G220*F220</f>
        <v>0</v>
      </c>
    </row>
    <row r="221" spans="1:8" ht="54">
      <c r="A221" s="68" t="s">
        <v>88</v>
      </c>
      <c r="B221" s="55" t="s">
        <v>202</v>
      </c>
      <c r="C221" s="20" t="s">
        <v>203</v>
      </c>
      <c r="D221" s="20" t="s">
        <v>45</v>
      </c>
      <c r="E221" s="20"/>
      <c r="F221" s="69">
        <v>112</v>
      </c>
      <c r="G221" s="20"/>
      <c r="H221" s="39">
        <f>H222+H223+H224+H225+H226+H227</f>
        <v>0</v>
      </c>
    </row>
    <row r="222" spans="1:8">
      <c r="A222" s="15"/>
      <c r="B222" s="15" t="s">
        <v>17</v>
      </c>
      <c r="C222" s="28" t="s">
        <v>18</v>
      </c>
      <c r="D222" s="28" t="s">
        <v>19</v>
      </c>
      <c r="E222" s="28">
        <v>0.28599999999999998</v>
      </c>
      <c r="F222" s="44">
        <f>E222*F221</f>
        <v>32.031999999999996</v>
      </c>
      <c r="G222" s="28"/>
      <c r="H222" s="44">
        <f t="shared" ref="H222:H227" si="8">G222*F222</f>
        <v>0</v>
      </c>
    </row>
    <row r="223" spans="1:8">
      <c r="A223" s="15"/>
      <c r="B223" s="15" t="s">
        <v>17</v>
      </c>
      <c r="C223" s="28" t="s">
        <v>20</v>
      </c>
      <c r="D223" s="28" t="s">
        <v>3</v>
      </c>
      <c r="E223" s="28">
        <v>4.5999999999999999E-2</v>
      </c>
      <c r="F223" s="44">
        <f>E223*F221</f>
        <v>5.1520000000000001</v>
      </c>
      <c r="G223" s="28"/>
      <c r="H223" s="44">
        <f t="shared" si="8"/>
        <v>0</v>
      </c>
    </row>
    <row r="224" spans="1:8" ht="27">
      <c r="A224" s="15"/>
      <c r="B224" s="82" t="s">
        <v>204</v>
      </c>
      <c r="C224" s="28" t="s">
        <v>205</v>
      </c>
      <c r="D224" s="28" t="s">
        <v>206</v>
      </c>
      <c r="E224" s="28">
        <v>1</v>
      </c>
      <c r="F224" s="44">
        <f>E224*F221</f>
        <v>112</v>
      </c>
      <c r="G224" s="28"/>
      <c r="H224" s="44">
        <f t="shared" si="8"/>
        <v>0</v>
      </c>
    </row>
    <row r="225" spans="1:8">
      <c r="A225" s="15"/>
      <c r="B225" s="23" t="s">
        <v>207</v>
      </c>
      <c r="C225" s="28" t="s">
        <v>208</v>
      </c>
      <c r="D225" s="28" t="s">
        <v>209</v>
      </c>
      <c r="E225" s="28">
        <v>3</v>
      </c>
      <c r="F225" s="44">
        <f>F221*E225</f>
        <v>336</v>
      </c>
      <c r="G225" s="28"/>
      <c r="H225" s="44">
        <f t="shared" si="8"/>
        <v>0</v>
      </c>
    </row>
    <row r="226" spans="1:8">
      <c r="A226" s="15"/>
      <c r="B226" s="22" t="s">
        <v>188</v>
      </c>
      <c r="C226" s="28" t="s">
        <v>210</v>
      </c>
      <c r="D226" s="28" t="s">
        <v>123</v>
      </c>
      <c r="E226" s="28">
        <v>7.5999999999999998E-2</v>
      </c>
      <c r="F226" s="44">
        <f>E226*F221</f>
        <v>8.5120000000000005</v>
      </c>
      <c r="G226" s="17"/>
      <c r="H226" s="44">
        <f t="shared" si="8"/>
        <v>0</v>
      </c>
    </row>
    <row r="227" spans="1:8">
      <c r="A227" s="14"/>
      <c r="B227" s="23" t="s">
        <v>211</v>
      </c>
      <c r="C227" s="28" t="s">
        <v>212</v>
      </c>
      <c r="D227" s="28" t="s">
        <v>213</v>
      </c>
      <c r="E227" s="28">
        <v>0.5</v>
      </c>
      <c r="F227" s="44">
        <f>E227*F221</f>
        <v>56</v>
      </c>
      <c r="G227" s="28"/>
      <c r="H227" s="44">
        <f t="shared" si="8"/>
        <v>0</v>
      </c>
    </row>
    <row r="228" spans="1:8" ht="48">
      <c r="A228" s="62" t="s">
        <v>95</v>
      </c>
      <c r="B228" s="55" t="s">
        <v>214</v>
      </c>
      <c r="C228" s="10" t="s">
        <v>215</v>
      </c>
      <c r="D228" s="10" t="s">
        <v>209</v>
      </c>
      <c r="E228" s="10"/>
      <c r="F228" s="69">
        <v>17</v>
      </c>
      <c r="G228" s="10"/>
      <c r="H228" s="39">
        <f>SUM(H229:H232)</f>
        <v>0</v>
      </c>
    </row>
    <row r="229" spans="1:8">
      <c r="A229" s="14"/>
      <c r="B229" s="15" t="s">
        <v>17</v>
      </c>
      <c r="C229" s="16" t="s">
        <v>63</v>
      </c>
      <c r="D229" s="16" t="s">
        <v>19</v>
      </c>
      <c r="E229" s="16">
        <v>2.7</v>
      </c>
      <c r="F229" s="43">
        <f>E229*F228</f>
        <v>45.900000000000006</v>
      </c>
      <c r="G229" s="16"/>
      <c r="H229" s="44">
        <f>G229*F229</f>
        <v>0</v>
      </c>
    </row>
    <row r="230" spans="1:8">
      <c r="A230" s="14"/>
      <c r="B230" s="15" t="s">
        <v>17</v>
      </c>
      <c r="C230" s="16" t="s">
        <v>31</v>
      </c>
      <c r="D230" s="16" t="s">
        <v>3</v>
      </c>
      <c r="E230" s="16">
        <v>0.45</v>
      </c>
      <c r="F230" s="43">
        <f>E230*F228</f>
        <v>7.65</v>
      </c>
      <c r="G230" s="16"/>
      <c r="H230" s="43">
        <f>G230*F230</f>
        <v>0</v>
      </c>
    </row>
    <row r="231" spans="1:8" ht="40.5">
      <c r="A231" s="14"/>
      <c r="B231" s="23" t="s">
        <v>216</v>
      </c>
      <c r="C231" s="16" t="s">
        <v>217</v>
      </c>
      <c r="D231" s="16" t="s">
        <v>209</v>
      </c>
      <c r="E231" s="16">
        <v>1</v>
      </c>
      <c r="F231" s="83">
        <f>E231*F228</f>
        <v>17</v>
      </c>
      <c r="G231" s="16"/>
      <c r="H231" s="43">
        <f>G231*F231</f>
        <v>0</v>
      </c>
    </row>
    <row r="232" spans="1:8">
      <c r="A232" s="14"/>
      <c r="B232" s="24" t="s">
        <v>17</v>
      </c>
      <c r="C232" s="16" t="s">
        <v>190</v>
      </c>
      <c r="D232" s="16" t="s">
        <v>3</v>
      </c>
      <c r="E232" s="16">
        <v>0.14000000000000001</v>
      </c>
      <c r="F232" s="43">
        <f>E232*F228</f>
        <v>2.3800000000000003</v>
      </c>
      <c r="G232" s="16"/>
      <c r="H232" s="43">
        <f>G232*F232</f>
        <v>0</v>
      </c>
    </row>
    <row r="233" spans="1:8" ht="48">
      <c r="A233" s="25">
        <v>8</v>
      </c>
      <c r="B233" s="9" t="s">
        <v>218</v>
      </c>
      <c r="C233" s="20" t="s">
        <v>219</v>
      </c>
      <c r="D233" s="20" t="s">
        <v>209</v>
      </c>
      <c r="E233" s="26"/>
      <c r="F233" s="21">
        <v>2</v>
      </c>
      <c r="G233" s="11"/>
      <c r="H233" s="13">
        <f>SUM(H234:H237)</f>
        <v>0</v>
      </c>
    </row>
    <row r="234" spans="1:8">
      <c r="A234" s="22"/>
      <c r="B234" s="23" t="s">
        <v>17</v>
      </c>
      <c r="C234" s="17" t="s">
        <v>28</v>
      </c>
      <c r="D234" s="17" t="s">
        <v>19</v>
      </c>
      <c r="E234" s="17">
        <v>6.03</v>
      </c>
      <c r="F234" s="18">
        <f>E234*F233</f>
        <v>12.06</v>
      </c>
      <c r="G234" s="18"/>
      <c r="H234" s="19">
        <f>G234*F234</f>
        <v>0</v>
      </c>
    </row>
    <row r="235" spans="1:8">
      <c r="A235" s="22"/>
      <c r="B235" s="23" t="s">
        <v>17</v>
      </c>
      <c r="C235" s="17" t="s">
        <v>20</v>
      </c>
      <c r="D235" s="17" t="s">
        <v>3</v>
      </c>
      <c r="E235" s="17">
        <v>0.33</v>
      </c>
      <c r="F235" s="18">
        <f>E235*F233</f>
        <v>0.66</v>
      </c>
      <c r="G235" s="17"/>
      <c r="H235" s="19">
        <f>G235*F235</f>
        <v>0</v>
      </c>
    </row>
    <row r="236" spans="1:8">
      <c r="A236" s="22"/>
      <c r="B236" s="23" t="s">
        <v>113</v>
      </c>
      <c r="C236" s="17" t="s">
        <v>192</v>
      </c>
      <c r="D236" s="17" t="s">
        <v>75</v>
      </c>
      <c r="E236" s="17">
        <v>0.22</v>
      </c>
      <c r="F236" s="18">
        <f>E236*F233</f>
        <v>0.44</v>
      </c>
      <c r="G236" s="18"/>
      <c r="H236" s="19">
        <f>F236*G236</f>
        <v>0</v>
      </c>
    </row>
    <row r="237" spans="1:8">
      <c r="A237" s="22"/>
      <c r="B237" s="24" t="s">
        <v>17</v>
      </c>
      <c r="C237" s="16" t="s">
        <v>190</v>
      </c>
      <c r="D237" s="17" t="s">
        <v>3</v>
      </c>
      <c r="E237" s="17">
        <v>0.5</v>
      </c>
      <c r="F237" s="18">
        <f>E237*F233</f>
        <v>1</v>
      </c>
      <c r="G237" s="17"/>
      <c r="H237" s="19">
        <f>G237*F237</f>
        <v>0</v>
      </c>
    </row>
    <row r="238" spans="1:8" ht="81">
      <c r="A238" s="84">
        <v>9</v>
      </c>
      <c r="B238" s="85" t="s">
        <v>220</v>
      </c>
      <c r="C238" s="86" t="s">
        <v>221</v>
      </c>
      <c r="D238" s="86" t="s">
        <v>16</v>
      </c>
      <c r="E238" s="87"/>
      <c r="F238" s="88">
        <v>744</v>
      </c>
      <c r="G238" s="87"/>
      <c r="H238" s="81">
        <f>H239+H240+H241+H243+H244+H242</f>
        <v>0</v>
      </c>
    </row>
    <row r="239" spans="1:8">
      <c r="A239" s="89"/>
      <c r="B239" s="89" t="s">
        <v>17</v>
      </c>
      <c r="C239" s="90" t="s">
        <v>28</v>
      </c>
      <c r="D239" s="91" t="s">
        <v>19</v>
      </c>
      <c r="E239" s="90">
        <v>0.439</v>
      </c>
      <c r="F239" s="92">
        <f>E239*F238</f>
        <v>326.61599999999999</v>
      </c>
      <c r="G239" s="92"/>
      <c r="H239" s="92">
        <f t="shared" ref="H239:H244" si="9">F239*G239</f>
        <v>0</v>
      </c>
    </row>
    <row r="240" spans="1:8">
      <c r="A240" s="89"/>
      <c r="B240" s="89" t="s">
        <v>17</v>
      </c>
      <c r="C240" s="90" t="s">
        <v>20</v>
      </c>
      <c r="D240" s="91" t="s">
        <v>3</v>
      </c>
      <c r="E240" s="90">
        <v>3.5000000000000003E-2</v>
      </c>
      <c r="F240" s="92">
        <f>F238*E240</f>
        <v>26.040000000000003</v>
      </c>
      <c r="G240" s="90"/>
      <c r="H240" s="92">
        <f t="shared" si="9"/>
        <v>0</v>
      </c>
    </row>
    <row r="241" spans="1:8" ht="27">
      <c r="A241" s="89"/>
      <c r="B241" s="82" t="s">
        <v>204</v>
      </c>
      <c r="C241" s="91" t="s">
        <v>222</v>
      </c>
      <c r="D241" s="91" t="s">
        <v>16</v>
      </c>
      <c r="E241" s="90">
        <v>1.1200000000000001</v>
      </c>
      <c r="F241" s="92">
        <f>F238*E241</f>
        <v>833.28000000000009</v>
      </c>
      <c r="G241" s="90"/>
      <c r="H241" s="92">
        <f t="shared" si="9"/>
        <v>0</v>
      </c>
    </row>
    <row r="242" spans="1:8">
      <c r="A242" s="89"/>
      <c r="B242" s="82" t="s">
        <v>223</v>
      </c>
      <c r="C242" s="90" t="s">
        <v>224</v>
      </c>
      <c r="D242" s="90" t="s">
        <v>209</v>
      </c>
      <c r="E242" s="90">
        <v>8</v>
      </c>
      <c r="F242" s="92">
        <f>E242*F238</f>
        <v>5952</v>
      </c>
      <c r="G242" s="90"/>
      <c r="H242" s="92">
        <f t="shared" si="9"/>
        <v>0</v>
      </c>
    </row>
    <row r="243" spans="1:8">
      <c r="A243" s="89"/>
      <c r="B243" s="82" t="s">
        <v>225</v>
      </c>
      <c r="C243" s="90" t="s">
        <v>226</v>
      </c>
      <c r="D243" s="90" t="s">
        <v>123</v>
      </c>
      <c r="E243" s="90">
        <v>0.15</v>
      </c>
      <c r="F243" s="92">
        <f>E243*F238</f>
        <v>111.6</v>
      </c>
      <c r="G243" s="90"/>
      <c r="H243" s="92">
        <f t="shared" si="9"/>
        <v>0</v>
      </c>
    </row>
    <row r="244" spans="1:8">
      <c r="A244" s="89"/>
      <c r="B244" s="89" t="s">
        <v>17</v>
      </c>
      <c r="C244" s="90" t="s">
        <v>100</v>
      </c>
      <c r="D244" s="91" t="s">
        <v>3</v>
      </c>
      <c r="E244" s="90">
        <v>8.1600000000000006E-2</v>
      </c>
      <c r="F244" s="92">
        <f>E244*F238</f>
        <v>60.710400000000007</v>
      </c>
      <c r="G244" s="90"/>
      <c r="H244" s="92">
        <f t="shared" si="9"/>
        <v>0</v>
      </c>
    </row>
    <row r="245" spans="1:8" ht="81">
      <c r="A245" s="84">
        <v>10</v>
      </c>
      <c r="B245" s="85" t="s">
        <v>220</v>
      </c>
      <c r="C245" s="86" t="s">
        <v>1661</v>
      </c>
      <c r="D245" s="86" t="s">
        <v>16</v>
      </c>
      <c r="E245" s="87"/>
      <c r="F245" s="88">
        <v>1790</v>
      </c>
      <c r="G245" s="93"/>
      <c r="H245" s="81">
        <f>H246+H247+H248+H249+H250+H251+H252</f>
        <v>0</v>
      </c>
    </row>
    <row r="246" spans="1:8">
      <c r="A246" s="89"/>
      <c r="B246" s="89" t="s">
        <v>17</v>
      </c>
      <c r="C246" s="90" t="s">
        <v>28</v>
      </c>
      <c r="D246" s="91" t="s">
        <v>19</v>
      </c>
      <c r="E246" s="90">
        <v>0.439</v>
      </c>
      <c r="F246" s="92">
        <f>E246*F245</f>
        <v>785.81000000000006</v>
      </c>
      <c r="G246" s="92"/>
      <c r="H246" s="92">
        <f t="shared" ref="H246:H252" si="10">F246*G246</f>
        <v>0</v>
      </c>
    </row>
    <row r="247" spans="1:8">
      <c r="A247" s="89"/>
      <c r="B247" s="89" t="s">
        <v>17</v>
      </c>
      <c r="C247" s="90" t="s">
        <v>20</v>
      </c>
      <c r="D247" s="91" t="s">
        <v>3</v>
      </c>
      <c r="E247" s="90">
        <v>3.5000000000000003E-2</v>
      </c>
      <c r="F247" s="92">
        <f>F245*E247</f>
        <v>62.650000000000006</v>
      </c>
      <c r="G247" s="90"/>
      <c r="H247" s="92">
        <f t="shared" si="10"/>
        <v>0</v>
      </c>
    </row>
    <row r="248" spans="1:8" ht="40.5">
      <c r="A248" s="89"/>
      <c r="B248" s="82" t="s">
        <v>204</v>
      </c>
      <c r="C248" s="91" t="s">
        <v>227</v>
      </c>
      <c r="D248" s="91" t="s">
        <v>16</v>
      </c>
      <c r="E248" s="90">
        <v>1.1200000000000001</v>
      </c>
      <c r="F248" s="92">
        <f>F245*E248</f>
        <v>2004.8000000000002</v>
      </c>
      <c r="G248" s="92"/>
      <c r="H248" s="92">
        <f t="shared" si="10"/>
        <v>0</v>
      </c>
    </row>
    <row r="249" spans="1:8" ht="27">
      <c r="A249" s="89"/>
      <c r="B249" s="82" t="s">
        <v>228</v>
      </c>
      <c r="C249" s="91" t="s">
        <v>222</v>
      </c>
      <c r="D249" s="91" t="s">
        <v>59</v>
      </c>
      <c r="E249" s="90">
        <v>2.9999999999999997E-4</v>
      </c>
      <c r="F249" s="92">
        <f>E249*F245</f>
        <v>0.53699999999999992</v>
      </c>
      <c r="G249" s="90"/>
      <c r="H249" s="92">
        <f t="shared" si="10"/>
        <v>0</v>
      </c>
    </row>
    <row r="250" spans="1:8">
      <c r="A250" s="89"/>
      <c r="B250" s="82" t="s">
        <v>225</v>
      </c>
      <c r="C250" s="90" t="s">
        <v>226</v>
      </c>
      <c r="D250" s="90" t="s">
        <v>123</v>
      </c>
      <c r="E250" s="90">
        <v>0.15</v>
      </c>
      <c r="F250" s="92">
        <f>E250*F245</f>
        <v>268.5</v>
      </c>
      <c r="G250" s="90"/>
      <c r="H250" s="92">
        <f t="shared" si="10"/>
        <v>0</v>
      </c>
    </row>
    <row r="251" spans="1:8">
      <c r="A251" s="89"/>
      <c r="B251" s="82" t="s">
        <v>223</v>
      </c>
      <c r="C251" s="90" t="s">
        <v>224</v>
      </c>
      <c r="D251" s="90" t="s">
        <v>209</v>
      </c>
      <c r="E251" s="90">
        <v>8</v>
      </c>
      <c r="F251" s="92">
        <f>E251*F245</f>
        <v>14320</v>
      </c>
      <c r="G251" s="90"/>
      <c r="H251" s="92">
        <f t="shared" si="10"/>
        <v>0</v>
      </c>
    </row>
    <row r="252" spans="1:8">
      <c r="A252" s="89"/>
      <c r="B252" s="89" t="s">
        <v>17</v>
      </c>
      <c r="C252" s="16" t="s">
        <v>190</v>
      </c>
      <c r="D252" s="91" t="s">
        <v>3</v>
      </c>
      <c r="E252" s="90">
        <v>8.1600000000000006E-2</v>
      </c>
      <c r="F252" s="92">
        <f>E252*F245</f>
        <v>146.06400000000002</v>
      </c>
      <c r="G252" s="90"/>
      <c r="H252" s="92">
        <f t="shared" si="10"/>
        <v>0</v>
      </c>
    </row>
    <row r="253" spans="1:8" ht="48">
      <c r="A253" s="68" t="s">
        <v>127</v>
      </c>
      <c r="B253" s="55" t="s">
        <v>229</v>
      </c>
      <c r="C253" s="94" t="s">
        <v>230</v>
      </c>
      <c r="D253" s="20" t="s">
        <v>45</v>
      </c>
      <c r="E253" s="26"/>
      <c r="F253" s="60">
        <v>24</v>
      </c>
      <c r="G253" s="11"/>
      <c r="H253" s="27">
        <f>SUM(H254:H255)</f>
        <v>0</v>
      </c>
    </row>
    <row r="254" spans="1:8">
      <c r="A254" s="61"/>
      <c r="B254" s="15" t="s">
        <v>17</v>
      </c>
      <c r="C254" s="28" t="s">
        <v>28</v>
      </c>
      <c r="D254" s="28" t="s">
        <v>19</v>
      </c>
      <c r="E254" s="29">
        <v>0.246</v>
      </c>
      <c r="F254" s="19">
        <f>E254*F253</f>
        <v>5.9039999999999999</v>
      </c>
      <c r="G254" s="17"/>
      <c r="H254" s="30">
        <f>G254*F254</f>
        <v>0</v>
      </c>
    </row>
    <row r="255" spans="1:8">
      <c r="A255" s="61"/>
      <c r="B255" s="15" t="s">
        <v>17</v>
      </c>
      <c r="C255" s="28" t="s">
        <v>31</v>
      </c>
      <c r="D255" s="28" t="s">
        <v>3</v>
      </c>
      <c r="E255" s="29">
        <v>9.2999999999999999E-2</v>
      </c>
      <c r="F255" s="19">
        <f>F253*E255</f>
        <v>2.2320000000000002</v>
      </c>
      <c r="G255" s="17"/>
      <c r="H255" s="31">
        <f>G255*F255</f>
        <v>0</v>
      </c>
    </row>
    <row r="256" spans="1:8" ht="48">
      <c r="A256" s="25">
        <v>12</v>
      </c>
      <c r="B256" s="9" t="s">
        <v>231</v>
      </c>
      <c r="C256" s="20" t="s">
        <v>232</v>
      </c>
      <c r="D256" s="26" t="s">
        <v>45</v>
      </c>
      <c r="E256" s="26"/>
      <c r="F256" s="12">
        <f>F253</f>
        <v>24</v>
      </c>
      <c r="G256" s="26"/>
      <c r="H256" s="13">
        <f>SUM(H257:H261)</f>
        <v>0</v>
      </c>
    </row>
    <row r="257" spans="1:8">
      <c r="A257" s="15"/>
      <c r="B257" s="15" t="s">
        <v>17</v>
      </c>
      <c r="C257" s="28" t="s">
        <v>28</v>
      </c>
      <c r="D257" s="29" t="s">
        <v>19</v>
      </c>
      <c r="E257" s="29">
        <v>0.52500000000000002</v>
      </c>
      <c r="F257" s="19">
        <f>E257*F256</f>
        <v>12.600000000000001</v>
      </c>
      <c r="G257" s="29"/>
      <c r="H257" s="19">
        <f>G257*F257</f>
        <v>0</v>
      </c>
    </row>
    <row r="258" spans="1:8">
      <c r="A258" s="15"/>
      <c r="B258" s="15" t="s">
        <v>17</v>
      </c>
      <c r="C258" s="28" t="s">
        <v>233</v>
      </c>
      <c r="D258" s="29" t="s">
        <v>3</v>
      </c>
      <c r="E258" s="29">
        <v>6.7000000000000002E-3</v>
      </c>
      <c r="F258" s="19">
        <f>F256*E258</f>
        <v>0.1608</v>
      </c>
      <c r="G258" s="29"/>
      <c r="H258" s="19">
        <f>G258*F258</f>
        <v>0</v>
      </c>
    </row>
    <row r="259" spans="1:8">
      <c r="A259" s="15"/>
      <c r="B259" s="23" t="s">
        <v>52</v>
      </c>
      <c r="C259" s="28" t="s">
        <v>234</v>
      </c>
      <c r="D259" s="29" t="s">
        <v>75</v>
      </c>
      <c r="E259" s="29">
        <v>2.5999999999999999E-3</v>
      </c>
      <c r="F259" s="79">
        <f>F256*E259</f>
        <v>6.2399999999999997E-2</v>
      </c>
      <c r="G259" s="29"/>
      <c r="H259" s="19">
        <f>G259*F259</f>
        <v>0</v>
      </c>
    </row>
    <row r="260" spans="1:8">
      <c r="A260" s="15"/>
      <c r="B260" s="15" t="s">
        <v>52</v>
      </c>
      <c r="C260" s="28" t="s">
        <v>235</v>
      </c>
      <c r="D260" s="29" t="s">
        <v>123</v>
      </c>
      <c r="E260" s="29">
        <v>0.22</v>
      </c>
      <c r="F260" s="78">
        <f>F256*E260</f>
        <v>5.28</v>
      </c>
      <c r="G260" s="29"/>
      <c r="H260" s="19">
        <f>G260*F260</f>
        <v>0</v>
      </c>
    </row>
    <row r="261" spans="1:8">
      <c r="A261" s="15"/>
      <c r="B261" s="15" t="s">
        <v>236</v>
      </c>
      <c r="C261" s="28" t="s">
        <v>237</v>
      </c>
      <c r="D261" s="29" t="s">
        <v>238</v>
      </c>
      <c r="E261" s="29">
        <v>0.17799999999999999</v>
      </c>
      <c r="F261" s="19">
        <f>E261*F256</f>
        <v>4.2720000000000002</v>
      </c>
      <c r="G261" s="29"/>
      <c r="H261" s="19">
        <f>F261*G261</f>
        <v>0</v>
      </c>
    </row>
    <row r="262" spans="1:8" ht="54">
      <c r="A262" s="95">
        <v>13</v>
      </c>
      <c r="B262" s="96" t="s">
        <v>239</v>
      </c>
      <c r="C262" s="97" t="s">
        <v>240</v>
      </c>
      <c r="D262" s="98" t="s">
        <v>241</v>
      </c>
      <c r="E262" s="95"/>
      <c r="F262" s="99">
        <v>1</v>
      </c>
      <c r="G262" s="97"/>
      <c r="H262" s="100">
        <f>H263+H264+H265+H266</f>
        <v>0</v>
      </c>
    </row>
    <row r="263" spans="1:8">
      <c r="A263" s="101"/>
      <c r="B263" s="102" t="s">
        <v>17</v>
      </c>
      <c r="C263" s="103" t="s">
        <v>242</v>
      </c>
      <c r="D263" s="104" t="s">
        <v>243</v>
      </c>
      <c r="E263" s="104">
        <v>1.1100000000000001</v>
      </c>
      <c r="F263" s="103">
        <f>E263*F262</f>
        <v>1.1100000000000001</v>
      </c>
      <c r="G263" s="105"/>
      <c r="H263" s="106">
        <f>F263*G263</f>
        <v>0</v>
      </c>
    </row>
    <row r="264" spans="1:8">
      <c r="A264" s="101"/>
      <c r="B264" s="102" t="s">
        <v>17</v>
      </c>
      <c r="C264" s="103" t="s">
        <v>244</v>
      </c>
      <c r="D264" s="103" t="s">
        <v>3</v>
      </c>
      <c r="E264" s="103">
        <v>0.51600000000000001</v>
      </c>
      <c r="F264" s="103">
        <f>E264*F262</f>
        <v>0.51600000000000001</v>
      </c>
      <c r="G264" s="107"/>
      <c r="H264" s="106">
        <f>F264*G264</f>
        <v>0</v>
      </c>
    </row>
    <row r="265" spans="1:8" ht="27">
      <c r="A265" s="101"/>
      <c r="B265" s="108" t="s">
        <v>245</v>
      </c>
      <c r="C265" s="103" t="s">
        <v>246</v>
      </c>
      <c r="D265" s="103" t="s">
        <v>241</v>
      </c>
      <c r="E265" s="103">
        <v>1</v>
      </c>
      <c r="F265" s="103">
        <f>E265*F262</f>
        <v>1</v>
      </c>
      <c r="G265" s="109"/>
      <c r="H265" s="106">
        <f>F265*G265</f>
        <v>0</v>
      </c>
    </row>
    <row r="266" spans="1:8">
      <c r="A266" s="101"/>
      <c r="B266" s="102" t="s">
        <v>17</v>
      </c>
      <c r="C266" s="110" t="s">
        <v>190</v>
      </c>
      <c r="D266" s="103" t="s">
        <v>3</v>
      </c>
      <c r="E266" s="103">
        <v>5.3999999999999999E-2</v>
      </c>
      <c r="F266" s="103">
        <f>E266*F262</f>
        <v>5.3999999999999999E-2</v>
      </c>
      <c r="G266" s="107"/>
      <c r="H266" s="106">
        <f>F266*G266</f>
        <v>0</v>
      </c>
    </row>
    <row r="267" spans="1:8" ht="48">
      <c r="A267" s="96" t="s">
        <v>139</v>
      </c>
      <c r="B267" s="111" t="s">
        <v>247</v>
      </c>
      <c r="C267" s="112" t="s">
        <v>248</v>
      </c>
      <c r="D267" s="112" t="s">
        <v>16</v>
      </c>
      <c r="E267" s="112"/>
      <c r="F267" s="99">
        <v>2.4</v>
      </c>
      <c r="G267" s="113"/>
      <c r="H267" s="100">
        <f>SUM(H268:H271)</f>
        <v>0</v>
      </c>
    </row>
    <row r="268" spans="1:8">
      <c r="A268" s="114"/>
      <c r="B268" s="115" t="s">
        <v>17</v>
      </c>
      <c r="C268" s="116" t="s">
        <v>28</v>
      </c>
      <c r="D268" s="116" t="s">
        <v>19</v>
      </c>
      <c r="E268" s="116">
        <v>2.3800000000000002E-2</v>
      </c>
      <c r="F268" s="117">
        <v>5.7120000000000004E-2</v>
      </c>
      <c r="G268" s="42"/>
      <c r="H268" s="118">
        <f>F268*G268</f>
        <v>0</v>
      </c>
    </row>
    <row r="269" spans="1:8">
      <c r="A269" s="114"/>
      <c r="B269" s="115" t="s">
        <v>17</v>
      </c>
      <c r="C269" s="116" t="s">
        <v>20</v>
      </c>
      <c r="D269" s="116" t="s">
        <v>3</v>
      </c>
      <c r="E269" s="116">
        <v>2.5999999999999999E-3</v>
      </c>
      <c r="F269" s="117">
        <v>6.2399999999999999E-3</v>
      </c>
      <c r="G269" s="42"/>
      <c r="H269" s="118">
        <f t="shared" ref="H269:H271" si="11">F269*G269</f>
        <v>0</v>
      </c>
    </row>
    <row r="270" spans="1:8">
      <c r="A270" s="114"/>
      <c r="B270" s="115" t="s">
        <v>249</v>
      </c>
      <c r="C270" s="116" t="s">
        <v>250</v>
      </c>
      <c r="D270" s="116" t="s">
        <v>123</v>
      </c>
      <c r="E270" s="116">
        <v>0.14599999999999999</v>
      </c>
      <c r="F270" s="117">
        <v>0.35039999999999999</v>
      </c>
      <c r="G270" s="42"/>
      <c r="H270" s="118">
        <f t="shared" si="11"/>
        <v>0</v>
      </c>
    </row>
    <row r="271" spans="1:8">
      <c r="A271" s="114"/>
      <c r="B271" s="115" t="s">
        <v>251</v>
      </c>
      <c r="C271" s="116" t="s">
        <v>252</v>
      </c>
      <c r="D271" s="116" t="s">
        <v>3</v>
      </c>
      <c r="E271" s="116">
        <v>2.1899999999999999E-2</v>
      </c>
      <c r="F271" s="117">
        <v>5.2559999999999996E-2</v>
      </c>
      <c r="G271" s="42"/>
      <c r="H271" s="118">
        <f t="shared" si="11"/>
        <v>0</v>
      </c>
    </row>
    <row r="272" spans="1:8" ht="48">
      <c r="A272" s="96" t="s">
        <v>253</v>
      </c>
      <c r="B272" s="111" t="s">
        <v>254</v>
      </c>
      <c r="C272" s="112" t="s">
        <v>255</v>
      </c>
      <c r="D272" s="112" t="s">
        <v>16</v>
      </c>
      <c r="E272" s="112"/>
      <c r="F272" s="99">
        <f>F267</f>
        <v>2.4</v>
      </c>
      <c r="G272" s="113"/>
      <c r="H272" s="100">
        <f>SUM(H273:H277)</f>
        <v>0</v>
      </c>
    </row>
    <row r="273" spans="1:8">
      <c r="A273" s="114"/>
      <c r="B273" s="115" t="s">
        <v>17</v>
      </c>
      <c r="C273" s="116" t="s">
        <v>18</v>
      </c>
      <c r="D273" s="116" t="s">
        <v>19</v>
      </c>
      <c r="E273" s="116">
        <v>0.68</v>
      </c>
      <c r="F273" s="119">
        <v>1.6320000000000001</v>
      </c>
      <c r="G273" s="42"/>
      <c r="H273" s="118">
        <f>F273*G273</f>
        <v>0</v>
      </c>
    </row>
    <row r="274" spans="1:8">
      <c r="A274" s="114"/>
      <c r="B274" s="115" t="s">
        <v>17</v>
      </c>
      <c r="C274" s="116" t="s">
        <v>20</v>
      </c>
      <c r="D274" s="116" t="s">
        <v>3</v>
      </c>
      <c r="E274" s="116">
        <v>2.9999999999999997E-4</v>
      </c>
      <c r="F274" s="120">
        <v>7.1999999999999994E-4</v>
      </c>
      <c r="G274" s="42"/>
      <c r="H274" s="118">
        <f t="shared" ref="H274:H277" si="12">F274*G274</f>
        <v>0</v>
      </c>
    </row>
    <row r="275" spans="1:8">
      <c r="A275" s="114"/>
      <c r="B275" s="41" t="s">
        <v>256</v>
      </c>
      <c r="C275" s="116" t="s">
        <v>257</v>
      </c>
      <c r="D275" s="116" t="s">
        <v>123</v>
      </c>
      <c r="E275" s="116">
        <v>0.246</v>
      </c>
      <c r="F275" s="120">
        <v>0.59039999999999992</v>
      </c>
      <c r="G275" s="42"/>
      <c r="H275" s="118">
        <f t="shared" si="12"/>
        <v>0</v>
      </c>
    </row>
    <row r="276" spans="1:8">
      <c r="A276" s="114"/>
      <c r="B276" s="121" t="s">
        <v>258</v>
      </c>
      <c r="C276" s="116" t="s">
        <v>259</v>
      </c>
      <c r="D276" s="116" t="s">
        <v>123</v>
      </c>
      <c r="E276" s="116">
        <v>2.7E-2</v>
      </c>
      <c r="F276" s="120">
        <v>6.4799999999999996E-2</v>
      </c>
      <c r="G276" s="42"/>
      <c r="H276" s="118">
        <f t="shared" si="12"/>
        <v>0</v>
      </c>
    </row>
    <row r="277" spans="1:8">
      <c r="A277" s="114"/>
      <c r="B277" s="115" t="s">
        <v>17</v>
      </c>
      <c r="C277" s="110" t="s">
        <v>190</v>
      </c>
      <c r="D277" s="116" t="s">
        <v>3</v>
      </c>
      <c r="E277" s="116">
        <v>1.9E-3</v>
      </c>
      <c r="F277" s="120">
        <v>4.5599999999999998E-3</v>
      </c>
      <c r="G277" s="42"/>
      <c r="H277" s="118">
        <f t="shared" si="12"/>
        <v>0</v>
      </c>
    </row>
    <row r="278" spans="1:8" ht="54">
      <c r="A278" s="62" t="s">
        <v>147</v>
      </c>
      <c r="B278" s="55" t="s">
        <v>260</v>
      </c>
      <c r="C278" s="10" t="s">
        <v>261</v>
      </c>
      <c r="D278" s="10" t="s">
        <v>45</v>
      </c>
      <c r="E278" s="10"/>
      <c r="F278" s="60">
        <v>184</v>
      </c>
      <c r="G278" s="10"/>
      <c r="H278" s="39">
        <f>SUM(H279:H283)</f>
        <v>0</v>
      </c>
    </row>
    <row r="279" spans="1:8">
      <c r="A279" s="14"/>
      <c r="B279" s="15" t="s">
        <v>17</v>
      </c>
      <c r="C279" s="16" t="s">
        <v>28</v>
      </c>
      <c r="D279" s="16" t="s">
        <v>19</v>
      </c>
      <c r="E279" s="16">
        <v>0.58299999999999996</v>
      </c>
      <c r="F279" s="43">
        <f>E279*F278</f>
        <v>107.27199999999999</v>
      </c>
      <c r="G279" s="16"/>
      <c r="H279" s="44">
        <f>G279*F279</f>
        <v>0</v>
      </c>
    </row>
    <row r="280" spans="1:8">
      <c r="A280" s="14"/>
      <c r="B280" s="15" t="s">
        <v>17</v>
      </c>
      <c r="C280" s="16" t="s">
        <v>31</v>
      </c>
      <c r="D280" s="16" t="s">
        <v>3</v>
      </c>
      <c r="E280" s="16">
        <v>4.5999999999999999E-3</v>
      </c>
      <c r="F280" s="43">
        <f>E280*F278</f>
        <v>0.84640000000000004</v>
      </c>
      <c r="G280" s="16"/>
      <c r="H280" s="43">
        <f>G280*F280</f>
        <v>0</v>
      </c>
    </row>
    <row r="281" spans="1:8" ht="27">
      <c r="A281" s="14"/>
      <c r="B281" s="23" t="s">
        <v>262</v>
      </c>
      <c r="C281" s="16" t="s">
        <v>263</v>
      </c>
      <c r="D281" s="16" t="s">
        <v>206</v>
      </c>
      <c r="E281" s="16">
        <v>1.02</v>
      </c>
      <c r="F281" s="43">
        <f>E281*F278</f>
        <v>187.68</v>
      </c>
      <c r="G281" s="122"/>
      <c r="H281" s="43">
        <f>G281*F281</f>
        <v>0</v>
      </c>
    </row>
    <row r="282" spans="1:8">
      <c r="A282" s="14"/>
      <c r="B282" s="82" t="s">
        <v>264</v>
      </c>
      <c r="C282" s="16" t="s">
        <v>265</v>
      </c>
      <c r="D282" s="16" t="s">
        <v>123</v>
      </c>
      <c r="E282" s="16">
        <v>0.23499999999999999</v>
      </c>
      <c r="F282" s="43">
        <f>F278*E282</f>
        <v>43.239999999999995</v>
      </c>
      <c r="G282" s="16"/>
      <c r="H282" s="43">
        <f>G282*F282</f>
        <v>0</v>
      </c>
    </row>
    <row r="283" spans="1:8">
      <c r="A283" s="14"/>
      <c r="B283" s="24" t="s">
        <v>17</v>
      </c>
      <c r="C283" s="16" t="s">
        <v>190</v>
      </c>
      <c r="D283" s="16" t="s">
        <v>3</v>
      </c>
      <c r="E283" s="16">
        <v>0.20800000000000002</v>
      </c>
      <c r="F283" s="43">
        <f>F278*E283</f>
        <v>38.272000000000006</v>
      </c>
      <c r="G283" s="16"/>
      <c r="H283" s="43">
        <f>G283*F283</f>
        <v>0</v>
      </c>
    </row>
    <row r="284" spans="1:8" ht="54">
      <c r="A284" s="123" t="s">
        <v>153</v>
      </c>
      <c r="B284" s="55" t="s">
        <v>266</v>
      </c>
      <c r="C284" s="124" t="s">
        <v>267</v>
      </c>
      <c r="D284" s="125" t="s">
        <v>45</v>
      </c>
      <c r="E284" s="125"/>
      <c r="F284" s="93">
        <v>64</v>
      </c>
      <c r="G284" s="125"/>
      <c r="H284" s="81">
        <f>H285+H286+H287+H288+H289</f>
        <v>0</v>
      </c>
    </row>
    <row r="285" spans="1:8">
      <c r="A285" s="14"/>
      <c r="B285" s="14" t="s">
        <v>17</v>
      </c>
      <c r="C285" s="16" t="s">
        <v>28</v>
      </c>
      <c r="D285" s="16" t="s">
        <v>19</v>
      </c>
      <c r="E285" s="16">
        <v>0.106</v>
      </c>
      <c r="F285" s="43">
        <f>E285*F284</f>
        <v>6.7839999999999998</v>
      </c>
      <c r="G285" s="16"/>
      <c r="H285" s="44">
        <f>G285*F285</f>
        <v>0</v>
      </c>
    </row>
    <row r="286" spans="1:8">
      <c r="A286" s="14"/>
      <c r="B286" s="14" t="s">
        <v>17</v>
      </c>
      <c r="C286" s="16" t="s">
        <v>31</v>
      </c>
      <c r="D286" s="16" t="s">
        <v>3</v>
      </c>
      <c r="E286" s="16">
        <v>3.8E-3</v>
      </c>
      <c r="F286" s="43">
        <f>E286*F284</f>
        <v>0.2432</v>
      </c>
      <c r="G286" s="16"/>
      <c r="H286" s="43">
        <f>G286*F286</f>
        <v>0</v>
      </c>
    </row>
    <row r="287" spans="1:8">
      <c r="A287" s="14"/>
      <c r="B287" s="22" t="s">
        <v>268</v>
      </c>
      <c r="C287" s="126" t="s">
        <v>269</v>
      </c>
      <c r="D287" s="16" t="s">
        <v>209</v>
      </c>
      <c r="E287" s="16">
        <v>1</v>
      </c>
      <c r="F287" s="43">
        <f>E287*F284</f>
        <v>64</v>
      </c>
      <c r="G287" s="122"/>
      <c r="H287" s="43">
        <f>G287*F287</f>
        <v>0</v>
      </c>
    </row>
    <row r="288" spans="1:8">
      <c r="A288" s="14"/>
      <c r="B288" s="22" t="s">
        <v>270</v>
      </c>
      <c r="C288" s="126" t="s">
        <v>271</v>
      </c>
      <c r="D288" s="16" t="s">
        <v>206</v>
      </c>
      <c r="E288" s="16">
        <v>1</v>
      </c>
      <c r="F288" s="43">
        <f>E288*F284</f>
        <v>64</v>
      </c>
      <c r="G288" s="122"/>
      <c r="H288" s="43">
        <f>G288*F288</f>
        <v>0</v>
      </c>
    </row>
    <row r="289" spans="1:8">
      <c r="A289" s="14"/>
      <c r="B289" s="67" t="s">
        <v>17</v>
      </c>
      <c r="C289" s="16" t="s">
        <v>190</v>
      </c>
      <c r="D289" s="16" t="s">
        <v>3</v>
      </c>
      <c r="E289" s="16">
        <v>5.5999999999999999E-3</v>
      </c>
      <c r="F289" s="43">
        <f>F284*E289</f>
        <v>0.3584</v>
      </c>
      <c r="G289" s="16"/>
      <c r="H289" s="43">
        <f>G289*F289</f>
        <v>0</v>
      </c>
    </row>
    <row r="290" spans="1:8" ht="47.25" customHeight="1">
      <c r="A290" s="482"/>
      <c r="B290" s="484"/>
      <c r="C290" s="467" t="s">
        <v>1653</v>
      </c>
      <c r="D290" s="467" t="s">
        <v>3</v>
      </c>
      <c r="E290" s="467"/>
      <c r="F290" s="76"/>
      <c r="G290" s="467"/>
      <c r="H290" s="468">
        <f>H189+H197+H206+H212+H217+H221+H228+H233+H238+H245+H253+H256+H262+H267+H272+H278+H284</f>
        <v>0</v>
      </c>
    </row>
    <row r="291" spans="1:8" ht="24" customHeight="1">
      <c r="A291" s="114"/>
      <c r="B291" s="115"/>
      <c r="C291" s="127" t="s">
        <v>272</v>
      </c>
      <c r="D291" s="116"/>
      <c r="E291" s="116"/>
      <c r="F291" s="72"/>
      <c r="G291" s="42"/>
      <c r="H291" s="44"/>
    </row>
    <row r="292" spans="1:8" ht="54">
      <c r="A292" s="128">
        <v>1</v>
      </c>
      <c r="B292" s="68" t="s">
        <v>273</v>
      </c>
      <c r="C292" s="128" t="s">
        <v>274</v>
      </c>
      <c r="D292" s="128" t="s">
        <v>241</v>
      </c>
      <c r="E292" s="128"/>
      <c r="F292" s="69">
        <v>337.3</v>
      </c>
      <c r="G292" s="129"/>
      <c r="H292" s="39">
        <f>H293+H294+H296+H297+H295</f>
        <v>0</v>
      </c>
    </row>
    <row r="293" spans="1:8">
      <c r="A293" s="130"/>
      <c r="B293" s="102" t="s">
        <v>17</v>
      </c>
      <c r="C293" s="29" t="s">
        <v>28</v>
      </c>
      <c r="D293" s="105" t="s">
        <v>243</v>
      </c>
      <c r="E293" s="105">
        <v>1.86</v>
      </c>
      <c r="F293" s="105">
        <f>F292*E293</f>
        <v>627.37800000000004</v>
      </c>
      <c r="G293" s="105"/>
      <c r="H293" s="106">
        <f>F293*G293</f>
        <v>0</v>
      </c>
    </row>
    <row r="294" spans="1:8">
      <c r="A294" s="130"/>
      <c r="B294" s="24" t="s">
        <v>275</v>
      </c>
      <c r="C294" s="102" t="s">
        <v>276</v>
      </c>
      <c r="D294" s="105" t="s">
        <v>78</v>
      </c>
      <c r="E294" s="105">
        <v>2.4E-2</v>
      </c>
      <c r="F294" s="105">
        <f>E294*F292</f>
        <v>8.0952000000000002</v>
      </c>
      <c r="G294" s="109"/>
      <c r="H294" s="106">
        <f>F294*G294</f>
        <v>0</v>
      </c>
    </row>
    <row r="295" spans="1:8">
      <c r="A295" s="130"/>
      <c r="B295" s="24" t="s">
        <v>277</v>
      </c>
      <c r="C295" s="102" t="s">
        <v>278</v>
      </c>
      <c r="D295" s="105" t="s">
        <v>78</v>
      </c>
      <c r="E295" s="105">
        <v>0.628</v>
      </c>
      <c r="F295" s="105">
        <f>E295*F292</f>
        <v>211.8244</v>
      </c>
      <c r="G295" s="109"/>
      <c r="H295" s="106">
        <f>F295*G295</f>
        <v>0</v>
      </c>
    </row>
    <row r="296" spans="1:8" ht="27">
      <c r="A296" s="130"/>
      <c r="B296" s="108" t="s">
        <v>279</v>
      </c>
      <c r="C296" s="105" t="s">
        <v>280</v>
      </c>
      <c r="D296" s="105" t="s">
        <v>241</v>
      </c>
      <c r="E296" s="105">
        <v>1</v>
      </c>
      <c r="F296" s="105">
        <f>F292*E296</f>
        <v>337.3</v>
      </c>
      <c r="G296" s="109"/>
      <c r="H296" s="106">
        <f>F296*G296</f>
        <v>0</v>
      </c>
    </row>
    <row r="297" spans="1:8" ht="27">
      <c r="A297" s="130"/>
      <c r="B297" s="108" t="s">
        <v>281</v>
      </c>
      <c r="C297" s="105" t="s">
        <v>282</v>
      </c>
      <c r="D297" s="105" t="s">
        <v>209</v>
      </c>
      <c r="E297" s="105"/>
      <c r="F297" s="105">
        <v>118</v>
      </c>
      <c r="G297" s="109"/>
      <c r="H297" s="106">
        <f>F297*G297</f>
        <v>0</v>
      </c>
    </row>
    <row r="298" spans="1:8" ht="54">
      <c r="A298" s="128">
        <v>2</v>
      </c>
      <c r="B298" s="68" t="s">
        <v>273</v>
      </c>
      <c r="C298" s="128" t="s">
        <v>283</v>
      </c>
      <c r="D298" s="128" t="s">
        <v>241</v>
      </c>
      <c r="E298" s="128"/>
      <c r="F298" s="69">
        <v>6</v>
      </c>
      <c r="G298" s="129"/>
      <c r="H298" s="39">
        <f>H299+H300+H302+H303+H301</f>
        <v>0</v>
      </c>
    </row>
    <row r="299" spans="1:8">
      <c r="A299" s="130"/>
      <c r="B299" s="102" t="s">
        <v>17</v>
      </c>
      <c r="C299" s="29" t="s">
        <v>28</v>
      </c>
      <c r="D299" s="105" t="s">
        <v>243</v>
      </c>
      <c r="E299" s="105">
        <v>1.86</v>
      </c>
      <c r="F299" s="105">
        <f>F298*E299</f>
        <v>11.16</v>
      </c>
      <c r="G299" s="105"/>
      <c r="H299" s="106">
        <f>F299*G299</f>
        <v>0</v>
      </c>
    </row>
    <row r="300" spans="1:8">
      <c r="A300" s="130"/>
      <c r="B300" s="24" t="s">
        <v>275</v>
      </c>
      <c r="C300" s="102" t="s">
        <v>276</v>
      </c>
      <c r="D300" s="105" t="s">
        <v>78</v>
      </c>
      <c r="E300" s="105">
        <v>2.4E-2</v>
      </c>
      <c r="F300" s="105">
        <f>E300*F298</f>
        <v>0.14400000000000002</v>
      </c>
      <c r="G300" s="109"/>
      <c r="H300" s="106">
        <f>F300*G300</f>
        <v>0</v>
      </c>
    </row>
    <row r="301" spans="1:8">
      <c r="A301" s="130"/>
      <c r="B301" s="24" t="s">
        <v>277</v>
      </c>
      <c r="C301" s="102" t="s">
        <v>278</v>
      </c>
      <c r="D301" s="105" t="s">
        <v>78</v>
      </c>
      <c r="E301" s="105">
        <v>0.628</v>
      </c>
      <c r="F301" s="105">
        <f>E301*F298</f>
        <v>3.7679999999999998</v>
      </c>
      <c r="G301" s="109"/>
      <c r="H301" s="106">
        <f>F301*G301</f>
        <v>0</v>
      </c>
    </row>
    <row r="302" spans="1:8" ht="27">
      <c r="A302" s="130"/>
      <c r="B302" s="108" t="s">
        <v>279</v>
      </c>
      <c r="C302" s="105" t="s">
        <v>284</v>
      </c>
      <c r="D302" s="105" t="s">
        <v>241</v>
      </c>
      <c r="E302" s="105">
        <v>1</v>
      </c>
      <c r="F302" s="105">
        <f>F298*E302</f>
        <v>6</v>
      </c>
      <c r="G302" s="109"/>
      <c r="H302" s="106">
        <f>F302*G302</f>
        <v>0</v>
      </c>
    </row>
    <row r="303" spans="1:8" ht="27">
      <c r="A303" s="130"/>
      <c r="B303" s="108" t="s">
        <v>281</v>
      </c>
      <c r="C303" s="105" t="s">
        <v>282</v>
      </c>
      <c r="D303" s="105" t="s">
        <v>209</v>
      </c>
      <c r="E303" s="105"/>
      <c r="F303" s="105">
        <v>5</v>
      </c>
      <c r="G303" s="109"/>
      <c r="H303" s="106">
        <f>F303*G303</f>
        <v>0</v>
      </c>
    </row>
    <row r="304" spans="1:8" ht="54">
      <c r="A304" s="128">
        <v>3</v>
      </c>
      <c r="B304" s="68" t="s">
        <v>273</v>
      </c>
      <c r="C304" s="128" t="s">
        <v>285</v>
      </c>
      <c r="D304" s="128" t="s">
        <v>241</v>
      </c>
      <c r="E304" s="128"/>
      <c r="F304" s="69">
        <v>61.2</v>
      </c>
      <c r="G304" s="129"/>
      <c r="H304" s="39">
        <f>H305+H306+H307+H308</f>
        <v>0</v>
      </c>
    </row>
    <row r="305" spans="1:8">
      <c r="A305" s="130"/>
      <c r="B305" s="102" t="s">
        <v>17</v>
      </c>
      <c r="C305" s="29" t="s">
        <v>28</v>
      </c>
      <c r="D305" s="105" t="s">
        <v>243</v>
      </c>
      <c r="E305" s="105">
        <v>1.86</v>
      </c>
      <c r="F305" s="105">
        <f>F304*E305</f>
        <v>113.83200000000001</v>
      </c>
      <c r="G305" s="105"/>
      <c r="H305" s="106">
        <f>F305*G305</f>
        <v>0</v>
      </c>
    </row>
    <row r="306" spans="1:8">
      <c r="A306" s="130"/>
      <c r="B306" s="24" t="s">
        <v>275</v>
      </c>
      <c r="C306" s="102" t="s">
        <v>276</v>
      </c>
      <c r="D306" s="105" t="s">
        <v>78</v>
      </c>
      <c r="E306" s="105">
        <v>2.4E-2</v>
      </c>
      <c r="F306" s="105">
        <f>E306*F304</f>
        <v>1.4688000000000001</v>
      </c>
      <c r="G306" s="109"/>
      <c r="H306" s="106">
        <f>F306*G306</f>
        <v>0</v>
      </c>
    </row>
    <row r="307" spans="1:8">
      <c r="A307" s="130"/>
      <c r="B307" s="24" t="s">
        <v>277</v>
      </c>
      <c r="C307" s="102" t="s">
        <v>278</v>
      </c>
      <c r="D307" s="105" t="s">
        <v>78</v>
      </c>
      <c r="E307" s="105">
        <v>0.628</v>
      </c>
      <c r="F307" s="105">
        <f>E307*F304</f>
        <v>38.433599999999998</v>
      </c>
      <c r="G307" s="109"/>
      <c r="H307" s="106">
        <f>F307*G307</f>
        <v>0</v>
      </c>
    </row>
    <row r="308" spans="1:8" ht="27">
      <c r="A308" s="130"/>
      <c r="B308" s="108" t="s">
        <v>286</v>
      </c>
      <c r="C308" s="105" t="s">
        <v>287</v>
      </c>
      <c r="D308" s="105" t="s">
        <v>241</v>
      </c>
      <c r="E308" s="105">
        <v>1</v>
      </c>
      <c r="F308" s="105">
        <f>F304*E308</f>
        <v>61.2</v>
      </c>
      <c r="G308" s="109"/>
      <c r="H308" s="106">
        <f>F308*G308</f>
        <v>0</v>
      </c>
    </row>
    <row r="309" spans="1:8" ht="54">
      <c r="A309" s="128">
        <v>4</v>
      </c>
      <c r="B309" s="68" t="s">
        <v>239</v>
      </c>
      <c r="C309" s="101" t="s">
        <v>288</v>
      </c>
      <c r="D309" s="131" t="s">
        <v>241</v>
      </c>
      <c r="E309" s="128"/>
      <c r="F309" s="69">
        <v>4.8</v>
      </c>
      <c r="G309" s="129"/>
      <c r="H309" s="39">
        <f>H310+H311+H312+H313</f>
        <v>0</v>
      </c>
    </row>
    <row r="310" spans="1:8">
      <c r="A310" s="101"/>
      <c r="B310" s="102" t="s">
        <v>17</v>
      </c>
      <c r="C310" s="103" t="s">
        <v>242</v>
      </c>
      <c r="D310" s="132" t="s">
        <v>243</v>
      </c>
      <c r="E310" s="132">
        <v>1.1100000000000001</v>
      </c>
      <c r="F310" s="103">
        <f>F309*E310</f>
        <v>5.3280000000000003</v>
      </c>
      <c r="G310" s="105"/>
      <c r="H310" s="106">
        <f>F310*G310</f>
        <v>0</v>
      </c>
    </row>
    <row r="311" spans="1:8">
      <c r="A311" s="101"/>
      <c r="B311" s="102" t="s">
        <v>17</v>
      </c>
      <c r="C311" s="103" t="s">
        <v>244</v>
      </c>
      <c r="D311" s="103" t="s">
        <v>3</v>
      </c>
      <c r="E311" s="103">
        <v>0.51600000000000001</v>
      </c>
      <c r="F311" s="103">
        <f>F309*E311</f>
        <v>2.4767999999999999</v>
      </c>
      <c r="G311" s="107"/>
      <c r="H311" s="106">
        <f>F311*G311</f>
        <v>0</v>
      </c>
    </row>
    <row r="312" spans="1:8" ht="27">
      <c r="A312" s="101"/>
      <c r="B312" s="102">
        <v>3.3</v>
      </c>
      <c r="C312" s="103" t="s">
        <v>289</v>
      </c>
      <c r="D312" s="103" t="s">
        <v>241</v>
      </c>
      <c r="E312" s="103">
        <v>1</v>
      </c>
      <c r="F312" s="103">
        <f>F309*E312</f>
        <v>4.8</v>
      </c>
      <c r="G312" s="109"/>
      <c r="H312" s="106">
        <f>F312*G312</f>
        <v>0</v>
      </c>
    </row>
    <row r="313" spans="1:8">
      <c r="A313" s="101"/>
      <c r="B313" s="102" t="s">
        <v>17</v>
      </c>
      <c r="C313" s="105" t="s">
        <v>87</v>
      </c>
      <c r="D313" s="103" t="s">
        <v>3</v>
      </c>
      <c r="E313" s="103">
        <v>5.3999999999999999E-2</v>
      </c>
      <c r="F313" s="103">
        <f>F309*E313</f>
        <v>0.25919999999999999</v>
      </c>
      <c r="G313" s="107"/>
      <c r="H313" s="106">
        <f>F313*G313</f>
        <v>0</v>
      </c>
    </row>
    <row r="314" spans="1:8" ht="94.5">
      <c r="A314" s="128">
        <v>5</v>
      </c>
      <c r="B314" s="68" t="s">
        <v>290</v>
      </c>
      <c r="C314" s="128" t="s">
        <v>291</v>
      </c>
      <c r="D314" s="131" t="s">
        <v>241</v>
      </c>
      <c r="E314" s="128"/>
      <c r="F314" s="69">
        <v>31.1</v>
      </c>
      <c r="G314" s="129"/>
      <c r="H314" s="39">
        <f>H315+H316+H317+H319+H318</f>
        <v>0</v>
      </c>
    </row>
    <row r="315" spans="1:8">
      <c r="A315" s="101"/>
      <c r="B315" s="102" t="s">
        <v>17</v>
      </c>
      <c r="C315" s="103" t="s">
        <v>242</v>
      </c>
      <c r="D315" s="132" t="s">
        <v>243</v>
      </c>
      <c r="E315" s="132">
        <v>2.59</v>
      </c>
      <c r="F315" s="103">
        <f>F314*E315</f>
        <v>80.548999999999992</v>
      </c>
      <c r="G315" s="105"/>
      <c r="H315" s="106">
        <f>F315*G315</f>
        <v>0</v>
      </c>
    </row>
    <row r="316" spans="1:8">
      <c r="A316" s="101"/>
      <c r="B316" s="102" t="s">
        <v>17</v>
      </c>
      <c r="C316" s="103" t="s">
        <v>244</v>
      </c>
      <c r="D316" s="103" t="s">
        <v>3</v>
      </c>
      <c r="E316" s="103">
        <v>0.03</v>
      </c>
      <c r="F316" s="103">
        <f>F314*E316</f>
        <v>0.93300000000000005</v>
      </c>
      <c r="G316" s="107"/>
      <c r="H316" s="106">
        <f>F316*G316</f>
        <v>0</v>
      </c>
    </row>
    <row r="317" spans="1:8" ht="27">
      <c r="A317" s="101"/>
      <c r="B317" s="102" t="s">
        <v>292</v>
      </c>
      <c r="C317" s="103" t="s">
        <v>293</v>
      </c>
      <c r="D317" s="103" t="s">
        <v>241</v>
      </c>
      <c r="E317" s="103">
        <v>1</v>
      </c>
      <c r="F317" s="103">
        <f>F314*E317</f>
        <v>31.1</v>
      </c>
      <c r="G317" s="109"/>
      <c r="H317" s="106">
        <f>F317*G317</f>
        <v>0</v>
      </c>
    </row>
    <row r="318" spans="1:8">
      <c r="A318" s="15"/>
      <c r="B318" s="28" t="s">
        <v>294</v>
      </c>
      <c r="C318" s="28" t="s">
        <v>295</v>
      </c>
      <c r="D318" s="29" t="s">
        <v>123</v>
      </c>
      <c r="E318" s="19">
        <v>1.56</v>
      </c>
      <c r="F318" s="19">
        <f>F314*E318</f>
        <v>48.516000000000005</v>
      </c>
      <c r="G318" s="29"/>
      <c r="H318" s="30">
        <f>G318*F318</f>
        <v>0</v>
      </c>
    </row>
    <row r="319" spans="1:8">
      <c r="A319" s="101"/>
      <c r="B319" s="102" t="s">
        <v>17</v>
      </c>
      <c r="C319" s="16" t="s">
        <v>190</v>
      </c>
      <c r="D319" s="103" t="s">
        <v>3</v>
      </c>
      <c r="E319" s="103">
        <v>1.33</v>
      </c>
      <c r="F319" s="103">
        <f>F314*E319</f>
        <v>41.363000000000007</v>
      </c>
      <c r="G319" s="107"/>
      <c r="H319" s="106">
        <f>F319*G319</f>
        <v>0</v>
      </c>
    </row>
    <row r="320" spans="1:8" ht="54">
      <c r="A320" s="128">
        <v>6</v>
      </c>
      <c r="B320" s="68" t="s">
        <v>239</v>
      </c>
      <c r="C320" s="128" t="s">
        <v>296</v>
      </c>
      <c r="D320" s="131" t="s">
        <v>241</v>
      </c>
      <c r="E320" s="128"/>
      <c r="F320" s="69">
        <v>32.5</v>
      </c>
      <c r="G320" s="129"/>
      <c r="H320" s="39">
        <f>H321+H322+H323+H324</f>
        <v>0</v>
      </c>
    </row>
    <row r="321" spans="1:8">
      <c r="A321" s="101"/>
      <c r="B321" s="102" t="s">
        <v>17</v>
      </c>
      <c r="C321" s="103" t="s">
        <v>297</v>
      </c>
      <c r="D321" s="132" t="s">
        <v>243</v>
      </c>
      <c r="E321" s="132">
        <v>1.1100000000000001</v>
      </c>
      <c r="F321" s="103">
        <f>F320*E321</f>
        <v>36.075000000000003</v>
      </c>
      <c r="G321" s="105"/>
      <c r="H321" s="106">
        <f>F321*G321</f>
        <v>0</v>
      </c>
    </row>
    <row r="322" spans="1:8">
      <c r="A322" s="101"/>
      <c r="B322" s="102" t="s">
        <v>17</v>
      </c>
      <c r="C322" s="103" t="s">
        <v>244</v>
      </c>
      <c r="D322" s="103" t="s">
        <v>3</v>
      </c>
      <c r="E322" s="103">
        <v>0.51600000000000001</v>
      </c>
      <c r="F322" s="103">
        <f>F320*E322</f>
        <v>16.77</v>
      </c>
      <c r="G322" s="107"/>
      <c r="H322" s="106">
        <f>F322*G322</f>
        <v>0</v>
      </c>
    </row>
    <row r="323" spans="1:8">
      <c r="A323" s="101"/>
      <c r="B323" s="108" t="s">
        <v>298</v>
      </c>
      <c r="C323" s="103" t="s">
        <v>299</v>
      </c>
      <c r="D323" s="103" t="s">
        <v>241</v>
      </c>
      <c r="E323" s="103">
        <v>1</v>
      </c>
      <c r="F323" s="103">
        <f>F320*E323</f>
        <v>32.5</v>
      </c>
      <c r="G323" s="109"/>
      <c r="H323" s="106">
        <f>F323*G323</f>
        <v>0</v>
      </c>
    </row>
    <row r="324" spans="1:8">
      <c r="A324" s="101"/>
      <c r="B324" s="102" t="s">
        <v>17</v>
      </c>
      <c r="C324" s="16" t="s">
        <v>190</v>
      </c>
      <c r="D324" s="103" t="s">
        <v>3</v>
      </c>
      <c r="E324" s="103">
        <v>5.3999999999999999E-2</v>
      </c>
      <c r="F324" s="103">
        <f>F320*E324</f>
        <v>1.7549999999999999</v>
      </c>
      <c r="G324" s="107"/>
      <c r="H324" s="106">
        <f>F324*G324</f>
        <v>0</v>
      </c>
    </row>
    <row r="325" spans="1:8" ht="139.5">
      <c r="A325" s="128">
        <v>7</v>
      </c>
      <c r="B325" s="68" t="s">
        <v>300</v>
      </c>
      <c r="C325" s="128" t="s">
        <v>1662</v>
      </c>
      <c r="D325" s="128" t="s">
        <v>241</v>
      </c>
      <c r="E325" s="128"/>
      <c r="F325" s="69">
        <v>131.30000000000001</v>
      </c>
      <c r="G325" s="129"/>
      <c r="H325" s="39">
        <f>H326+H327+H328+H329</f>
        <v>0</v>
      </c>
    </row>
    <row r="326" spans="1:8">
      <c r="A326" s="101"/>
      <c r="B326" s="102" t="s">
        <v>17</v>
      </c>
      <c r="C326" s="103" t="s">
        <v>297</v>
      </c>
      <c r="D326" s="132" t="s">
        <v>243</v>
      </c>
      <c r="E326" s="133">
        <v>0.91400000000000003</v>
      </c>
      <c r="F326" s="103">
        <f>F325*E326</f>
        <v>120.00820000000002</v>
      </c>
      <c r="G326" s="105"/>
      <c r="H326" s="106">
        <f>F326*G326</f>
        <v>0</v>
      </c>
    </row>
    <row r="327" spans="1:8">
      <c r="A327" s="101"/>
      <c r="B327" s="102" t="s">
        <v>17</v>
      </c>
      <c r="C327" s="103" t="s">
        <v>244</v>
      </c>
      <c r="D327" s="103" t="s">
        <v>3</v>
      </c>
      <c r="E327" s="133">
        <v>0.35299999999999998</v>
      </c>
      <c r="F327" s="103">
        <f>F325*E327</f>
        <v>46.3489</v>
      </c>
      <c r="G327" s="107"/>
      <c r="H327" s="106">
        <f>F327*G327</f>
        <v>0</v>
      </c>
    </row>
    <row r="328" spans="1:8">
      <c r="A328" s="101"/>
      <c r="B328" s="61" t="s">
        <v>301</v>
      </c>
      <c r="C328" s="103" t="s">
        <v>302</v>
      </c>
      <c r="D328" s="103" t="s">
        <v>241</v>
      </c>
      <c r="E328" s="53">
        <v>1</v>
      </c>
      <c r="F328" s="103">
        <f>F325*E328</f>
        <v>131.30000000000001</v>
      </c>
      <c r="G328" s="109"/>
      <c r="H328" s="106">
        <f>F328*G328</f>
        <v>0</v>
      </c>
    </row>
    <row r="329" spans="1:8">
      <c r="A329" s="101"/>
      <c r="B329" s="102" t="s">
        <v>17</v>
      </c>
      <c r="C329" s="16" t="s">
        <v>190</v>
      </c>
      <c r="D329" s="103" t="s">
        <v>3</v>
      </c>
      <c r="E329" s="133">
        <v>0.27600000000000002</v>
      </c>
      <c r="F329" s="103">
        <f>F325*E329</f>
        <v>36.238800000000005</v>
      </c>
      <c r="G329" s="107"/>
      <c r="H329" s="106">
        <f>F329*G329</f>
        <v>0</v>
      </c>
    </row>
    <row r="330" spans="1:8" ht="54">
      <c r="A330" s="128">
        <v>8</v>
      </c>
      <c r="B330" s="68" t="s">
        <v>239</v>
      </c>
      <c r="C330" s="129" t="s">
        <v>303</v>
      </c>
      <c r="D330" s="131" t="s">
        <v>241</v>
      </c>
      <c r="E330" s="128"/>
      <c r="F330" s="69">
        <v>70.8</v>
      </c>
      <c r="G330" s="129"/>
      <c r="H330" s="39">
        <f>H331+H332+H333+H334</f>
        <v>0</v>
      </c>
    </row>
    <row r="331" spans="1:8">
      <c r="A331" s="101"/>
      <c r="B331" s="102" t="s">
        <v>17</v>
      </c>
      <c r="C331" s="103" t="s">
        <v>242</v>
      </c>
      <c r="D331" s="132" t="s">
        <v>243</v>
      </c>
      <c r="E331" s="132">
        <v>1.1100000000000001</v>
      </c>
      <c r="F331" s="103">
        <f>F330*E331</f>
        <v>78.588000000000008</v>
      </c>
      <c r="G331" s="105"/>
      <c r="H331" s="106">
        <f>F331*G331</f>
        <v>0</v>
      </c>
    </row>
    <row r="332" spans="1:8">
      <c r="A332" s="101"/>
      <c r="B332" s="102" t="s">
        <v>17</v>
      </c>
      <c r="C332" s="103" t="s">
        <v>244</v>
      </c>
      <c r="D332" s="103" t="s">
        <v>3</v>
      </c>
      <c r="E332" s="103">
        <v>0.51600000000000001</v>
      </c>
      <c r="F332" s="103">
        <f>F330*E332</f>
        <v>36.532800000000002</v>
      </c>
      <c r="G332" s="107"/>
      <c r="H332" s="106">
        <f>F332*G332</f>
        <v>0</v>
      </c>
    </row>
    <row r="333" spans="1:8">
      <c r="A333" s="101"/>
      <c r="B333" s="108" t="s">
        <v>304</v>
      </c>
      <c r="C333" s="103" t="s">
        <v>305</v>
      </c>
      <c r="D333" s="103" t="s">
        <v>241</v>
      </c>
      <c r="E333" s="103">
        <v>1</v>
      </c>
      <c r="F333" s="103">
        <f>F330*E333</f>
        <v>70.8</v>
      </c>
      <c r="G333" s="109"/>
      <c r="H333" s="106">
        <f>F333*G333</f>
        <v>0</v>
      </c>
    </row>
    <row r="334" spans="1:8">
      <c r="A334" s="101"/>
      <c r="B334" s="102" t="s">
        <v>17</v>
      </c>
      <c r="C334" s="16" t="s">
        <v>190</v>
      </c>
      <c r="D334" s="103" t="s">
        <v>3</v>
      </c>
      <c r="E334" s="103">
        <v>5.3999999999999999E-2</v>
      </c>
      <c r="F334" s="103">
        <f>F330*E334</f>
        <v>3.8231999999999999</v>
      </c>
      <c r="G334" s="107"/>
      <c r="H334" s="106">
        <f>F334*G334</f>
        <v>0</v>
      </c>
    </row>
    <row r="335" spans="1:8" ht="48">
      <c r="A335" s="62" t="s">
        <v>42</v>
      </c>
      <c r="B335" s="9" t="s">
        <v>306</v>
      </c>
      <c r="C335" s="10" t="s">
        <v>307</v>
      </c>
      <c r="D335" s="11" t="s">
        <v>45</v>
      </c>
      <c r="E335" s="11"/>
      <c r="F335" s="12">
        <v>2658</v>
      </c>
      <c r="G335" s="57"/>
      <c r="H335" s="27">
        <f>SUM(H336:H338)</f>
        <v>0</v>
      </c>
    </row>
    <row r="336" spans="1:8">
      <c r="A336" s="64"/>
      <c r="B336" s="15" t="s">
        <v>17</v>
      </c>
      <c r="C336" s="16" t="s">
        <v>28</v>
      </c>
      <c r="D336" s="17" t="s">
        <v>19</v>
      </c>
      <c r="E336" s="17">
        <v>0.3</v>
      </c>
      <c r="F336" s="33">
        <f>F335*E336</f>
        <v>797.4</v>
      </c>
      <c r="G336" s="17"/>
      <c r="H336" s="30">
        <f>G336*F336</f>
        <v>0</v>
      </c>
    </row>
    <row r="337" spans="1:8">
      <c r="A337" s="64"/>
      <c r="B337" s="15" t="s">
        <v>17</v>
      </c>
      <c r="C337" s="16" t="s">
        <v>233</v>
      </c>
      <c r="D337" s="17" t="s">
        <v>3</v>
      </c>
      <c r="E337" s="17">
        <v>1.0999999999999999E-2</v>
      </c>
      <c r="F337" s="33">
        <f>E337*F335</f>
        <v>29.238</v>
      </c>
      <c r="G337" s="17"/>
      <c r="H337" s="31">
        <f>G337*F337</f>
        <v>0</v>
      </c>
    </row>
    <row r="338" spans="1:8">
      <c r="A338" s="64"/>
      <c r="B338" s="15" t="s">
        <v>308</v>
      </c>
      <c r="C338" s="16" t="s">
        <v>309</v>
      </c>
      <c r="D338" s="17" t="s">
        <v>75</v>
      </c>
      <c r="E338" s="17">
        <v>6.7000000000000002E-3</v>
      </c>
      <c r="F338" s="134">
        <f>E338*F335</f>
        <v>17.808600000000002</v>
      </c>
      <c r="G338" s="17"/>
      <c r="H338" s="31">
        <f>G338*F338</f>
        <v>0</v>
      </c>
    </row>
    <row r="339" spans="1:8" ht="48">
      <c r="A339" s="68" t="s">
        <v>124</v>
      </c>
      <c r="B339" s="9" t="s">
        <v>247</v>
      </c>
      <c r="C339" s="20" t="s">
        <v>310</v>
      </c>
      <c r="D339" s="20" t="s">
        <v>16</v>
      </c>
      <c r="E339" s="20"/>
      <c r="F339" s="69">
        <v>146</v>
      </c>
      <c r="G339" s="10"/>
      <c r="H339" s="39">
        <f>SUM(H340:H343)</f>
        <v>0</v>
      </c>
    </row>
    <row r="340" spans="1:8">
      <c r="A340" s="114"/>
      <c r="B340" s="115" t="s">
        <v>17</v>
      </c>
      <c r="C340" s="116" t="s">
        <v>28</v>
      </c>
      <c r="D340" s="116" t="s">
        <v>19</v>
      </c>
      <c r="E340" s="116">
        <v>2.3800000000000002E-2</v>
      </c>
      <c r="F340" s="70">
        <f>E340*F339</f>
        <v>3.4748000000000001</v>
      </c>
      <c r="G340" s="42"/>
      <c r="H340" s="44">
        <f>G340*F340</f>
        <v>0</v>
      </c>
    </row>
    <row r="341" spans="1:8">
      <c r="A341" s="114"/>
      <c r="B341" s="115" t="s">
        <v>17</v>
      </c>
      <c r="C341" s="116" t="s">
        <v>20</v>
      </c>
      <c r="D341" s="116" t="s">
        <v>3</v>
      </c>
      <c r="E341" s="116">
        <v>2.5999999999999999E-3</v>
      </c>
      <c r="F341" s="70">
        <f>E341*F339</f>
        <v>0.37959999999999999</v>
      </c>
      <c r="G341" s="42"/>
      <c r="H341" s="43">
        <f>G341*F341</f>
        <v>0</v>
      </c>
    </row>
    <row r="342" spans="1:8">
      <c r="A342" s="114"/>
      <c r="B342" s="115" t="s">
        <v>249</v>
      </c>
      <c r="C342" s="116" t="s">
        <v>250</v>
      </c>
      <c r="D342" s="116" t="s">
        <v>123</v>
      </c>
      <c r="E342" s="116">
        <v>0.14599999999999999</v>
      </c>
      <c r="F342" s="70">
        <f>E342*F339</f>
        <v>21.315999999999999</v>
      </c>
      <c r="G342" s="42"/>
      <c r="H342" s="43">
        <f>G342*F342</f>
        <v>0</v>
      </c>
    </row>
    <row r="343" spans="1:8">
      <c r="A343" s="114"/>
      <c r="B343" s="115" t="s">
        <v>251</v>
      </c>
      <c r="C343" s="116" t="s">
        <v>252</v>
      </c>
      <c r="D343" s="116" t="s">
        <v>3</v>
      </c>
      <c r="E343" s="116">
        <v>2.1899999999999999E-2</v>
      </c>
      <c r="F343" s="70">
        <f>E343*F339</f>
        <v>3.1974</v>
      </c>
      <c r="G343" s="42"/>
      <c r="H343" s="43">
        <f>G343*F343</f>
        <v>0</v>
      </c>
    </row>
    <row r="344" spans="1:8" ht="48">
      <c r="A344" s="68" t="s">
        <v>127</v>
      </c>
      <c r="B344" s="9" t="s">
        <v>254</v>
      </c>
      <c r="C344" s="20" t="s">
        <v>311</v>
      </c>
      <c r="D344" s="20" t="s">
        <v>16</v>
      </c>
      <c r="E344" s="20"/>
      <c r="F344" s="69">
        <f>F339</f>
        <v>146</v>
      </c>
      <c r="G344" s="10"/>
      <c r="H344" s="39">
        <f>SUM(H345:H349)</f>
        <v>0</v>
      </c>
    </row>
    <row r="345" spans="1:8">
      <c r="A345" s="114"/>
      <c r="B345" s="115" t="s">
        <v>17</v>
      </c>
      <c r="C345" s="116" t="s">
        <v>18</v>
      </c>
      <c r="D345" s="116" t="s">
        <v>19</v>
      </c>
      <c r="E345" s="116">
        <v>0.68</v>
      </c>
      <c r="F345" s="135">
        <f>E345*F344</f>
        <v>99.28</v>
      </c>
      <c r="G345" s="42"/>
      <c r="H345" s="44">
        <f>G345*F345</f>
        <v>0</v>
      </c>
    </row>
    <row r="346" spans="1:8">
      <c r="A346" s="114"/>
      <c r="B346" s="115" t="s">
        <v>17</v>
      </c>
      <c r="C346" s="116" t="s">
        <v>20</v>
      </c>
      <c r="D346" s="116" t="s">
        <v>3</v>
      </c>
      <c r="E346" s="116">
        <v>2.9999999999999997E-4</v>
      </c>
      <c r="F346" s="72">
        <f>E346*F344</f>
        <v>4.3799999999999999E-2</v>
      </c>
      <c r="G346" s="42"/>
      <c r="H346" s="44">
        <f>G346*F346</f>
        <v>0</v>
      </c>
    </row>
    <row r="347" spans="1:8">
      <c r="A347" s="114"/>
      <c r="B347" s="41" t="s">
        <v>256</v>
      </c>
      <c r="C347" s="116" t="s">
        <v>257</v>
      </c>
      <c r="D347" s="116" t="s">
        <v>123</v>
      </c>
      <c r="E347" s="116">
        <v>0.246</v>
      </c>
      <c r="F347" s="72">
        <f>E347*F344</f>
        <v>35.915999999999997</v>
      </c>
      <c r="G347" s="42"/>
      <c r="H347" s="44">
        <f>G347*F347</f>
        <v>0</v>
      </c>
    </row>
    <row r="348" spans="1:8">
      <c r="A348" s="114"/>
      <c r="B348" s="15" t="s">
        <v>258</v>
      </c>
      <c r="C348" s="116" t="s">
        <v>259</v>
      </c>
      <c r="D348" s="116" t="s">
        <v>123</v>
      </c>
      <c r="E348" s="116">
        <v>2.7E-2</v>
      </c>
      <c r="F348" s="72">
        <f>E348*F344</f>
        <v>3.9420000000000002</v>
      </c>
      <c r="G348" s="42"/>
      <c r="H348" s="44">
        <f>G348*F348</f>
        <v>0</v>
      </c>
    </row>
    <row r="349" spans="1:8">
      <c r="A349" s="114"/>
      <c r="B349" s="115" t="s">
        <v>17</v>
      </c>
      <c r="C349" s="16" t="s">
        <v>190</v>
      </c>
      <c r="D349" s="116" t="s">
        <v>3</v>
      </c>
      <c r="E349" s="116">
        <v>1.9E-3</v>
      </c>
      <c r="F349" s="72">
        <f>E349*F344</f>
        <v>0.27739999999999998</v>
      </c>
      <c r="G349" s="42"/>
      <c r="H349" s="44">
        <f>G349*F349</f>
        <v>0</v>
      </c>
    </row>
    <row r="350" spans="1:8">
      <c r="A350" s="46"/>
      <c r="B350" s="55"/>
      <c r="C350" s="10" t="s">
        <v>312</v>
      </c>
      <c r="D350" s="10" t="s">
        <v>3</v>
      </c>
      <c r="E350" s="10"/>
      <c r="F350" s="468"/>
      <c r="G350" s="467"/>
      <c r="H350" s="468">
        <f>H292+H298+H304+H309+H314+H320+H325+H330+H335+H339+H344</f>
        <v>0</v>
      </c>
    </row>
    <row r="351" spans="1:8">
      <c r="A351" s="136"/>
      <c r="B351" s="136"/>
      <c r="C351" s="137" t="s">
        <v>313</v>
      </c>
      <c r="D351" s="138"/>
      <c r="E351" s="139"/>
      <c r="F351" s="140"/>
      <c r="G351" s="140"/>
      <c r="H351" s="141"/>
    </row>
    <row r="352" spans="1:8" ht="48">
      <c r="A352" s="62" t="s">
        <v>13</v>
      </c>
      <c r="B352" s="9" t="s">
        <v>314</v>
      </c>
      <c r="C352" s="10" t="s">
        <v>315</v>
      </c>
      <c r="D352" s="10" t="s">
        <v>16</v>
      </c>
      <c r="E352" s="10"/>
      <c r="F352" s="69">
        <v>1113</v>
      </c>
      <c r="G352" s="10"/>
      <c r="H352" s="39">
        <f>SUM(H353:H358)</f>
        <v>0</v>
      </c>
    </row>
    <row r="353" spans="1:8">
      <c r="A353" s="14"/>
      <c r="B353" s="15" t="s">
        <v>17</v>
      </c>
      <c r="C353" s="16" t="s">
        <v>18</v>
      </c>
      <c r="D353" s="16" t="s">
        <v>19</v>
      </c>
      <c r="E353" s="70">
        <v>0.312</v>
      </c>
      <c r="F353" s="72">
        <f>E353*F352</f>
        <v>347.25599999999997</v>
      </c>
      <c r="G353" s="16"/>
      <c r="H353" s="44">
        <f>G353*F353</f>
        <v>0</v>
      </c>
    </row>
    <row r="354" spans="1:8">
      <c r="A354" s="14"/>
      <c r="B354" s="24" t="s">
        <v>17</v>
      </c>
      <c r="C354" s="16" t="s">
        <v>20</v>
      </c>
      <c r="D354" s="16" t="s">
        <v>3</v>
      </c>
      <c r="E354" s="70">
        <v>1.38E-2</v>
      </c>
      <c r="F354" s="79">
        <f>F352*E354</f>
        <v>15.359399999999999</v>
      </c>
      <c r="G354" s="17"/>
      <c r="H354" s="18">
        <f>F354*G354</f>
        <v>0</v>
      </c>
    </row>
    <row r="355" spans="1:8">
      <c r="A355" s="14"/>
      <c r="B355" s="23" t="s">
        <v>316</v>
      </c>
      <c r="C355" s="16" t="s">
        <v>317</v>
      </c>
      <c r="D355" s="16" t="s">
        <v>112</v>
      </c>
      <c r="E355" s="70">
        <v>1.1200000000000001</v>
      </c>
      <c r="F355" s="142">
        <f>F352*E355</f>
        <v>1246.5600000000002</v>
      </c>
      <c r="G355" s="16"/>
      <c r="H355" s="18">
        <f>F355*G355</f>
        <v>0</v>
      </c>
    </row>
    <row r="356" spans="1:8">
      <c r="A356" s="14"/>
      <c r="B356" s="23" t="s">
        <v>52</v>
      </c>
      <c r="C356" s="16" t="s">
        <v>318</v>
      </c>
      <c r="D356" s="16" t="s">
        <v>123</v>
      </c>
      <c r="E356" s="70">
        <v>0.04</v>
      </c>
      <c r="F356" s="142">
        <f>F352*E356</f>
        <v>44.52</v>
      </c>
      <c r="G356" s="16"/>
      <c r="H356" s="18">
        <f>F356*G356</f>
        <v>0</v>
      </c>
    </row>
    <row r="357" spans="1:8">
      <c r="A357" s="14"/>
      <c r="B357" s="23" t="s">
        <v>319</v>
      </c>
      <c r="C357" s="16" t="s">
        <v>320</v>
      </c>
      <c r="D357" s="16" t="s">
        <v>123</v>
      </c>
      <c r="E357" s="70">
        <v>0.76</v>
      </c>
      <c r="F357" s="142">
        <f>F352*E357</f>
        <v>845.88</v>
      </c>
      <c r="G357" s="16"/>
      <c r="H357" s="18">
        <f>F357*G357</f>
        <v>0</v>
      </c>
    </row>
    <row r="358" spans="1:8">
      <c r="A358" s="14"/>
      <c r="B358" s="24" t="s">
        <v>17</v>
      </c>
      <c r="C358" s="16" t="s">
        <v>190</v>
      </c>
      <c r="D358" s="16" t="s">
        <v>3</v>
      </c>
      <c r="E358" s="70">
        <v>1.9E-3</v>
      </c>
      <c r="F358" s="79">
        <f>F352*E358</f>
        <v>2.1147</v>
      </c>
      <c r="G358" s="17"/>
      <c r="H358" s="18">
        <f>F358*G358</f>
        <v>0</v>
      </c>
    </row>
    <row r="359" spans="1:8" ht="54">
      <c r="A359" s="68" t="s">
        <v>72</v>
      </c>
      <c r="B359" s="55" t="s">
        <v>133</v>
      </c>
      <c r="C359" s="143" t="s">
        <v>321</v>
      </c>
      <c r="D359" s="20" t="s">
        <v>75</v>
      </c>
      <c r="E359" s="20"/>
      <c r="F359" s="69">
        <v>21.7</v>
      </c>
      <c r="G359" s="10"/>
      <c r="H359" s="39">
        <f>SUM(H360:H362)</f>
        <v>0</v>
      </c>
    </row>
    <row r="360" spans="1:8">
      <c r="A360" s="64"/>
      <c r="B360" s="14" t="s">
        <v>17</v>
      </c>
      <c r="C360" s="16" t="s">
        <v>28</v>
      </c>
      <c r="D360" s="28" t="s">
        <v>19</v>
      </c>
      <c r="E360" s="16">
        <v>3.16</v>
      </c>
      <c r="F360" s="43">
        <f>E360*F359</f>
        <v>68.572000000000003</v>
      </c>
      <c r="G360" s="17"/>
      <c r="H360" s="44">
        <f>G360*F360</f>
        <v>0</v>
      </c>
    </row>
    <row r="361" spans="1:8">
      <c r="A361" s="64"/>
      <c r="B361" s="67" t="s">
        <v>135</v>
      </c>
      <c r="C361" s="16" t="s">
        <v>136</v>
      </c>
      <c r="D361" s="16" t="s">
        <v>75</v>
      </c>
      <c r="E361" s="16">
        <v>1.25</v>
      </c>
      <c r="F361" s="43">
        <f>E361*F359</f>
        <v>27.125</v>
      </c>
      <c r="G361" s="16"/>
      <c r="H361" s="43">
        <f>G361*F361</f>
        <v>0</v>
      </c>
    </row>
    <row r="362" spans="1:8">
      <c r="A362" s="64"/>
      <c r="B362" s="14" t="s">
        <v>17</v>
      </c>
      <c r="C362" s="28" t="s">
        <v>87</v>
      </c>
      <c r="D362" s="16" t="s">
        <v>3</v>
      </c>
      <c r="E362" s="16">
        <v>0.01</v>
      </c>
      <c r="F362" s="43">
        <f>E362*F359</f>
        <v>0.217</v>
      </c>
      <c r="G362" s="16"/>
      <c r="H362" s="43">
        <f>G362*F362</f>
        <v>0</v>
      </c>
    </row>
    <row r="363" spans="1:8" ht="48">
      <c r="A363" s="144">
        <v>3</v>
      </c>
      <c r="B363" s="9" t="s">
        <v>322</v>
      </c>
      <c r="C363" s="145" t="s">
        <v>323</v>
      </c>
      <c r="D363" s="145" t="s">
        <v>23</v>
      </c>
      <c r="E363" s="145"/>
      <c r="F363" s="145">
        <v>21.7</v>
      </c>
      <c r="G363" s="145"/>
      <c r="H363" s="146">
        <f>H364+H365</f>
        <v>0</v>
      </c>
    </row>
    <row r="364" spans="1:8">
      <c r="A364" s="61"/>
      <c r="B364" s="15" t="s">
        <v>17</v>
      </c>
      <c r="C364" s="28" t="s">
        <v>28</v>
      </c>
      <c r="D364" s="28" t="s">
        <v>19</v>
      </c>
      <c r="E364" s="28">
        <v>0.13400000000000001</v>
      </c>
      <c r="F364" s="44">
        <f>F363*E364</f>
        <v>2.9077999999999999</v>
      </c>
      <c r="G364" s="28"/>
      <c r="H364" s="44">
        <f>G364*F364</f>
        <v>0</v>
      </c>
    </row>
    <row r="365" spans="1:8">
      <c r="A365" s="147"/>
      <c r="B365" s="147" t="s">
        <v>324</v>
      </c>
      <c r="C365" s="147" t="s">
        <v>325</v>
      </c>
      <c r="D365" s="147" t="s">
        <v>326</v>
      </c>
      <c r="E365" s="147">
        <v>0.13</v>
      </c>
      <c r="F365" s="147">
        <f>E365*F363</f>
        <v>2.8210000000000002</v>
      </c>
      <c r="G365" s="147"/>
      <c r="H365" s="147">
        <f>F365*G365</f>
        <v>0</v>
      </c>
    </row>
    <row r="366" spans="1:8" ht="48">
      <c r="A366" s="62" t="s">
        <v>327</v>
      </c>
      <c r="B366" s="46" t="s">
        <v>328</v>
      </c>
      <c r="C366" s="10" t="s">
        <v>329</v>
      </c>
      <c r="D366" s="10" t="s">
        <v>23</v>
      </c>
      <c r="E366" s="10"/>
      <c r="F366" s="69">
        <v>146</v>
      </c>
      <c r="G366" s="10"/>
      <c r="H366" s="39">
        <f>SUM(H367:H369)</f>
        <v>0</v>
      </c>
    </row>
    <row r="367" spans="1:8">
      <c r="A367" s="14"/>
      <c r="B367" s="14" t="s">
        <v>17</v>
      </c>
      <c r="C367" s="16" t="s">
        <v>28</v>
      </c>
      <c r="D367" s="16" t="s">
        <v>19</v>
      </c>
      <c r="E367" s="70">
        <v>2.63</v>
      </c>
      <c r="F367" s="135">
        <f>E367*F366</f>
        <v>383.97999999999996</v>
      </c>
      <c r="G367" s="16"/>
      <c r="H367" s="44">
        <f>G367*F367</f>
        <v>0</v>
      </c>
    </row>
    <row r="368" spans="1:8">
      <c r="A368" s="14"/>
      <c r="B368" s="22" t="s">
        <v>330</v>
      </c>
      <c r="C368" s="16" t="s">
        <v>331</v>
      </c>
      <c r="D368" s="16" t="s">
        <v>332</v>
      </c>
      <c r="E368" s="70">
        <v>1.25</v>
      </c>
      <c r="F368" s="142">
        <f>F366*E368</f>
        <v>182.5</v>
      </c>
      <c r="G368" s="28"/>
      <c r="H368" s="18">
        <f>F368*G368</f>
        <v>0</v>
      </c>
    </row>
    <row r="369" spans="1:8">
      <c r="A369" s="14"/>
      <c r="B369" s="67" t="s">
        <v>17</v>
      </c>
      <c r="C369" s="16" t="s">
        <v>100</v>
      </c>
      <c r="D369" s="16" t="s">
        <v>3</v>
      </c>
      <c r="E369" s="70">
        <v>0.01</v>
      </c>
      <c r="F369" s="142">
        <f>F366*E369</f>
        <v>1.46</v>
      </c>
      <c r="G369" s="17"/>
      <c r="H369" s="18">
        <f>F369*G369</f>
        <v>0</v>
      </c>
    </row>
    <row r="370" spans="1:8" ht="81">
      <c r="A370" s="68" t="s">
        <v>82</v>
      </c>
      <c r="B370" s="9" t="s">
        <v>333</v>
      </c>
      <c r="C370" s="20" t="s">
        <v>1663</v>
      </c>
      <c r="D370" s="148" t="s">
        <v>33</v>
      </c>
      <c r="E370" s="20"/>
      <c r="F370" s="60">
        <v>3517</v>
      </c>
      <c r="G370" s="69"/>
      <c r="H370" s="39">
        <f>SUM(H371:H375)</f>
        <v>0</v>
      </c>
    </row>
    <row r="371" spans="1:8" ht="27">
      <c r="A371" s="61"/>
      <c r="B371" s="15" t="s">
        <v>17</v>
      </c>
      <c r="C371" s="28" t="s">
        <v>334</v>
      </c>
      <c r="D371" s="28" t="s">
        <v>19</v>
      </c>
      <c r="E371" s="28">
        <f>2*0.0034+0.188</f>
        <v>0.1948</v>
      </c>
      <c r="F371" s="72">
        <f>E371*F370</f>
        <v>685.11159999999995</v>
      </c>
      <c r="G371" s="28"/>
      <c r="H371" s="44">
        <f>G371*F371</f>
        <v>0</v>
      </c>
    </row>
    <row r="372" spans="1:8">
      <c r="A372" s="61"/>
      <c r="B372" s="15" t="s">
        <v>17</v>
      </c>
      <c r="C372" s="28" t="s">
        <v>335</v>
      </c>
      <c r="D372" s="28" t="s">
        <v>3</v>
      </c>
      <c r="E372" s="28">
        <f>2*0.0023+0.0095</f>
        <v>1.41E-2</v>
      </c>
      <c r="F372" s="72">
        <f>E372*F370</f>
        <v>49.589700000000001</v>
      </c>
      <c r="G372" s="28"/>
      <c r="H372" s="44">
        <f>G372*F372</f>
        <v>0</v>
      </c>
    </row>
    <row r="373" spans="1:8" ht="27">
      <c r="A373" s="61"/>
      <c r="B373" s="15" t="s">
        <v>308</v>
      </c>
      <c r="C373" s="28" t="s">
        <v>336</v>
      </c>
      <c r="D373" s="28" t="s">
        <v>23</v>
      </c>
      <c r="E373" s="28">
        <v>3.0599999999999999E-2</v>
      </c>
      <c r="F373" s="72">
        <f>E373*F370</f>
        <v>107.6202</v>
      </c>
      <c r="G373" s="28"/>
      <c r="H373" s="44">
        <f>G373*F373</f>
        <v>0</v>
      </c>
    </row>
    <row r="374" spans="1:8" ht="27">
      <c r="A374" s="61"/>
      <c r="B374" s="15" t="s">
        <v>337</v>
      </c>
      <c r="C374" s="28" t="s">
        <v>338</v>
      </c>
      <c r="D374" s="28" t="s">
        <v>16</v>
      </c>
      <c r="E374" s="28">
        <v>1.05</v>
      </c>
      <c r="F374" s="44">
        <f>E374*F370</f>
        <v>3692.8500000000004</v>
      </c>
      <c r="G374" s="28"/>
      <c r="H374" s="44">
        <f>G374*F374</f>
        <v>0</v>
      </c>
    </row>
    <row r="375" spans="1:8">
      <c r="A375" s="61"/>
      <c r="B375" s="15" t="s">
        <v>17</v>
      </c>
      <c r="C375" s="16" t="s">
        <v>190</v>
      </c>
      <c r="D375" s="28" t="s">
        <v>3</v>
      </c>
      <c r="E375" s="28">
        <v>6.3600000000000004E-2</v>
      </c>
      <c r="F375" s="72">
        <f>E375*F370</f>
        <v>223.68120000000002</v>
      </c>
      <c r="G375" s="28"/>
      <c r="H375" s="44">
        <f>G375*F375</f>
        <v>0</v>
      </c>
    </row>
    <row r="376" spans="1:8" ht="48">
      <c r="A376" s="68" t="s">
        <v>88</v>
      </c>
      <c r="B376" s="9" t="s">
        <v>339</v>
      </c>
      <c r="C376" s="20" t="s">
        <v>340</v>
      </c>
      <c r="D376" s="148" t="s">
        <v>33</v>
      </c>
      <c r="E376" s="20"/>
      <c r="F376" s="60">
        <v>1455.5</v>
      </c>
      <c r="G376" s="20"/>
      <c r="H376" s="39">
        <f>SUM(H377:H380)</f>
        <v>0</v>
      </c>
    </row>
    <row r="377" spans="1:8">
      <c r="A377" s="61"/>
      <c r="B377" s="15" t="s">
        <v>17</v>
      </c>
      <c r="C377" s="28" t="s">
        <v>28</v>
      </c>
      <c r="D377" s="28" t="s">
        <v>19</v>
      </c>
      <c r="E377" s="28">
        <v>0.62</v>
      </c>
      <c r="F377" s="72">
        <f>E377*F376</f>
        <v>902.41</v>
      </c>
      <c r="G377" s="28"/>
      <c r="H377" s="44">
        <f>G377*F377</f>
        <v>0</v>
      </c>
    </row>
    <row r="378" spans="1:8">
      <c r="A378" s="61"/>
      <c r="B378" s="15" t="s">
        <v>17</v>
      </c>
      <c r="C378" s="28" t="s">
        <v>20</v>
      </c>
      <c r="D378" s="28" t="s">
        <v>3</v>
      </c>
      <c r="E378" s="28">
        <v>0.159</v>
      </c>
      <c r="F378" s="72">
        <f>E378*F376</f>
        <v>231.42449999999999</v>
      </c>
      <c r="G378" s="28"/>
      <c r="H378" s="44">
        <f>G378*F378</f>
        <v>0</v>
      </c>
    </row>
    <row r="379" spans="1:8">
      <c r="A379" s="61"/>
      <c r="B379" s="15" t="s">
        <v>341</v>
      </c>
      <c r="C379" s="28" t="s">
        <v>342</v>
      </c>
      <c r="D379" s="28" t="s">
        <v>123</v>
      </c>
      <c r="E379" s="28">
        <v>6</v>
      </c>
      <c r="F379" s="44">
        <f>E379*F376</f>
        <v>8733</v>
      </c>
      <c r="G379" s="28"/>
      <c r="H379" s="44">
        <f>G379*F379</f>
        <v>0</v>
      </c>
    </row>
    <row r="380" spans="1:8">
      <c r="A380" s="61"/>
      <c r="B380" s="15" t="s">
        <v>17</v>
      </c>
      <c r="C380" s="16" t="s">
        <v>190</v>
      </c>
      <c r="D380" s="28" t="s">
        <v>3</v>
      </c>
      <c r="E380" s="28">
        <v>3.3999999999999998E-3</v>
      </c>
      <c r="F380" s="72">
        <f>E380*F376</f>
        <v>4.9486999999999997</v>
      </c>
      <c r="G380" s="28"/>
      <c r="H380" s="44">
        <f>G380*F380</f>
        <v>0</v>
      </c>
    </row>
    <row r="381" spans="1:8" ht="108">
      <c r="A381" s="128">
        <v>7</v>
      </c>
      <c r="B381" s="68" t="s">
        <v>343</v>
      </c>
      <c r="C381" s="128" t="s">
        <v>1671</v>
      </c>
      <c r="D381" s="128" t="s">
        <v>241</v>
      </c>
      <c r="E381" s="128"/>
      <c r="F381" s="69">
        <v>1327</v>
      </c>
      <c r="G381" s="129"/>
      <c r="H381" s="39">
        <f>H382+H383+H384+H385+H386</f>
        <v>0</v>
      </c>
    </row>
    <row r="382" spans="1:8">
      <c r="A382" s="128"/>
      <c r="B382" s="149" t="s">
        <v>17</v>
      </c>
      <c r="C382" s="28" t="s">
        <v>28</v>
      </c>
      <c r="D382" s="132" t="s">
        <v>243</v>
      </c>
      <c r="E382" s="132">
        <v>0.755</v>
      </c>
      <c r="F382" s="132">
        <f>F381*E382</f>
        <v>1001.885</v>
      </c>
      <c r="G382" s="132"/>
      <c r="H382" s="43">
        <f>F382*G382</f>
        <v>0</v>
      </c>
    </row>
    <row r="383" spans="1:8">
      <c r="A383" s="128"/>
      <c r="B383" s="149" t="s">
        <v>17</v>
      </c>
      <c r="C383" s="132" t="s">
        <v>244</v>
      </c>
      <c r="D383" s="132" t="s">
        <v>3</v>
      </c>
      <c r="E383" s="132">
        <v>7.4999999999999997E-3</v>
      </c>
      <c r="F383" s="132">
        <f>F381*E383</f>
        <v>9.9524999999999988</v>
      </c>
      <c r="G383" s="150"/>
      <c r="H383" s="43">
        <f>F383*G383</f>
        <v>0</v>
      </c>
    </row>
    <row r="384" spans="1:8" ht="54">
      <c r="A384" s="128"/>
      <c r="B384" s="149" t="s">
        <v>344</v>
      </c>
      <c r="C384" s="132" t="s">
        <v>345</v>
      </c>
      <c r="D384" s="132" t="s">
        <v>241</v>
      </c>
      <c r="E384" s="132">
        <v>1.02</v>
      </c>
      <c r="F384" s="132">
        <f>F381*E384</f>
        <v>1353.54</v>
      </c>
      <c r="G384" s="132"/>
      <c r="H384" s="43">
        <f>F384*G384</f>
        <v>0</v>
      </c>
    </row>
    <row r="385" spans="1:8">
      <c r="A385" s="128"/>
      <c r="B385" s="149" t="s">
        <v>346</v>
      </c>
      <c r="C385" s="132" t="s">
        <v>347</v>
      </c>
      <c r="D385" s="132" t="s">
        <v>123</v>
      </c>
      <c r="E385" s="132">
        <v>0.5</v>
      </c>
      <c r="F385" s="132">
        <f>F381*E385</f>
        <v>663.5</v>
      </c>
      <c r="G385" s="150"/>
      <c r="H385" s="43">
        <f>F385*G385</f>
        <v>0</v>
      </c>
    </row>
    <row r="386" spans="1:8">
      <c r="A386" s="128"/>
      <c r="B386" s="149" t="s">
        <v>17</v>
      </c>
      <c r="C386" s="16" t="s">
        <v>190</v>
      </c>
      <c r="D386" s="132" t="s">
        <v>3</v>
      </c>
      <c r="E386" s="132">
        <v>0.18</v>
      </c>
      <c r="F386" s="132">
        <f>F381*E386</f>
        <v>238.85999999999999</v>
      </c>
      <c r="G386" s="150"/>
      <c r="H386" s="43">
        <f>F386*G386</f>
        <v>0</v>
      </c>
    </row>
    <row r="387" spans="1:8" ht="94.5">
      <c r="A387" s="128">
        <v>8</v>
      </c>
      <c r="B387" s="68" t="s">
        <v>343</v>
      </c>
      <c r="C387" s="128" t="s">
        <v>1666</v>
      </c>
      <c r="D387" s="128" t="s">
        <v>241</v>
      </c>
      <c r="E387" s="128"/>
      <c r="F387" s="69">
        <v>128.5</v>
      </c>
      <c r="G387" s="129"/>
      <c r="H387" s="39">
        <f>H388+H389+H390+H391+H392</f>
        <v>0</v>
      </c>
    </row>
    <row r="388" spans="1:8">
      <c r="A388" s="128"/>
      <c r="B388" s="149" t="s">
        <v>17</v>
      </c>
      <c r="C388" s="28" t="s">
        <v>28</v>
      </c>
      <c r="D388" s="132" t="s">
        <v>243</v>
      </c>
      <c r="E388" s="132">
        <v>0.755</v>
      </c>
      <c r="F388" s="132">
        <f>F387*E388</f>
        <v>97.017499999999998</v>
      </c>
      <c r="G388" s="132"/>
      <c r="H388" s="43">
        <f>F388*G388</f>
        <v>0</v>
      </c>
    </row>
    <row r="389" spans="1:8">
      <c r="A389" s="128"/>
      <c r="B389" s="149" t="s">
        <v>17</v>
      </c>
      <c r="C389" s="132" t="s">
        <v>244</v>
      </c>
      <c r="D389" s="132" t="s">
        <v>3</v>
      </c>
      <c r="E389" s="132">
        <v>7.4999999999999997E-3</v>
      </c>
      <c r="F389" s="132">
        <f>F387*E389</f>
        <v>0.96375</v>
      </c>
      <c r="G389" s="150"/>
      <c r="H389" s="43">
        <f>F389*G389</f>
        <v>0</v>
      </c>
    </row>
    <row r="390" spans="1:8" ht="54">
      <c r="A390" s="128"/>
      <c r="B390" s="149" t="s">
        <v>348</v>
      </c>
      <c r="C390" s="132" t="s">
        <v>345</v>
      </c>
      <c r="D390" s="132" t="s">
        <v>241</v>
      </c>
      <c r="E390" s="132">
        <v>1.02</v>
      </c>
      <c r="F390" s="132">
        <f>F387*E390</f>
        <v>131.07</v>
      </c>
      <c r="G390" s="132"/>
      <c r="H390" s="43">
        <f>F390*G390</f>
        <v>0</v>
      </c>
    </row>
    <row r="391" spans="1:8">
      <c r="A391" s="128"/>
      <c r="B391" s="149" t="s">
        <v>346</v>
      </c>
      <c r="C391" s="132" t="s">
        <v>347</v>
      </c>
      <c r="D391" s="132" t="s">
        <v>123</v>
      </c>
      <c r="E391" s="132">
        <v>0.5</v>
      </c>
      <c r="F391" s="132">
        <f>F387*E391</f>
        <v>64.25</v>
      </c>
      <c r="G391" s="150"/>
      <c r="H391" s="43">
        <f>F391*G391</f>
        <v>0</v>
      </c>
    </row>
    <row r="392" spans="1:8">
      <c r="A392" s="128"/>
      <c r="B392" s="149" t="s">
        <v>17</v>
      </c>
      <c r="C392" s="16" t="s">
        <v>190</v>
      </c>
      <c r="D392" s="132" t="s">
        <v>3</v>
      </c>
      <c r="E392" s="132">
        <v>0.18</v>
      </c>
      <c r="F392" s="132">
        <f>F387*E392</f>
        <v>23.13</v>
      </c>
      <c r="G392" s="150"/>
      <c r="H392" s="43">
        <f>F392*G392</f>
        <v>0</v>
      </c>
    </row>
    <row r="393" spans="1:8" ht="108">
      <c r="A393" s="128">
        <v>9</v>
      </c>
      <c r="B393" s="68" t="s">
        <v>349</v>
      </c>
      <c r="C393" s="128" t="s">
        <v>1667</v>
      </c>
      <c r="D393" s="128" t="s">
        <v>241</v>
      </c>
      <c r="E393" s="128"/>
      <c r="F393" s="69">
        <v>141.5</v>
      </c>
      <c r="G393" s="129"/>
      <c r="H393" s="39">
        <f>H394+H395+H396+H398+H397</f>
        <v>0</v>
      </c>
    </row>
    <row r="394" spans="1:8">
      <c r="A394" s="128"/>
      <c r="B394" s="149" t="s">
        <v>17</v>
      </c>
      <c r="C394" s="28" t="s">
        <v>28</v>
      </c>
      <c r="D394" s="132" t="s">
        <v>243</v>
      </c>
      <c r="E394" s="132">
        <v>0.53600000000000003</v>
      </c>
      <c r="F394" s="132">
        <f>F393*E394</f>
        <v>75.844000000000008</v>
      </c>
      <c r="G394" s="132"/>
      <c r="H394" s="43">
        <f>F394*G394</f>
        <v>0</v>
      </c>
    </row>
    <row r="395" spans="1:8">
      <c r="A395" s="128"/>
      <c r="B395" s="149" t="s">
        <v>17</v>
      </c>
      <c r="C395" s="132" t="s">
        <v>244</v>
      </c>
      <c r="D395" s="132" t="s">
        <v>3</v>
      </c>
      <c r="E395" s="132">
        <v>3.6499999999999998E-2</v>
      </c>
      <c r="F395" s="132">
        <f>F393*E395</f>
        <v>5.1647499999999997</v>
      </c>
      <c r="G395" s="150"/>
      <c r="H395" s="43">
        <f>F395*G395</f>
        <v>0</v>
      </c>
    </row>
    <row r="396" spans="1:8">
      <c r="A396" s="128"/>
      <c r="B396" s="151" t="s">
        <v>350</v>
      </c>
      <c r="C396" s="132" t="s">
        <v>351</v>
      </c>
      <c r="D396" s="132" t="s">
        <v>241</v>
      </c>
      <c r="E396" s="132">
        <v>1.05</v>
      </c>
      <c r="F396" s="132">
        <f>F393*E396</f>
        <v>148.57500000000002</v>
      </c>
      <c r="G396" s="132"/>
      <c r="H396" s="43">
        <f>F396*G396</f>
        <v>0</v>
      </c>
    </row>
    <row r="397" spans="1:8" ht="27">
      <c r="A397" s="128"/>
      <c r="B397" s="151" t="s">
        <v>352</v>
      </c>
      <c r="C397" s="132" t="s">
        <v>353</v>
      </c>
      <c r="D397" s="132" t="s">
        <v>241</v>
      </c>
      <c r="E397" s="132">
        <v>1.05</v>
      </c>
      <c r="F397" s="132">
        <f>E397*F393</f>
        <v>148.57500000000002</v>
      </c>
      <c r="G397" s="132"/>
      <c r="H397" s="43">
        <f>F397*G397</f>
        <v>0</v>
      </c>
    </row>
    <row r="398" spans="1:8">
      <c r="A398" s="128"/>
      <c r="B398" s="149" t="s">
        <v>17</v>
      </c>
      <c r="C398" s="16" t="s">
        <v>190</v>
      </c>
      <c r="D398" s="132" t="s">
        <v>3</v>
      </c>
      <c r="E398" s="132">
        <v>0.107</v>
      </c>
      <c r="F398" s="132">
        <f>F393*E398</f>
        <v>15.140499999999999</v>
      </c>
      <c r="G398" s="150"/>
      <c r="H398" s="43">
        <f>F398*G398</f>
        <v>0</v>
      </c>
    </row>
    <row r="399" spans="1:8" ht="54">
      <c r="A399" s="62" t="s">
        <v>124</v>
      </c>
      <c r="B399" s="9" t="s">
        <v>354</v>
      </c>
      <c r="C399" s="10" t="s">
        <v>1668</v>
      </c>
      <c r="D399" s="10" t="s">
        <v>45</v>
      </c>
      <c r="E399" s="10"/>
      <c r="F399" s="60">
        <v>936</v>
      </c>
      <c r="G399" s="10"/>
      <c r="H399" s="39">
        <f>SUM(H400:H403)</f>
        <v>0</v>
      </c>
    </row>
    <row r="400" spans="1:8">
      <c r="A400" s="64"/>
      <c r="B400" s="15" t="s">
        <v>17</v>
      </c>
      <c r="C400" s="28" t="s">
        <v>28</v>
      </c>
      <c r="D400" s="16" t="s">
        <v>19</v>
      </c>
      <c r="E400" s="16">
        <f>7.94/100</f>
        <v>7.9399999999999998E-2</v>
      </c>
      <c r="F400" s="43">
        <f>E400*F399</f>
        <v>74.318399999999997</v>
      </c>
      <c r="G400" s="16"/>
      <c r="H400" s="44">
        <f>G400*F400</f>
        <v>0</v>
      </c>
    </row>
    <row r="401" spans="1:8">
      <c r="A401" s="64"/>
      <c r="B401" s="15" t="s">
        <v>17</v>
      </c>
      <c r="C401" s="16" t="s">
        <v>20</v>
      </c>
      <c r="D401" s="16" t="s">
        <v>3</v>
      </c>
      <c r="E401" s="16">
        <f>0.13/100</f>
        <v>1.2999999999999999E-3</v>
      </c>
      <c r="F401" s="43">
        <f>E401*F399</f>
        <v>1.2167999999999999</v>
      </c>
      <c r="G401" s="16"/>
      <c r="H401" s="44">
        <f>G401*F401</f>
        <v>0</v>
      </c>
    </row>
    <row r="402" spans="1:8" ht="27">
      <c r="A402" s="64"/>
      <c r="B402" s="15" t="s">
        <v>355</v>
      </c>
      <c r="C402" s="16" t="s">
        <v>1669</v>
      </c>
      <c r="D402" s="16" t="s">
        <v>45</v>
      </c>
      <c r="E402" s="16">
        <f>112/100</f>
        <v>1.1200000000000001</v>
      </c>
      <c r="F402" s="43">
        <f>E402*F399</f>
        <v>1048.3200000000002</v>
      </c>
      <c r="G402" s="28"/>
      <c r="H402" s="44">
        <f>G402*F402</f>
        <v>0</v>
      </c>
    </row>
    <row r="403" spans="1:8">
      <c r="A403" s="64"/>
      <c r="B403" s="15" t="s">
        <v>17</v>
      </c>
      <c r="C403" s="16" t="s">
        <v>190</v>
      </c>
      <c r="D403" s="16" t="s">
        <v>3</v>
      </c>
      <c r="E403" s="16">
        <f>0.14/100</f>
        <v>1.4000000000000002E-3</v>
      </c>
      <c r="F403" s="43">
        <f>E403*F399</f>
        <v>1.3104000000000002</v>
      </c>
      <c r="G403" s="16"/>
      <c r="H403" s="44">
        <f>G403*F403</f>
        <v>0</v>
      </c>
    </row>
    <row r="404" spans="1:8" ht="108">
      <c r="A404" s="128">
        <v>11</v>
      </c>
      <c r="B404" s="68" t="s">
        <v>349</v>
      </c>
      <c r="C404" s="128" t="s">
        <v>1670</v>
      </c>
      <c r="D404" s="128" t="s">
        <v>241</v>
      </c>
      <c r="E404" s="128"/>
      <c r="F404" s="69">
        <v>225.5</v>
      </c>
      <c r="G404" s="129"/>
      <c r="H404" s="39">
        <f>H405+H406+H407+H409+H410+H408</f>
        <v>0</v>
      </c>
    </row>
    <row r="405" spans="1:8">
      <c r="A405" s="128"/>
      <c r="B405" s="149" t="s">
        <v>17</v>
      </c>
      <c r="C405" s="28" t="s">
        <v>28</v>
      </c>
      <c r="D405" s="132" t="s">
        <v>243</v>
      </c>
      <c r="E405" s="132">
        <v>0.53600000000000003</v>
      </c>
      <c r="F405" s="132">
        <f>F404*E405</f>
        <v>120.86800000000001</v>
      </c>
      <c r="G405" s="132"/>
      <c r="H405" s="43">
        <f t="shared" ref="H405:H410" si="13">F405*G405</f>
        <v>0</v>
      </c>
    </row>
    <row r="406" spans="1:8">
      <c r="A406" s="128"/>
      <c r="B406" s="149" t="s">
        <v>17</v>
      </c>
      <c r="C406" s="132" t="s">
        <v>244</v>
      </c>
      <c r="D406" s="132" t="s">
        <v>3</v>
      </c>
      <c r="E406" s="132">
        <v>3.6499999999999998E-2</v>
      </c>
      <c r="F406" s="132">
        <f>F404*E406</f>
        <v>8.2307499999999987</v>
      </c>
      <c r="G406" s="150"/>
      <c r="H406" s="43">
        <f t="shared" si="13"/>
        <v>0</v>
      </c>
    </row>
    <row r="407" spans="1:8">
      <c r="A407" s="128"/>
      <c r="B407" s="151" t="s">
        <v>350</v>
      </c>
      <c r="C407" s="132" t="s">
        <v>351</v>
      </c>
      <c r="D407" s="132" t="s">
        <v>241</v>
      </c>
      <c r="E407" s="132">
        <v>1.05</v>
      </c>
      <c r="F407" s="132">
        <f>F404*E407</f>
        <v>236.77500000000001</v>
      </c>
      <c r="G407" s="132"/>
      <c r="H407" s="43">
        <f t="shared" si="13"/>
        <v>0</v>
      </c>
    </row>
    <row r="408" spans="1:8" ht="27">
      <c r="A408" s="128"/>
      <c r="B408" s="151" t="s">
        <v>352</v>
      </c>
      <c r="C408" s="132" t="s">
        <v>353</v>
      </c>
      <c r="D408" s="132" t="s">
        <v>241</v>
      </c>
      <c r="E408" s="132">
        <v>1.05</v>
      </c>
      <c r="F408" s="132">
        <f>E408*F404</f>
        <v>236.77500000000001</v>
      </c>
      <c r="G408" s="132"/>
      <c r="H408" s="43">
        <f t="shared" si="13"/>
        <v>0</v>
      </c>
    </row>
    <row r="409" spans="1:8">
      <c r="A409" s="128"/>
      <c r="B409" s="151" t="s">
        <v>356</v>
      </c>
      <c r="C409" s="132" t="s">
        <v>357</v>
      </c>
      <c r="D409" s="132" t="s">
        <v>358</v>
      </c>
      <c r="E409" s="132">
        <v>1.07</v>
      </c>
      <c r="F409" s="132">
        <f>F404*E409</f>
        <v>241.28500000000003</v>
      </c>
      <c r="G409" s="150"/>
      <c r="H409" s="43">
        <f t="shared" si="13"/>
        <v>0</v>
      </c>
    </row>
    <row r="410" spans="1:8">
      <c r="A410" s="128"/>
      <c r="B410" s="149" t="s">
        <v>17</v>
      </c>
      <c r="C410" s="16" t="s">
        <v>190</v>
      </c>
      <c r="D410" s="132" t="s">
        <v>3</v>
      </c>
      <c r="E410" s="132">
        <v>0.107</v>
      </c>
      <c r="F410" s="132">
        <f>F404*E410</f>
        <v>24.128499999999999</v>
      </c>
      <c r="G410" s="150"/>
      <c r="H410" s="43">
        <f t="shared" si="13"/>
        <v>0</v>
      </c>
    </row>
    <row r="411" spans="1:8" ht="48">
      <c r="A411" s="68" t="s">
        <v>132</v>
      </c>
      <c r="B411" s="46" t="s">
        <v>359</v>
      </c>
      <c r="C411" s="20" t="s">
        <v>360</v>
      </c>
      <c r="D411" s="11" t="s">
        <v>23</v>
      </c>
      <c r="E411" s="11"/>
      <c r="F411" s="21">
        <v>0.8</v>
      </c>
      <c r="G411" s="11"/>
      <c r="H411" s="13">
        <f>SUM(H412:H419)</f>
        <v>0</v>
      </c>
    </row>
    <row r="412" spans="1:8">
      <c r="A412" s="61"/>
      <c r="B412" s="14" t="s">
        <v>17</v>
      </c>
      <c r="C412" s="16" t="s">
        <v>18</v>
      </c>
      <c r="D412" s="17" t="s">
        <v>19</v>
      </c>
      <c r="E412" s="33">
        <v>24</v>
      </c>
      <c r="F412" s="33">
        <f>E412*F411</f>
        <v>19.200000000000003</v>
      </c>
      <c r="G412" s="17"/>
      <c r="H412" s="19">
        <f t="shared" ref="H412:H419" si="14">G412*F412</f>
        <v>0</v>
      </c>
    </row>
    <row r="413" spans="1:8">
      <c r="A413" s="61"/>
      <c r="B413" s="14" t="s">
        <v>17</v>
      </c>
      <c r="C413" s="16" t="s">
        <v>20</v>
      </c>
      <c r="D413" s="17" t="s">
        <v>3</v>
      </c>
      <c r="E413" s="33">
        <v>1.28</v>
      </c>
      <c r="F413" s="33">
        <f>E413*F411</f>
        <v>1.024</v>
      </c>
      <c r="G413" s="17"/>
      <c r="H413" s="18">
        <f t="shared" si="14"/>
        <v>0</v>
      </c>
    </row>
    <row r="414" spans="1:8">
      <c r="A414" s="61"/>
      <c r="B414" s="14" t="s">
        <v>113</v>
      </c>
      <c r="C414" s="16" t="s">
        <v>361</v>
      </c>
      <c r="D414" s="17" t="s">
        <v>75</v>
      </c>
      <c r="E414" s="33">
        <v>1.05</v>
      </c>
      <c r="F414" s="33">
        <f>E414*F411</f>
        <v>0.84000000000000008</v>
      </c>
      <c r="G414" s="17"/>
      <c r="H414" s="18">
        <f t="shared" si="14"/>
        <v>0</v>
      </c>
    </row>
    <row r="415" spans="1:8">
      <c r="A415" s="61"/>
      <c r="B415" s="14" t="s">
        <v>362</v>
      </c>
      <c r="C415" s="16" t="s">
        <v>363</v>
      </c>
      <c r="D415" s="17" t="s">
        <v>16</v>
      </c>
      <c r="E415" s="33">
        <v>3.38</v>
      </c>
      <c r="F415" s="33">
        <f>E415*F411</f>
        <v>2.7040000000000002</v>
      </c>
      <c r="G415" s="17"/>
      <c r="H415" s="18">
        <f t="shared" si="14"/>
        <v>0</v>
      </c>
    </row>
    <row r="416" spans="1:8">
      <c r="A416" s="61"/>
      <c r="B416" s="152" t="s">
        <v>264</v>
      </c>
      <c r="C416" s="16" t="s">
        <v>364</v>
      </c>
      <c r="D416" s="17" t="s">
        <v>123</v>
      </c>
      <c r="E416" s="33">
        <v>3.08</v>
      </c>
      <c r="F416" s="33">
        <f>E416*F411</f>
        <v>2.4640000000000004</v>
      </c>
      <c r="G416" s="17"/>
      <c r="H416" s="18">
        <f t="shared" si="14"/>
        <v>0</v>
      </c>
    </row>
    <row r="417" spans="1:8">
      <c r="A417" s="61"/>
      <c r="B417" s="23" t="s">
        <v>184</v>
      </c>
      <c r="C417" s="16" t="s">
        <v>185</v>
      </c>
      <c r="D417" s="17" t="s">
        <v>123</v>
      </c>
      <c r="E417" s="33">
        <v>3.01</v>
      </c>
      <c r="F417" s="33">
        <f>E417*F411</f>
        <v>2.4079999999999999</v>
      </c>
      <c r="G417" s="29"/>
      <c r="H417" s="18">
        <f t="shared" si="14"/>
        <v>0</v>
      </c>
    </row>
    <row r="418" spans="1:8">
      <c r="A418" s="61"/>
      <c r="B418" s="152" t="s">
        <v>188</v>
      </c>
      <c r="C418" s="16" t="s">
        <v>189</v>
      </c>
      <c r="D418" s="17" t="s">
        <v>123</v>
      </c>
      <c r="E418" s="33">
        <v>7.5</v>
      </c>
      <c r="F418" s="33">
        <f>F411*E418</f>
        <v>6</v>
      </c>
      <c r="G418" s="17"/>
      <c r="H418" s="18">
        <f t="shared" si="14"/>
        <v>0</v>
      </c>
    </row>
    <row r="419" spans="1:8">
      <c r="A419" s="61"/>
      <c r="B419" s="14" t="s">
        <v>17</v>
      </c>
      <c r="C419" s="16" t="s">
        <v>100</v>
      </c>
      <c r="D419" s="17" t="s">
        <v>3</v>
      </c>
      <c r="E419" s="33">
        <v>1.38</v>
      </c>
      <c r="F419" s="33">
        <f>E419*F411</f>
        <v>1.1039999999999999</v>
      </c>
      <c r="G419" s="17"/>
      <c r="H419" s="18">
        <f t="shared" si="14"/>
        <v>0</v>
      </c>
    </row>
    <row r="420" spans="1:8" ht="67.5">
      <c r="A420" s="62" t="s">
        <v>137</v>
      </c>
      <c r="B420" s="9" t="s">
        <v>365</v>
      </c>
      <c r="C420" s="20" t="s">
        <v>366</v>
      </c>
      <c r="D420" s="153" t="s">
        <v>33</v>
      </c>
      <c r="E420" s="11"/>
      <c r="F420" s="12">
        <v>46.6</v>
      </c>
      <c r="G420" s="11"/>
      <c r="H420" s="13">
        <f>SUM(H421:H424)</f>
        <v>0</v>
      </c>
    </row>
    <row r="421" spans="1:8">
      <c r="A421" s="64"/>
      <c r="B421" s="15" t="s">
        <v>17</v>
      </c>
      <c r="C421" s="16" t="s">
        <v>28</v>
      </c>
      <c r="D421" s="17" t="s">
        <v>19</v>
      </c>
      <c r="E421" s="17">
        <v>0.85099999999999998</v>
      </c>
      <c r="F421" s="134">
        <f>E421*F420</f>
        <v>39.656599999999997</v>
      </c>
      <c r="G421" s="17"/>
      <c r="H421" s="19">
        <f>F421*G421</f>
        <v>0</v>
      </c>
    </row>
    <row r="422" spans="1:8">
      <c r="A422" s="64"/>
      <c r="B422" s="15" t="s">
        <v>17</v>
      </c>
      <c r="C422" s="16" t="s">
        <v>367</v>
      </c>
      <c r="D422" s="17" t="s">
        <v>3</v>
      </c>
      <c r="E422" s="17">
        <v>4.8300000000000003E-2</v>
      </c>
      <c r="F422" s="134">
        <f>E422*F420</f>
        <v>2.2507800000000002</v>
      </c>
      <c r="G422" s="17"/>
      <c r="H422" s="18">
        <f>F422*G422</f>
        <v>0</v>
      </c>
    </row>
    <row r="423" spans="1:8" ht="27">
      <c r="A423" s="64"/>
      <c r="B423" s="15" t="s">
        <v>52</v>
      </c>
      <c r="C423" s="16" t="s">
        <v>368</v>
      </c>
      <c r="D423" s="17" t="s">
        <v>23</v>
      </c>
      <c r="E423" s="17">
        <v>5.1499999999999997E-2</v>
      </c>
      <c r="F423" s="134">
        <f>E423*F420</f>
        <v>2.3999000000000001</v>
      </c>
      <c r="G423" s="29"/>
      <c r="H423" s="18">
        <f>F423*G423</f>
        <v>0</v>
      </c>
    </row>
    <row r="424" spans="1:8">
      <c r="A424" s="64"/>
      <c r="B424" s="23" t="s">
        <v>52</v>
      </c>
      <c r="C424" s="16" t="s">
        <v>369</v>
      </c>
      <c r="D424" s="17" t="s">
        <v>123</v>
      </c>
      <c r="E424" s="17">
        <v>0.23300000000000001</v>
      </c>
      <c r="F424" s="134">
        <f>E424*F420</f>
        <v>10.857800000000001</v>
      </c>
      <c r="G424" s="17"/>
      <c r="H424" s="18">
        <f>F424*G424</f>
        <v>0</v>
      </c>
    </row>
    <row r="425" spans="1:8" ht="48">
      <c r="A425" s="62" t="s">
        <v>139</v>
      </c>
      <c r="B425" s="9" t="s">
        <v>370</v>
      </c>
      <c r="C425" s="20" t="s">
        <v>371</v>
      </c>
      <c r="D425" s="153" t="s">
        <v>33</v>
      </c>
      <c r="E425" s="11"/>
      <c r="F425" s="12">
        <v>550</v>
      </c>
      <c r="G425" s="11"/>
      <c r="H425" s="13">
        <f>SUM(H426:H429)</f>
        <v>0</v>
      </c>
    </row>
    <row r="426" spans="1:8">
      <c r="A426" s="64"/>
      <c r="B426" s="15" t="s">
        <v>17</v>
      </c>
      <c r="C426" s="16" t="s">
        <v>28</v>
      </c>
      <c r="D426" s="17" t="s">
        <v>19</v>
      </c>
      <c r="E426" s="17">
        <v>0.255</v>
      </c>
      <c r="F426" s="134">
        <f>E426*F425</f>
        <v>140.25</v>
      </c>
      <c r="G426" s="17"/>
      <c r="H426" s="19">
        <f>F426*G426</f>
        <v>0</v>
      </c>
    </row>
    <row r="427" spans="1:8">
      <c r="A427" s="64"/>
      <c r="B427" s="15" t="s">
        <v>17</v>
      </c>
      <c r="C427" s="16" t="s">
        <v>367</v>
      </c>
      <c r="D427" s="17" t="s">
        <v>3</v>
      </c>
      <c r="E427" s="17">
        <v>9.9000000000000008E-3</v>
      </c>
      <c r="F427" s="134">
        <f>E427*F425</f>
        <v>5.4450000000000003</v>
      </c>
      <c r="G427" s="17"/>
      <c r="H427" s="18">
        <f>F427*G427</f>
        <v>0</v>
      </c>
    </row>
    <row r="428" spans="1:8">
      <c r="A428" s="64"/>
      <c r="B428" s="15" t="s">
        <v>113</v>
      </c>
      <c r="C428" s="16" t="s">
        <v>361</v>
      </c>
      <c r="D428" s="17" t="s">
        <v>23</v>
      </c>
      <c r="E428" s="17">
        <v>1.2999999999999999E-2</v>
      </c>
      <c r="F428" s="134">
        <f>E428*F425</f>
        <v>7.1499999999999995</v>
      </c>
      <c r="G428" s="19"/>
      <c r="H428" s="18">
        <f>F428*G428</f>
        <v>0</v>
      </c>
    </row>
    <row r="429" spans="1:8">
      <c r="A429" s="64"/>
      <c r="B429" s="24" t="s">
        <v>17</v>
      </c>
      <c r="C429" s="16" t="s">
        <v>372</v>
      </c>
      <c r="D429" s="16" t="s">
        <v>3</v>
      </c>
      <c r="E429" s="70">
        <v>6.1000000000000004E-3</v>
      </c>
      <c r="F429" s="70">
        <f>F425*E429</f>
        <v>3.3550000000000004</v>
      </c>
      <c r="G429" s="44"/>
      <c r="H429" s="43">
        <f>F429*G429</f>
        <v>0</v>
      </c>
    </row>
    <row r="430" spans="1:8" ht="48">
      <c r="A430" s="62" t="s">
        <v>253</v>
      </c>
      <c r="B430" s="9" t="s">
        <v>373</v>
      </c>
      <c r="C430" s="20" t="s">
        <v>374</v>
      </c>
      <c r="D430" s="153" t="s">
        <v>33</v>
      </c>
      <c r="E430" s="11"/>
      <c r="F430" s="12">
        <f>F425</f>
        <v>550</v>
      </c>
      <c r="G430" s="11"/>
      <c r="H430" s="13">
        <f>SUM(H431:H434)</f>
        <v>0</v>
      </c>
    </row>
    <row r="431" spans="1:8">
      <c r="A431" s="64"/>
      <c r="B431" s="15" t="s">
        <v>17</v>
      </c>
      <c r="C431" s="16" t="s">
        <v>375</v>
      </c>
      <c r="D431" s="17" t="s">
        <v>19</v>
      </c>
      <c r="E431" s="17">
        <f>0.782*0.8</f>
        <v>0.62560000000000004</v>
      </c>
      <c r="F431" s="134">
        <f>E431*F430</f>
        <v>344.08000000000004</v>
      </c>
      <c r="G431" s="17"/>
      <c r="H431" s="19">
        <f>F431*G431</f>
        <v>0</v>
      </c>
    </row>
    <row r="432" spans="1:8">
      <c r="A432" s="64"/>
      <c r="B432" s="15" t="s">
        <v>17</v>
      </c>
      <c r="C432" s="16" t="s">
        <v>376</v>
      </c>
      <c r="D432" s="17" t="s">
        <v>3</v>
      </c>
      <c r="E432" s="17">
        <f>0.0382*0.8</f>
        <v>3.056E-2</v>
      </c>
      <c r="F432" s="134">
        <f>E432*F430</f>
        <v>16.808</v>
      </c>
      <c r="G432" s="17"/>
      <c r="H432" s="18">
        <f>F432*G432</f>
        <v>0</v>
      </c>
    </row>
    <row r="433" spans="1:8">
      <c r="A433" s="64"/>
      <c r="B433" s="15" t="s">
        <v>113</v>
      </c>
      <c r="C433" s="16" t="s">
        <v>377</v>
      </c>
      <c r="D433" s="17" t="s">
        <v>23</v>
      </c>
      <c r="E433" s="17">
        <f>0.02625*0.8</f>
        <v>2.1000000000000001E-2</v>
      </c>
      <c r="F433" s="134">
        <f>E433*F430</f>
        <v>11.55</v>
      </c>
      <c r="G433" s="19"/>
      <c r="H433" s="18">
        <f>F433*G433</f>
        <v>0</v>
      </c>
    </row>
    <row r="434" spans="1:8">
      <c r="A434" s="64"/>
      <c r="B434" s="23" t="s">
        <v>52</v>
      </c>
      <c r="C434" s="16" t="s">
        <v>378</v>
      </c>
      <c r="D434" s="17" t="s">
        <v>123</v>
      </c>
      <c r="E434" s="17">
        <f>0.138*0.8</f>
        <v>0.11040000000000001</v>
      </c>
      <c r="F434" s="134">
        <f>E434*F430</f>
        <v>60.720000000000006</v>
      </c>
      <c r="G434" s="17"/>
      <c r="H434" s="18">
        <f>F434*G434</f>
        <v>0</v>
      </c>
    </row>
    <row r="435" spans="1:8" ht="48">
      <c r="A435" s="62" t="s">
        <v>147</v>
      </c>
      <c r="B435" s="9" t="s">
        <v>365</v>
      </c>
      <c r="C435" s="20" t="s">
        <v>379</v>
      </c>
      <c r="D435" s="153" t="s">
        <v>33</v>
      </c>
      <c r="E435" s="11"/>
      <c r="F435" s="12">
        <f>F430</f>
        <v>550</v>
      </c>
      <c r="G435" s="11"/>
      <c r="H435" s="13">
        <f>SUM(H436:H439)</f>
        <v>0</v>
      </c>
    </row>
    <row r="436" spans="1:8">
      <c r="A436" s="64"/>
      <c r="B436" s="15" t="s">
        <v>17</v>
      </c>
      <c r="C436" s="16" t="s">
        <v>18</v>
      </c>
      <c r="D436" s="17" t="s">
        <v>19</v>
      </c>
      <c r="E436" s="17">
        <v>0.85099999999999998</v>
      </c>
      <c r="F436" s="134">
        <f>E436*F435</f>
        <v>468.05</v>
      </c>
      <c r="G436" s="17"/>
      <c r="H436" s="19">
        <f>F436*G436</f>
        <v>0</v>
      </c>
    </row>
    <row r="437" spans="1:8">
      <c r="A437" s="64"/>
      <c r="B437" s="15" t="s">
        <v>17</v>
      </c>
      <c r="C437" s="16" t="s">
        <v>367</v>
      </c>
      <c r="D437" s="17" t="s">
        <v>3</v>
      </c>
      <c r="E437" s="17">
        <v>4.8300000000000003E-2</v>
      </c>
      <c r="F437" s="134">
        <f>E437*F435</f>
        <v>26.565000000000001</v>
      </c>
      <c r="G437" s="17"/>
      <c r="H437" s="18">
        <f>F437*G437</f>
        <v>0</v>
      </c>
    </row>
    <row r="438" spans="1:8" ht="27">
      <c r="A438" s="64"/>
      <c r="B438" s="15" t="s">
        <v>52</v>
      </c>
      <c r="C438" s="16" t="s">
        <v>380</v>
      </c>
      <c r="D438" s="17" t="s">
        <v>23</v>
      </c>
      <c r="E438" s="17">
        <v>3.8100000000000002E-2</v>
      </c>
      <c r="F438" s="134">
        <f>E438*F435</f>
        <v>20.955000000000002</v>
      </c>
      <c r="G438" s="29"/>
      <c r="H438" s="18">
        <f>F438*G438</f>
        <v>0</v>
      </c>
    </row>
    <row r="439" spans="1:8">
      <c r="A439" s="64"/>
      <c r="B439" s="23" t="s">
        <v>52</v>
      </c>
      <c r="C439" s="16" t="s">
        <v>369</v>
      </c>
      <c r="D439" s="17" t="s">
        <v>123</v>
      </c>
      <c r="E439" s="17">
        <v>0.23300000000000001</v>
      </c>
      <c r="F439" s="134">
        <f>E439*F435</f>
        <v>128.15</v>
      </c>
      <c r="G439" s="17"/>
      <c r="H439" s="18">
        <f>F439*G439</f>
        <v>0</v>
      </c>
    </row>
    <row r="440" spans="1:8" ht="67.5">
      <c r="A440" s="62" t="s">
        <v>153</v>
      </c>
      <c r="B440" s="9" t="s">
        <v>354</v>
      </c>
      <c r="C440" s="10" t="s">
        <v>381</v>
      </c>
      <c r="D440" s="10" t="s">
        <v>45</v>
      </c>
      <c r="E440" s="10"/>
      <c r="F440" s="60">
        <v>192</v>
      </c>
      <c r="G440" s="10"/>
      <c r="H440" s="39">
        <f>SUM(H441:H444)</f>
        <v>0</v>
      </c>
    </row>
    <row r="441" spans="1:8">
      <c r="A441" s="64"/>
      <c r="B441" s="15" t="s">
        <v>17</v>
      </c>
      <c r="C441" s="16" t="s">
        <v>18</v>
      </c>
      <c r="D441" s="16" t="s">
        <v>19</v>
      </c>
      <c r="E441" s="16">
        <f>7.94/100</f>
        <v>7.9399999999999998E-2</v>
      </c>
      <c r="F441" s="43">
        <f>E441*F440</f>
        <v>15.2448</v>
      </c>
      <c r="G441" s="16"/>
      <c r="H441" s="44">
        <f>G441*F441</f>
        <v>0</v>
      </c>
    </row>
    <row r="442" spans="1:8">
      <c r="A442" s="64"/>
      <c r="B442" s="15" t="s">
        <v>17</v>
      </c>
      <c r="C442" s="16" t="s">
        <v>20</v>
      </c>
      <c r="D442" s="16" t="s">
        <v>3</v>
      </c>
      <c r="E442" s="16">
        <f>0.13/100</f>
        <v>1.2999999999999999E-3</v>
      </c>
      <c r="F442" s="43">
        <f>E442*F440</f>
        <v>0.24959999999999999</v>
      </c>
      <c r="G442" s="16"/>
      <c r="H442" s="44">
        <f>G442*F442</f>
        <v>0</v>
      </c>
    </row>
    <row r="443" spans="1:8" ht="27">
      <c r="A443" s="64"/>
      <c r="B443" s="15" t="s">
        <v>382</v>
      </c>
      <c r="C443" s="16" t="s">
        <v>383</v>
      </c>
      <c r="D443" s="16" t="s">
        <v>384</v>
      </c>
      <c r="E443" s="16">
        <f>112/100</f>
        <v>1.1200000000000001</v>
      </c>
      <c r="F443" s="43">
        <f>E443*F440</f>
        <v>215.04000000000002</v>
      </c>
      <c r="G443" s="16"/>
      <c r="H443" s="44">
        <f>G443*F443</f>
        <v>0</v>
      </c>
    </row>
    <row r="444" spans="1:8">
      <c r="A444" s="64"/>
      <c r="B444" s="15" t="s">
        <v>17</v>
      </c>
      <c r="C444" s="16" t="s">
        <v>385</v>
      </c>
      <c r="D444" s="16" t="s">
        <v>3</v>
      </c>
      <c r="E444" s="16">
        <f>0.14/100</f>
        <v>1.4000000000000002E-3</v>
      </c>
      <c r="F444" s="43">
        <f>E444*F440</f>
        <v>0.26880000000000004</v>
      </c>
      <c r="G444" s="16"/>
      <c r="H444" s="44">
        <f>G444*F444</f>
        <v>0</v>
      </c>
    </row>
    <row r="445" spans="1:8" ht="48">
      <c r="A445" s="62" t="s">
        <v>157</v>
      </c>
      <c r="B445" s="9" t="s">
        <v>386</v>
      </c>
      <c r="C445" s="10" t="s">
        <v>387</v>
      </c>
      <c r="D445" s="153" t="s">
        <v>388</v>
      </c>
      <c r="E445" s="10"/>
      <c r="F445" s="69">
        <v>610</v>
      </c>
      <c r="G445" s="76"/>
      <c r="H445" s="39">
        <f>SUM(H446:H451)</f>
        <v>0</v>
      </c>
    </row>
    <row r="446" spans="1:8">
      <c r="A446" s="64"/>
      <c r="B446" s="24" t="s">
        <v>17</v>
      </c>
      <c r="C446" s="16" t="s">
        <v>18</v>
      </c>
      <c r="D446" s="16" t="s">
        <v>19</v>
      </c>
      <c r="E446" s="70">
        <v>0.74099999999999999</v>
      </c>
      <c r="F446" s="70">
        <f>E446*F445</f>
        <v>452.01</v>
      </c>
      <c r="G446" s="43"/>
      <c r="H446" s="44">
        <f t="shared" ref="H446:H451" si="15">F446*G446</f>
        <v>0</v>
      </c>
    </row>
    <row r="447" spans="1:8">
      <c r="A447" s="64"/>
      <c r="B447" s="24" t="s">
        <v>17</v>
      </c>
      <c r="C447" s="16" t="s">
        <v>233</v>
      </c>
      <c r="D447" s="16" t="s">
        <v>3</v>
      </c>
      <c r="E447" s="66">
        <v>1E-3</v>
      </c>
      <c r="F447" s="70">
        <f>F445*E447</f>
        <v>0.61</v>
      </c>
      <c r="G447" s="44"/>
      <c r="H447" s="43">
        <f t="shared" si="15"/>
        <v>0</v>
      </c>
    </row>
    <row r="448" spans="1:8">
      <c r="A448" s="64"/>
      <c r="B448" s="15" t="s">
        <v>389</v>
      </c>
      <c r="C448" s="16" t="s">
        <v>390</v>
      </c>
      <c r="D448" s="16" t="s">
        <v>123</v>
      </c>
      <c r="E448" s="70">
        <v>0.255</v>
      </c>
      <c r="F448" s="70">
        <f>F445*E448</f>
        <v>155.55000000000001</v>
      </c>
      <c r="G448" s="44"/>
      <c r="H448" s="43">
        <f t="shared" si="15"/>
        <v>0</v>
      </c>
    </row>
    <row r="449" spans="1:8">
      <c r="A449" s="64"/>
      <c r="B449" s="15" t="s">
        <v>52</v>
      </c>
      <c r="C449" s="16" t="s">
        <v>391</v>
      </c>
      <c r="D449" s="16" t="s">
        <v>123</v>
      </c>
      <c r="E449" s="70">
        <v>0.82</v>
      </c>
      <c r="F449" s="70">
        <f>F445*E449</f>
        <v>500.2</v>
      </c>
      <c r="G449" s="43"/>
      <c r="H449" s="43">
        <f t="shared" si="15"/>
        <v>0</v>
      </c>
    </row>
    <row r="450" spans="1:8">
      <c r="A450" s="64"/>
      <c r="B450" s="15" t="s">
        <v>258</v>
      </c>
      <c r="C450" s="16" t="s">
        <v>392</v>
      </c>
      <c r="D450" s="16" t="s">
        <v>123</v>
      </c>
      <c r="E450" s="70">
        <v>0.127</v>
      </c>
      <c r="F450" s="70">
        <f>F445*E450</f>
        <v>77.47</v>
      </c>
      <c r="G450" s="43"/>
      <c r="H450" s="43">
        <f t="shared" si="15"/>
        <v>0</v>
      </c>
    </row>
    <row r="451" spans="1:8">
      <c r="A451" s="64"/>
      <c r="B451" s="24" t="s">
        <v>17</v>
      </c>
      <c r="C451" s="42" t="s">
        <v>190</v>
      </c>
      <c r="D451" s="16" t="s">
        <v>3</v>
      </c>
      <c r="E451" s="70">
        <v>1.7000000000000001E-2</v>
      </c>
      <c r="F451" s="70">
        <f>F445*E451</f>
        <v>10.370000000000001</v>
      </c>
      <c r="G451" s="44"/>
      <c r="H451" s="43">
        <f t="shared" si="15"/>
        <v>0</v>
      </c>
    </row>
    <row r="452" spans="1:8" ht="81">
      <c r="A452" s="8">
        <v>19</v>
      </c>
      <c r="B452" s="9" t="s">
        <v>393</v>
      </c>
      <c r="C452" s="10" t="s">
        <v>1672</v>
      </c>
      <c r="D452" s="153" t="s">
        <v>33</v>
      </c>
      <c r="E452" s="10"/>
      <c r="F452" s="69">
        <v>889</v>
      </c>
      <c r="G452" s="10"/>
      <c r="H452" s="39">
        <f>SUM(H453:H457)</f>
        <v>0</v>
      </c>
    </row>
    <row r="453" spans="1:8">
      <c r="A453" s="14"/>
      <c r="B453" s="24" t="s">
        <v>17</v>
      </c>
      <c r="C453" s="28" t="s">
        <v>28</v>
      </c>
      <c r="D453" s="16" t="s">
        <v>19</v>
      </c>
      <c r="E453" s="16">
        <v>1.08</v>
      </c>
      <c r="F453" s="72">
        <f>E453*F452</f>
        <v>960.12000000000012</v>
      </c>
      <c r="G453" s="16"/>
      <c r="H453" s="44">
        <f>G453*F453</f>
        <v>0</v>
      </c>
    </row>
    <row r="454" spans="1:8">
      <c r="A454" s="14"/>
      <c r="B454" s="24" t="s">
        <v>17</v>
      </c>
      <c r="C454" s="16" t="s">
        <v>20</v>
      </c>
      <c r="D454" s="16" t="s">
        <v>3</v>
      </c>
      <c r="E454" s="16">
        <v>4.5199999999999997E-2</v>
      </c>
      <c r="F454" s="72">
        <f>E454*F452</f>
        <v>40.1828</v>
      </c>
      <c r="G454" s="16"/>
      <c r="H454" s="44">
        <f>G454*F454</f>
        <v>0</v>
      </c>
    </row>
    <row r="455" spans="1:8">
      <c r="A455" s="14"/>
      <c r="B455" s="154" t="s">
        <v>394</v>
      </c>
      <c r="C455" s="16" t="s">
        <v>395</v>
      </c>
      <c r="D455" s="16" t="s">
        <v>16</v>
      </c>
      <c r="E455" s="16">
        <v>1.02</v>
      </c>
      <c r="F455" s="72">
        <f>E455*F452</f>
        <v>906.78</v>
      </c>
      <c r="G455" s="28"/>
      <c r="H455" s="44">
        <f>G455*F455</f>
        <v>0</v>
      </c>
    </row>
    <row r="456" spans="1:8">
      <c r="A456" s="14"/>
      <c r="B456" s="154" t="s">
        <v>396</v>
      </c>
      <c r="C456" s="16" t="s">
        <v>397</v>
      </c>
      <c r="D456" s="16" t="s">
        <v>123</v>
      </c>
      <c r="E456" s="16">
        <v>8</v>
      </c>
      <c r="F456" s="72">
        <f>E456*F452</f>
        <v>7112</v>
      </c>
      <c r="G456" s="16"/>
      <c r="H456" s="44">
        <f>G456*F456</f>
        <v>0</v>
      </c>
    </row>
    <row r="457" spans="1:8">
      <c r="A457" s="14"/>
      <c r="B457" s="15" t="s">
        <v>17</v>
      </c>
      <c r="C457" s="16" t="s">
        <v>190</v>
      </c>
      <c r="D457" s="16" t="s">
        <v>3</v>
      </c>
      <c r="E457" s="16">
        <v>4.6600000000000003E-2</v>
      </c>
      <c r="F457" s="72">
        <f>E457*F452</f>
        <v>41.427400000000006</v>
      </c>
      <c r="G457" s="16"/>
      <c r="H457" s="44">
        <f>G457*F457</f>
        <v>0</v>
      </c>
    </row>
    <row r="458" spans="1:8" ht="72">
      <c r="A458" s="8">
        <v>20</v>
      </c>
      <c r="B458" s="9" t="s">
        <v>398</v>
      </c>
      <c r="C458" s="10" t="s">
        <v>399</v>
      </c>
      <c r="D458" s="153" t="s">
        <v>45</v>
      </c>
      <c r="E458" s="10"/>
      <c r="F458" s="60">
        <v>584</v>
      </c>
      <c r="G458" s="10"/>
      <c r="H458" s="39">
        <f>SUM(H459:H462)</f>
        <v>0</v>
      </c>
    </row>
    <row r="459" spans="1:8">
      <c r="A459" s="14"/>
      <c r="B459" s="24" t="s">
        <v>17</v>
      </c>
      <c r="C459" s="16" t="s">
        <v>28</v>
      </c>
      <c r="D459" s="16" t="s">
        <v>19</v>
      </c>
      <c r="E459" s="16">
        <v>0.26900000000000002</v>
      </c>
      <c r="F459" s="72">
        <f>E459*F458</f>
        <v>157.096</v>
      </c>
      <c r="G459" s="16"/>
      <c r="H459" s="44">
        <f>G459*F459</f>
        <v>0</v>
      </c>
    </row>
    <row r="460" spans="1:8">
      <c r="A460" s="14"/>
      <c r="B460" s="24" t="s">
        <v>17</v>
      </c>
      <c r="C460" s="16" t="s">
        <v>20</v>
      </c>
      <c r="D460" s="16" t="s">
        <v>3</v>
      </c>
      <c r="E460" s="16">
        <v>1.1599999999999999E-2</v>
      </c>
      <c r="F460" s="72">
        <f>E460*F458</f>
        <v>6.7744</v>
      </c>
      <c r="G460" s="16"/>
      <c r="H460" s="44">
        <f>G460*F460</f>
        <v>0</v>
      </c>
    </row>
    <row r="461" spans="1:8">
      <c r="A461" s="14"/>
      <c r="B461" s="154" t="s">
        <v>394</v>
      </c>
      <c r="C461" s="16" t="s">
        <v>395</v>
      </c>
      <c r="D461" s="16" t="s">
        <v>16</v>
      </c>
      <c r="E461" s="16">
        <v>0.08</v>
      </c>
      <c r="F461" s="72">
        <f>E461*F458</f>
        <v>46.72</v>
      </c>
      <c r="G461" s="28"/>
      <c r="H461" s="44">
        <f>G461*F461</f>
        <v>0</v>
      </c>
    </row>
    <row r="462" spans="1:8">
      <c r="A462" s="14"/>
      <c r="B462" s="154" t="s">
        <v>396</v>
      </c>
      <c r="C462" s="16" t="s">
        <v>397</v>
      </c>
      <c r="D462" s="16" t="s">
        <v>123</v>
      </c>
      <c r="E462" s="16">
        <v>0.65</v>
      </c>
      <c r="F462" s="72">
        <f>E462*F458</f>
        <v>379.6</v>
      </c>
      <c r="G462" s="16"/>
      <c r="H462" s="44">
        <f>G462*F462</f>
        <v>0</v>
      </c>
    </row>
    <row r="463" spans="1:8" ht="81">
      <c r="A463" s="8">
        <v>21</v>
      </c>
      <c r="B463" s="9" t="s">
        <v>393</v>
      </c>
      <c r="C463" s="10" t="s">
        <v>1673</v>
      </c>
      <c r="D463" s="153" t="s">
        <v>33</v>
      </c>
      <c r="E463" s="10"/>
      <c r="F463" s="69">
        <v>208.9</v>
      </c>
      <c r="G463" s="10"/>
      <c r="H463" s="39">
        <f>SUM(H464:H468)</f>
        <v>0</v>
      </c>
    </row>
    <row r="464" spans="1:8">
      <c r="A464" s="14"/>
      <c r="B464" s="24" t="s">
        <v>17</v>
      </c>
      <c r="C464" s="28" t="s">
        <v>28</v>
      </c>
      <c r="D464" s="16" t="s">
        <v>19</v>
      </c>
      <c r="E464" s="16">
        <v>1.08</v>
      </c>
      <c r="F464" s="135">
        <f>E464*F463</f>
        <v>225.61200000000002</v>
      </c>
      <c r="G464" s="16"/>
      <c r="H464" s="44">
        <f>G464*F464</f>
        <v>0</v>
      </c>
    </row>
    <row r="465" spans="1:8">
      <c r="A465" s="14"/>
      <c r="B465" s="24" t="s">
        <v>17</v>
      </c>
      <c r="C465" s="16" t="s">
        <v>20</v>
      </c>
      <c r="D465" s="16" t="s">
        <v>3</v>
      </c>
      <c r="E465" s="16">
        <v>4.5199999999999997E-2</v>
      </c>
      <c r="F465" s="135">
        <f>E465*F463</f>
        <v>9.4422800000000002</v>
      </c>
      <c r="G465" s="16"/>
      <c r="H465" s="44">
        <f>G465*F465</f>
        <v>0</v>
      </c>
    </row>
    <row r="466" spans="1:8">
      <c r="A466" s="14"/>
      <c r="B466" s="154" t="s">
        <v>400</v>
      </c>
      <c r="C466" s="16" t="s">
        <v>401</v>
      </c>
      <c r="D466" s="16" t="s">
        <v>16</v>
      </c>
      <c r="E466" s="16">
        <v>1.02</v>
      </c>
      <c r="F466" s="135">
        <f>E466*F463</f>
        <v>213.078</v>
      </c>
      <c r="G466" s="28"/>
      <c r="H466" s="44">
        <f>G466*F466</f>
        <v>0</v>
      </c>
    </row>
    <row r="467" spans="1:8">
      <c r="A467" s="14"/>
      <c r="B467" s="154" t="s">
        <v>396</v>
      </c>
      <c r="C467" s="16" t="s">
        <v>397</v>
      </c>
      <c r="D467" s="16" t="s">
        <v>123</v>
      </c>
      <c r="E467" s="16">
        <v>8</v>
      </c>
      <c r="F467" s="135">
        <f>E467*F463</f>
        <v>1671.2</v>
      </c>
      <c r="G467" s="16"/>
      <c r="H467" s="44">
        <f>G467*F467</f>
        <v>0</v>
      </c>
    </row>
    <row r="468" spans="1:8">
      <c r="A468" s="14"/>
      <c r="B468" s="15" t="s">
        <v>17</v>
      </c>
      <c r="C468" s="16" t="s">
        <v>190</v>
      </c>
      <c r="D468" s="16" t="s">
        <v>3</v>
      </c>
      <c r="E468" s="16">
        <v>4.6600000000000003E-2</v>
      </c>
      <c r="F468" s="135">
        <f>E468*F463</f>
        <v>9.7347400000000004</v>
      </c>
      <c r="G468" s="16"/>
      <c r="H468" s="44">
        <f>G468*F468</f>
        <v>0</v>
      </c>
    </row>
    <row r="469" spans="1:8" ht="72">
      <c r="A469" s="8">
        <v>22</v>
      </c>
      <c r="B469" s="9" t="s">
        <v>398</v>
      </c>
      <c r="C469" s="10" t="s">
        <v>402</v>
      </c>
      <c r="D469" s="153" t="s">
        <v>45</v>
      </c>
      <c r="E469" s="10"/>
      <c r="F469" s="60">
        <v>81</v>
      </c>
      <c r="G469" s="10"/>
      <c r="H469" s="39">
        <f>SUM(H470:H473)</f>
        <v>0</v>
      </c>
    </row>
    <row r="470" spans="1:8">
      <c r="A470" s="14"/>
      <c r="B470" s="24" t="s">
        <v>17</v>
      </c>
      <c r="C470" s="16" t="s">
        <v>28</v>
      </c>
      <c r="D470" s="16" t="s">
        <v>19</v>
      </c>
      <c r="E470" s="16">
        <v>0.26900000000000002</v>
      </c>
      <c r="F470" s="72">
        <f>E470*F469</f>
        <v>21.789000000000001</v>
      </c>
      <c r="G470" s="16"/>
      <c r="H470" s="44">
        <f>G470*F470</f>
        <v>0</v>
      </c>
    </row>
    <row r="471" spans="1:8">
      <c r="A471" s="14"/>
      <c r="B471" s="24" t="s">
        <v>17</v>
      </c>
      <c r="C471" s="16" t="s">
        <v>20</v>
      </c>
      <c r="D471" s="16" t="s">
        <v>3</v>
      </c>
      <c r="E471" s="16">
        <v>1.1599999999999999E-2</v>
      </c>
      <c r="F471" s="72">
        <f>E471*F469</f>
        <v>0.93959999999999999</v>
      </c>
      <c r="G471" s="16"/>
      <c r="H471" s="44">
        <f>G471*F471</f>
        <v>0</v>
      </c>
    </row>
    <row r="472" spans="1:8">
      <c r="A472" s="14"/>
      <c r="B472" s="154" t="s">
        <v>394</v>
      </c>
      <c r="C472" s="16" t="s">
        <v>403</v>
      </c>
      <c r="D472" s="16" t="s">
        <v>16</v>
      </c>
      <c r="E472" s="16">
        <v>0.08</v>
      </c>
      <c r="F472" s="72">
        <f>E472*F469</f>
        <v>6.48</v>
      </c>
      <c r="G472" s="28"/>
      <c r="H472" s="44">
        <f>G472*F472</f>
        <v>0</v>
      </c>
    </row>
    <row r="473" spans="1:8">
      <c r="A473" s="14"/>
      <c r="B473" s="154" t="s">
        <v>396</v>
      </c>
      <c r="C473" s="16" t="s">
        <v>397</v>
      </c>
      <c r="D473" s="16" t="s">
        <v>123</v>
      </c>
      <c r="E473" s="16">
        <v>0.65</v>
      </c>
      <c r="F473" s="72">
        <f>E473*F469</f>
        <v>52.65</v>
      </c>
      <c r="G473" s="16"/>
      <c r="H473" s="44">
        <f>G473*F473</f>
        <v>0</v>
      </c>
    </row>
    <row r="474" spans="1:8" ht="72">
      <c r="A474" s="8">
        <v>23</v>
      </c>
      <c r="B474" s="73" t="s">
        <v>404</v>
      </c>
      <c r="C474" s="10" t="s">
        <v>405</v>
      </c>
      <c r="D474" s="10" t="s">
        <v>209</v>
      </c>
      <c r="E474" s="20"/>
      <c r="F474" s="69">
        <v>100</v>
      </c>
      <c r="G474" s="20"/>
      <c r="H474" s="13">
        <f>SUM(H475:H479)</f>
        <v>0</v>
      </c>
    </row>
    <row r="475" spans="1:8">
      <c r="A475" s="64"/>
      <c r="B475" s="67" t="s">
        <v>17</v>
      </c>
      <c r="C475" s="16" t="s">
        <v>406</v>
      </c>
      <c r="D475" s="16" t="s">
        <v>19</v>
      </c>
      <c r="E475" s="28">
        <f>6.43*(0.3*0.15*1.3)</f>
        <v>0.37615499999999996</v>
      </c>
      <c r="F475" s="70">
        <f>E475*F474</f>
        <v>37.615499999999997</v>
      </c>
      <c r="G475" s="16"/>
      <c r="H475" s="19">
        <f>G475*F475</f>
        <v>0</v>
      </c>
    </row>
    <row r="476" spans="1:8">
      <c r="A476" s="64"/>
      <c r="B476" s="15" t="s">
        <v>17</v>
      </c>
      <c r="C476" s="28" t="s">
        <v>407</v>
      </c>
      <c r="D476" s="28" t="s">
        <v>3</v>
      </c>
      <c r="E476" s="28">
        <f>0.91*(0.3*0.15*1.3)</f>
        <v>5.3234999999999998E-2</v>
      </c>
      <c r="F476" s="72">
        <f>E476*F474</f>
        <v>5.3235000000000001</v>
      </c>
      <c r="G476" s="28"/>
      <c r="H476" s="19">
        <f>G476*F476</f>
        <v>0</v>
      </c>
    </row>
    <row r="477" spans="1:8" ht="27">
      <c r="A477" s="64"/>
      <c r="B477" s="154" t="s">
        <v>408</v>
      </c>
      <c r="C477" s="28" t="s">
        <v>409</v>
      </c>
      <c r="D477" s="28" t="s">
        <v>209</v>
      </c>
      <c r="E477" s="28">
        <v>1</v>
      </c>
      <c r="F477" s="44">
        <f>E477*F474</f>
        <v>100</v>
      </c>
      <c r="G477" s="28"/>
      <c r="H477" s="19">
        <f>G477*F477</f>
        <v>0</v>
      </c>
    </row>
    <row r="478" spans="1:8" ht="27">
      <c r="A478" s="64"/>
      <c r="B478" s="15" t="s">
        <v>362</v>
      </c>
      <c r="C478" s="28" t="s">
        <v>410</v>
      </c>
      <c r="D478" s="28" t="s">
        <v>75</v>
      </c>
      <c r="E478" s="28">
        <f>0.0319*(0.3*0.15*1.3)</f>
        <v>1.8661499999999998E-3</v>
      </c>
      <c r="F478" s="72">
        <f>E478*F474</f>
        <v>0.18661499999999998</v>
      </c>
      <c r="G478" s="28"/>
      <c r="H478" s="19">
        <f>G478*F478</f>
        <v>0</v>
      </c>
    </row>
    <row r="479" spans="1:8">
      <c r="A479" s="64"/>
      <c r="B479" s="15" t="s">
        <v>17</v>
      </c>
      <c r="C479" s="28" t="s">
        <v>411</v>
      </c>
      <c r="D479" s="28" t="s">
        <v>3</v>
      </c>
      <c r="E479" s="28">
        <f>0.58*(0.3*0.15*1.3)</f>
        <v>3.3929999999999995E-2</v>
      </c>
      <c r="F479" s="72">
        <f>F474*E479</f>
        <v>3.3929999999999993</v>
      </c>
      <c r="G479" s="28"/>
      <c r="H479" s="19">
        <f>G479*F479</f>
        <v>0</v>
      </c>
    </row>
    <row r="480" spans="1:8" ht="72">
      <c r="A480" s="8">
        <v>24</v>
      </c>
      <c r="B480" s="73" t="s">
        <v>404</v>
      </c>
      <c r="C480" s="10" t="s">
        <v>412</v>
      </c>
      <c r="D480" s="10" t="s">
        <v>209</v>
      </c>
      <c r="E480" s="20"/>
      <c r="F480" s="69">
        <v>4</v>
      </c>
      <c r="G480" s="20"/>
      <c r="H480" s="13">
        <f>SUM(H481:H485)</f>
        <v>0</v>
      </c>
    </row>
    <row r="481" spans="1:8">
      <c r="A481" s="64"/>
      <c r="B481" s="67" t="s">
        <v>17</v>
      </c>
      <c r="C481" s="16" t="s">
        <v>413</v>
      </c>
      <c r="D481" s="16" t="s">
        <v>19</v>
      </c>
      <c r="E481" s="28">
        <f>6.43*(0.3*0.15*1.5)</f>
        <v>0.43402499999999999</v>
      </c>
      <c r="F481" s="70">
        <f>E481*F480</f>
        <v>1.7361</v>
      </c>
      <c r="G481" s="16"/>
      <c r="H481" s="19">
        <f>G481*F481</f>
        <v>0</v>
      </c>
    </row>
    <row r="482" spans="1:8">
      <c r="A482" s="64"/>
      <c r="B482" s="15" t="s">
        <v>17</v>
      </c>
      <c r="C482" s="28" t="s">
        <v>414</v>
      </c>
      <c r="D482" s="28" t="s">
        <v>3</v>
      </c>
      <c r="E482" s="28">
        <f>0.91*(0.3*0.15*1.5)</f>
        <v>6.1425000000000007E-2</v>
      </c>
      <c r="F482" s="72">
        <f>E482*F480</f>
        <v>0.24570000000000003</v>
      </c>
      <c r="G482" s="28"/>
      <c r="H482" s="19">
        <f>G482*F482</f>
        <v>0</v>
      </c>
    </row>
    <row r="483" spans="1:8" ht="27">
      <c r="A483" s="64"/>
      <c r="B483" s="154" t="s">
        <v>415</v>
      </c>
      <c r="C483" s="28" t="s">
        <v>416</v>
      </c>
      <c r="D483" s="28" t="s">
        <v>209</v>
      </c>
      <c r="E483" s="28">
        <v>1</v>
      </c>
      <c r="F483" s="44">
        <f>E483*F480</f>
        <v>4</v>
      </c>
      <c r="G483" s="28"/>
      <c r="H483" s="19">
        <f>G483*F483</f>
        <v>0</v>
      </c>
    </row>
    <row r="484" spans="1:8" ht="27">
      <c r="A484" s="64"/>
      <c r="B484" s="15" t="s">
        <v>362</v>
      </c>
      <c r="C484" s="28" t="s">
        <v>417</v>
      </c>
      <c r="D484" s="28" t="s">
        <v>75</v>
      </c>
      <c r="E484" s="28">
        <f>0.0319*(0.3*0.15*1.5)</f>
        <v>2.1532499999999998E-3</v>
      </c>
      <c r="F484" s="72">
        <f>E484*F480</f>
        <v>8.6129999999999991E-3</v>
      </c>
      <c r="G484" s="28"/>
      <c r="H484" s="19">
        <f>G484*F484</f>
        <v>0</v>
      </c>
    </row>
    <row r="485" spans="1:8">
      <c r="A485" s="64"/>
      <c r="B485" s="15" t="s">
        <v>17</v>
      </c>
      <c r="C485" s="28" t="s">
        <v>418</v>
      </c>
      <c r="D485" s="28" t="s">
        <v>3</v>
      </c>
      <c r="E485" s="28">
        <f>0.58*(0.3*0.15*1.5)</f>
        <v>3.9149999999999997E-2</v>
      </c>
      <c r="F485" s="72">
        <f>F480*E485</f>
        <v>0.15659999999999999</v>
      </c>
      <c r="G485" s="28"/>
      <c r="H485" s="19">
        <f>G485*F485</f>
        <v>0</v>
      </c>
    </row>
    <row r="486" spans="1:8" ht="72">
      <c r="A486" s="8">
        <v>25</v>
      </c>
      <c r="B486" s="73" t="s">
        <v>404</v>
      </c>
      <c r="C486" s="10" t="s">
        <v>419</v>
      </c>
      <c r="D486" s="10" t="s">
        <v>209</v>
      </c>
      <c r="E486" s="20"/>
      <c r="F486" s="69">
        <v>7</v>
      </c>
      <c r="G486" s="20"/>
      <c r="H486" s="13">
        <f>SUM(H487:H491)</f>
        <v>0</v>
      </c>
    </row>
    <row r="487" spans="1:8" ht="27">
      <c r="A487" s="64"/>
      <c r="B487" s="67" t="s">
        <v>17</v>
      </c>
      <c r="C487" s="16" t="s">
        <v>420</v>
      </c>
      <c r="D487" s="16" t="s">
        <v>19</v>
      </c>
      <c r="E487" s="28">
        <f>6.43*(0.3*0.15*1.75)</f>
        <v>0.50636249999999994</v>
      </c>
      <c r="F487" s="70">
        <f>E487*F486</f>
        <v>3.5445374999999997</v>
      </c>
      <c r="G487" s="16"/>
      <c r="H487" s="19">
        <f>G487*F487</f>
        <v>0</v>
      </c>
    </row>
    <row r="488" spans="1:8">
      <c r="A488" s="64"/>
      <c r="B488" s="15" t="s">
        <v>17</v>
      </c>
      <c r="C488" s="28" t="s">
        <v>421</v>
      </c>
      <c r="D488" s="28" t="s">
        <v>3</v>
      </c>
      <c r="E488" s="28">
        <f>0.91*(0.3*0.15*1.75)</f>
        <v>7.1662500000000004E-2</v>
      </c>
      <c r="F488" s="72">
        <f>E488*F486</f>
        <v>0.50163750000000007</v>
      </c>
      <c r="G488" s="28"/>
      <c r="H488" s="19">
        <f>G488*F488</f>
        <v>0</v>
      </c>
    </row>
    <row r="489" spans="1:8" ht="27">
      <c r="A489" s="64"/>
      <c r="B489" s="154" t="s">
        <v>422</v>
      </c>
      <c r="C489" s="28" t="s">
        <v>423</v>
      </c>
      <c r="D489" s="28" t="s">
        <v>209</v>
      </c>
      <c r="E489" s="28">
        <v>1</v>
      </c>
      <c r="F489" s="44">
        <f>E489*F486</f>
        <v>7</v>
      </c>
      <c r="G489" s="28"/>
      <c r="H489" s="19">
        <f>G489*F489</f>
        <v>0</v>
      </c>
    </row>
    <row r="490" spans="1:8" ht="27">
      <c r="A490" s="64"/>
      <c r="B490" s="15" t="s">
        <v>362</v>
      </c>
      <c r="C490" s="28" t="s">
        <v>424</v>
      </c>
      <c r="D490" s="28" t="s">
        <v>75</v>
      </c>
      <c r="E490" s="28">
        <f>0.0319*(0.3*0.15*1.75)</f>
        <v>2.512125E-3</v>
      </c>
      <c r="F490" s="72">
        <f>E490*F486</f>
        <v>1.7584875E-2</v>
      </c>
      <c r="G490" s="28"/>
      <c r="H490" s="19">
        <f>G490*F490</f>
        <v>0</v>
      </c>
    </row>
    <row r="491" spans="1:8">
      <c r="A491" s="64"/>
      <c r="B491" s="15" t="s">
        <v>17</v>
      </c>
      <c r="C491" s="28" t="s">
        <v>425</v>
      </c>
      <c r="D491" s="28" t="s">
        <v>3</v>
      </c>
      <c r="E491" s="28">
        <f>0.58*(0.3*0.15*1.75)</f>
        <v>4.5675E-2</v>
      </c>
      <c r="F491" s="72">
        <f>F486*E491</f>
        <v>0.31972499999999998</v>
      </c>
      <c r="G491" s="28"/>
      <c r="H491" s="19">
        <f>G491*F491</f>
        <v>0</v>
      </c>
    </row>
    <row r="492" spans="1:8" ht="48">
      <c r="A492" s="8">
        <v>26</v>
      </c>
      <c r="B492" s="9" t="s">
        <v>393</v>
      </c>
      <c r="C492" s="10" t="s">
        <v>426</v>
      </c>
      <c r="D492" s="153" t="s">
        <v>33</v>
      </c>
      <c r="E492" s="10"/>
      <c r="F492" s="69">
        <v>28.6</v>
      </c>
      <c r="G492" s="10"/>
      <c r="H492" s="39">
        <f>SUM(H493:H497)</f>
        <v>0</v>
      </c>
    </row>
    <row r="493" spans="1:8">
      <c r="A493" s="14"/>
      <c r="B493" s="24" t="s">
        <v>17</v>
      </c>
      <c r="C493" s="28" t="s">
        <v>28</v>
      </c>
      <c r="D493" s="16" t="s">
        <v>19</v>
      </c>
      <c r="E493" s="16">
        <v>1.08</v>
      </c>
      <c r="F493" s="72">
        <f>E493*F492</f>
        <v>30.888000000000005</v>
      </c>
      <c r="G493" s="16"/>
      <c r="H493" s="44">
        <f>G493*F493</f>
        <v>0</v>
      </c>
    </row>
    <row r="494" spans="1:8">
      <c r="A494" s="14"/>
      <c r="B494" s="24" t="s">
        <v>17</v>
      </c>
      <c r="C494" s="16" t="s">
        <v>20</v>
      </c>
      <c r="D494" s="16" t="s">
        <v>3</v>
      </c>
      <c r="E494" s="16">
        <v>4.5199999999999997E-2</v>
      </c>
      <c r="F494" s="72">
        <f>E494*F492</f>
        <v>1.2927200000000001</v>
      </c>
      <c r="G494" s="16"/>
      <c r="H494" s="44">
        <f>G494*F494</f>
        <v>0</v>
      </c>
    </row>
    <row r="495" spans="1:8">
      <c r="A495" s="14"/>
      <c r="B495" s="154" t="s">
        <v>394</v>
      </c>
      <c r="C495" s="16" t="s">
        <v>395</v>
      </c>
      <c r="D495" s="16" t="s">
        <v>16</v>
      </c>
      <c r="E495" s="16">
        <v>1.02</v>
      </c>
      <c r="F495" s="72">
        <f>E495*F492</f>
        <v>29.172000000000001</v>
      </c>
      <c r="G495" s="28"/>
      <c r="H495" s="44">
        <f>G495*F495</f>
        <v>0</v>
      </c>
    </row>
    <row r="496" spans="1:8">
      <c r="A496" s="14"/>
      <c r="B496" s="154" t="s">
        <v>396</v>
      </c>
      <c r="C496" s="16" t="s">
        <v>397</v>
      </c>
      <c r="D496" s="16" t="s">
        <v>123</v>
      </c>
      <c r="E496" s="16">
        <v>8</v>
      </c>
      <c r="F496" s="72">
        <f>E496*F492</f>
        <v>228.8</v>
      </c>
      <c r="G496" s="16"/>
      <c r="H496" s="44">
        <f>G496*F496</f>
        <v>0</v>
      </c>
    </row>
    <row r="497" spans="1:8">
      <c r="A497" s="14"/>
      <c r="B497" s="15" t="s">
        <v>17</v>
      </c>
      <c r="C497" s="16" t="s">
        <v>190</v>
      </c>
      <c r="D497" s="16" t="s">
        <v>3</v>
      </c>
      <c r="E497" s="16">
        <v>4.6600000000000003E-2</v>
      </c>
      <c r="F497" s="72">
        <f>E497*F492</f>
        <v>1.3327600000000002</v>
      </c>
      <c r="G497" s="16"/>
      <c r="H497" s="44">
        <f>G497*F497</f>
        <v>0</v>
      </c>
    </row>
    <row r="498" spans="1:8" ht="72">
      <c r="A498" s="8">
        <v>27</v>
      </c>
      <c r="B498" s="9" t="s">
        <v>398</v>
      </c>
      <c r="C498" s="10" t="s">
        <v>427</v>
      </c>
      <c r="D498" s="153" t="s">
        <v>45</v>
      </c>
      <c r="E498" s="10"/>
      <c r="F498" s="60">
        <v>95</v>
      </c>
      <c r="G498" s="10"/>
      <c r="H498" s="39">
        <f>SUM(H499:H502)</f>
        <v>0</v>
      </c>
    </row>
    <row r="499" spans="1:8">
      <c r="A499" s="14"/>
      <c r="B499" s="24" t="s">
        <v>17</v>
      </c>
      <c r="C499" s="16" t="s">
        <v>28</v>
      </c>
      <c r="D499" s="16" t="s">
        <v>19</v>
      </c>
      <c r="E499" s="16">
        <v>0.26900000000000002</v>
      </c>
      <c r="F499" s="72">
        <f>E499*F498</f>
        <v>25.555000000000003</v>
      </c>
      <c r="G499" s="16"/>
      <c r="H499" s="44">
        <f>G499*F499</f>
        <v>0</v>
      </c>
    </row>
    <row r="500" spans="1:8">
      <c r="A500" s="14"/>
      <c r="B500" s="24" t="s">
        <v>17</v>
      </c>
      <c r="C500" s="16" t="s">
        <v>20</v>
      </c>
      <c r="D500" s="16" t="s">
        <v>3</v>
      </c>
      <c r="E500" s="16">
        <v>1.1599999999999999E-2</v>
      </c>
      <c r="F500" s="72">
        <f>E500*F498</f>
        <v>1.1019999999999999</v>
      </c>
      <c r="G500" s="16"/>
      <c r="H500" s="44">
        <f>G500*F500</f>
        <v>0</v>
      </c>
    </row>
    <row r="501" spans="1:8">
      <c r="A501" s="14"/>
      <c r="B501" s="154" t="s">
        <v>394</v>
      </c>
      <c r="C501" s="16" t="s">
        <v>395</v>
      </c>
      <c r="D501" s="16" t="s">
        <v>16</v>
      </c>
      <c r="E501" s="16">
        <v>0.08</v>
      </c>
      <c r="F501" s="72">
        <f>E501*F498</f>
        <v>7.6000000000000005</v>
      </c>
      <c r="G501" s="28"/>
      <c r="H501" s="44">
        <f>G501*F501</f>
        <v>0</v>
      </c>
    </row>
    <row r="502" spans="1:8">
      <c r="A502" s="14"/>
      <c r="B502" s="154" t="s">
        <v>396</v>
      </c>
      <c r="C502" s="16" t="s">
        <v>397</v>
      </c>
      <c r="D502" s="16" t="s">
        <v>123</v>
      </c>
      <c r="E502" s="16">
        <v>0.65</v>
      </c>
      <c r="F502" s="72">
        <f>E502*F498</f>
        <v>61.75</v>
      </c>
      <c r="G502" s="16"/>
      <c r="H502" s="44">
        <f>G502*F502</f>
        <v>0</v>
      </c>
    </row>
    <row r="503" spans="1:8" ht="60">
      <c r="A503" s="34" t="s">
        <v>428</v>
      </c>
      <c r="B503" s="155" t="s">
        <v>429</v>
      </c>
      <c r="C503" s="36" t="s">
        <v>430</v>
      </c>
      <c r="D503" s="37" t="s">
        <v>45</v>
      </c>
      <c r="E503" s="37"/>
      <c r="F503" s="38">
        <v>40</v>
      </c>
      <c r="G503" s="37"/>
      <c r="H503" s="39">
        <f>SUM(H504:H508)</f>
        <v>0</v>
      </c>
    </row>
    <row r="504" spans="1:8">
      <c r="A504" s="40"/>
      <c r="B504" s="156" t="s">
        <v>17</v>
      </c>
      <c r="C504" s="42" t="s">
        <v>28</v>
      </c>
      <c r="D504" s="42" t="s">
        <v>19</v>
      </c>
      <c r="E504" s="42">
        <v>1.83</v>
      </c>
      <c r="F504" s="43">
        <f>E504*F503</f>
        <v>73.2</v>
      </c>
      <c r="G504" s="42"/>
      <c r="H504" s="44">
        <f>G504*F504</f>
        <v>0</v>
      </c>
    </row>
    <row r="505" spans="1:8">
      <c r="A505" s="40"/>
      <c r="B505" s="156" t="s">
        <v>17</v>
      </c>
      <c r="C505" s="42" t="s">
        <v>20</v>
      </c>
      <c r="D505" s="42" t="s">
        <v>3</v>
      </c>
      <c r="E505" s="42">
        <v>3.5999999999999997E-2</v>
      </c>
      <c r="F505" s="43">
        <f>E505*F503</f>
        <v>1.44</v>
      </c>
      <c r="G505" s="42"/>
      <c r="H505" s="43">
        <f>G505*F505</f>
        <v>0</v>
      </c>
    </row>
    <row r="506" spans="1:8" ht="27">
      <c r="A506" s="157"/>
      <c r="B506" s="115" t="s">
        <v>431</v>
      </c>
      <c r="C506" s="116" t="s">
        <v>432</v>
      </c>
      <c r="D506" s="116" t="s">
        <v>384</v>
      </c>
      <c r="E506" s="116">
        <v>1</v>
      </c>
      <c r="F506" s="44">
        <f>E506*F503</f>
        <v>40</v>
      </c>
      <c r="G506" s="116"/>
      <c r="H506" s="44">
        <f>G506*F506</f>
        <v>0</v>
      </c>
    </row>
    <row r="507" spans="1:8">
      <c r="A507" s="40"/>
      <c r="B507" s="158" t="s">
        <v>433</v>
      </c>
      <c r="C507" s="42" t="s">
        <v>434</v>
      </c>
      <c r="D507" s="42" t="s">
        <v>45</v>
      </c>
      <c r="E507" s="42">
        <v>1.02</v>
      </c>
      <c r="F507" s="43">
        <f>E507*F503</f>
        <v>40.799999999999997</v>
      </c>
      <c r="G507" s="42"/>
      <c r="H507" s="43">
        <f>G507*F507</f>
        <v>0</v>
      </c>
    </row>
    <row r="508" spans="1:8">
      <c r="A508" s="40"/>
      <c r="B508" s="159" t="s">
        <v>17</v>
      </c>
      <c r="C508" s="42" t="s">
        <v>190</v>
      </c>
      <c r="D508" s="42" t="s">
        <v>3</v>
      </c>
      <c r="E508" s="42">
        <v>0.432</v>
      </c>
      <c r="F508" s="43">
        <f>E508*F503</f>
        <v>17.28</v>
      </c>
      <c r="G508" s="42"/>
      <c r="H508" s="43">
        <f>G508*F508</f>
        <v>0</v>
      </c>
    </row>
    <row r="509" spans="1:8" ht="54">
      <c r="A509" s="68" t="s">
        <v>435</v>
      </c>
      <c r="B509" s="160" t="s">
        <v>436</v>
      </c>
      <c r="C509" s="10" t="s">
        <v>437</v>
      </c>
      <c r="D509" s="26" t="s">
        <v>59</v>
      </c>
      <c r="E509" s="26"/>
      <c r="F509" s="161">
        <v>0.15</v>
      </c>
      <c r="G509" s="26"/>
      <c r="H509" s="27">
        <f>SUM(H510:H519)</f>
        <v>0</v>
      </c>
    </row>
    <row r="510" spans="1:8">
      <c r="A510" s="61"/>
      <c r="B510" s="24" t="s">
        <v>17</v>
      </c>
      <c r="C510" s="16" t="s">
        <v>18</v>
      </c>
      <c r="D510" s="29" t="s">
        <v>19</v>
      </c>
      <c r="E510" s="162">
        <v>30.1</v>
      </c>
      <c r="F510" s="19">
        <f>E510*F509</f>
        <v>4.5149999999999997</v>
      </c>
      <c r="G510" s="29"/>
      <c r="H510" s="30">
        <f t="shared" ref="H510:H519" si="16">G510*F510</f>
        <v>0</v>
      </c>
    </row>
    <row r="511" spans="1:8">
      <c r="A511" s="61"/>
      <c r="B511" s="16" t="s">
        <v>438</v>
      </c>
      <c r="C511" s="16" t="s">
        <v>439</v>
      </c>
      <c r="D511" s="29" t="s">
        <v>326</v>
      </c>
      <c r="E511" s="29">
        <v>2.79</v>
      </c>
      <c r="F511" s="19">
        <f>F509*E511</f>
        <v>0.41849999999999998</v>
      </c>
      <c r="G511" s="29"/>
      <c r="H511" s="30">
        <f t="shared" si="16"/>
        <v>0</v>
      </c>
    </row>
    <row r="512" spans="1:8">
      <c r="A512" s="61"/>
      <c r="B512" s="15" t="s">
        <v>17</v>
      </c>
      <c r="C512" s="16" t="s">
        <v>31</v>
      </c>
      <c r="D512" s="29" t="s">
        <v>3</v>
      </c>
      <c r="E512" s="147">
        <v>6</v>
      </c>
      <c r="F512" s="19">
        <f>E512*F509</f>
        <v>0.89999999999999991</v>
      </c>
      <c r="G512" s="29"/>
      <c r="H512" s="30">
        <f t="shared" si="16"/>
        <v>0</v>
      </c>
    </row>
    <row r="513" spans="1:8" ht="27">
      <c r="A513" s="61"/>
      <c r="B513" s="28" t="s">
        <v>440</v>
      </c>
      <c r="C513" s="16" t="s">
        <v>441</v>
      </c>
      <c r="D513" s="29" t="s">
        <v>59</v>
      </c>
      <c r="E513" s="29"/>
      <c r="F513" s="19">
        <v>0.13</v>
      </c>
      <c r="G513" s="29"/>
      <c r="H513" s="30">
        <f t="shared" si="16"/>
        <v>0</v>
      </c>
    </row>
    <row r="514" spans="1:8">
      <c r="A514" s="61"/>
      <c r="B514" s="28" t="s">
        <v>442</v>
      </c>
      <c r="C514" s="16" t="s">
        <v>443</v>
      </c>
      <c r="D514" s="29" t="s">
        <v>16</v>
      </c>
      <c r="E514" s="29"/>
      <c r="F514" s="19">
        <v>0.6</v>
      </c>
      <c r="G514" s="29"/>
      <c r="H514" s="30">
        <f t="shared" si="16"/>
        <v>0</v>
      </c>
    </row>
    <row r="515" spans="1:8">
      <c r="A515" s="61"/>
      <c r="B515" s="28" t="s">
        <v>444</v>
      </c>
      <c r="C515" s="16" t="s">
        <v>445</v>
      </c>
      <c r="D515" s="29" t="s">
        <v>209</v>
      </c>
      <c r="E515" s="29"/>
      <c r="F515" s="19">
        <v>4</v>
      </c>
      <c r="G515" s="29"/>
      <c r="H515" s="30">
        <f t="shared" si="16"/>
        <v>0</v>
      </c>
    </row>
    <row r="516" spans="1:8">
      <c r="A516" s="61"/>
      <c r="B516" s="28" t="s">
        <v>264</v>
      </c>
      <c r="C516" s="16" t="s">
        <v>446</v>
      </c>
      <c r="D516" s="29" t="s">
        <v>123</v>
      </c>
      <c r="E516" s="162">
        <v>1.2</v>
      </c>
      <c r="F516" s="19">
        <f>E516*F509</f>
        <v>0.18</v>
      </c>
      <c r="G516" s="29"/>
      <c r="H516" s="30">
        <f>F516*G516</f>
        <v>0</v>
      </c>
    </row>
    <row r="517" spans="1:8">
      <c r="A517" s="61"/>
      <c r="B517" s="28" t="s">
        <v>174</v>
      </c>
      <c r="C517" s="16" t="s">
        <v>122</v>
      </c>
      <c r="D517" s="29" t="s">
        <v>123</v>
      </c>
      <c r="E517" s="29">
        <v>2.0299999999999998</v>
      </c>
      <c r="F517" s="19">
        <f>E517*F509</f>
        <v>0.30449999999999994</v>
      </c>
      <c r="G517" s="29"/>
      <c r="H517" s="30">
        <f t="shared" si="16"/>
        <v>0</v>
      </c>
    </row>
    <row r="518" spans="1:8">
      <c r="A518" s="15"/>
      <c r="B518" s="61" t="s">
        <v>447</v>
      </c>
      <c r="C518" s="17" t="s">
        <v>448</v>
      </c>
      <c r="D518" s="29" t="s">
        <v>123</v>
      </c>
      <c r="E518" s="78">
        <v>11.4</v>
      </c>
      <c r="F518" s="19">
        <f>F509*E518</f>
        <v>1.71</v>
      </c>
      <c r="G518" s="29"/>
      <c r="H518" s="30">
        <f>G518*F518</f>
        <v>0</v>
      </c>
    </row>
    <row r="519" spans="1:8">
      <c r="A519" s="154"/>
      <c r="B519" s="23" t="s">
        <v>17</v>
      </c>
      <c r="C519" s="17" t="s">
        <v>449</v>
      </c>
      <c r="D519" s="29" t="s">
        <v>3</v>
      </c>
      <c r="E519" s="29">
        <v>2.78</v>
      </c>
      <c r="F519" s="19">
        <f>E519*F509</f>
        <v>0.41699999999999998</v>
      </c>
      <c r="G519" s="29"/>
      <c r="H519" s="30">
        <f t="shared" si="16"/>
        <v>0</v>
      </c>
    </row>
    <row r="520" spans="1:8" ht="48">
      <c r="A520" s="68" t="s">
        <v>450</v>
      </c>
      <c r="B520" s="9" t="s">
        <v>451</v>
      </c>
      <c r="C520" s="20" t="s">
        <v>452</v>
      </c>
      <c r="D520" s="20" t="s">
        <v>16</v>
      </c>
      <c r="E520" s="20"/>
      <c r="F520" s="60">
        <v>52</v>
      </c>
      <c r="G520" s="10"/>
      <c r="H520" s="39">
        <f>SUM(H521:H524)</f>
        <v>0</v>
      </c>
    </row>
    <row r="521" spans="1:8">
      <c r="A521" s="61"/>
      <c r="B521" s="115" t="s">
        <v>17</v>
      </c>
      <c r="C521" s="28" t="s">
        <v>28</v>
      </c>
      <c r="D521" s="28" t="s">
        <v>19</v>
      </c>
      <c r="E521" s="28">
        <v>3.1E-2</v>
      </c>
      <c r="F521" s="44">
        <f>E521*F520</f>
        <v>1.6120000000000001</v>
      </c>
      <c r="G521" s="42"/>
      <c r="H521" s="44">
        <f>G521*F521</f>
        <v>0</v>
      </c>
    </row>
    <row r="522" spans="1:8">
      <c r="A522" s="61"/>
      <c r="B522" s="115" t="s">
        <v>17</v>
      </c>
      <c r="C522" s="28" t="s">
        <v>20</v>
      </c>
      <c r="D522" s="28" t="s">
        <v>3</v>
      </c>
      <c r="E522" s="28">
        <v>2E-3</v>
      </c>
      <c r="F522" s="44">
        <f>E522*F520</f>
        <v>0.10400000000000001</v>
      </c>
      <c r="G522" s="42"/>
      <c r="H522" s="43">
        <f>G522*F522</f>
        <v>0</v>
      </c>
    </row>
    <row r="523" spans="1:8">
      <c r="A523" s="61"/>
      <c r="B523" s="115" t="s">
        <v>453</v>
      </c>
      <c r="C523" s="28" t="s">
        <v>454</v>
      </c>
      <c r="D523" s="28" t="s">
        <v>123</v>
      </c>
      <c r="E523" s="28">
        <v>0.10100000000000001</v>
      </c>
      <c r="F523" s="44">
        <f>E523*F520</f>
        <v>5.2520000000000007</v>
      </c>
      <c r="G523" s="42"/>
      <c r="H523" s="43">
        <f>G523*F523</f>
        <v>0</v>
      </c>
    </row>
    <row r="524" spans="1:8">
      <c r="A524" s="61"/>
      <c r="B524" s="115" t="s">
        <v>455</v>
      </c>
      <c r="C524" s="28" t="s">
        <v>100</v>
      </c>
      <c r="D524" s="28" t="s">
        <v>3</v>
      </c>
      <c r="E524" s="28">
        <v>1.9E-3</v>
      </c>
      <c r="F524" s="44">
        <f>E524*F520</f>
        <v>9.8799999999999999E-2</v>
      </c>
      <c r="G524" s="42"/>
      <c r="H524" s="43">
        <f>G524*F524</f>
        <v>0</v>
      </c>
    </row>
    <row r="525" spans="1:8" ht="54">
      <c r="A525" s="68" t="s">
        <v>456</v>
      </c>
      <c r="B525" s="9" t="s">
        <v>254</v>
      </c>
      <c r="C525" s="20" t="s">
        <v>457</v>
      </c>
      <c r="D525" s="20" t="s">
        <v>16</v>
      </c>
      <c r="E525" s="20"/>
      <c r="F525" s="60">
        <f>F520</f>
        <v>52</v>
      </c>
      <c r="G525" s="10"/>
      <c r="H525" s="39">
        <f>SUM(H526:H530)</f>
        <v>0</v>
      </c>
    </row>
    <row r="526" spans="1:8">
      <c r="A526" s="61"/>
      <c r="B526" s="115" t="s">
        <v>17</v>
      </c>
      <c r="C526" s="116" t="s">
        <v>18</v>
      </c>
      <c r="D526" s="116" t="s">
        <v>19</v>
      </c>
      <c r="E526" s="116">
        <v>0.68</v>
      </c>
      <c r="F526" s="72">
        <f>E526*F525</f>
        <v>35.36</v>
      </c>
      <c r="G526" s="42"/>
      <c r="H526" s="44">
        <f>G526*F526</f>
        <v>0</v>
      </c>
    </row>
    <row r="527" spans="1:8">
      <c r="A527" s="61"/>
      <c r="B527" s="115" t="s">
        <v>17</v>
      </c>
      <c r="C527" s="116" t="s">
        <v>20</v>
      </c>
      <c r="D527" s="116" t="s">
        <v>3</v>
      </c>
      <c r="E527" s="116">
        <v>2.9999999999999997E-4</v>
      </c>
      <c r="F527" s="72">
        <f>E527*F525</f>
        <v>1.5599999999999999E-2</v>
      </c>
      <c r="G527" s="42"/>
      <c r="H527" s="44">
        <f>G527*F527</f>
        <v>0</v>
      </c>
    </row>
    <row r="528" spans="1:8">
      <c r="A528" s="61"/>
      <c r="B528" s="41" t="s">
        <v>256</v>
      </c>
      <c r="C528" s="116" t="s">
        <v>257</v>
      </c>
      <c r="D528" s="116" t="s">
        <v>123</v>
      </c>
      <c r="E528" s="116">
        <v>0.246</v>
      </c>
      <c r="F528" s="72">
        <f>E528*F525</f>
        <v>12.792</v>
      </c>
      <c r="G528" s="42"/>
      <c r="H528" s="44">
        <f>G528*F528</f>
        <v>0</v>
      </c>
    </row>
    <row r="529" spans="1:8">
      <c r="A529" s="61"/>
      <c r="B529" s="14" t="s">
        <v>258</v>
      </c>
      <c r="C529" s="116" t="s">
        <v>259</v>
      </c>
      <c r="D529" s="116" t="s">
        <v>123</v>
      </c>
      <c r="E529" s="116">
        <v>2.7E-2</v>
      </c>
      <c r="F529" s="72">
        <f>E529*F525</f>
        <v>1.4039999999999999</v>
      </c>
      <c r="G529" s="42"/>
      <c r="H529" s="44">
        <f>G529*F529</f>
        <v>0</v>
      </c>
    </row>
    <row r="530" spans="1:8">
      <c r="A530" s="61"/>
      <c r="B530" s="115" t="s">
        <v>17</v>
      </c>
      <c r="C530" s="116" t="s">
        <v>100</v>
      </c>
      <c r="D530" s="116" t="s">
        <v>3</v>
      </c>
      <c r="E530" s="116">
        <v>1.9E-3</v>
      </c>
      <c r="F530" s="72">
        <f>E530*F525</f>
        <v>9.8799999999999999E-2</v>
      </c>
      <c r="G530" s="42"/>
      <c r="H530" s="44">
        <f>G530*F530</f>
        <v>0</v>
      </c>
    </row>
    <row r="531" spans="1:8" ht="48">
      <c r="A531" s="62" t="s">
        <v>458</v>
      </c>
      <c r="B531" s="9" t="s">
        <v>386</v>
      </c>
      <c r="C531" s="10" t="s">
        <v>459</v>
      </c>
      <c r="D531" s="153" t="s">
        <v>388</v>
      </c>
      <c r="E531" s="10"/>
      <c r="F531" s="69">
        <v>8</v>
      </c>
      <c r="G531" s="76"/>
      <c r="H531" s="39">
        <f>SUM(H532:H537)</f>
        <v>0</v>
      </c>
    </row>
    <row r="532" spans="1:8">
      <c r="A532" s="64"/>
      <c r="B532" s="24" t="s">
        <v>17</v>
      </c>
      <c r="C532" s="16" t="s">
        <v>18</v>
      </c>
      <c r="D532" s="16" t="s">
        <v>19</v>
      </c>
      <c r="E532" s="70">
        <v>0.74099999999999999</v>
      </c>
      <c r="F532" s="70">
        <f>E532*F531</f>
        <v>5.9279999999999999</v>
      </c>
      <c r="G532" s="43"/>
      <c r="H532" s="44">
        <f t="shared" ref="H532:H537" si="17">F532*G532</f>
        <v>0</v>
      </c>
    </row>
    <row r="533" spans="1:8">
      <c r="A533" s="64"/>
      <c r="B533" s="24" t="s">
        <v>17</v>
      </c>
      <c r="C533" s="16" t="s">
        <v>233</v>
      </c>
      <c r="D533" s="16" t="s">
        <v>3</v>
      </c>
      <c r="E533" s="66">
        <v>1E-3</v>
      </c>
      <c r="F533" s="70">
        <f>F531*E533</f>
        <v>8.0000000000000002E-3</v>
      </c>
      <c r="G533" s="44"/>
      <c r="H533" s="43">
        <f t="shared" si="17"/>
        <v>0</v>
      </c>
    </row>
    <row r="534" spans="1:8">
      <c r="A534" s="64"/>
      <c r="B534" s="15" t="s">
        <v>389</v>
      </c>
      <c r="C534" s="16" t="s">
        <v>390</v>
      </c>
      <c r="D534" s="16" t="s">
        <v>123</v>
      </c>
      <c r="E534" s="70">
        <v>0.255</v>
      </c>
      <c r="F534" s="70">
        <f>F531*E534</f>
        <v>2.04</v>
      </c>
      <c r="G534" s="44"/>
      <c r="H534" s="43">
        <f t="shared" si="17"/>
        <v>0</v>
      </c>
    </row>
    <row r="535" spans="1:8">
      <c r="A535" s="64"/>
      <c r="B535" s="15" t="s">
        <v>52</v>
      </c>
      <c r="C535" s="16" t="s">
        <v>391</v>
      </c>
      <c r="D535" s="16" t="s">
        <v>123</v>
      </c>
      <c r="E535" s="70">
        <v>0.82</v>
      </c>
      <c r="F535" s="70">
        <f>F531*E535</f>
        <v>6.56</v>
      </c>
      <c r="G535" s="43"/>
      <c r="H535" s="43">
        <f t="shared" si="17"/>
        <v>0</v>
      </c>
    </row>
    <row r="536" spans="1:8">
      <c r="A536" s="64"/>
      <c r="B536" s="15" t="s">
        <v>258</v>
      </c>
      <c r="C536" s="16" t="s">
        <v>392</v>
      </c>
      <c r="D536" s="16" t="s">
        <v>123</v>
      </c>
      <c r="E536" s="70">
        <v>0.127</v>
      </c>
      <c r="F536" s="70">
        <f>F531*E536</f>
        <v>1.016</v>
      </c>
      <c r="G536" s="43"/>
      <c r="H536" s="43">
        <f t="shared" si="17"/>
        <v>0</v>
      </c>
    </row>
    <row r="537" spans="1:8">
      <c r="A537" s="64"/>
      <c r="B537" s="24" t="s">
        <v>17</v>
      </c>
      <c r="C537" s="42" t="s">
        <v>190</v>
      </c>
      <c r="D537" s="16" t="s">
        <v>3</v>
      </c>
      <c r="E537" s="70">
        <v>1.7000000000000001E-2</v>
      </c>
      <c r="F537" s="70">
        <f>F531*E537</f>
        <v>0.13600000000000001</v>
      </c>
      <c r="G537" s="44"/>
      <c r="H537" s="43">
        <f t="shared" si="17"/>
        <v>0</v>
      </c>
    </row>
    <row r="538" spans="1:8" ht="54">
      <c r="A538" s="68" t="s">
        <v>460</v>
      </c>
      <c r="B538" s="55" t="s">
        <v>461</v>
      </c>
      <c r="C538" s="20" t="s">
        <v>462</v>
      </c>
      <c r="D538" s="20" t="s">
        <v>45</v>
      </c>
      <c r="E538" s="20"/>
      <c r="F538" s="69">
        <v>70</v>
      </c>
      <c r="G538" s="69"/>
      <c r="H538" s="13">
        <f>H539+H540+H541+H542</f>
        <v>0</v>
      </c>
    </row>
    <row r="539" spans="1:8">
      <c r="A539" s="61"/>
      <c r="B539" s="15" t="s">
        <v>17</v>
      </c>
      <c r="C539" s="16" t="s">
        <v>18</v>
      </c>
      <c r="D539" s="28" t="s">
        <v>19</v>
      </c>
      <c r="E539" s="135">
        <v>0.20599999999999999</v>
      </c>
      <c r="F539" s="44">
        <f>E539*F538</f>
        <v>14.42</v>
      </c>
      <c r="G539" s="44"/>
      <c r="H539" s="19">
        <f>G539*F539</f>
        <v>0</v>
      </c>
    </row>
    <row r="540" spans="1:8">
      <c r="A540" s="61"/>
      <c r="B540" s="15" t="s">
        <v>17</v>
      </c>
      <c r="C540" s="28" t="s">
        <v>20</v>
      </c>
      <c r="D540" s="28" t="s">
        <v>3</v>
      </c>
      <c r="E540" s="28">
        <v>2.0000000000000001E-4</v>
      </c>
      <c r="F540" s="135">
        <f>E540*F538</f>
        <v>1.4E-2</v>
      </c>
      <c r="G540" s="43"/>
      <c r="H540" s="43">
        <f>G540*F540</f>
        <v>0</v>
      </c>
    </row>
    <row r="541" spans="1:8">
      <c r="A541" s="61"/>
      <c r="B541" s="15" t="s">
        <v>52</v>
      </c>
      <c r="C541" s="28" t="s">
        <v>463</v>
      </c>
      <c r="D541" s="28" t="s">
        <v>3</v>
      </c>
      <c r="E541" s="135">
        <v>1.05</v>
      </c>
      <c r="F541" s="44">
        <f>E541*F538</f>
        <v>73.5</v>
      </c>
      <c r="G541" s="44"/>
      <c r="H541" s="19">
        <f>G541*F541</f>
        <v>0</v>
      </c>
    </row>
    <row r="542" spans="1:8">
      <c r="A542" s="61"/>
      <c r="B542" s="23" t="s">
        <v>211</v>
      </c>
      <c r="C542" s="28" t="s">
        <v>212</v>
      </c>
      <c r="D542" s="28" t="s">
        <v>209</v>
      </c>
      <c r="E542" s="135">
        <v>0.1</v>
      </c>
      <c r="F542" s="44">
        <f>E542*F538</f>
        <v>7</v>
      </c>
      <c r="G542" s="44"/>
      <c r="H542" s="44">
        <f>G542*F542</f>
        <v>0</v>
      </c>
    </row>
    <row r="543" spans="1:8">
      <c r="A543" s="62" t="s">
        <v>464</v>
      </c>
      <c r="B543" s="9" t="s">
        <v>52</v>
      </c>
      <c r="C543" s="10" t="s">
        <v>465</v>
      </c>
      <c r="D543" s="10" t="s">
        <v>466</v>
      </c>
      <c r="E543" s="10"/>
      <c r="F543" s="75">
        <v>2</v>
      </c>
      <c r="G543" s="76"/>
      <c r="H543" s="39">
        <f>H544+H545</f>
        <v>0</v>
      </c>
    </row>
    <row r="544" spans="1:8">
      <c r="A544" s="64"/>
      <c r="B544" s="24" t="s">
        <v>52</v>
      </c>
      <c r="C544" s="28" t="s">
        <v>28</v>
      </c>
      <c r="D544" s="16" t="str">
        <f>D543</f>
        <v>moedani</v>
      </c>
      <c r="E544" s="43">
        <v>1</v>
      </c>
      <c r="F544" s="44">
        <f>E544*F543</f>
        <v>2</v>
      </c>
      <c r="G544" s="43"/>
      <c r="H544" s="44">
        <f>F544*G544</f>
        <v>0</v>
      </c>
    </row>
    <row r="545" spans="1:8">
      <c r="A545" s="64"/>
      <c r="B545" s="24" t="s">
        <v>52</v>
      </c>
      <c r="C545" s="28" t="s">
        <v>467</v>
      </c>
      <c r="D545" s="16" t="str">
        <f>D544</f>
        <v>moedani</v>
      </c>
      <c r="E545" s="43">
        <v>1</v>
      </c>
      <c r="F545" s="44">
        <f>F543*E545</f>
        <v>2</v>
      </c>
      <c r="G545" s="43"/>
      <c r="H545" s="44">
        <f>F545*G545</f>
        <v>0</v>
      </c>
    </row>
    <row r="546" spans="1:8">
      <c r="A546" s="68"/>
      <c r="B546" s="9"/>
      <c r="C546" s="20" t="s">
        <v>468</v>
      </c>
      <c r="D546" s="20" t="s">
        <v>3</v>
      </c>
      <c r="E546" s="75"/>
      <c r="F546" s="468"/>
      <c r="G546" s="468"/>
      <c r="H546" s="468">
        <f>H352+H366+H370+H376+H381+H387+H393+H399+H404+H411+H420+H425+H430+H435+H440+H445+H452+H458+H463+H469+H474+H480+H486+H492+H498+H503+H520+H525+H531+H509+H538+H543+H359+H363</f>
        <v>0</v>
      </c>
    </row>
    <row r="547" spans="1:8" ht="27" customHeight="1">
      <c r="A547" s="163"/>
      <c r="B547" s="164"/>
      <c r="C547" s="165" t="s">
        <v>469</v>
      </c>
      <c r="D547" s="166"/>
      <c r="E547" s="167"/>
      <c r="F547" s="168"/>
      <c r="G547" s="167"/>
      <c r="H547" s="169"/>
    </row>
    <row r="548" spans="1:8" ht="54">
      <c r="A548" s="68" t="s">
        <v>13</v>
      </c>
      <c r="B548" s="20" t="s">
        <v>470</v>
      </c>
      <c r="C548" s="10" t="s">
        <v>471</v>
      </c>
      <c r="D548" s="26" t="s">
        <v>16</v>
      </c>
      <c r="E548" s="26"/>
      <c r="F548" s="21">
        <v>165.4</v>
      </c>
      <c r="G548" s="26"/>
      <c r="H548" s="27">
        <f>SUM(H549:H552)</f>
        <v>0</v>
      </c>
    </row>
    <row r="549" spans="1:8">
      <c r="A549" s="61"/>
      <c r="B549" s="24" t="s">
        <v>17</v>
      </c>
      <c r="C549" s="16" t="s">
        <v>472</v>
      </c>
      <c r="D549" s="29" t="s">
        <v>19</v>
      </c>
      <c r="E549" s="29">
        <f>2.61*0.4</f>
        <v>1.044</v>
      </c>
      <c r="F549" s="19">
        <f>E549*F548</f>
        <v>172.67760000000001</v>
      </c>
      <c r="G549" s="29"/>
      <c r="H549" s="30">
        <f>G549*F549</f>
        <v>0</v>
      </c>
    </row>
    <row r="550" spans="1:8">
      <c r="A550" s="61"/>
      <c r="B550" s="15" t="s">
        <v>17</v>
      </c>
      <c r="C550" s="16" t="s">
        <v>31</v>
      </c>
      <c r="D550" s="29" t="s">
        <v>3</v>
      </c>
      <c r="E550" s="29">
        <v>3.5000000000000003E-2</v>
      </c>
      <c r="F550" s="19">
        <f>E550*F548</f>
        <v>5.7890000000000006</v>
      </c>
      <c r="G550" s="29"/>
      <c r="H550" s="30">
        <f>G550*F550</f>
        <v>0</v>
      </c>
    </row>
    <row r="551" spans="1:8" ht="40.5">
      <c r="A551" s="61"/>
      <c r="B551" s="24" t="s">
        <v>52</v>
      </c>
      <c r="C551" s="28" t="s">
        <v>473</v>
      </c>
      <c r="D551" s="28" t="s">
        <v>16</v>
      </c>
      <c r="E551" s="28">
        <v>1</v>
      </c>
      <c r="F551" s="135">
        <f>E551*F548</f>
        <v>165.4</v>
      </c>
      <c r="G551" s="44"/>
      <c r="H551" s="44">
        <f>G551*F551</f>
        <v>0</v>
      </c>
    </row>
    <row r="552" spans="1:8">
      <c r="A552" s="61"/>
      <c r="B552" s="15" t="s">
        <v>17</v>
      </c>
      <c r="C552" s="16" t="s">
        <v>449</v>
      </c>
      <c r="D552" s="29" t="s">
        <v>3</v>
      </c>
      <c r="E552" s="29">
        <v>3.7999999999999999E-2</v>
      </c>
      <c r="F552" s="19">
        <f>E552*F548</f>
        <v>6.2851999999999997</v>
      </c>
      <c r="G552" s="29"/>
      <c r="H552" s="30">
        <f>G552*F552</f>
        <v>0</v>
      </c>
    </row>
    <row r="553" spans="1:8" ht="67.5">
      <c r="A553" s="68" t="s">
        <v>72</v>
      </c>
      <c r="B553" s="5" t="s">
        <v>474</v>
      </c>
      <c r="C553" s="10" t="s">
        <v>475</v>
      </c>
      <c r="D553" s="20" t="s">
        <v>16</v>
      </c>
      <c r="E553" s="20"/>
      <c r="F553" s="69">
        <f>F548</f>
        <v>165.4</v>
      </c>
      <c r="G553" s="20"/>
      <c r="H553" s="39">
        <f>SUM(H554:H558)</f>
        <v>0</v>
      </c>
    </row>
    <row r="554" spans="1:8">
      <c r="A554" s="61"/>
      <c r="B554" s="24" t="s">
        <v>17</v>
      </c>
      <c r="C554" s="28" t="s">
        <v>28</v>
      </c>
      <c r="D554" s="28" t="s">
        <v>19</v>
      </c>
      <c r="E554" s="52">
        <f>98.5/100</f>
        <v>0.98499999999999999</v>
      </c>
      <c r="F554" s="135">
        <f>E554*F553</f>
        <v>162.91900000000001</v>
      </c>
      <c r="G554" s="28"/>
      <c r="H554" s="19">
        <f>G554*F554</f>
        <v>0</v>
      </c>
    </row>
    <row r="555" spans="1:8">
      <c r="A555" s="61"/>
      <c r="B555" s="15" t="s">
        <v>17</v>
      </c>
      <c r="C555" s="28" t="s">
        <v>20</v>
      </c>
      <c r="D555" s="28" t="s">
        <v>3</v>
      </c>
      <c r="E555" s="52">
        <f>0.39/100</f>
        <v>3.9000000000000003E-3</v>
      </c>
      <c r="F555" s="135">
        <f>E555*F553</f>
        <v>0.64506000000000008</v>
      </c>
      <c r="G555" s="28"/>
      <c r="H555" s="44">
        <f>G555*F555</f>
        <v>0</v>
      </c>
    </row>
    <row r="556" spans="1:8">
      <c r="A556" s="61"/>
      <c r="B556" s="170" t="s">
        <v>476</v>
      </c>
      <c r="C556" s="28" t="s">
        <v>477</v>
      </c>
      <c r="D556" s="28" t="s">
        <v>112</v>
      </c>
      <c r="E556" s="52">
        <v>1.03</v>
      </c>
      <c r="F556" s="135">
        <f>E556*F553</f>
        <v>170.36200000000002</v>
      </c>
      <c r="G556" s="44"/>
      <c r="H556" s="44">
        <f>G556*F556</f>
        <v>0</v>
      </c>
    </row>
    <row r="557" spans="1:8">
      <c r="A557" s="61"/>
      <c r="B557" s="24" t="s">
        <v>478</v>
      </c>
      <c r="C557" s="28" t="s">
        <v>479</v>
      </c>
      <c r="D557" s="28" t="s">
        <v>384</v>
      </c>
      <c r="E557" s="52">
        <v>1.07</v>
      </c>
      <c r="F557" s="135">
        <f>E557*F553</f>
        <v>176.97800000000001</v>
      </c>
      <c r="G557" s="28"/>
      <c r="H557" s="44">
        <f>G557*F557</f>
        <v>0</v>
      </c>
    </row>
    <row r="558" spans="1:8">
      <c r="A558" s="61"/>
      <c r="B558" s="15" t="s">
        <v>17</v>
      </c>
      <c r="C558" s="42" t="s">
        <v>190</v>
      </c>
      <c r="D558" s="28" t="s">
        <v>3</v>
      </c>
      <c r="E558" s="52">
        <f>1.6/100</f>
        <v>1.6E-2</v>
      </c>
      <c r="F558" s="135">
        <f>E558*F553</f>
        <v>2.6464000000000003</v>
      </c>
      <c r="G558" s="28"/>
      <c r="H558" s="44">
        <f>G558*F558</f>
        <v>0</v>
      </c>
    </row>
    <row r="559" spans="1:8" ht="54">
      <c r="A559" s="68" t="s">
        <v>480</v>
      </c>
      <c r="B559" s="20" t="s">
        <v>470</v>
      </c>
      <c r="C559" s="10" t="s">
        <v>481</v>
      </c>
      <c r="D559" s="26" t="s">
        <v>16</v>
      </c>
      <c r="E559" s="26"/>
      <c r="F559" s="21">
        <v>2418.6999999999998</v>
      </c>
      <c r="G559" s="26"/>
      <c r="H559" s="27">
        <f>SUM(H560:H563)</f>
        <v>0</v>
      </c>
    </row>
    <row r="560" spans="1:8">
      <c r="A560" s="61"/>
      <c r="B560" s="24" t="s">
        <v>17</v>
      </c>
      <c r="C560" s="16" t="s">
        <v>472</v>
      </c>
      <c r="D560" s="29" t="s">
        <v>19</v>
      </c>
      <c r="E560" s="29">
        <f>2.61*0.4</f>
        <v>1.044</v>
      </c>
      <c r="F560" s="19">
        <f>E560*F559</f>
        <v>2525.1228000000001</v>
      </c>
      <c r="G560" s="29"/>
      <c r="H560" s="30">
        <f>G560*F560</f>
        <v>0</v>
      </c>
    </row>
    <row r="561" spans="1:8">
      <c r="A561" s="61"/>
      <c r="B561" s="15" t="s">
        <v>17</v>
      </c>
      <c r="C561" s="16" t="s">
        <v>31</v>
      </c>
      <c r="D561" s="29" t="s">
        <v>3</v>
      </c>
      <c r="E561" s="29">
        <v>3.5000000000000003E-2</v>
      </c>
      <c r="F561" s="19">
        <f>E561*F559</f>
        <v>84.654499999999999</v>
      </c>
      <c r="G561" s="29"/>
      <c r="H561" s="30">
        <f>G561*F561</f>
        <v>0</v>
      </c>
    </row>
    <row r="562" spans="1:8" ht="40.5">
      <c r="A562" s="61"/>
      <c r="B562" s="24" t="s">
        <v>52</v>
      </c>
      <c r="C562" s="28" t="s">
        <v>473</v>
      </c>
      <c r="D562" s="28" t="s">
        <v>16</v>
      </c>
      <c r="E562" s="28">
        <v>1</v>
      </c>
      <c r="F562" s="135">
        <f>E562*F559</f>
        <v>2418.6999999999998</v>
      </c>
      <c r="G562" s="44"/>
      <c r="H562" s="44">
        <f>G562*F562</f>
        <v>0</v>
      </c>
    </row>
    <row r="563" spans="1:8">
      <c r="A563" s="61"/>
      <c r="B563" s="15" t="s">
        <v>17</v>
      </c>
      <c r="C563" s="16" t="s">
        <v>449</v>
      </c>
      <c r="D563" s="29" t="s">
        <v>3</v>
      </c>
      <c r="E563" s="52">
        <f>1.6/100</f>
        <v>1.6E-2</v>
      </c>
      <c r="F563" s="19">
        <f>E563*F559</f>
        <v>38.699199999999998</v>
      </c>
      <c r="G563" s="29"/>
      <c r="H563" s="30">
        <f>G563*F563</f>
        <v>0</v>
      </c>
    </row>
    <row r="564" spans="1:8" ht="67.5">
      <c r="A564" s="128">
        <v>4</v>
      </c>
      <c r="B564" s="5" t="s">
        <v>474</v>
      </c>
      <c r="C564" s="128" t="s">
        <v>482</v>
      </c>
      <c r="D564" s="128" t="s">
        <v>16</v>
      </c>
      <c r="E564" s="128"/>
      <c r="F564" s="69">
        <f>F559</f>
        <v>2418.6999999999998</v>
      </c>
      <c r="G564" s="129"/>
      <c r="H564" s="39">
        <f>H565+H566+H567+H570+H568+H569</f>
        <v>0</v>
      </c>
    </row>
    <row r="565" spans="1:8">
      <c r="A565" s="130"/>
      <c r="B565" s="102" t="s">
        <v>17</v>
      </c>
      <c r="C565" s="28" t="s">
        <v>28</v>
      </c>
      <c r="D565" s="105" t="s">
        <v>243</v>
      </c>
      <c r="E565" s="52">
        <f>98.5/100</f>
        <v>0.98499999999999999</v>
      </c>
      <c r="F565" s="171">
        <f>F564*E565</f>
        <v>2382.4195</v>
      </c>
      <c r="G565" s="172"/>
      <c r="H565" s="106">
        <f t="shared" ref="H565:H570" si="18">F565*G565</f>
        <v>0</v>
      </c>
    </row>
    <row r="566" spans="1:8">
      <c r="A566" s="130"/>
      <c r="B566" s="102" t="s">
        <v>17</v>
      </c>
      <c r="C566" s="105" t="s">
        <v>244</v>
      </c>
      <c r="D566" s="105" t="s">
        <v>3</v>
      </c>
      <c r="E566" s="52">
        <f>0.39/100</f>
        <v>3.9000000000000003E-3</v>
      </c>
      <c r="F566" s="171">
        <f>F564*E566</f>
        <v>9.4329300000000007</v>
      </c>
      <c r="G566" s="173"/>
      <c r="H566" s="106">
        <f t="shared" si="18"/>
        <v>0</v>
      </c>
    </row>
    <row r="567" spans="1:8">
      <c r="A567" s="130"/>
      <c r="B567" s="108" t="s">
        <v>483</v>
      </c>
      <c r="C567" s="105" t="s">
        <v>484</v>
      </c>
      <c r="D567" s="105" t="s">
        <v>241</v>
      </c>
      <c r="E567" s="102">
        <v>1.03</v>
      </c>
      <c r="F567" s="171">
        <f>F564*E567</f>
        <v>2491.261</v>
      </c>
      <c r="G567" s="173"/>
      <c r="H567" s="106">
        <f t="shared" si="18"/>
        <v>0</v>
      </c>
    </row>
    <row r="568" spans="1:8">
      <c r="A568" s="130"/>
      <c r="B568" s="108" t="s">
        <v>485</v>
      </c>
      <c r="C568" s="105" t="s">
        <v>486</v>
      </c>
      <c r="D568" s="105" t="s">
        <v>45</v>
      </c>
      <c r="E568" s="102">
        <v>1.2</v>
      </c>
      <c r="F568" s="485">
        <f>E568*F564</f>
        <v>2902.4399999999996</v>
      </c>
      <c r="G568" s="173"/>
      <c r="H568" s="106">
        <f t="shared" si="18"/>
        <v>0</v>
      </c>
    </row>
    <row r="569" spans="1:8">
      <c r="A569" s="130"/>
      <c r="B569" s="108" t="s">
        <v>487</v>
      </c>
      <c r="C569" s="105" t="s">
        <v>488</v>
      </c>
      <c r="D569" s="105" t="s">
        <v>123</v>
      </c>
      <c r="E569" s="102">
        <v>0.4</v>
      </c>
      <c r="F569" s="171">
        <f>E569*F564</f>
        <v>967.48</v>
      </c>
      <c r="G569" s="173"/>
      <c r="H569" s="106">
        <f t="shared" si="18"/>
        <v>0</v>
      </c>
    </row>
    <row r="570" spans="1:8">
      <c r="A570" s="130"/>
      <c r="B570" s="102" t="s">
        <v>17</v>
      </c>
      <c r="C570" s="42" t="s">
        <v>190</v>
      </c>
      <c r="D570" s="105" t="s">
        <v>3</v>
      </c>
      <c r="E570" s="105">
        <v>3.3500000000000002E-2</v>
      </c>
      <c r="F570" s="171">
        <f>F564*E570</f>
        <v>81.026449999999997</v>
      </c>
      <c r="G570" s="172"/>
      <c r="H570" s="106">
        <f t="shared" si="18"/>
        <v>0</v>
      </c>
    </row>
    <row r="571" spans="1:8" ht="54">
      <c r="A571" s="68" t="s">
        <v>82</v>
      </c>
      <c r="B571" s="20" t="s">
        <v>470</v>
      </c>
      <c r="C571" s="10" t="s">
        <v>489</v>
      </c>
      <c r="D571" s="26" t="s">
        <v>16</v>
      </c>
      <c r="E571" s="26"/>
      <c r="F571" s="21">
        <v>188.1</v>
      </c>
      <c r="G571" s="26"/>
      <c r="H571" s="27">
        <f>SUM(H572:H575)</f>
        <v>0</v>
      </c>
    </row>
    <row r="572" spans="1:8">
      <c r="A572" s="61"/>
      <c r="B572" s="24" t="s">
        <v>17</v>
      </c>
      <c r="C572" s="16" t="s">
        <v>490</v>
      </c>
      <c r="D572" s="29" t="s">
        <v>19</v>
      </c>
      <c r="E572" s="29">
        <f>2.61*0.6</f>
        <v>1.5659999999999998</v>
      </c>
      <c r="F572" s="19">
        <f>E572*F571</f>
        <v>294.56459999999998</v>
      </c>
      <c r="G572" s="29"/>
      <c r="H572" s="30">
        <f>G572*F572</f>
        <v>0</v>
      </c>
    </row>
    <row r="573" spans="1:8">
      <c r="A573" s="61"/>
      <c r="B573" s="15" t="s">
        <v>17</v>
      </c>
      <c r="C573" s="16" t="s">
        <v>31</v>
      </c>
      <c r="D573" s="29" t="s">
        <v>3</v>
      </c>
      <c r="E573" s="29">
        <v>3.5000000000000003E-2</v>
      </c>
      <c r="F573" s="19">
        <f>E573*F571</f>
        <v>6.5835000000000008</v>
      </c>
      <c r="G573" s="29"/>
      <c r="H573" s="30">
        <f>G573*F573</f>
        <v>0</v>
      </c>
    </row>
    <row r="574" spans="1:8" ht="40.5">
      <c r="A574" s="61"/>
      <c r="B574" s="24" t="s">
        <v>491</v>
      </c>
      <c r="C574" s="28" t="s">
        <v>492</v>
      </c>
      <c r="D574" s="28" t="s">
        <v>16</v>
      </c>
      <c r="E574" s="28">
        <v>1.05</v>
      </c>
      <c r="F574" s="135">
        <f>E574*F571</f>
        <v>197.505</v>
      </c>
      <c r="G574" s="44"/>
      <c r="H574" s="44">
        <f>G574*F574</f>
        <v>0</v>
      </c>
    </row>
    <row r="575" spans="1:8">
      <c r="A575" s="61"/>
      <c r="B575" s="15" t="s">
        <v>17</v>
      </c>
      <c r="C575" s="16" t="s">
        <v>449</v>
      </c>
      <c r="D575" s="29" t="s">
        <v>3</v>
      </c>
      <c r="E575" s="52">
        <f>1.6/100</f>
        <v>1.6E-2</v>
      </c>
      <c r="F575" s="19">
        <f>E575*F571</f>
        <v>3.0095999999999998</v>
      </c>
      <c r="G575" s="29"/>
      <c r="H575" s="30">
        <f>G575*F575</f>
        <v>0</v>
      </c>
    </row>
    <row r="576" spans="1:8" ht="72">
      <c r="A576" s="68" t="s">
        <v>88</v>
      </c>
      <c r="B576" s="9" t="s">
        <v>493</v>
      </c>
      <c r="C576" s="10" t="s">
        <v>494</v>
      </c>
      <c r="D576" s="20" t="s">
        <v>45</v>
      </c>
      <c r="E576" s="20"/>
      <c r="F576" s="69">
        <v>1470</v>
      </c>
      <c r="G576" s="20"/>
      <c r="H576" s="39">
        <f>SUM(H577:H580)</f>
        <v>0</v>
      </c>
    </row>
    <row r="577" spans="1:8">
      <c r="A577" s="61"/>
      <c r="B577" s="24" t="s">
        <v>17</v>
      </c>
      <c r="C577" s="28" t="s">
        <v>28</v>
      </c>
      <c r="D577" s="28" t="s">
        <v>19</v>
      </c>
      <c r="E577" s="105">
        <v>0.27</v>
      </c>
      <c r="F577" s="135">
        <f>E577*F576</f>
        <v>396.90000000000003</v>
      </c>
      <c r="G577" s="28"/>
      <c r="H577" s="19">
        <f>G577*F577</f>
        <v>0</v>
      </c>
    </row>
    <row r="578" spans="1:8">
      <c r="A578" s="61"/>
      <c r="B578" s="15" t="s">
        <v>17</v>
      </c>
      <c r="C578" s="28" t="s">
        <v>20</v>
      </c>
      <c r="D578" s="28" t="s">
        <v>3</v>
      </c>
      <c r="E578" s="105">
        <v>3.0000000000000001E-3</v>
      </c>
      <c r="F578" s="135">
        <f>E578*F576</f>
        <v>4.41</v>
      </c>
      <c r="G578" s="28"/>
      <c r="H578" s="44">
        <f>G578*F578</f>
        <v>0</v>
      </c>
    </row>
    <row r="579" spans="1:8">
      <c r="A579" s="61"/>
      <c r="B579" s="24" t="s">
        <v>495</v>
      </c>
      <c r="C579" s="28" t="s">
        <v>496</v>
      </c>
      <c r="D579" s="28" t="s">
        <v>384</v>
      </c>
      <c r="E579" s="28">
        <v>1.01</v>
      </c>
      <c r="F579" s="135">
        <f>E579*F576</f>
        <v>1484.7</v>
      </c>
      <c r="G579" s="28"/>
      <c r="H579" s="44">
        <f>G579*F579</f>
        <v>0</v>
      </c>
    </row>
    <row r="580" spans="1:8">
      <c r="A580" s="61"/>
      <c r="B580" s="15" t="s">
        <v>17</v>
      </c>
      <c r="C580" s="42" t="s">
        <v>190</v>
      </c>
      <c r="D580" s="28" t="s">
        <v>3</v>
      </c>
      <c r="E580" s="105">
        <v>1.6999999999999999E-3</v>
      </c>
      <c r="F580" s="135">
        <f>E580*F576</f>
        <v>2.4989999999999997</v>
      </c>
      <c r="G580" s="28"/>
      <c r="H580" s="44">
        <f>G580*F580</f>
        <v>0</v>
      </c>
    </row>
    <row r="581" spans="1:8" ht="27" customHeight="1">
      <c r="A581" s="130"/>
      <c r="B581" s="174"/>
      <c r="C581" s="20" t="s">
        <v>497</v>
      </c>
      <c r="D581" s="130" t="s">
        <v>3</v>
      </c>
      <c r="E581" s="130"/>
      <c r="F581" s="469"/>
      <c r="G581" s="470"/>
      <c r="H581" s="471">
        <f>H553+H564+H576+H548+H559+H571</f>
        <v>0</v>
      </c>
    </row>
    <row r="582" spans="1:8" ht="34.5" customHeight="1">
      <c r="A582" s="130"/>
      <c r="B582" s="102"/>
      <c r="C582" s="80" t="s">
        <v>498</v>
      </c>
      <c r="D582" s="105"/>
      <c r="E582" s="105"/>
      <c r="F582" s="171"/>
      <c r="G582" s="102"/>
      <c r="H582" s="106"/>
    </row>
    <row r="583" spans="1:8">
      <c r="A583" s="174"/>
      <c r="B583" s="175"/>
      <c r="C583" s="176" t="s">
        <v>499</v>
      </c>
      <c r="D583" s="175"/>
      <c r="E583" s="175"/>
      <c r="F583" s="177"/>
      <c r="G583" s="102"/>
      <c r="H583" s="172"/>
    </row>
    <row r="584" spans="1:8" ht="54">
      <c r="A584" s="68" t="s">
        <v>13</v>
      </c>
      <c r="B584" s="9" t="s">
        <v>500</v>
      </c>
      <c r="C584" s="10" t="s">
        <v>501</v>
      </c>
      <c r="D584" s="26" t="s">
        <v>59</v>
      </c>
      <c r="E584" s="26"/>
      <c r="F584" s="161">
        <f>(270.15+178.01)*0.001</f>
        <v>0.44816</v>
      </c>
      <c r="G584" s="26"/>
      <c r="H584" s="27">
        <f>SUM(H585:H590)</f>
        <v>0</v>
      </c>
    </row>
    <row r="585" spans="1:8">
      <c r="A585" s="61"/>
      <c r="B585" s="24" t="s">
        <v>17</v>
      </c>
      <c r="C585" s="16" t="s">
        <v>18</v>
      </c>
      <c r="D585" s="29" t="s">
        <v>19</v>
      </c>
      <c r="E585" s="29">
        <v>170</v>
      </c>
      <c r="F585" s="142">
        <f>E585*F584</f>
        <v>76.187200000000004</v>
      </c>
      <c r="G585" s="29"/>
      <c r="H585" s="30">
        <f t="shared" ref="H585:H590" si="19">F585*G585</f>
        <v>0</v>
      </c>
    </row>
    <row r="586" spans="1:8">
      <c r="A586" s="61"/>
      <c r="B586" s="15" t="s">
        <v>17</v>
      </c>
      <c r="C586" s="16" t="s">
        <v>31</v>
      </c>
      <c r="D586" s="29" t="s">
        <v>3</v>
      </c>
      <c r="E586" s="29">
        <v>7.69</v>
      </c>
      <c r="F586" s="142">
        <f>E586*F584</f>
        <v>3.4463504</v>
      </c>
      <c r="G586" s="29"/>
      <c r="H586" s="30">
        <f t="shared" si="19"/>
        <v>0</v>
      </c>
    </row>
    <row r="587" spans="1:8">
      <c r="A587" s="61"/>
      <c r="B587" s="15" t="s">
        <v>502</v>
      </c>
      <c r="C587" s="16" t="s">
        <v>503</v>
      </c>
      <c r="D587" s="29" t="s">
        <v>23</v>
      </c>
      <c r="E587" s="29">
        <v>0.03</v>
      </c>
      <c r="F587" s="142">
        <f>E587*F584</f>
        <v>1.34448E-2</v>
      </c>
      <c r="G587" s="29"/>
      <c r="H587" s="30">
        <f t="shared" si="19"/>
        <v>0</v>
      </c>
    </row>
    <row r="588" spans="1:8">
      <c r="A588" s="61"/>
      <c r="B588" s="28" t="s">
        <v>504</v>
      </c>
      <c r="C588" s="16" t="s">
        <v>505</v>
      </c>
      <c r="D588" s="29" t="s">
        <v>59</v>
      </c>
      <c r="E588" s="29"/>
      <c r="F588" s="142">
        <v>0.53500000000000003</v>
      </c>
      <c r="G588" s="29"/>
      <c r="H588" s="30">
        <f>G588*F588</f>
        <v>0</v>
      </c>
    </row>
    <row r="589" spans="1:8">
      <c r="A589" s="61"/>
      <c r="B589" s="28" t="s">
        <v>506</v>
      </c>
      <c r="C589" s="16" t="s">
        <v>507</v>
      </c>
      <c r="D589" s="29" t="s">
        <v>508</v>
      </c>
      <c r="E589" s="29"/>
      <c r="F589" s="79">
        <v>8.4500000000000006E-2</v>
      </c>
      <c r="G589" s="178"/>
      <c r="H589" s="30">
        <f>G589*F589</f>
        <v>0</v>
      </c>
    </row>
    <row r="590" spans="1:8">
      <c r="A590" s="154"/>
      <c r="B590" s="23" t="s">
        <v>17</v>
      </c>
      <c r="C590" s="17" t="s">
        <v>449</v>
      </c>
      <c r="D590" s="29" t="s">
        <v>3</v>
      </c>
      <c r="E590" s="29">
        <v>14.5</v>
      </c>
      <c r="F590" s="19">
        <f>E590*F584</f>
        <v>6.4983199999999997</v>
      </c>
      <c r="G590" s="29"/>
      <c r="H590" s="30">
        <f t="shared" si="19"/>
        <v>0</v>
      </c>
    </row>
    <row r="591" spans="1:8" ht="48">
      <c r="A591" s="68" t="s">
        <v>72</v>
      </c>
      <c r="B591" s="9" t="s">
        <v>509</v>
      </c>
      <c r="C591" s="20" t="s">
        <v>510</v>
      </c>
      <c r="D591" s="20" t="s">
        <v>23</v>
      </c>
      <c r="E591" s="20"/>
      <c r="F591" s="69">
        <v>8.6</v>
      </c>
      <c r="G591" s="10"/>
      <c r="H591" s="39">
        <f>SUM(H592:H596)</f>
        <v>0</v>
      </c>
    </row>
    <row r="592" spans="1:8">
      <c r="A592" s="14"/>
      <c r="B592" s="15" t="s">
        <v>17</v>
      </c>
      <c r="C592" s="28" t="s">
        <v>28</v>
      </c>
      <c r="D592" s="16" t="s">
        <v>19</v>
      </c>
      <c r="E592" s="16">
        <v>3.36</v>
      </c>
      <c r="F592" s="70">
        <f>E592*F591</f>
        <v>28.895999999999997</v>
      </c>
      <c r="G592" s="17"/>
      <c r="H592" s="44">
        <f>G592*F592</f>
        <v>0</v>
      </c>
    </row>
    <row r="593" spans="1:8">
      <c r="A593" s="14"/>
      <c r="B593" s="24" t="s">
        <v>17</v>
      </c>
      <c r="C593" s="16" t="s">
        <v>31</v>
      </c>
      <c r="D593" s="16" t="s">
        <v>3</v>
      </c>
      <c r="E593" s="16">
        <v>0.92</v>
      </c>
      <c r="F593" s="70">
        <f>E593*F591</f>
        <v>7.9119999999999999</v>
      </c>
      <c r="G593" s="16"/>
      <c r="H593" s="44">
        <f>G593*F593</f>
        <v>0</v>
      </c>
    </row>
    <row r="594" spans="1:8">
      <c r="A594" s="14"/>
      <c r="B594" s="15" t="s">
        <v>308</v>
      </c>
      <c r="C594" s="16" t="s">
        <v>511</v>
      </c>
      <c r="D594" s="16" t="s">
        <v>75</v>
      </c>
      <c r="E594" s="16">
        <v>0.11</v>
      </c>
      <c r="F594" s="70">
        <f>E594*F591</f>
        <v>0.94599999999999995</v>
      </c>
      <c r="G594" s="16"/>
      <c r="H594" s="44">
        <f>G594*F594</f>
        <v>0</v>
      </c>
    </row>
    <row r="595" spans="1:8">
      <c r="A595" s="14"/>
      <c r="B595" s="15" t="s">
        <v>512</v>
      </c>
      <c r="C595" s="16" t="s">
        <v>513</v>
      </c>
      <c r="D595" s="16" t="s">
        <v>209</v>
      </c>
      <c r="E595" s="43">
        <v>62.5</v>
      </c>
      <c r="F595" s="43">
        <f>E595*F591</f>
        <v>537.5</v>
      </c>
      <c r="G595" s="43"/>
      <c r="H595" s="44">
        <f>G595*F595</f>
        <v>0</v>
      </c>
    </row>
    <row r="596" spans="1:8">
      <c r="A596" s="14"/>
      <c r="B596" s="24" t="s">
        <v>17</v>
      </c>
      <c r="C596" s="42" t="s">
        <v>190</v>
      </c>
      <c r="D596" s="16" t="s">
        <v>3</v>
      </c>
      <c r="E596" s="16">
        <v>0.16</v>
      </c>
      <c r="F596" s="70">
        <f>E596*F591</f>
        <v>1.3759999999999999</v>
      </c>
      <c r="G596" s="16"/>
      <c r="H596" s="44">
        <f>G596*F596</f>
        <v>0</v>
      </c>
    </row>
    <row r="597" spans="1:8" ht="48">
      <c r="A597" s="68" t="s">
        <v>480</v>
      </c>
      <c r="B597" s="9" t="s">
        <v>509</v>
      </c>
      <c r="C597" s="20" t="s">
        <v>514</v>
      </c>
      <c r="D597" s="20" t="s">
        <v>23</v>
      </c>
      <c r="E597" s="20"/>
      <c r="F597" s="69">
        <v>17.100000000000001</v>
      </c>
      <c r="G597" s="10"/>
      <c r="H597" s="39">
        <f>SUM(H598:H602)</f>
        <v>0</v>
      </c>
    </row>
    <row r="598" spans="1:8">
      <c r="A598" s="14"/>
      <c r="B598" s="15" t="s">
        <v>17</v>
      </c>
      <c r="C598" s="28" t="s">
        <v>28</v>
      </c>
      <c r="D598" s="16" t="s">
        <v>19</v>
      </c>
      <c r="E598" s="16">
        <v>3.36</v>
      </c>
      <c r="F598" s="70">
        <f>E598*F597</f>
        <v>57.456000000000003</v>
      </c>
      <c r="G598" s="17"/>
      <c r="H598" s="44">
        <f>G598*F598</f>
        <v>0</v>
      </c>
    </row>
    <row r="599" spans="1:8">
      <c r="A599" s="14"/>
      <c r="B599" s="24" t="s">
        <v>17</v>
      </c>
      <c r="C599" s="16" t="s">
        <v>31</v>
      </c>
      <c r="D599" s="16" t="s">
        <v>3</v>
      </c>
      <c r="E599" s="16">
        <v>0.92</v>
      </c>
      <c r="F599" s="70">
        <f>E599*F597</f>
        <v>15.732000000000003</v>
      </c>
      <c r="G599" s="16"/>
      <c r="H599" s="44">
        <f>G599*F599</f>
        <v>0</v>
      </c>
    </row>
    <row r="600" spans="1:8">
      <c r="A600" s="14"/>
      <c r="B600" s="15" t="s">
        <v>308</v>
      </c>
      <c r="C600" s="16" t="s">
        <v>511</v>
      </c>
      <c r="D600" s="16" t="s">
        <v>75</v>
      </c>
      <c r="E600" s="16">
        <v>0.11</v>
      </c>
      <c r="F600" s="70">
        <f>E600*F597</f>
        <v>1.8810000000000002</v>
      </c>
      <c r="G600" s="16"/>
      <c r="H600" s="44">
        <f>G600*F600</f>
        <v>0</v>
      </c>
    </row>
    <row r="601" spans="1:8">
      <c r="A601" s="14"/>
      <c r="B601" s="15" t="s">
        <v>512</v>
      </c>
      <c r="C601" s="16" t="s">
        <v>513</v>
      </c>
      <c r="D601" s="16" t="s">
        <v>209</v>
      </c>
      <c r="E601" s="43">
        <v>62.5</v>
      </c>
      <c r="F601" s="43">
        <f>E601*F597</f>
        <v>1068.75</v>
      </c>
      <c r="G601" s="43"/>
      <c r="H601" s="44">
        <f>G601*F601</f>
        <v>0</v>
      </c>
    </row>
    <row r="602" spans="1:8">
      <c r="A602" s="14"/>
      <c r="B602" s="24" t="s">
        <v>17</v>
      </c>
      <c r="C602" s="42" t="s">
        <v>190</v>
      </c>
      <c r="D602" s="16" t="s">
        <v>3</v>
      </c>
      <c r="E602" s="16">
        <v>0.16</v>
      </c>
      <c r="F602" s="70">
        <f>E602*F597</f>
        <v>2.7360000000000002</v>
      </c>
      <c r="G602" s="16"/>
      <c r="H602" s="44">
        <f>G602*F602</f>
        <v>0</v>
      </c>
    </row>
    <row r="603" spans="1:8" ht="48">
      <c r="A603" s="68" t="s">
        <v>327</v>
      </c>
      <c r="B603" s="9" t="s">
        <v>509</v>
      </c>
      <c r="C603" s="20" t="s">
        <v>515</v>
      </c>
      <c r="D603" s="20" t="s">
        <v>23</v>
      </c>
      <c r="E603" s="20"/>
      <c r="F603" s="69">
        <v>6.2</v>
      </c>
      <c r="G603" s="10"/>
      <c r="H603" s="39">
        <f>SUM(H604:H608)</f>
        <v>0</v>
      </c>
    </row>
    <row r="604" spans="1:8">
      <c r="A604" s="14"/>
      <c r="B604" s="14" t="s">
        <v>17</v>
      </c>
      <c r="C604" s="16" t="s">
        <v>18</v>
      </c>
      <c r="D604" s="16" t="s">
        <v>19</v>
      </c>
      <c r="E604" s="16">
        <v>3.36</v>
      </c>
      <c r="F604" s="70">
        <f>E604*F603</f>
        <v>20.832000000000001</v>
      </c>
      <c r="G604" s="17"/>
      <c r="H604" s="44">
        <f>G604*F604</f>
        <v>0</v>
      </c>
    </row>
    <row r="605" spans="1:8">
      <c r="A605" s="14"/>
      <c r="B605" s="67" t="s">
        <v>17</v>
      </c>
      <c r="C605" s="16" t="s">
        <v>31</v>
      </c>
      <c r="D605" s="16" t="s">
        <v>3</v>
      </c>
      <c r="E605" s="16">
        <v>0.92</v>
      </c>
      <c r="F605" s="70">
        <f>E605*F603</f>
        <v>5.7040000000000006</v>
      </c>
      <c r="G605" s="16"/>
      <c r="H605" s="44">
        <f>G605*F605</f>
        <v>0</v>
      </c>
    </row>
    <row r="606" spans="1:8">
      <c r="A606" s="14"/>
      <c r="B606" s="15" t="s">
        <v>308</v>
      </c>
      <c r="C606" s="16" t="s">
        <v>511</v>
      </c>
      <c r="D606" s="16" t="s">
        <v>75</v>
      </c>
      <c r="E606" s="16">
        <v>0.11</v>
      </c>
      <c r="F606" s="70">
        <f>E606*F603</f>
        <v>0.68200000000000005</v>
      </c>
      <c r="G606" s="16"/>
      <c r="H606" s="44">
        <f>G606*F606</f>
        <v>0</v>
      </c>
    </row>
    <row r="607" spans="1:8">
      <c r="A607" s="14"/>
      <c r="B607" s="179" t="s">
        <v>516</v>
      </c>
      <c r="C607" s="16" t="s">
        <v>517</v>
      </c>
      <c r="D607" s="16" t="s">
        <v>209</v>
      </c>
      <c r="E607" s="43">
        <v>125</v>
      </c>
      <c r="F607" s="43">
        <f>E607*F603</f>
        <v>775</v>
      </c>
      <c r="G607" s="43"/>
      <c r="H607" s="44">
        <f>G607*F607</f>
        <v>0</v>
      </c>
    </row>
    <row r="608" spans="1:8">
      <c r="A608" s="14"/>
      <c r="B608" s="67" t="s">
        <v>17</v>
      </c>
      <c r="C608" s="16" t="s">
        <v>100</v>
      </c>
      <c r="D608" s="16" t="s">
        <v>3</v>
      </c>
      <c r="E608" s="16">
        <v>0.16</v>
      </c>
      <c r="F608" s="70">
        <f>E608*F603</f>
        <v>0.9920000000000001</v>
      </c>
      <c r="G608" s="16"/>
      <c r="H608" s="44">
        <f>G608*F608</f>
        <v>0</v>
      </c>
    </row>
    <row r="609" spans="1:8" ht="54">
      <c r="A609" s="25">
        <v>5</v>
      </c>
      <c r="B609" s="9" t="s">
        <v>518</v>
      </c>
      <c r="C609" s="20" t="s">
        <v>519</v>
      </c>
      <c r="D609" s="20" t="s">
        <v>59</v>
      </c>
      <c r="E609" s="20"/>
      <c r="F609" s="75">
        <v>0.12</v>
      </c>
      <c r="G609" s="20"/>
      <c r="H609" s="39">
        <f>SUM(H610:H612)</f>
        <v>0</v>
      </c>
    </row>
    <row r="610" spans="1:8">
      <c r="A610" s="14"/>
      <c r="B610" s="179" t="s">
        <v>17</v>
      </c>
      <c r="C610" s="28" t="s">
        <v>28</v>
      </c>
      <c r="D610" s="28" t="s">
        <v>19</v>
      </c>
      <c r="E610" s="28">
        <v>54.3</v>
      </c>
      <c r="F610" s="180">
        <f>E610*F609</f>
        <v>6.5159999999999991</v>
      </c>
      <c r="G610" s="17"/>
      <c r="H610" s="44">
        <f>F610*G610</f>
        <v>0</v>
      </c>
    </row>
    <row r="611" spans="1:8">
      <c r="A611" s="14"/>
      <c r="B611" s="179" t="s">
        <v>17</v>
      </c>
      <c r="C611" s="28" t="s">
        <v>233</v>
      </c>
      <c r="D611" s="28" t="s">
        <v>3</v>
      </c>
      <c r="E611" s="28">
        <v>1.38</v>
      </c>
      <c r="F611" s="180">
        <f>F609*E611</f>
        <v>0.16559999999999997</v>
      </c>
      <c r="G611" s="28"/>
      <c r="H611" s="43">
        <f>F611*G611</f>
        <v>0</v>
      </c>
    </row>
    <row r="612" spans="1:8">
      <c r="A612" s="14"/>
      <c r="B612" s="22" t="s">
        <v>520</v>
      </c>
      <c r="C612" s="16" t="s">
        <v>521</v>
      </c>
      <c r="D612" s="16" t="s">
        <v>508</v>
      </c>
      <c r="E612" s="16">
        <v>1.01</v>
      </c>
      <c r="F612" s="77">
        <f>E612*F609</f>
        <v>0.1212</v>
      </c>
      <c r="G612" s="28"/>
      <c r="H612" s="43">
        <f>F612*G612</f>
        <v>0</v>
      </c>
    </row>
    <row r="613" spans="1:8" ht="48">
      <c r="A613" s="68" t="s">
        <v>88</v>
      </c>
      <c r="B613" s="55" t="s">
        <v>522</v>
      </c>
      <c r="C613" s="20" t="s">
        <v>523</v>
      </c>
      <c r="D613" s="26" t="s">
        <v>23</v>
      </c>
      <c r="E613" s="26"/>
      <c r="F613" s="21">
        <v>0.3</v>
      </c>
      <c r="G613" s="26"/>
      <c r="H613" s="27">
        <f>SUM(H614:H621)</f>
        <v>0</v>
      </c>
    </row>
    <row r="614" spans="1:8">
      <c r="A614" s="15"/>
      <c r="B614" s="23" t="s">
        <v>17</v>
      </c>
      <c r="C614" s="29" t="s">
        <v>28</v>
      </c>
      <c r="D614" s="29" t="s">
        <v>19</v>
      </c>
      <c r="E614" s="29">
        <f>13.5</f>
        <v>13.5</v>
      </c>
      <c r="F614" s="78">
        <f>E614*F613</f>
        <v>4.05</v>
      </c>
      <c r="G614" s="29"/>
      <c r="H614" s="30">
        <f t="shared" ref="H614:H621" si="20">G614*F614</f>
        <v>0</v>
      </c>
    </row>
    <row r="615" spans="1:8">
      <c r="A615" s="15"/>
      <c r="B615" s="23" t="s">
        <v>17</v>
      </c>
      <c r="C615" s="29" t="s">
        <v>31</v>
      </c>
      <c r="D615" s="29" t="s">
        <v>3</v>
      </c>
      <c r="E615" s="29">
        <f>1.12</f>
        <v>1.1200000000000001</v>
      </c>
      <c r="F615" s="19">
        <f>E615*F613</f>
        <v>0.33600000000000002</v>
      </c>
      <c r="G615" s="29"/>
      <c r="H615" s="30">
        <f t="shared" si="20"/>
        <v>0</v>
      </c>
    </row>
    <row r="616" spans="1:8">
      <c r="A616" s="15"/>
      <c r="B616" s="28" t="s">
        <v>524</v>
      </c>
      <c r="C616" s="29" t="s">
        <v>525</v>
      </c>
      <c r="D616" s="29" t="s">
        <v>75</v>
      </c>
      <c r="E616" s="29">
        <v>1.0149999999999999</v>
      </c>
      <c r="F616" s="19">
        <f>E616*F613</f>
        <v>0.30449999999999994</v>
      </c>
      <c r="G616" s="19"/>
      <c r="H616" s="30">
        <f t="shared" si="20"/>
        <v>0</v>
      </c>
    </row>
    <row r="617" spans="1:8">
      <c r="A617" s="15"/>
      <c r="B617" s="28" t="s">
        <v>119</v>
      </c>
      <c r="C617" s="28" t="s">
        <v>526</v>
      </c>
      <c r="D617" s="29" t="s">
        <v>508</v>
      </c>
      <c r="E617" s="29" t="s">
        <v>109</v>
      </c>
      <c r="F617" s="142">
        <v>0.03</v>
      </c>
      <c r="G617" s="29"/>
      <c r="H617" s="30">
        <f t="shared" si="20"/>
        <v>0</v>
      </c>
    </row>
    <row r="618" spans="1:8">
      <c r="A618" s="15"/>
      <c r="B618" s="28" t="s">
        <v>527</v>
      </c>
      <c r="C618" s="29" t="s">
        <v>171</v>
      </c>
      <c r="D618" s="29" t="s">
        <v>112</v>
      </c>
      <c r="E618" s="29">
        <v>2.9</v>
      </c>
      <c r="F618" s="19">
        <f>E618*F613</f>
        <v>0.87</v>
      </c>
      <c r="G618" s="29"/>
      <c r="H618" s="30">
        <f t="shared" si="20"/>
        <v>0</v>
      </c>
    </row>
    <row r="619" spans="1:8">
      <c r="A619" s="15"/>
      <c r="B619" s="28" t="s">
        <v>528</v>
      </c>
      <c r="C619" s="29" t="s">
        <v>529</v>
      </c>
      <c r="D619" s="29" t="s">
        <v>75</v>
      </c>
      <c r="E619" s="29">
        <v>3.78E-2</v>
      </c>
      <c r="F619" s="19">
        <f>F613*E619</f>
        <v>1.1339999999999999E-2</v>
      </c>
      <c r="G619" s="29"/>
      <c r="H619" s="30">
        <f t="shared" si="20"/>
        <v>0</v>
      </c>
    </row>
    <row r="620" spans="1:8">
      <c r="A620" s="15"/>
      <c r="B620" s="28" t="s">
        <v>174</v>
      </c>
      <c r="C620" s="29" t="s">
        <v>122</v>
      </c>
      <c r="D620" s="29" t="s">
        <v>508</v>
      </c>
      <c r="E620" s="29">
        <v>2.3E-3</v>
      </c>
      <c r="F620" s="79">
        <f>F613*E620</f>
        <v>6.8999999999999997E-4</v>
      </c>
      <c r="G620" s="29"/>
      <c r="H620" s="30">
        <f t="shared" si="20"/>
        <v>0</v>
      </c>
    </row>
    <row r="621" spans="1:8">
      <c r="A621" s="15"/>
      <c r="B621" s="181"/>
      <c r="C621" s="29" t="s">
        <v>100</v>
      </c>
      <c r="D621" s="29" t="s">
        <v>3</v>
      </c>
      <c r="E621" s="29">
        <v>0.95</v>
      </c>
      <c r="F621" s="19">
        <f>E621*F613</f>
        <v>0.28499999999999998</v>
      </c>
      <c r="G621" s="29"/>
      <c r="H621" s="30">
        <f t="shared" si="20"/>
        <v>0</v>
      </c>
    </row>
    <row r="622" spans="1:8">
      <c r="A622" s="174"/>
      <c r="B622" s="175"/>
      <c r="C622" s="176" t="s">
        <v>530</v>
      </c>
      <c r="D622" s="175"/>
      <c r="E622" s="175"/>
      <c r="F622" s="177"/>
      <c r="G622" s="102"/>
      <c r="H622" s="172"/>
    </row>
    <row r="623" spans="1:8" ht="48">
      <c r="A623" s="68" t="s">
        <v>13</v>
      </c>
      <c r="B623" s="9" t="s">
        <v>509</v>
      </c>
      <c r="C623" s="20" t="s">
        <v>531</v>
      </c>
      <c r="D623" s="20" t="s">
        <v>23</v>
      </c>
      <c r="E623" s="20"/>
      <c r="F623" s="69">
        <v>301</v>
      </c>
      <c r="G623" s="10"/>
      <c r="H623" s="39">
        <f>SUM(H624:H629)</f>
        <v>0</v>
      </c>
    </row>
    <row r="624" spans="1:8">
      <c r="A624" s="14"/>
      <c r="B624" s="15" t="s">
        <v>17</v>
      </c>
      <c r="C624" s="28" t="s">
        <v>28</v>
      </c>
      <c r="D624" s="16" t="s">
        <v>19</v>
      </c>
      <c r="E624" s="16">
        <v>3.36</v>
      </c>
      <c r="F624" s="70">
        <f>E624*F623</f>
        <v>1011.36</v>
      </c>
      <c r="G624" s="17"/>
      <c r="H624" s="44">
        <f t="shared" ref="H624:H629" si="21">G624*F624</f>
        <v>0</v>
      </c>
    </row>
    <row r="625" spans="1:8">
      <c r="A625" s="14"/>
      <c r="B625" s="24" t="s">
        <v>17</v>
      </c>
      <c r="C625" s="16" t="s">
        <v>31</v>
      </c>
      <c r="D625" s="16" t="s">
        <v>3</v>
      </c>
      <c r="E625" s="16">
        <v>0.92</v>
      </c>
      <c r="F625" s="70">
        <f>E625*F623</f>
        <v>276.92</v>
      </c>
      <c r="G625" s="16"/>
      <c r="H625" s="44">
        <f t="shared" si="21"/>
        <v>0</v>
      </c>
    </row>
    <row r="626" spans="1:8">
      <c r="A626" s="14"/>
      <c r="B626" s="15" t="s">
        <v>308</v>
      </c>
      <c r="C626" s="16" t="s">
        <v>511</v>
      </c>
      <c r="D626" s="16" t="s">
        <v>75</v>
      </c>
      <c r="E626" s="16">
        <v>0.11</v>
      </c>
      <c r="F626" s="70">
        <f>E626*F623</f>
        <v>33.11</v>
      </c>
      <c r="G626" s="16"/>
      <c r="H626" s="44">
        <f t="shared" si="21"/>
        <v>0</v>
      </c>
    </row>
    <row r="627" spans="1:8">
      <c r="A627" s="14"/>
      <c r="B627" s="15" t="s">
        <v>532</v>
      </c>
      <c r="C627" s="16" t="s">
        <v>533</v>
      </c>
      <c r="D627" s="16" t="s">
        <v>209</v>
      </c>
      <c r="E627" s="43">
        <v>62.5</v>
      </c>
      <c r="F627" s="43">
        <f>E627*F623</f>
        <v>18812.5</v>
      </c>
      <c r="G627" s="43"/>
      <c r="H627" s="44">
        <f t="shared" si="21"/>
        <v>0</v>
      </c>
    </row>
    <row r="628" spans="1:8">
      <c r="A628" s="14"/>
      <c r="B628" s="15" t="s">
        <v>534</v>
      </c>
      <c r="C628" s="16" t="s">
        <v>535</v>
      </c>
      <c r="D628" s="16" t="s">
        <v>209</v>
      </c>
      <c r="E628" s="43">
        <v>62.5</v>
      </c>
      <c r="F628" s="43">
        <f>E628*F623</f>
        <v>18812.5</v>
      </c>
      <c r="G628" s="43"/>
      <c r="H628" s="44">
        <f t="shared" si="21"/>
        <v>0</v>
      </c>
    </row>
    <row r="629" spans="1:8">
      <c r="A629" s="14"/>
      <c r="B629" s="24" t="s">
        <v>17</v>
      </c>
      <c r="C629" s="42" t="s">
        <v>190</v>
      </c>
      <c r="D629" s="16" t="s">
        <v>3</v>
      </c>
      <c r="E629" s="16">
        <v>0.16</v>
      </c>
      <c r="F629" s="70">
        <f>E629*F623</f>
        <v>48.160000000000004</v>
      </c>
      <c r="G629" s="16"/>
      <c r="H629" s="44">
        <f t="shared" si="21"/>
        <v>0</v>
      </c>
    </row>
    <row r="630" spans="1:8" ht="48">
      <c r="A630" s="68" t="s">
        <v>72</v>
      </c>
      <c r="B630" s="9" t="s">
        <v>509</v>
      </c>
      <c r="C630" s="20" t="s">
        <v>514</v>
      </c>
      <c r="D630" s="20" t="s">
        <v>23</v>
      </c>
      <c r="E630" s="20"/>
      <c r="F630" s="69">
        <v>145</v>
      </c>
      <c r="G630" s="10"/>
      <c r="H630" s="39">
        <f>SUM(H631:H635)</f>
        <v>0</v>
      </c>
    </row>
    <row r="631" spans="1:8">
      <c r="A631" s="14"/>
      <c r="B631" s="15" t="s">
        <v>17</v>
      </c>
      <c r="C631" s="28" t="s">
        <v>28</v>
      </c>
      <c r="D631" s="16" t="s">
        <v>19</v>
      </c>
      <c r="E631" s="16">
        <v>3.36</v>
      </c>
      <c r="F631" s="70">
        <f>E631*F630</f>
        <v>487.2</v>
      </c>
      <c r="G631" s="17"/>
      <c r="H631" s="44">
        <f>G631*F631</f>
        <v>0</v>
      </c>
    </row>
    <row r="632" spans="1:8">
      <c r="A632" s="14"/>
      <c r="B632" s="24" t="s">
        <v>17</v>
      </c>
      <c r="C632" s="16" t="s">
        <v>31</v>
      </c>
      <c r="D632" s="16" t="s">
        <v>3</v>
      </c>
      <c r="E632" s="16">
        <v>0.92</v>
      </c>
      <c r="F632" s="70">
        <f>E632*F630</f>
        <v>133.4</v>
      </c>
      <c r="G632" s="16"/>
      <c r="H632" s="44">
        <f>G632*F632</f>
        <v>0</v>
      </c>
    </row>
    <row r="633" spans="1:8">
      <c r="A633" s="14"/>
      <c r="B633" s="15" t="s">
        <v>308</v>
      </c>
      <c r="C633" s="16" t="s">
        <v>511</v>
      </c>
      <c r="D633" s="16" t="s">
        <v>75</v>
      </c>
      <c r="E633" s="16">
        <v>0.11</v>
      </c>
      <c r="F633" s="70">
        <f>E633*F630</f>
        <v>15.95</v>
      </c>
      <c r="G633" s="16"/>
      <c r="H633" s="44">
        <f>G633*F633</f>
        <v>0</v>
      </c>
    </row>
    <row r="634" spans="1:8">
      <c r="A634" s="14"/>
      <c r="B634" s="15" t="s">
        <v>512</v>
      </c>
      <c r="C634" s="16" t="s">
        <v>513</v>
      </c>
      <c r="D634" s="16" t="s">
        <v>209</v>
      </c>
      <c r="E634" s="43">
        <v>62.5</v>
      </c>
      <c r="F634" s="43">
        <f>E634*F630</f>
        <v>9062.5</v>
      </c>
      <c r="G634" s="43"/>
      <c r="H634" s="44">
        <f>G634*F634</f>
        <v>0</v>
      </c>
    </row>
    <row r="635" spans="1:8">
      <c r="A635" s="14"/>
      <c r="B635" s="24" t="s">
        <v>17</v>
      </c>
      <c r="C635" s="42" t="s">
        <v>190</v>
      </c>
      <c r="D635" s="16" t="s">
        <v>3</v>
      </c>
      <c r="E635" s="16">
        <v>0.16</v>
      </c>
      <c r="F635" s="70">
        <f>E635*F630</f>
        <v>23.2</v>
      </c>
      <c r="G635" s="16"/>
      <c r="H635" s="44">
        <f>G635*F635</f>
        <v>0</v>
      </c>
    </row>
    <row r="636" spans="1:8" ht="48">
      <c r="A636" s="68" t="s">
        <v>480</v>
      </c>
      <c r="B636" s="9" t="s">
        <v>509</v>
      </c>
      <c r="C636" s="20" t="s">
        <v>515</v>
      </c>
      <c r="D636" s="20" t="s">
        <v>23</v>
      </c>
      <c r="E636" s="20"/>
      <c r="F636" s="69">
        <v>10.8</v>
      </c>
      <c r="G636" s="10"/>
      <c r="H636" s="39">
        <f>SUM(H637:H641)</f>
        <v>0</v>
      </c>
    </row>
    <row r="637" spans="1:8">
      <c r="A637" s="14"/>
      <c r="B637" s="14" t="s">
        <v>17</v>
      </c>
      <c r="C637" s="16" t="s">
        <v>18</v>
      </c>
      <c r="D637" s="16" t="s">
        <v>19</v>
      </c>
      <c r="E637" s="16">
        <v>3.36</v>
      </c>
      <c r="F637" s="70">
        <f>E637*F636</f>
        <v>36.288000000000004</v>
      </c>
      <c r="G637" s="17"/>
      <c r="H637" s="44">
        <f>G637*F637</f>
        <v>0</v>
      </c>
    </row>
    <row r="638" spans="1:8">
      <c r="A638" s="14"/>
      <c r="B638" s="67" t="s">
        <v>17</v>
      </c>
      <c r="C638" s="16" t="s">
        <v>31</v>
      </c>
      <c r="D638" s="16" t="s">
        <v>3</v>
      </c>
      <c r="E638" s="16">
        <v>0.92</v>
      </c>
      <c r="F638" s="70">
        <f>E638*F636</f>
        <v>9.9360000000000017</v>
      </c>
      <c r="G638" s="16"/>
      <c r="H638" s="44">
        <f>G638*F638</f>
        <v>0</v>
      </c>
    </row>
    <row r="639" spans="1:8">
      <c r="A639" s="14"/>
      <c r="B639" s="15" t="s">
        <v>308</v>
      </c>
      <c r="C639" s="16" t="s">
        <v>511</v>
      </c>
      <c r="D639" s="16" t="s">
        <v>75</v>
      </c>
      <c r="E639" s="16">
        <v>0.11</v>
      </c>
      <c r="F639" s="70">
        <f>E639*F636</f>
        <v>1.1880000000000002</v>
      </c>
      <c r="G639" s="16"/>
      <c r="H639" s="44">
        <f>G639*F639</f>
        <v>0</v>
      </c>
    </row>
    <row r="640" spans="1:8">
      <c r="A640" s="14"/>
      <c r="B640" s="179" t="s">
        <v>516</v>
      </c>
      <c r="C640" s="16" t="s">
        <v>517</v>
      </c>
      <c r="D640" s="16" t="s">
        <v>209</v>
      </c>
      <c r="E640" s="43">
        <v>125</v>
      </c>
      <c r="F640" s="43">
        <f>E640*F636</f>
        <v>1350</v>
      </c>
      <c r="G640" s="43"/>
      <c r="H640" s="44">
        <f>G640*F640</f>
        <v>0</v>
      </c>
    </row>
    <row r="641" spans="1:8">
      <c r="A641" s="14"/>
      <c r="B641" s="67" t="s">
        <v>17</v>
      </c>
      <c r="C641" s="16" t="s">
        <v>100</v>
      </c>
      <c r="D641" s="16" t="s">
        <v>3</v>
      </c>
      <c r="E641" s="16">
        <v>0.16</v>
      </c>
      <c r="F641" s="70">
        <f>E641*F636</f>
        <v>1.7280000000000002</v>
      </c>
      <c r="G641" s="16"/>
      <c r="H641" s="44">
        <f>G641*F641</f>
        <v>0</v>
      </c>
    </row>
    <row r="642" spans="1:8" ht="54">
      <c r="A642" s="25">
        <v>4</v>
      </c>
      <c r="B642" s="9" t="s">
        <v>518</v>
      </c>
      <c r="C642" s="20" t="s">
        <v>519</v>
      </c>
      <c r="D642" s="20" t="s">
        <v>59</v>
      </c>
      <c r="E642" s="20"/>
      <c r="F642" s="75">
        <v>1.5</v>
      </c>
      <c r="G642" s="20"/>
      <c r="H642" s="39">
        <f>SUM(H643:H645)</f>
        <v>0</v>
      </c>
    </row>
    <row r="643" spans="1:8">
      <c r="A643" s="14"/>
      <c r="B643" s="179" t="s">
        <v>17</v>
      </c>
      <c r="C643" s="28" t="s">
        <v>28</v>
      </c>
      <c r="D643" s="28" t="s">
        <v>19</v>
      </c>
      <c r="E643" s="28">
        <v>54.3</v>
      </c>
      <c r="F643" s="180">
        <f>E643*F642</f>
        <v>81.449999999999989</v>
      </c>
      <c r="G643" s="17"/>
      <c r="H643" s="44">
        <f>F643*G643</f>
        <v>0</v>
      </c>
    </row>
    <row r="644" spans="1:8">
      <c r="A644" s="14"/>
      <c r="B644" s="179" t="s">
        <v>17</v>
      </c>
      <c r="C644" s="28" t="s">
        <v>233</v>
      </c>
      <c r="D644" s="28" t="s">
        <v>3</v>
      </c>
      <c r="E644" s="28">
        <v>1.38</v>
      </c>
      <c r="F644" s="180">
        <f>F642*E644</f>
        <v>2.0699999999999998</v>
      </c>
      <c r="G644" s="28"/>
      <c r="H644" s="43">
        <f>F644*G644</f>
        <v>0</v>
      </c>
    </row>
    <row r="645" spans="1:8">
      <c r="A645" s="14"/>
      <c r="B645" s="22" t="s">
        <v>520</v>
      </c>
      <c r="C645" s="16" t="s">
        <v>521</v>
      </c>
      <c r="D645" s="16" t="s">
        <v>508</v>
      </c>
      <c r="E645" s="16">
        <v>1.01</v>
      </c>
      <c r="F645" s="77">
        <f>E645*F642</f>
        <v>1.5150000000000001</v>
      </c>
      <c r="G645" s="28"/>
      <c r="H645" s="43">
        <f>F645*G645</f>
        <v>0</v>
      </c>
    </row>
    <row r="646" spans="1:8" ht="54">
      <c r="A646" s="68" t="s">
        <v>82</v>
      </c>
      <c r="B646" s="55" t="s">
        <v>522</v>
      </c>
      <c r="C646" s="20" t="s">
        <v>536</v>
      </c>
      <c r="D646" s="26" t="s">
        <v>23</v>
      </c>
      <c r="E646" s="26"/>
      <c r="F646" s="21">
        <v>2</v>
      </c>
      <c r="G646" s="26"/>
      <c r="H646" s="27">
        <f>SUM(H647:H654)</f>
        <v>0</v>
      </c>
    </row>
    <row r="647" spans="1:8">
      <c r="A647" s="15"/>
      <c r="B647" s="23" t="s">
        <v>17</v>
      </c>
      <c r="C647" s="29" t="s">
        <v>28</v>
      </c>
      <c r="D647" s="29" t="s">
        <v>19</v>
      </c>
      <c r="E647" s="29">
        <f>13.5</f>
        <v>13.5</v>
      </c>
      <c r="F647" s="78">
        <f>E647*F646</f>
        <v>27</v>
      </c>
      <c r="G647" s="29"/>
      <c r="H647" s="30">
        <f t="shared" ref="H647:H654" si="22">G647*F647</f>
        <v>0</v>
      </c>
    </row>
    <row r="648" spans="1:8">
      <c r="A648" s="15"/>
      <c r="B648" s="23" t="s">
        <v>17</v>
      </c>
      <c r="C648" s="29" t="s">
        <v>31</v>
      </c>
      <c r="D648" s="29" t="s">
        <v>3</v>
      </c>
      <c r="E648" s="29">
        <f>1.12</f>
        <v>1.1200000000000001</v>
      </c>
      <c r="F648" s="19">
        <f>E648*F646</f>
        <v>2.2400000000000002</v>
      </c>
      <c r="G648" s="29"/>
      <c r="H648" s="30">
        <f t="shared" si="22"/>
        <v>0</v>
      </c>
    </row>
    <row r="649" spans="1:8">
      <c r="A649" s="15"/>
      <c r="B649" s="28" t="s">
        <v>524</v>
      </c>
      <c r="C649" s="29" t="s">
        <v>525</v>
      </c>
      <c r="D649" s="29" t="s">
        <v>75</v>
      </c>
      <c r="E649" s="29">
        <v>1.0149999999999999</v>
      </c>
      <c r="F649" s="19">
        <f>E649*F646</f>
        <v>2.0299999999999998</v>
      </c>
      <c r="G649" s="19"/>
      <c r="H649" s="30">
        <f t="shared" si="22"/>
        <v>0</v>
      </c>
    </row>
    <row r="650" spans="1:8">
      <c r="A650" s="15"/>
      <c r="B650" s="28" t="s">
        <v>119</v>
      </c>
      <c r="C650" s="28" t="s">
        <v>526</v>
      </c>
      <c r="D650" s="29" t="s">
        <v>508</v>
      </c>
      <c r="E650" s="29" t="s">
        <v>109</v>
      </c>
      <c r="F650" s="142">
        <v>0.2</v>
      </c>
      <c r="G650" s="29"/>
      <c r="H650" s="30">
        <f t="shared" si="22"/>
        <v>0</v>
      </c>
    </row>
    <row r="651" spans="1:8">
      <c r="A651" s="15"/>
      <c r="B651" s="28" t="s">
        <v>527</v>
      </c>
      <c r="C651" s="29" t="s">
        <v>171</v>
      </c>
      <c r="D651" s="29" t="s">
        <v>112</v>
      </c>
      <c r="E651" s="29">
        <v>2.9</v>
      </c>
      <c r="F651" s="19">
        <f>E651*F646</f>
        <v>5.8</v>
      </c>
      <c r="G651" s="29"/>
      <c r="H651" s="30">
        <f t="shared" si="22"/>
        <v>0</v>
      </c>
    </row>
    <row r="652" spans="1:8">
      <c r="A652" s="15"/>
      <c r="B652" s="28" t="s">
        <v>528</v>
      </c>
      <c r="C652" s="29" t="s">
        <v>529</v>
      </c>
      <c r="D652" s="29" t="s">
        <v>75</v>
      </c>
      <c r="E652" s="29">
        <v>3.78E-2</v>
      </c>
      <c r="F652" s="19">
        <f>F646*E652</f>
        <v>7.5600000000000001E-2</v>
      </c>
      <c r="G652" s="29"/>
      <c r="H652" s="30">
        <f t="shared" si="22"/>
        <v>0</v>
      </c>
    </row>
    <row r="653" spans="1:8">
      <c r="A653" s="15"/>
      <c r="B653" s="28" t="s">
        <v>174</v>
      </c>
      <c r="C653" s="29" t="s">
        <v>122</v>
      </c>
      <c r="D653" s="29" t="s">
        <v>508</v>
      </c>
      <c r="E653" s="29">
        <v>2.3E-3</v>
      </c>
      <c r="F653" s="79">
        <f>F646*E653</f>
        <v>4.5999999999999999E-3</v>
      </c>
      <c r="G653" s="29"/>
      <c r="H653" s="30">
        <f t="shared" si="22"/>
        <v>0</v>
      </c>
    </row>
    <row r="654" spans="1:8">
      <c r="A654" s="15"/>
      <c r="B654" s="181" t="s">
        <v>17</v>
      </c>
      <c r="C654" s="29" t="s">
        <v>100</v>
      </c>
      <c r="D654" s="29" t="s">
        <v>3</v>
      </c>
      <c r="E654" s="29">
        <v>0.95</v>
      </c>
      <c r="F654" s="19">
        <f>E654*F646</f>
        <v>1.9</v>
      </c>
      <c r="G654" s="29"/>
      <c r="H654" s="30">
        <f t="shared" si="22"/>
        <v>0</v>
      </c>
    </row>
    <row r="655" spans="1:8" ht="23.25" customHeight="1">
      <c r="A655" s="130"/>
      <c r="B655" s="174"/>
      <c r="C655" s="20" t="s">
        <v>537</v>
      </c>
      <c r="D655" s="130" t="s">
        <v>3</v>
      </c>
      <c r="E655" s="130"/>
      <c r="F655" s="469"/>
      <c r="G655" s="470"/>
      <c r="H655" s="471">
        <f>H584+H591+H597+H603+H609+H613+H623+H630+H636+H642+H646</f>
        <v>0</v>
      </c>
    </row>
    <row r="656" spans="1:8" ht="50.25" customHeight="1">
      <c r="A656" s="130"/>
      <c r="B656" s="102"/>
      <c r="C656" s="80" t="s">
        <v>538</v>
      </c>
      <c r="D656" s="105"/>
      <c r="E656" s="105"/>
      <c r="F656" s="171"/>
      <c r="G656" s="102"/>
      <c r="H656" s="106"/>
    </row>
    <row r="657" spans="1:8" ht="89.25">
      <c r="A657" s="128">
        <v>1</v>
      </c>
      <c r="B657" s="182" t="s">
        <v>539</v>
      </c>
      <c r="C657" s="128" t="s">
        <v>540</v>
      </c>
      <c r="D657" s="128" t="s">
        <v>241</v>
      </c>
      <c r="E657" s="128"/>
      <c r="F657" s="69">
        <v>2222</v>
      </c>
      <c r="G657" s="129"/>
      <c r="H657" s="39">
        <f>H658+H659+H660+H661+H663+H662</f>
        <v>0</v>
      </c>
    </row>
    <row r="658" spans="1:8">
      <c r="A658" s="183"/>
      <c r="B658" s="15" t="s">
        <v>17</v>
      </c>
      <c r="C658" s="28" t="s">
        <v>541</v>
      </c>
      <c r="D658" s="29" t="s">
        <v>19</v>
      </c>
      <c r="E658" s="29">
        <f>1.16*1.01</f>
        <v>1.1716</v>
      </c>
      <c r="F658" s="184">
        <f>F657*E658</f>
        <v>2603.2952</v>
      </c>
      <c r="G658" s="105"/>
      <c r="H658" s="106">
        <f>F658*G658</f>
        <v>0</v>
      </c>
    </row>
    <row r="659" spans="1:8">
      <c r="A659" s="183"/>
      <c r="B659" s="28" t="s">
        <v>542</v>
      </c>
      <c r="C659" s="28" t="s">
        <v>543</v>
      </c>
      <c r="D659" s="181" t="s">
        <v>326</v>
      </c>
      <c r="E659" s="185">
        <f>0.041*1.15</f>
        <v>4.7149999999999997E-2</v>
      </c>
      <c r="F659" s="184">
        <f>F657*E659</f>
        <v>104.76729999999999</v>
      </c>
      <c r="G659" s="150"/>
      <c r="H659" s="106">
        <f>F659*G659</f>
        <v>0</v>
      </c>
    </row>
    <row r="660" spans="1:8">
      <c r="A660" s="183"/>
      <c r="B660" s="15" t="s">
        <v>17</v>
      </c>
      <c r="C660" s="28" t="s">
        <v>544</v>
      </c>
      <c r="D660" s="29" t="s">
        <v>3</v>
      </c>
      <c r="E660" s="185">
        <v>2.7E-2</v>
      </c>
      <c r="F660" s="184">
        <f>F657*E660</f>
        <v>59.994</v>
      </c>
      <c r="G660" s="150"/>
      <c r="H660" s="106">
        <f>F660*G660</f>
        <v>0</v>
      </c>
    </row>
    <row r="661" spans="1:8">
      <c r="A661" s="183"/>
      <c r="B661" s="28" t="s">
        <v>545</v>
      </c>
      <c r="C661" s="28" t="s">
        <v>546</v>
      </c>
      <c r="D661" s="29" t="s">
        <v>75</v>
      </c>
      <c r="E661" s="185">
        <f>1.05*0.0238</f>
        <v>2.4990000000000002E-2</v>
      </c>
      <c r="F661" s="184">
        <f>F657*E661</f>
        <v>55.527780000000007</v>
      </c>
      <c r="G661" s="17"/>
      <c r="H661" s="106">
        <f>F661*G661</f>
        <v>0</v>
      </c>
    </row>
    <row r="662" spans="1:8">
      <c r="A662" s="183"/>
      <c r="B662" s="28" t="s">
        <v>547</v>
      </c>
      <c r="C662" s="28" t="s">
        <v>548</v>
      </c>
      <c r="D662" s="29" t="s">
        <v>16</v>
      </c>
      <c r="E662" s="79">
        <v>2.58E-2</v>
      </c>
      <c r="F662" s="19">
        <f>F657*E662</f>
        <v>57.327599999999997</v>
      </c>
      <c r="G662" s="29"/>
      <c r="H662" s="30">
        <f>G662*F662</f>
        <v>0</v>
      </c>
    </row>
    <row r="663" spans="1:8">
      <c r="A663" s="183"/>
      <c r="B663" s="15" t="s">
        <v>17</v>
      </c>
      <c r="C663" s="28" t="s">
        <v>100</v>
      </c>
      <c r="D663" s="29" t="s">
        <v>3</v>
      </c>
      <c r="E663" s="79">
        <v>3.0000000000000001E-3</v>
      </c>
      <c r="F663" s="184">
        <f>F657*E663</f>
        <v>6.6660000000000004</v>
      </c>
      <c r="G663" s="150"/>
      <c r="H663" s="106">
        <f>F663*G663</f>
        <v>0</v>
      </c>
    </row>
    <row r="664" spans="1:8" ht="48">
      <c r="A664" s="68" t="s">
        <v>72</v>
      </c>
      <c r="B664" s="9" t="s">
        <v>549</v>
      </c>
      <c r="C664" s="20" t="s">
        <v>550</v>
      </c>
      <c r="D664" s="26" t="s">
        <v>33</v>
      </c>
      <c r="E664" s="26"/>
      <c r="F664" s="12">
        <v>982</v>
      </c>
      <c r="G664" s="26"/>
      <c r="H664" s="27">
        <f>SUM(H665:H667)</f>
        <v>0</v>
      </c>
    </row>
    <row r="665" spans="1:8">
      <c r="A665" s="61"/>
      <c r="B665" s="15" t="s">
        <v>17</v>
      </c>
      <c r="C665" s="28" t="s">
        <v>18</v>
      </c>
      <c r="D665" s="29" t="s">
        <v>19</v>
      </c>
      <c r="E665" s="29">
        <v>0.45</v>
      </c>
      <c r="F665" s="19">
        <f>F664*E665</f>
        <v>441.90000000000003</v>
      </c>
      <c r="G665" s="29"/>
      <c r="H665" s="30">
        <f>G665*F665</f>
        <v>0</v>
      </c>
    </row>
    <row r="666" spans="1:8">
      <c r="A666" s="61"/>
      <c r="B666" s="15" t="s">
        <v>17</v>
      </c>
      <c r="C666" s="28" t="s">
        <v>233</v>
      </c>
      <c r="D666" s="29" t="s">
        <v>3</v>
      </c>
      <c r="E666" s="29">
        <v>1.0999999999999999E-2</v>
      </c>
      <c r="F666" s="19">
        <f>E666*F664</f>
        <v>10.802</v>
      </c>
      <c r="G666" s="29"/>
      <c r="H666" s="30">
        <f>G666*F666</f>
        <v>0</v>
      </c>
    </row>
    <row r="667" spans="1:8">
      <c r="A667" s="61"/>
      <c r="B667" s="28" t="s">
        <v>545</v>
      </c>
      <c r="C667" s="28" t="s">
        <v>309</v>
      </c>
      <c r="D667" s="29" t="s">
        <v>23</v>
      </c>
      <c r="E667" s="29">
        <v>7.0000000000000001E-3</v>
      </c>
      <c r="F667" s="19">
        <f>F664*E667</f>
        <v>6.8740000000000006</v>
      </c>
      <c r="G667" s="29"/>
      <c r="H667" s="30">
        <f>G667*F667</f>
        <v>0</v>
      </c>
    </row>
    <row r="668" spans="1:8" ht="84">
      <c r="A668" s="128">
        <v>3</v>
      </c>
      <c r="B668" s="9" t="s">
        <v>551</v>
      </c>
      <c r="C668" s="128" t="s">
        <v>552</v>
      </c>
      <c r="D668" s="128" t="s">
        <v>241</v>
      </c>
      <c r="E668" s="128"/>
      <c r="F668" s="69">
        <v>548</v>
      </c>
      <c r="G668" s="129"/>
      <c r="H668" s="39">
        <f>H669+H670+H671+H672+H673</f>
        <v>0</v>
      </c>
    </row>
    <row r="669" spans="1:8">
      <c r="A669" s="183"/>
      <c r="B669" s="102" t="s">
        <v>17</v>
      </c>
      <c r="C669" s="28" t="s">
        <v>553</v>
      </c>
      <c r="D669" s="105" t="s">
        <v>243</v>
      </c>
      <c r="E669" s="105">
        <f>1.16*0.64</f>
        <v>0.74239999999999995</v>
      </c>
      <c r="F669" s="184">
        <f>F668*E669</f>
        <v>406.83519999999999</v>
      </c>
      <c r="G669" s="105"/>
      <c r="H669" s="106">
        <f>F669*G669</f>
        <v>0</v>
      </c>
    </row>
    <row r="670" spans="1:8">
      <c r="A670" s="183"/>
      <c r="B670" s="102" t="s">
        <v>554</v>
      </c>
      <c r="C670" s="105" t="s">
        <v>244</v>
      </c>
      <c r="D670" s="105" t="s">
        <v>3</v>
      </c>
      <c r="E670" s="105">
        <v>2.1000000000000001E-2</v>
      </c>
      <c r="F670" s="184">
        <f>F668*E670</f>
        <v>11.508000000000001</v>
      </c>
      <c r="G670" s="150"/>
      <c r="H670" s="106">
        <f>F670*G670</f>
        <v>0</v>
      </c>
    </row>
    <row r="671" spans="1:8">
      <c r="A671" s="183"/>
      <c r="B671" s="102" t="s">
        <v>555</v>
      </c>
      <c r="C671" s="28" t="s">
        <v>543</v>
      </c>
      <c r="D671" s="105" t="s">
        <v>78</v>
      </c>
      <c r="E671" s="105">
        <f>1.15*0.041</f>
        <v>4.7149999999999997E-2</v>
      </c>
      <c r="F671" s="184">
        <f>F668*E671</f>
        <v>25.838199999999997</v>
      </c>
      <c r="G671" s="150"/>
      <c r="H671" s="106">
        <f>F671*G671</f>
        <v>0</v>
      </c>
    </row>
    <row r="672" spans="1:8" ht="27">
      <c r="A672" s="183"/>
      <c r="B672" s="15" t="s">
        <v>308</v>
      </c>
      <c r="C672" s="105" t="s">
        <v>556</v>
      </c>
      <c r="D672" s="105" t="s">
        <v>557</v>
      </c>
      <c r="E672" s="105">
        <f>(0.0158+0.002)*1.05</f>
        <v>1.8690000000000005E-2</v>
      </c>
      <c r="F672" s="184">
        <f>F668*E672</f>
        <v>10.242120000000003</v>
      </c>
      <c r="G672" s="17"/>
      <c r="H672" s="106">
        <f>F672*G672</f>
        <v>0</v>
      </c>
    </row>
    <row r="673" spans="1:8">
      <c r="A673" s="183"/>
      <c r="B673" s="102" t="s">
        <v>17</v>
      </c>
      <c r="C673" s="42" t="s">
        <v>190</v>
      </c>
      <c r="D673" s="105" t="s">
        <v>3</v>
      </c>
      <c r="E673" s="105">
        <f>0.003</f>
        <v>3.0000000000000001E-3</v>
      </c>
      <c r="F673" s="184">
        <f>F668*E673</f>
        <v>1.6440000000000001</v>
      </c>
      <c r="G673" s="150"/>
      <c r="H673" s="106">
        <f>F673*G673</f>
        <v>0</v>
      </c>
    </row>
    <row r="674" spans="1:8" ht="54">
      <c r="A674" s="68" t="s">
        <v>327</v>
      </c>
      <c r="B674" s="9" t="s">
        <v>558</v>
      </c>
      <c r="C674" s="20" t="s">
        <v>559</v>
      </c>
      <c r="D674" s="20" t="s">
        <v>16</v>
      </c>
      <c r="E674" s="20"/>
      <c r="F674" s="69">
        <f>F668</f>
        <v>548</v>
      </c>
      <c r="G674" s="20"/>
      <c r="H674" s="39">
        <f>SUM(H675:H679)</f>
        <v>0</v>
      </c>
    </row>
    <row r="675" spans="1:8">
      <c r="A675" s="61"/>
      <c r="B675" s="15" t="s">
        <v>17</v>
      </c>
      <c r="C675" s="28" t="s">
        <v>28</v>
      </c>
      <c r="D675" s="28" t="s">
        <v>19</v>
      </c>
      <c r="E675" s="28">
        <v>2.19</v>
      </c>
      <c r="F675" s="19">
        <f>F674*E675</f>
        <v>1200.1199999999999</v>
      </c>
      <c r="G675" s="28"/>
      <c r="H675" s="19">
        <f>G675*F675</f>
        <v>0</v>
      </c>
    </row>
    <row r="676" spans="1:8">
      <c r="A676" s="61"/>
      <c r="B676" s="15" t="s">
        <v>17</v>
      </c>
      <c r="C676" s="28" t="s">
        <v>20</v>
      </c>
      <c r="D676" s="28" t="s">
        <v>3</v>
      </c>
      <c r="E676" s="72">
        <v>0.02</v>
      </c>
      <c r="F676" s="44">
        <f>E676*F674</f>
        <v>10.96</v>
      </c>
      <c r="G676" s="28"/>
      <c r="H676" s="44">
        <f>G676*F676</f>
        <v>0</v>
      </c>
    </row>
    <row r="677" spans="1:8">
      <c r="A677" s="61"/>
      <c r="B677" s="154" t="s">
        <v>396</v>
      </c>
      <c r="C677" s="28" t="s">
        <v>397</v>
      </c>
      <c r="D677" s="28" t="s">
        <v>123</v>
      </c>
      <c r="E677" s="28">
        <v>8</v>
      </c>
      <c r="F677" s="44">
        <f>E677*F674</f>
        <v>4384</v>
      </c>
      <c r="G677" s="16"/>
      <c r="H677" s="44">
        <f>G677*F677</f>
        <v>0</v>
      </c>
    </row>
    <row r="678" spans="1:8">
      <c r="A678" s="61"/>
      <c r="B678" s="15" t="s">
        <v>560</v>
      </c>
      <c r="C678" s="28" t="s">
        <v>561</v>
      </c>
      <c r="D678" s="28" t="s">
        <v>112</v>
      </c>
      <c r="E678" s="28">
        <v>1.05</v>
      </c>
      <c r="F678" s="44">
        <f>E678*F674</f>
        <v>575.4</v>
      </c>
      <c r="G678" s="28"/>
      <c r="H678" s="44">
        <f>G678*F678</f>
        <v>0</v>
      </c>
    </row>
    <row r="679" spans="1:8">
      <c r="A679" s="61"/>
      <c r="B679" s="15" t="s">
        <v>17</v>
      </c>
      <c r="C679" s="42" t="s">
        <v>190</v>
      </c>
      <c r="D679" s="28" t="s">
        <v>3</v>
      </c>
      <c r="E679" s="28">
        <v>6.9999999999999993E-3</v>
      </c>
      <c r="F679" s="44">
        <f>E679*F674</f>
        <v>3.8359999999999994</v>
      </c>
      <c r="G679" s="28"/>
      <c r="H679" s="44">
        <f>G679*F679</f>
        <v>0</v>
      </c>
    </row>
    <row r="680" spans="1:8" ht="48">
      <c r="A680" s="129">
        <v>5</v>
      </c>
      <c r="B680" s="9" t="s">
        <v>562</v>
      </c>
      <c r="C680" s="129" t="s">
        <v>563</v>
      </c>
      <c r="D680" s="129" t="s">
        <v>241</v>
      </c>
      <c r="E680" s="129"/>
      <c r="F680" s="69">
        <v>3402</v>
      </c>
      <c r="G680" s="129"/>
      <c r="H680" s="39">
        <f>H681+H682+H683+H684+H685</f>
        <v>0</v>
      </c>
    </row>
    <row r="681" spans="1:8">
      <c r="A681" s="129"/>
      <c r="B681" s="149" t="s">
        <v>17</v>
      </c>
      <c r="C681" s="28" t="s">
        <v>28</v>
      </c>
      <c r="D681" s="102" t="s">
        <v>243</v>
      </c>
      <c r="E681" s="149">
        <v>0.85599999999999998</v>
      </c>
      <c r="F681" s="77">
        <f>F680*E681</f>
        <v>2912.1120000000001</v>
      </c>
      <c r="G681" s="132"/>
      <c r="H681" s="43">
        <f>F681*G681</f>
        <v>0</v>
      </c>
    </row>
    <row r="682" spans="1:8">
      <c r="A682" s="129"/>
      <c r="B682" s="149" t="s">
        <v>17</v>
      </c>
      <c r="C682" s="149" t="s">
        <v>244</v>
      </c>
      <c r="D682" s="149" t="s">
        <v>3</v>
      </c>
      <c r="E682" s="149">
        <v>1.2E-2</v>
      </c>
      <c r="F682" s="77">
        <f>F680*E682</f>
        <v>40.823999999999998</v>
      </c>
      <c r="G682" s="107"/>
      <c r="H682" s="43">
        <f>F682*G682</f>
        <v>0</v>
      </c>
    </row>
    <row r="683" spans="1:8">
      <c r="A683" s="129"/>
      <c r="B683" s="186" t="s">
        <v>564</v>
      </c>
      <c r="C683" s="149" t="s">
        <v>565</v>
      </c>
      <c r="D683" s="149" t="s">
        <v>123</v>
      </c>
      <c r="E683" s="149">
        <v>0.63</v>
      </c>
      <c r="F683" s="77">
        <f>F680*E683</f>
        <v>2143.2600000000002</v>
      </c>
      <c r="G683" s="107"/>
      <c r="H683" s="43">
        <f>F683*G683</f>
        <v>0</v>
      </c>
    </row>
    <row r="684" spans="1:8">
      <c r="A684" s="129"/>
      <c r="B684" s="149" t="s">
        <v>566</v>
      </c>
      <c r="C684" s="149" t="s">
        <v>567</v>
      </c>
      <c r="D684" s="149" t="s">
        <v>123</v>
      </c>
      <c r="E684" s="149">
        <v>0.92</v>
      </c>
      <c r="F684" s="77">
        <f>F680*E684</f>
        <v>3129.84</v>
      </c>
      <c r="G684" s="107"/>
      <c r="H684" s="43">
        <f>F684*G684</f>
        <v>0</v>
      </c>
    </row>
    <row r="685" spans="1:8">
      <c r="A685" s="129"/>
      <c r="B685" s="149" t="s">
        <v>17</v>
      </c>
      <c r="C685" s="42" t="s">
        <v>190</v>
      </c>
      <c r="D685" s="149" t="s">
        <v>3</v>
      </c>
      <c r="E685" s="149">
        <v>1.7999999999999999E-2</v>
      </c>
      <c r="F685" s="77">
        <f>F680*E685</f>
        <v>61.235999999999997</v>
      </c>
      <c r="G685" s="107"/>
      <c r="H685" s="43">
        <f>F685*G685</f>
        <v>0</v>
      </c>
    </row>
    <row r="686" spans="1:8" ht="189">
      <c r="A686" s="129">
        <v>6</v>
      </c>
      <c r="B686" s="9" t="s">
        <v>568</v>
      </c>
      <c r="C686" s="129" t="s">
        <v>1686</v>
      </c>
      <c r="D686" s="129" t="s">
        <v>241</v>
      </c>
      <c r="E686" s="129"/>
      <c r="F686" s="69">
        <v>6220</v>
      </c>
      <c r="G686" s="129"/>
      <c r="H686" s="39">
        <f>H687+H688+H689+H690+H691</f>
        <v>0</v>
      </c>
    </row>
    <row r="687" spans="1:8">
      <c r="A687" s="129"/>
      <c r="B687" s="149" t="s">
        <v>17</v>
      </c>
      <c r="C687" s="28" t="s">
        <v>28</v>
      </c>
      <c r="D687" s="102" t="s">
        <v>243</v>
      </c>
      <c r="E687" s="149">
        <v>0.65800000000000003</v>
      </c>
      <c r="F687" s="77">
        <f>F686*E687</f>
        <v>4092.76</v>
      </c>
      <c r="G687" s="132"/>
      <c r="H687" s="43">
        <f>F687*G687</f>
        <v>0</v>
      </c>
    </row>
    <row r="688" spans="1:8">
      <c r="A688" s="129"/>
      <c r="B688" s="149" t="s">
        <v>17</v>
      </c>
      <c r="C688" s="149" t="s">
        <v>244</v>
      </c>
      <c r="D688" s="149" t="s">
        <v>3</v>
      </c>
      <c r="E688" s="149">
        <v>0.01</v>
      </c>
      <c r="F688" s="77">
        <f>F686*E688</f>
        <v>62.2</v>
      </c>
      <c r="G688" s="107"/>
      <c r="H688" s="43">
        <f>F688*G688</f>
        <v>0</v>
      </c>
    </row>
    <row r="689" spans="1:8">
      <c r="A689" s="129"/>
      <c r="B689" s="186" t="s">
        <v>564</v>
      </c>
      <c r="C689" s="149" t="s">
        <v>565</v>
      </c>
      <c r="D689" s="149" t="s">
        <v>123</v>
      </c>
      <c r="E689" s="149">
        <v>0.63</v>
      </c>
      <c r="F689" s="77">
        <f>F686*E689</f>
        <v>3918.6</v>
      </c>
      <c r="G689" s="107"/>
      <c r="H689" s="43">
        <f>F689*G689</f>
        <v>0</v>
      </c>
    </row>
    <row r="690" spans="1:8">
      <c r="A690" s="129"/>
      <c r="B690" s="149" t="s">
        <v>566</v>
      </c>
      <c r="C690" s="149" t="s">
        <v>567</v>
      </c>
      <c r="D690" s="149" t="s">
        <v>123</v>
      </c>
      <c r="E690" s="149">
        <v>0.79</v>
      </c>
      <c r="F690" s="77">
        <f>F686*E690</f>
        <v>4913.8</v>
      </c>
      <c r="G690" s="107"/>
      <c r="H690" s="43">
        <f>F690*G690</f>
        <v>0</v>
      </c>
    </row>
    <row r="691" spans="1:8">
      <c r="A691" s="129"/>
      <c r="B691" s="149" t="s">
        <v>17</v>
      </c>
      <c r="C691" s="42" t="s">
        <v>190</v>
      </c>
      <c r="D691" s="149" t="s">
        <v>3</v>
      </c>
      <c r="E691" s="149">
        <v>1.6E-2</v>
      </c>
      <c r="F691" s="77">
        <f>F686*E691</f>
        <v>99.52</v>
      </c>
      <c r="G691" s="107"/>
      <c r="H691" s="43">
        <f>F691*G691</f>
        <v>0</v>
      </c>
    </row>
    <row r="692" spans="1:8" ht="48">
      <c r="A692" s="8">
        <v>7</v>
      </c>
      <c r="B692" s="9" t="s">
        <v>569</v>
      </c>
      <c r="C692" s="20" t="s">
        <v>570</v>
      </c>
      <c r="D692" s="73" t="s">
        <v>571</v>
      </c>
      <c r="E692" s="10"/>
      <c r="F692" s="69">
        <v>867</v>
      </c>
      <c r="G692" s="10"/>
      <c r="H692" s="39">
        <f>SUM(H693:H697)</f>
        <v>0</v>
      </c>
    </row>
    <row r="693" spans="1:8">
      <c r="A693" s="64"/>
      <c r="B693" s="24" t="s">
        <v>17</v>
      </c>
      <c r="C693" s="28" t="s">
        <v>28</v>
      </c>
      <c r="D693" s="16" t="s">
        <v>19</v>
      </c>
      <c r="E693" s="16">
        <v>0.73799999999999999</v>
      </c>
      <c r="F693" s="43">
        <f>E693*F692</f>
        <v>639.846</v>
      </c>
      <c r="G693" s="16"/>
      <c r="H693" s="44">
        <f>G693*F693</f>
        <v>0</v>
      </c>
    </row>
    <row r="694" spans="1:8">
      <c r="A694" s="64"/>
      <c r="B694" s="24" t="s">
        <v>17</v>
      </c>
      <c r="C694" s="16" t="s">
        <v>20</v>
      </c>
      <c r="D694" s="16" t="s">
        <v>3</v>
      </c>
      <c r="E694" s="16">
        <v>6.8999999999999999E-3</v>
      </c>
      <c r="F694" s="43">
        <f>E694*F692</f>
        <v>5.9822999999999995</v>
      </c>
      <c r="G694" s="16"/>
      <c r="H694" s="44">
        <f>G694*F694</f>
        <v>0</v>
      </c>
    </row>
    <row r="695" spans="1:8">
      <c r="A695" s="64"/>
      <c r="B695" s="15" t="s">
        <v>572</v>
      </c>
      <c r="C695" s="16" t="s">
        <v>573</v>
      </c>
      <c r="D695" s="16" t="s">
        <v>59</v>
      </c>
      <c r="E695" s="66">
        <v>2.9E-4</v>
      </c>
      <c r="F695" s="43">
        <f>E695*F692</f>
        <v>0.25142999999999999</v>
      </c>
      <c r="G695" s="16"/>
      <c r="H695" s="44">
        <f>G695*F695</f>
        <v>0</v>
      </c>
    </row>
    <row r="696" spans="1:8">
      <c r="A696" s="64"/>
      <c r="B696" s="15" t="s">
        <v>113</v>
      </c>
      <c r="C696" s="16" t="s">
        <v>574</v>
      </c>
      <c r="D696" s="16" t="s">
        <v>75</v>
      </c>
      <c r="E696" s="66">
        <v>8.0000000000000007E-5</v>
      </c>
      <c r="F696" s="43">
        <f>E696*F692</f>
        <v>6.9360000000000005E-2</v>
      </c>
      <c r="G696" s="43"/>
      <c r="H696" s="44">
        <f>G696*F696</f>
        <v>0</v>
      </c>
    </row>
    <row r="697" spans="1:8">
      <c r="A697" s="64"/>
      <c r="B697" s="15" t="s">
        <v>150</v>
      </c>
      <c r="C697" s="16" t="s">
        <v>575</v>
      </c>
      <c r="D697" s="16" t="s">
        <v>112</v>
      </c>
      <c r="E697" s="16">
        <v>5.5E-2</v>
      </c>
      <c r="F697" s="43">
        <f>E697*F692</f>
        <v>47.685000000000002</v>
      </c>
      <c r="G697" s="16"/>
      <c r="H697" s="44">
        <f>G697*F697</f>
        <v>0</v>
      </c>
    </row>
    <row r="698" spans="1:8" ht="30" customHeight="1">
      <c r="A698" s="130"/>
      <c r="B698" s="174"/>
      <c r="C698" s="20" t="s">
        <v>576</v>
      </c>
      <c r="D698" s="130" t="s">
        <v>3</v>
      </c>
      <c r="E698" s="130"/>
      <c r="F698" s="469"/>
      <c r="G698" s="470"/>
      <c r="H698" s="471">
        <f>H657+H664+H668+H674+H680+H686+H692</f>
        <v>0</v>
      </c>
    </row>
    <row r="699" spans="1:8" ht="32.25" customHeight="1">
      <c r="A699" s="64"/>
      <c r="B699" s="15"/>
      <c r="C699" s="187" t="s">
        <v>577</v>
      </c>
      <c r="D699" s="188"/>
      <c r="E699" s="189"/>
      <c r="F699" s="43"/>
      <c r="G699" s="16"/>
      <c r="H699" s="44"/>
    </row>
    <row r="700" spans="1:8" ht="48">
      <c r="A700" s="25">
        <v>1</v>
      </c>
      <c r="B700" s="9" t="s">
        <v>80</v>
      </c>
      <c r="C700" s="20" t="s">
        <v>578</v>
      </c>
      <c r="D700" s="20" t="s">
        <v>23</v>
      </c>
      <c r="E700" s="59"/>
      <c r="F700" s="60">
        <v>2.2999999999999998</v>
      </c>
      <c r="G700" s="20"/>
      <c r="H700" s="39">
        <f>H701</f>
        <v>0</v>
      </c>
    </row>
    <row r="701" spans="1:8">
      <c r="A701" s="61"/>
      <c r="B701" s="15" t="s">
        <v>17</v>
      </c>
      <c r="C701" s="28" t="s">
        <v>28</v>
      </c>
      <c r="D701" s="28" t="s">
        <v>19</v>
      </c>
      <c r="E701" s="28">
        <v>2.06</v>
      </c>
      <c r="F701" s="44">
        <f>F700*E701</f>
        <v>4.7379999999999995</v>
      </c>
      <c r="G701" s="28"/>
      <c r="H701" s="44">
        <f>G701*F701</f>
        <v>0</v>
      </c>
    </row>
    <row r="702" spans="1:8" ht="48">
      <c r="A702" s="68" t="s">
        <v>72</v>
      </c>
      <c r="B702" s="55" t="s">
        <v>133</v>
      </c>
      <c r="C702" s="20" t="s">
        <v>579</v>
      </c>
      <c r="D702" s="20" t="s">
        <v>75</v>
      </c>
      <c r="E702" s="20"/>
      <c r="F702" s="69">
        <v>2.2000000000000002</v>
      </c>
      <c r="G702" s="76"/>
      <c r="H702" s="39">
        <f>SUM(H703:H705)</f>
        <v>0</v>
      </c>
    </row>
    <row r="703" spans="1:8">
      <c r="A703" s="64"/>
      <c r="B703" s="15" t="s">
        <v>17</v>
      </c>
      <c r="C703" s="28" t="s">
        <v>28</v>
      </c>
      <c r="D703" s="28" t="s">
        <v>19</v>
      </c>
      <c r="E703" s="16">
        <v>3.16</v>
      </c>
      <c r="F703" s="43">
        <f>E703*F702</f>
        <v>6.9520000000000008</v>
      </c>
      <c r="G703" s="17"/>
      <c r="H703" s="44">
        <f>G703*F703</f>
        <v>0</v>
      </c>
    </row>
    <row r="704" spans="1:8">
      <c r="A704" s="64"/>
      <c r="B704" s="24" t="s">
        <v>580</v>
      </c>
      <c r="C704" s="16" t="s">
        <v>581</v>
      </c>
      <c r="D704" s="16" t="s">
        <v>75</v>
      </c>
      <c r="E704" s="16">
        <v>1.25</v>
      </c>
      <c r="F704" s="43">
        <f>E704*F702</f>
        <v>2.75</v>
      </c>
      <c r="G704" s="43"/>
      <c r="H704" s="43">
        <f>G704*F704</f>
        <v>0</v>
      </c>
    </row>
    <row r="705" spans="1:8">
      <c r="A705" s="64"/>
      <c r="B705" s="15" t="s">
        <v>17</v>
      </c>
      <c r="C705" s="42" t="s">
        <v>190</v>
      </c>
      <c r="D705" s="16" t="s">
        <v>3</v>
      </c>
      <c r="E705" s="16">
        <v>0.01</v>
      </c>
      <c r="F705" s="43">
        <f>E705*F702</f>
        <v>2.2000000000000002E-2</v>
      </c>
      <c r="G705" s="16"/>
      <c r="H705" s="43">
        <f>G705*F705</f>
        <v>0</v>
      </c>
    </row>
    <row r="706" spans="1:8" ht="48">
      <c r="A706" s="144">
        <v>3</v>
      </c>
      <c r="B706" s="9" t="s">
        <v>322</v>
      </c>
      <c r="C706" s="145" t="s">
        <v>582</v>
      </c>
      <c r="D706" s="145" t="s">
        <v>23</v>
      </c>
      <c r="E706" s="145"/>
      <c r="F706" s="145">
        <f>F702</f>
        <v>2.2000000000000002</v>
      </c>
      <c r="G706" s="145"/>
      <c r="H706" s="146">
        <f>H707+H708</f>
        <v>0</v>
      </c>
    </row>
    <row r="707" spans="1:8">
      <c r="A707" s="61"/>
      <c r="B707" s="15" t="s">
        <v>17</v>
      </c>
      <c r="C707" s="28" t="s">
        <v>28</v>
      </c>
      <c r="D707" s="28" t="s">
        <v>19</v>
      </c>
      <c r="E707" s="28">
        <v>0.13400000000000001</v>
      </c>
      <c r="F707" s="44">
        <f>F706*E707</f>
        <v>0.29480000000000006</v>
      </c>
      <c r="G707" s="28"/>
      <c r="H707" s="44">
        <f>G707*F707</f>
        <v>0</v>
      </c>
    </row>
    <row r="708" spans="1:8">
      <c r="A708" s="147"/>
      <c r="B708" s="147" t="s">
        <v>324</v>
      </c>
      <c r="C708" s="147" t="s">
        <v>325</v>
      </c>
      <c r="D708" s="147" t="s">
        <v>326</v>
      </c>
      <c r="E708" s="147">
        <v>0.13</v>
      </c>
      <c r="F708" s="147">
        <f>E708*F706</f>
        <v>0.28600000000000003</v>
      </c>
      <c r="G708" s="147"/>
      <c r="H708" s="147">
        <f>F708*G708</f>
        <v>0</v>
      </c>
    </row>
    <row r="709" spans="1:8" ht="72">
      <c r="A709" s="62" t="s">
        <v>327</v>
      </c>
      <c r="B709" s="55" t="s">
        <v>583</v>
      </c>
      <c r="C709" s="10" t="s">
        <v>584</v>
      </c>
      <c r="D709" s="10" t="s">
        <v>23</v>
      </c>
      <c r="E709" s="10"/>
      <c r="F709" s="69">
        <v>11.9</v>
      </c>
      <c r="G709" s="10"/>
      <c r="H709" s="13">
        <f>SUM(H710:H714)</f>
        <v>0</v>
      </c>
    </row>
    <row r="710" spans="1:8">
      <c r="A710" s="64"/>
      <c r="B710" s="15" t="s">
        <v>17</v>
      </c>
      <c r="C710" s="28" t="s">
        <v>28</v>
      </c>
      <c r="D710" s="28" t="s">
        <v>19</v>
      </c>
      <c r="E710" s="77">
        <v>13.9</v>
      </c>
      <c r="F710" s="77">
        <f>E710*F709</f>
        <v>165.41</v>
      </c>
      <c r="G710" s="43"/>
      <c r="H710" s="19">
        <f>G710*F710</f>
        <v>0</v>
      </c>
    </row>
    <row r="711" spans="1:8">
      <c r="A711" s="64"/>
      <c r="B711" s="15" t="s">
        <v>17</v>
      </c>
      <c r="C711" s="16" t="s">
        <v>20</v>
      </c>
      <c r="D711" s="16" t="s">
        <v>3</v>
      </c>
      <c r="E711" s="77">
        <v>1.28</v>
      </c>
      <c r="F711" s="77">
        <f>E711*F709</f>
        <v>15.232000000000001</v>
      </c>
      <c r="G711" s="16"/>
      <c r="H711" s="18">
        <f>G711*F711</f>
        <v>0</v>
      </c>
    </row>
    <row r="712" spans="1:8">
      <c r="A712" s="64"/>
      <c r="B712" s="15" t="s">
        <v>585</v>
      </c>
      <c r="C712" s="16" t="s">
        <v>586</v>
      </c>
      <c r="D712" s="16" t="s">
        <v>75</v>
      </c>
      <c r="E712" s="77">
        <v>1.0149999999999999</v>
      </c>
      <c r="F712" s="77">
        <f>E712*F709</f>
        <v>12.0785</v>
      </c>
      <c r="G712" s="28"/>
      <c r="H712" s="43">
        <f>G712*F712</f>
        <v>0</v>
      </c>
    </row>
    <row r="713" spans="1:8" ht="27">
      <c r="A713" s="64"/>
      <c r="B713" s="15" t="s">
        <v>113</v>
      </c>
      <c r="C713" s="16" t="s">
        <v>587</v>
      </c>
      <c r="D713" s="16" t="s">
        <v>75</v>
      </c>
      <c r="E713" s="70">
        <f>(1.4+4.29+0.2)/100</f>
        <v>5.8899999999999994E-2</v>
      </c>
      <c r="F713" s="77">
        <f>F709*E713</f>
        <v>0.70090999999999992</v>
      </c>
      <c r="G713" s="43"/>
      <c r="H713" s="18">
        <f>G713*F713</f>
        <v>0</v>
      </c>
    </row>
    <row r="714" spans="1:8">
      <c r="A714" s="64"/>
      <c r="B714" s="24" t="s">
        <v>17</v>
      </c>
      <c r="C714" s="42" t="s">
        <v>190</v>
      </c>
      <c r="D714" s="16" t="s">
        <v>3</v>
      </c>
      <c r="E714" s="70">
        <v>0.39</v>
      </c>
      <c r="F714" s="77">
        <f>E714*F709</f>
        <v>4.641</v>
      </c>
      <c r="G714" s="16"/>
      <c r="H714" s="18">
        <f>G714*F714</f>
        <v>0</v>
      </c>
    </row>
    <row r="715" spans="1:8" ht="48">
      <c r="A715" s="68" t="s">
        <v>82</v>
      </c>
      <c r="B715" s="55" t="s">
        <v>133</v>
      </c>
      <c r="C715" s="20" t="s">
        <v>588</v>
      </c>
      <c r="D715" s="20" t="s">
        <v>75</v>
      </c>
      <c r="E715" s="20"/>
      <c r="F715" s="69">
        <v>13.5</v>
      </c>
      <c r="G715" s="76"/>
      <c r="H715" s="39">
        <f>SUM(H716:H718)</f>
        <v>0</v>
      </c>
    </row>
    <row r="716" spans="1:8">
      <c r="A716" s="64"/>
      <c r="B716" s="15" t="s">
        <v>17</v>
      </c>
      <c r="C716" s="28" t="s">
        <v>28</v>
      </c>
      <c r="D716" s="28" t="s">
        <v>19</v>
      </c>
      <c r="E716" s="16">
        <v>3.16</v>
      </c>
      <c r="F716" s="43">
        <f>E716*F715</f>
        <v>42.660000000000004</v>
      </c>
      <c r="G716" s="17"/>
      <c r="H716" s="44">
        <f>G716*F716</f>
        <v>0</v>
      </c>
    </row>
    <row r="717" spans="1:8">
      <c r="A717" s="64"/>
      <c r="B717" s="24" t="s">
        <v>580</v>
      </c>
      <c r="C717" s="16" t="s">
        <v>581</v>
      </c>
      <c r="D717" s="16" t="s">
        <v>75</v>
      </c>
      <c r="E717" s="16">
        <v>1.25</v>
      </c>
      <c r="F717" s="43">
        <f>E717*F715</f>
        <v>16.875</v>
      </c>
      <c r="G717" s="43"/>
      <c r="H717" s="43">
        <f>G717*F717</f>
        <v>0</v>
      </c>
    </row>
    <row r="718" spans="1:8">
      <c r="A718" s="64"/>
      <c r="B718" s="15" t="s">
        <v>17</v>
      </c>
      <c r="C718" s="42" t="s">
        <v>190</v>
      </c>
      <c r="D718" s="16" t="s">
        <v>3</v>
      </c>
      <c r="E718" s="16">
        <v>0.01</v>
      </c>
      <c r="F718" s="43">
        <f>E718*F715</f>
        <v>0.13500000000000001</v>
      </c>
      <c r="G718" s="16"/>
      <c r="H718" s="43">
        <f>G718*F718</f>
        <v>0</v>
      </c>
    </row>
    <row r="719" spans="1:8" ht="48">
      <c r="A719" s="62" t="s">
        <v>88</v>
      </c>
      <c r="B719" s="9" t="s">
        <v>125</v>
      </c>
      <c r="C719" s="10" t="s">
        <v>589</v>
      </c>
      <c r="D719" s="10" t="s">
        <v>23</v>
      </c>
      <c r="E719" s="63"/>
      <c r="F719" s="190">
        <f>F700</f>
        <v>2.2999999999999998</v>
      </c>
      <c r="G719" s="10"/>
      <c r="H719" s="191">
        <f>H720</f>
        <v>0</v>
      </c>
    </row>
    <row r="720" spans="1:8">
      <c r="A720" s="64"/>
      <c r="B720" s="15" t="s">
        <v>17</v>
      </c>
      <c r="C720" s="16" t="s">
        <v>28</v>
      </c>
      <c r="D720" s="16" t="s">
        <v>19</v>
      </c>
      <c r="E720" s="16">
        <v>1.21</v>
      </c>
      <c r="F720" s="43">
        <f>F719*E720</f>
        <v>2.7829999999999999</v>
      </c>
      <c r="G720" s="16"/>
      <c r="H720" s="192">
        <f>G720*F720</f>
        <v>0</v>
      </c>
    </row>
    <row r="721" spans="1:8" ht="48">
      <c r="A721" s="144">
        <v>7</v>
      </c>
      <c r="B721" s="9" t="s">
        <v>322</v>
      </c>
      <c r="C721" s="145" t="s">
        <v>590</v>
      </c>
      <c r="D721" s="145" t="s">
        <v>23</v>
      </c>
      <c r="E721" s="145"/>
      <c r="F721" s="145">
        <f>F715+F719</f>
        <v>15.8</v>
      </c>
      <c r="G721" s="145"/>
      <c r="H721" s="146">
        <f>H722+H723</f>
        <v>0</v>
      </c>
    </row>
    <row r="722" spans="1:8">
      <c r="A722" s="64"/>
      <c r="B722" s="14" t="s">
        <v>17</v>
      </c>
      <c r="C722" s="16" t="s">
        <v>28</v>
      </c>
      <c r="D722" s="16" t="s">
        <v>19</v>
      </c>
      <c r="E722" s="16">
        <v>0.13400000000000001</v>
      </c>
      <c r="F722" s="43">
        <f>F721*E722</f>
        <v>2.1172000000000004</v>
      </c>
      <c r="G722" s="16"/>
      <c r="H722" s="44">
        <f>G722*F722</f>
        <v>0</v>
      </c>
    </row>
    <row r="723" spans="1:8">
      <c r="A723" s="147"/>
      <c r="B723" s="147" t="s">
        <v>324</v>
      </c>
      <c r="C723" s="147" t="s">
        <v>325</v>
      </c>
      <c r="D723" s="147" t="s">
        <v>326</v>
      </c>
      <c r="E723" s="147">
        <v>0.13</v>
      </c>
      <c r="F723" s="147">
        <f>E723*F721</f>
        <v>2.0540000000000003</v>
      </c>
      <c r="G723" s="147"/>
      <c r="H723" s="147">
        <f>F723*G723</f>
        <v>0</v>
      </c>
    </row>
    <row r="724" spans="1:8" ht="94.5">
      <c r="A724" s="68" t="s">
        <v>101</v>
      </c>
      <c r="B724" s="9" t="s">
        <v>333</v>
      </c>
      <c r="C724" s="20" t="s">
        <v>591</v>
      </c>
      <c r="D724" s="148" t="s">
        <v>33</v>
      </c>
      <c r="E724" s="20"/>
      <c r="F724" s="60">
        <v>122</v>
      </c>
      <c r="G724" s="69"/>
      <c r="H724" s="39">
        <f>SUM(H725:H728)</f>
        <v>0</v>
      </c>
    </row>
    <row r="725" spans="1:8">
      <c r="A725" s="61"/>
      <c r="B725" s="15" t="s">
        <v>17</v>
      </c>
      <c r="C725" s="28" t="s">
        <v>28</v>
      </c>
      <c r="D725" s="28" t="s">
        <v>19</v>
      </c>
      <c r="E725" s="28">
        <v>0.188</v>
      </c>
      <c r="F725" s="72">
        <f>E725*F724</f>
        <v>22.936</v>
      </c>
      <c r="G725" s="28"/>
      <c r="H725" s="44">
        <f>G725*F725</f>
        <v>0</v>
      </c>
    </row>
    <row r="726" spans="1:8">
      <c r="A726" s="61"/>
      <c r="B726" s="15" t="s">
        <v>17</v>
      </c>
      <c r="C726" s="28" t="s">
        <v>20</v>
      </c>
      <c r="D726" s="28" t="s">
        <v>3</v>
      </c>
      <c r="E726" s="28">
        <v>9.4999999999999998E-3</v>
      </c>
      <c r="F726" s="72">
        <f>E726*F724</f>
        <v>1.159</v>
      </c>
      <c r="G726" s="28"/>
      <c r="H726" s="44">
        <f>G726*F726</f>
        <v>0</v>
      </c>
    </row>
    <row r="727" spans="1:8">
      <c r="A727" s="61"/>
      <c r="B727" s="15" t="s">
        <v>308</v>
      </c>
      <c r="C727" s="28" t="s">
        <v>592</v>
      </c>
      <c r="D727" s="28" t="s">
        <v>23</v>
      </c>
      <c r="E727" s="28">
        <v>2.0400000000000001E-2</v>
      </c>
      <c r="F727" s="72">
        <f>E727*F724</f>
        <v>2.4888000000000003</v>
      </c>
      <c r="G727" s="28"/>
      <c r="H727" s="44">
        <f>G727*F727</f>
        <v>0</v>
      </c>
    </row>
    <row r="728" spans="1:8">
      <c r="A728" s="61"/>
      <c r="B728" s="15" t="s">
        <v>17</v>
      </c>
      <c r="C728" s="16" t="s">
        <v>190</v>
      </c>
      <c r="D728" s="28" t="s">
        <v>3</v>
      </c>
      <c r="E728" s="28">
        <v>6.3600000000000004E-2</v>
      </c>
      <c r="F728" s="72">
        <f>E728*F724</f>
        <v>7.7592000000000008</v>
      </c>
      <c r="G728" s="28"/>
      <c r="H728" s="44">
        <f>G728*F728</f>
        <v>0</v>
      </c>
    </row>
    <row r="729" spans="1:8" ht="94.5">
      <c r="A729" s="8">
        <v>9</v>
      </c>
      <c r="B729" s="9" t="s">
        <v>593</v>
      </c>
      <c r="C729" s="10" t="s">
        <v>594</v>
      </c>
      <c r="D729" s="153" t="s">
        <v>33</v>
      </c>
      <c r="E729" s="10"/>
      <c r="F729" s="69">
        <v>122</v>
      </c>
      <c r="G729" s="10"/>
      <c r="H729" s="39">
        <f>SUM(H730:H735)</f>
        <v>0</v>
      </c>
    </row>
    <row r="730" spans="1:8">
      <c r="A730" s="14"/>
      <c r="B730" s="24" t="s">
        <v>17</v>
      </c>
      <c r="C730" s="28" t="s">
        <v>28</v>
      </c>
      <c r="D730" s="16" t="s">
        <v>19</v>
      </c>
      <c r="E730" s="16">
        <v>2.13</v>
      </c>
      <c r="F730" s="72">
        <f>E730*F729</f>
        <v>259.86</v>
      </c>
      <c r="G730" s="16"/>
      <c r="H730" s="44">
        <f t="shared" ref="H730:H735" si="23">G730*F730</f>
        <v>0</v>
      </c>
    </row>
    <row r="731" spans="1:8">
      <c r="A731" s="14"/>
      <c r="B731" s="24" t="s">
        <v>17</v>
      </c>
      <c r="C731" s="16" t="s">
        <v>20</v>
      </c>
      <c r="D731" s="16" t="s">
        <v>3</v>
      </c>
      <c r="E731" s="16">
        <v>3.5000000000000003E-2</v>
      </c>
      <c r="F731" s="72">
        <f>E731*F729</f>
        <v>4.2700000000000005</v>
      </c>
      <c r="G731" s="16"/>
      <c r="H731" s="44">
        <f t="shared" si="23"/>
        <v>0</v>
      </c>
    </row>
    <row r="732" spans="1:8" ht="27">
      <c r="A732" s="14"/>
      <c r="B732" s="154" t="s">
        <v>595</v>
      </c>
      <c r="C732" s="16" t="s">
        <v>596</v>
      </c>
      <c r="D732" s="16" t="s">
        <v>16</v>
      </c>
      <c r="E732" s="16">
        <v>1.02</v>
      </c>
      <c r="F732" s="72">
        <f>E732*F729</f>
        <v>124.44</v>
      </c>
      <c r="G732" s="28"/>
      <c r="H732" s="44">
        <f t="shared" si="23"/>
        <v>0</v>
      </c>
    </row>
    <row r="733" spans="1:8">
      <c r="A733" s="64"/>
      <c r="B733" s="23" t="s">
        <v>597</v>
      </c>
      <c r="C733" s="16" t="s">
        <v>598</v>
      </c>
      <c r="D733" s="17" t="s">
        <v>123</v>
      </c>
      <c r="E733" s="17">
        <v>0.3</v>
      </c>
      <c r="F733" s="18">
        <f>E733*F729</f>
        <v>36.6</v>
      </c>
      <c r="G733" s="18"/>
      <c r="H733" s="19">
        <f t="shared" si="23"/>
        <v>0</v>
      </c>
    </row>
    <row r="734" spans="1:8">
      <c r="A734" s="14"/>
      <c r="B734" s="154" t="s">
        <v>599</v>
      </c>
      <c r="C734" s="16" t="s">
        <v>600</v>
      </c>
      <c r="D734" s="16" t="s">
        <v>123</v>
      </c>
      <c r="E734" s="16">
        <v>8</v>
      </c>
      <c r="F734" s="72">
        <f>E734*F729</f>
        <v>976</v>
      </c>
      <c r="G734" s="16"/>
      <c r="H734" s="44">
        <f t="shared" si="23"/>
        <v>0</v>
      </c>
    </row>
    <row r="735" spans="1:8">
      <c r="A735" s="14"/>
      <c r="B735" s="15" t="s">
        <v>17</v>
      </c>
      <c r="C735" s="16" t="s">
        <v>190</v>
      </c>
      <c r="D735" s="16" t="s">
        <v>3</v>
      </c>
      <c r="E735" s="16">
        <v>4.2999999999999997E-2</v>
      </c>
      <c r="F735" s="72">
        <f>E735*F729</f>
        <v>5.2459999999999996</v>
      </c>
      <c r="G735" s="16"/>
      <c r="H735" s="44">
        <f t="shared" si="23"/>
        <v>0</v>
      </c>
    </row>
    <row r="736" spans="1:8" ht="72">
      <c r="A736" s="68" t="s">
        <v>124</v>
      </c>
      <c r="B736" s="35" t="s">
        <v>601</v>
      </c>
      <c r="C736" s="20" t="s">
        <v>602</v>
      </c>
      <c r="D736" s="26" t="s">
        <v>45</v>
      </c>
      <c r="E736" s="26"/>
      <c r="F736" s="12">
        <v>65.599999999999994</v>
      </c>
      <c r="G736" s="26"/>
      <c r="H736" s="13">
        <f>H737+H738+H739</f>
        <v>0</v>
      </c>
    </row>
    <row r="737" spans="1:8">
      <c r="A737" s="61"/>
      <c r="B737" s="24" t="s">
        <v>17</v>
      </c>
      <c r="C737" s="28" t="s">
        <v>18</v>
      </c>
      <c r="D737" s="29" t="s">
        <v>19</v>
      </c>
      <c r="E737" s="29">
        <v>0.37890000000000001</v>
      </c>
      <c r="F737" s="78">
        <f>E737*F736</f>
        <v>24.855839999999997</v>
      </c>
      <c r="G737" s="29"/>
      <c r="H737" s="19">
        <f>G737*F737</f>
        <v>0</v>
      </c>
    </row>
    <row r="738" spans="1:8">
      <c r="A738" s="61"/>
      <c r="B738" s="24" t="s">
        <v>17</v>
      </c>
      <c r="C738" s="28" t="s">
        <v>31</v>
      </c>
      <c r="D738" s="29" t="s">
        <v>3</v>
      </c>
      <c r="E738" s="193">
        <v>2.8000000000000001E-2</v>
      </c>
      <c r="F738" s="194">
        <f>E738*F736</f>
        <v>1.8368</v>
      </c>
      <c r="G738" s="30"/>
      <c r="H738" s="195">
        <f>G738*F738</f>
        <v>0</v>
      </c>
    </row>
    <row r="739" spans="1:8" ht="24">
      <c r="A739" s="61"/>
      <c r="B739" s="15" t="s">
        <v>603</v>
      </c>
      <c r="C739" s="28" t="s">
        <v>604</v>
      </c>
      <c r="D739" s="29" t="s">
        <v>45</v>
      </c>
      <c r="E739" s="29">
        <v>1</v>
      </c>
      <c r="F739" s="78">
        <f>E739*F736</f>
        <v>65.599999999999994</v>
      </c>
      <c r="G739" s="29"/>
      <c r="H739" s="19">
        <f>G739*F739</f>
        <v>0</v>
      </c>
    </row>
    <row r="740" spans="1:8" ht="60">
      <c r="A740" s="62" t="s">
        <v>127</v>
      </c>
      <c r="B740" s="35" t="s">
        <v>429</v>
      </c>
      <c r="C740" s="10" t="s">
        <v>605</v>
      </c>
      <c r="D740" s="11" t="s">
        <v>45</v>
      </c>
      <c r="E740" s="11"/>
      <c r="F740" s="47">
        <v>46.8</v>
      </c>
      <c r="G740" s="11"/>
      <c r="H740" s="13">
        <f>H741+H742+H743</f>
        <v>0</v>
      </c>
    </row>
    <row r="741" spans="1:8">
      <c r="A741" s="64"/>
      <c r="B741" s="24" t="s">
        <v>17</v>
      </c>
      <c r="C741" s="16" t="s">
        <v>18</v>
      </c>
      <c r="D741" s="17" t="s">
        <v>19</v>
      </c>
      <c r="E741" s="17">
        <v>0.37890000000000001</v>
      </c>
      <c r="F741" s="56">
        <f>E741*F740</f>
        <v>17.732520000000001</v>
      </c>
      <c r="G741" s="17"/>
      <c r="H741" s="19">
        <f>G741*F741</f>
        <v>0</v>
      </c>
    </row>
    <row r="742" spans="1:8">
      <c r="A742" s="64"/>
      <c r="B742" s="24" t="s">
        <v>17</v>
      </c>
      <c r="C742" s="16" t="s">
        <v>31</v>
      </c>
      <c r="D742" s="17" t="s">
        <v>3</v>
      </c>
      <c r="E742" s="196">
        <v>2.8000000000000001E-2</v>
      </c>
      <c r="F742" s="197">
        <f>E742*F740</f>
        <v>1.3104</v>
      </c>
      <c r="G742" s="31"/>
      <c r="H742" s="195">
        <f>G742*F742</f>
        <v>0</v>
      </c>
    </row>
    <row r="743" spans="1:8">
      <c r="A743" s="64"/>
      <c r="B743" s="15" t="s">
        <v>606</v>
      </c>
      <c r="C743" s="16" t="s">
        <v>607</v>
      </c>
      <c r="D743" s="17" t="s">
        <v>45</v>
      </c>
      <c r="E743" s="17">
        <v>1</v>
      </c>
      <c r="F743" s="56">
        <f>E743*F740</f>
        <v>46.8</v>
      </c>
      <c r="G743" s="29"/>
      <c r="H743" s="19">
        <f>G743*F743</f>
        <v>0</v>
      </c>
    </row>
    <row r="744" spans="1:8" ht="48">
      <c r="A744" s="198" t="s">
        <v>132</v>
      </c>
      <c r="B744" s="199" t="s">
        <v>247</v>
      </c>
      <c r="C744" s="20" t="s">
        <v>608</v>
      </c>
      <c r="D744" s="36" t="s">
        <v>16</v>
      </c>
      <c r="E744" s="36"/>
      <c r="F744" s="38">
        <v>42</v>
      </c>
      <c r="G744" s="200"/>
      <c r="H744" s="39">
        <f>SUM(H745:H748)</f>
        <v>0</v>
      </c>
    </row>
    <row r="745" spans="1:8">
      <c r="A745" s="114"/>
      <c r="B745" s="115" t="s">
        <v>17</v>
      </c>
      <c r="C745" s="116" t="s">
        <v>28</v>
      </c>
      <c r="D745" s="116" t="s">
        <v>19</v>
      </c>
      <c r="E745" s="116">
        <v>2.3800000000000002E-2</v>
      </c>
      <c r="F745" s="70">
        <f>E745*F744</f>
        <v>0.99960000000000004</v>
      </c>
      <c r="G745" s="42"/>
      <c r="H745" s="44">
        <f>G745*F745</f>
        <v>0</v>
      </c>
    </row>
    <row r="746" spans="1:8">
      <c r="A746" s="114"/>
      <c r="B746" s="115" t="s">
        <v>17</v>
      </c>
      <c r="C746" s="116" t="s">
        <v>20</v>
      </c>
      <c r="D746" s="116" t="s">
        <v>3</v>
      </c>
      <c r="E746" s="116">
        <v>2.5999999999999999E-3</v>
      </c>
      <c r="F746" s="70">
        <f>E746*F744</f>
        <v>0.10919999999999999</v>
      </c>
      <c r="G746" s="42"/>
      <c r="H746" s="43">
        <f>G746*F746</f>
        <v>0</v>
      </c>
    </row>
    <row r="747" spans="1:8">
      <c r="A747" s="114"/>
      <c r="B747" s="115" t="s">
        <v>249</v>
      </c>
      <c r="C747" s="116" t="s">
        <v>250</v>
      </c>
      <c r="D747" s="116" t="s">
        <v>123</v>
      </c>
      <c r="E747" s="116">
        <v>0.14599999999999999</v>
      </c>
      <c r="F747" s="70">
        <f>E747*F744</f>
        <v>6.1319999999999997</v>
      </c>
      <c r="G747" s="42"/>
      <c r="H747" s="43">
        <f>G747*F747</f>
        <v>0</v>
      </c>
    </row>
    <row r="748" spans="1:8">
      <c r="A748" s="114"/>
      <c r="B748" s="115" t="s">
        <v>251</v>
      </c>
      <c r="C748" s="116" t="s">
        <v>252</v>
      </c>
      <c r="D748" s="116" t="s">
        <v>3</v>
      </c>
      <c r="E748" s="116">
        <v>2.1899999999999999E-2</v>
      </c>
      <c r="F748" s="70">
        <f>E748*F744</f>
        <v>0.91979999999999995</v>
      </c>
      <c r="G748" s="42"/>
      <c r="H748" s="43">
        <f>G748*F748</f>
        <v>0</v>
      </c>
    </row>
    <row r="749" spans="1:8" ht="48">
      <c r="A749" s="198" t="s">
        <v>137</v>
      </c>
      <c r="B749" s="199" t="s">
        <v>609</v>
      </c>
      <c r="C749" s="20" t="s">
        <v>610</v>
      </c>
      <c r="D749" s="36" t="s">
        <v>16</v>
      </c>
      <c r="E749" s="36"/>
      <c r="F749" s="38">
        <f>F744+0</f>
        <v>42</v>
      </c>
      <c r="G749" s="200"/>
      <c r="H749" s="39">
        <f>SUM(H750:H754)</f>
        <v>0</v>
      </c>
    </row>
    <row r="750" spans="1:8">
      <c r="A750" s="114"/>
      <c r="B750" s="115" t="s">
        <v>17</v>
      </c>
      <c r="C750" s="116" t="s">
        <v>18</v>
      </c>
      <c r="D750" s="116" t="s">
        <v>19</v>
      </c>
      <c r="E750" s="116">
        <v>0.68</v>
      </c>
      <c r="F750" s="72">
        <f>E750*F749</f>
        <v>28.560000000000002</v>
      </c>
      <c r="G750" s="42"/>
      <c r="H750" s="44">
        <f>G750*F750</f>
        <v>0</v>
      </c>
    </row>
    <row r="751" spans="1:8">
      <c r="A751" s="114"/>
      <c r="B751" s="115" t="s">
        <v>17</v>
      </c>
      <c r="C751" s="116" t="s">
        <v>20</v>
      </c>
      <c r="D751" s="116" t="s">
        <v>3</v>
      </c>
      <c r="E751" s="116">
        <v>2.9999999999999997E-4</v>
      </c>
      <c r="F751" s="72">
        <f>E751*F749</f>
        <v>1.2599999999999998E-2</v>
      </c>
      <c r="G751" s="42"/>
      <c r="H751" s="44">
        <f>G751*F751</f>
        <v>0</v>
      </c>
    </row>
    <row r="752" spans="1:8">
      <c r="A752" s="114"/>
      <c r="B752" s="41" t="s">
        <v>256</v>
      </c>
      <c r="C752" s="116" t="s">
        <v>257</v>
      </c>
      <c r="D752" s="116" t="s">
        <v>123</v>
      </c>
      <c r="E752" s="116">
        <v>0.246</v>
      </c>
      <c r="F752" s="72">
        <f>E752*F749</f>
        <v>10.332000000000001</v>
      </c>
      <c r="G752" s="42"/>
      <c r="H752" s="44">
        <f>G752*F752</f>
        <v>0</v>
      </c>
    </row>
    <row r="753" spans="1:8">
      <c r="A753" s="114"/>
      <c r="B753" s="15" t="s">
        <v>258</v>
      </c>
      <c r="C753" s="116" t="s">
        <v>259</v>
      </c>
      <c r="D753" s="116" t="s">
        <v>123</v>
      </c>
      <c r="E753" s="116">
        <v>2.7E-2</v>
      </c>
      <c r="F753" s="72">
        <f>E753*F749</f>
        <v>1.1339999999999999</v>
      </c>
      <c r="G753" s="42"/>
      <c r="H753" s="44">
        <f>G753*F753</f>
        <v>0</v>
      </c>
    </row>
    <row r="754" spans="1:8">
      <c r="A754" s="114"/>
      <c r="B754" s="115" t="s">
        <v>17</v>
      </c>
      <c r="C754" s="116" t="s">
        <v>611</v>
      </c>
      <c r="D754" s="116" t="s">
        <v>3</v>
      </c>
      <c r="E754" s="116">
        <v>1.9E-3</v>
      </c>
      <c r="F754" s="72">
        <f>E754*F749</f>
        <v>7.9799999999999996E-2</v>
      </c>
      <c r="G754" s="42"/>
      <c r="H754" s="44">
        <f>G754*F754</f>
        <v>0</v>
      </c>
    </row>
    <row r="755" spans="1:8" ht="48">
      <c r="A755" s="68" t="s">
        <v>139</v>
      </c>
      <c r="B755" s="55" t="s">
        <v>612</v>
      </c>
      <c r="C755" s="94" t="s">
        <v>613</v>
      </c>
      <c r="D755" s="20" t="s">
        <v>209</v>
      </c>
      <c r="E755" s="26"/>
      <c r="F755" s="25">
        <v>36</v>
      </c>
      <c r="G755" s="11"/>
      <c r="H755" s="13">
        <f>H756+H757+H758+H759+H760</f>
        <v>0</v>
      </c>
    </row>
    <row r="756" spans="1:8">
      <c r="A756" s="61"/>
      <c r="B756" s="15" t="s">
        <v>17</v>
      </c>
      <c r="C756" s="28" t="s">
        <v>28</v>
      </c>
      <c r="D756" s="28" t="s">
        <v>19</v>
      </c>
      <c r="E756" s="29">
        <v>0.54700000000000004</v>
      </c>
      <c r="F756" s="142">
        <f>E756*F755</f>
        <v>19.692</v>
      </c>
      <c r="G756" s="17"/>
      <c r="H756" s="19">
        <f>F756*G756</f>
        <v>0</v>
      </c>
    </row>
    <row r="757" spans="1:8">
      <c r="A757" s="61"/>
      <c r="B757" s="15" t="s">
        <v>17</v>
      </c>
      <c r="C757" s="28" t="s">
        <v>31</v>
      </c>
      <c r="D757" s="28" t="s">
        <v>3</v>
      </c>
      <c r="E757" s="29">
        <v>2.9999999999999997E-4</v>
      </c>
      <c r="F757" s="142">
        <f>E757*F755</f>
        <v>1.0799999999999999E-2</v>
      </c>
      <c r="G757" s="17"/>
      <c r="H757" s="19">
        <f>F757*G757</f>
        <v>0</v>
      </c>
    </row>
    <row r="758" spans="1:8">
      <c r="A758" s="61"/>
      <c r="B758" s="15" t="s">
        <v>614</v>
      </c>
      <c r="C758" s="28" t="s">
        <v>615</v>
      </c>
      <c r="D758" s="28" t="s">
        <v>78</v>
      </c>
      <c r="E758" s="29">
        <v>0.27400000000000002</v>
      </c>
      <c r="F758" s="142">
        <f>F755*E758</f>
        <v>9.8640000000000008</v>
      </c>
      <c r="G758" s="17"/>
      <c r="H758" s="19">
        <f>F758*G758</f>
        <v>0</v>
      </c>
    </row>
    <row r="759" spans="1:8">
      <c r="A759" s="61"/>
      <c r="B759" s="15" t="s">
        <v>52</v>
      </c>
      <c r="C759" s="28" t="s">
        <v>616</v>
      </c>
      <c r="D759" s="28" t="s">
        <v>209</v>
      </c>
      <c r="E759" s="29">
        <v>2.52E-2</v>
      </c>
      <c r="F759" s="142">
        <f>F755*E759</f>
        <v>0.90720000000000001</v>
      </c>
      <c r="G759" s="29"/>
      <c r="H759" s="19">
        <f>F759*G759</f>
        <v>0</v>
      </c>
    </row>
    <row r="760" spans="1:8" ht="27">
      <c r="A760" s="61"/>
      <c r="B760" s="15" t="s">
        <v>17</v>
      </c>
      <c r="C760" s="28" t="s">
        <v>617</v>
      </c>
      <c r="D760" s="28" t="s">
        <v>3</v>
      </c>
      <c r="E760" s="29">
        <v>3.0999999999999999E-3</v>
      </c>
      <c r="F760" s="142">
        <f>E760*F755</f>
        <v>0.11159999999999999</v>
      </c>
      <c r="G760" s="17"/>
      <c r="H760" s="19">
        <f>F760*G760</f>
        <v>0</v>
      </c>
    </row>
    <row r="761" spans="1:8" ht="67.5">
      <c r="A761" s="68" t="s">
        <v>253</v>
      </c>
      <c r="B761" s="9" t="s">
        <v>618</v>
      </c>
      <c r="C761" s="20" t="s">
        <v>619</v>
      </c>
      <c r="D761" s="20" t="s">
        <v>59</v>
      </c>
      <c r="E761" s="20"/>
      <c r="F761" s="75">
        <v>0.54</v>
      </c>
      <c r="G761" s="20"/>
      <c r="H761" s="13">
        <f>H762+H763+H764+H766+H767+H765</f>
        <v>0</v>
      </c>
    </row>
    <row r="762" spans="1:8">
      <c r="A762" s="61"/>
      <c r="B762" s="15" t="s">
        <v>17</v>
      </c>
      <c r="C762" s="28" t="s">
        <v>28</v>
      </c>
      <c r="D762" s="28" t="s">
        <v>59</v>
      </c>
      <c r="E762" s="28">
        <v>1</v>
      </c>
      <c r="F762" s="19">
        <f>F761*E762</f>
        <v>0.54</v>
      </c>
      <c r="G762" s="28"/>
      <c r="H762" s="19">
        <f t="shared" ref="H762:H767" si="24">F762*G762</f>
        <v>0</v>
      </c>
    </row>
    <row r="763" spans="1:8">
      <c r="A763" s="61"/>
      <c r="B763" s="15" t="s">
        <v>17</v>
      </c>
      <c r="C763" s="28" t="s">
        <v>620</v>
      </c>
      <c r="D763" s="28" t="s">
        <v>3</v>
      </c>
      <c r="E763" s="28">
        <v>13.9</v>
      </c>
      <c r="F763" s="44">
        <f>E763*F761</f>
        <v>7.5060000000000011</v>
      </c>
      <c r="G763" s="28"/>
      <c r="H763" s="19">
        <f t="shared" si="24"/>
        <v>0</v>
      </c>
    </row>
    <row r="764" spans="1:8">
      <c r="A764" s="61"/>
      <c r="B764" s="23" t="s">
        <v>621</v>
      </c>
      <c r="C764" s="28" t="s">
        <v>622</v>
      </c>
      <c r="D764" s="28" t="s">
        <v>45</v>
      </c>
      <c r="E764" s="28" t="s">
        <v>623</v>
      </c>
      <c r="F764" s="135">
        <v>100.2</v>
      </c>
      <c r="G764" s="28"/>
      <c r="H764" s="19">
        <f t="shared" si="24"/>
        <v>0</v>
      </c>
    </row>
    <row r="765" spans="1:8">
      <c r="A765" s="61"/>
      <c r="B765" s="23" t="s">
        <v>624</v>
      </c>
      <c r="C765" s="28" t="s">
        <v>625</v>
      </c>
      <c r="D765" s="28" t="s">
        <v>45</v>
      </c>
      <c r="E765" s="28" t="s">
        <v>623</v>
      </c>
      <c r="F765" s="135">
        <v>58.2</v>
      </c>
      <c r="G765" s="28"/>
      <c r="H765" s="19">
        <f t="shared" si="24"/>
        <v>0</v>
      </c>
    </row>
    <row r="766" spans="1:8">
      <c r="A766" s="61"/>
      <c r="B766" s="15" t="s">
        <v>626</v>
      </c>
      <c r="C766" s="28" t="s">
        <v>122</v>
      </c>
      <c r="D766" s="28" t="s">
        <v>123</v>
      </c>
      <c r="E766" s="28">
        <v>4.78</v>
      </c>
      <c r="F766" s="44">
        <f>E766*F761</f>
        <v>2.5812000000000004</v>
      </c>
      <c r="G766" s="28"/>
      <c r="H766" s="19">
        <f t="shared" si="24"/>
        <v>0</v>
      </c>
    </row>
    <row r="767" spans="1:8">
      <c r="A767" s="61"/>
      <c r="B767" s="15" t="s">
        <v>17</v>
      </c>
      <c r="C767" s="28" t="s">
        <v>611</v>
      </c>
      <c r="D767" s="28" t="s">
        <v>3</v>
      </c>
      <c r="E767" s="28">
        <v>2.78</v>
      </c>
      <c r="F767" s="44">
        <f>E767*F761</f>
        <v>1.5012000000000001</v>
      </c>
      <c r="G767" s="28"/>
      <c r="H767" s="19">
        <f t="shared" si="24"/>
        <v>0</v>
      </c>
    </row>
    <row r="768" spans="1:8" ht="54">
      <c r="A768" s="68" t="s">
        <v>147</v>
      </c>
      <c r="B768" s="9" t="s">
        <v>627</v>
      </c>
      <c r="C768" s="20" t="s">
        <v>1674</v>
      </c>
      <c r="D768" s="26" t="s">
        <v>59</v>
      </c>
      <c r="E768" s="26"/>
      <c r="F768" s="161">
        <v>2.4E-2</v>
      </c>
      <c r="G768" s="11"/>
      <c r="H768" s="27">
        <f>SUM(H769:H772)</f>
        <v>0</v>
      </c>
    </row>
    <row r="769" spans="1:8">
      <c r="A769" s="61"/>
      <c r="B769" s="15" t="s">
        <v>17</v>
      </c>
      <c r="C769" s="28" t="s">
        <v>28</v>
      </c>
      <c r="D769" s="29" t="s">
        <v>19</v>
      </c>
      <c r="E769" s="19">
        <v>303</v>
      </c>
      <c r="F769" s="79">
        <f>E769*F768</f>
        <v>7.2720000000000002</v>
      </c>
      <c r="G769" s="17"/>
      <c r="H769" s="30">
        <f>G769*F769</f>
        <v>0</v>
      </c>
    </row>
    <row r="770" spans="1:8">
      <c r="A770" s="61"/>
      <c r="B770" s="15" t="s">
        <v>17</v>
      </c>
      <c r="C770" s="28" t="s">
        <v>20</v>
      </c>
      <c r="D770" s="29" t="s">
        <v>3</v>
      </c>
      <c r="E770" s="19">
        <v>2.1</v>
      </c>
      <c r="F770" s="79">
        <f>E770*F768</f>
        <v>5.04E-2</v>
      </c>
      <c r="G770" s="17"/>
      <c r="H770" s="31">
        <f>G770*F770</f>
        <v>0</v>
      </c>
    </row>
    <row r="771" spans="1:8">
      <c r="A771" s="61"/>
      <c r="B771" s="15" t="s">
        <v>52</v>
      </c>
      <c r="C771" s="28" t="s">
        <v>628</v>
      </c>
      <c r="D771" s="29" t="s">
        <v>209</v>
      </c>
      <c r="E771" s="19" t="s">
        <v>623</v>
      </c>
      <c r="F771" s="79">
        <v>36</v>
      </c>
      <c r="G771" s="17"/>
      <c r="H771" s="31">
        <f>G771*F771</f>
        <v>0</v>
      </c>
    </row>
    <row r="772" spans="1:8" ht="27">
      <c r="A772" s="61"/>
      <c r="B772" s="15" t="s">
        <v>52</v>
      </c>
      <c r="C772" s="28" t="s">
        <v>1675</v>
      </c>
      <c r="D772" s="201" t="s">
        <v>123</v>
      </c>
      <c r="E772" s="202">
        <v>50</v>
      </c>
      <c r="F772" s="19">
        <f>E772*F768</f>
        <v>1.2</v>
      </c>
      <c r="G772" s="203"/>
      <c r="H772" s="31">
        <f>G772*F772</f>
        <v>0</v>
      </c>
    </row>
    <row r="773" spans="1:8" ht="48">
      <c r="A773" s="198" t="s">
        <v>153</v>
      </c>
      <c r="B773" s="199" t="s">
        <v>247</v>
      </c>
      <c r="C773" s="20" t="s">
        <v>629</v>
      </c>
      <c r="D773" s="36" t="s">
        <v>16</v>
      </c>
      <c r="E773" s="36"/>
      <c r="F773" s="38">
        <v>26.4</v>
      </c>
      <c r="G773" s="200"/>
      <c r="H773" s="39">
        <f>SUM(H774:H777)</f>
        <v>0</v>
      </c>
    </row>
    <row r="774" spans="1:8">
      <c r="A774" s="114"/>
      <c r="B774" s="115" t="s">
        <v>17</v>
      </c>
      <c r="C774" s="116" t="s">
        <v>28</v>
      </c>
      <c r="D774" s="116" t="s">
        <v>19</v>
      </c>
      <c r="E774" s="116">
        <v>2.3800000000000002E-2</v>
      </c>
      <c r="F774" s="70">
        <f>E774*F773</f>
        <v>0.62831999999999999</v>
      </c>
      <c r="G774" s="42"/>
      <c r="H774" s="44">
        <f>G774*F774</f>
        <v>0</v>
      </c>
    </row>
    <row r="775" spans="1:8">
      <c r="A775" s="114"/>
      <c r="B775" s="115" t="s">
        <v>17</v>
      </c>
      <c r="C775" s="116" t="s">
        <v>20</v>
      </c>
      <c r="D775" s="116" t="s">
        <v>3</v>
      </c>
      <c r="E775" s="116">
        <v>2.5999999999999999E-3</v>
      </c>
      <c r="F775" s="70">
        <f>E775*F773</f>
        <v>6.8639999999999993E-2</v>
      </c>
      <c r="G775" s="42"/>
      <c r="H775" s="43">
        <f>G775*F775</f>
        <v>0</v>
      </c>
    </row>
    <row r="776" spans="1:8">
      <c r="A776" s="114"/>
      <c r="B776" s="115" t="s">
        <v>249</v>
      </c>
      <c r="C776" s="116" t="s">
        <v>250</v>
      </c>
      <c r="D776" s="116" t="s">
        <v>123</v>
      </c>
      <c r="E776" s="116">
        <v>0.14599999999999999</v>
      </c>
      <c r="F776" s="70">
        <f>E776*F773</f>
        <v>3.8543999999999996</v>
      </c>
      <c r="G776" s="42"/>
      <c r="H776" s="43">
        <f>G776*F776</f>
        <v>0</v>
      </c>
    </row>
    <row r="777" spans="1:8">
      <c r="A777" s="114"/>
      <c r="B777" s="115" t="s">
        <v>251</v>
      </c>
      <c r="C777" s="116" t="s">
        <v>252</v>
      </c>
      <c r="D777" s="116" t="s">
        <v>3</v>
      </c>
      <c r="E777" s="116">
        <v>2.1899999999999999E-2</v>
      </c>
      <c r="F777" s="70">
        <f>E777*F773</f>
        <v>0.5781599999999999</v>
      </c>
      <c r="G777" s="42"/>
      <c r="H777" s="43">
        <f>G777*F777</f>
        <v>0</v>
      </c>
    </row>
    <row r="778" spans="1:8" ht="48">
      <c r="A778" s="198" t="s">
        <v>157</v>
      </c>
      <c r="B778" s="199" t="s">
        <v>609</v>
      </c>
      <c r="C778" s="20" t="s">
        <v>630</v>
      </c>
      <c r="D778" s="36" t="s">
        <v>16</v>
      </c>
      <c r="E778" s="36"/>
      <c r="F778" s="38">
        <f>F773+0</f>
        <v>26.4</v>
      </c>
      <c r="G778" s="200"/>
      <c r="H778" s="39">
        <f>SUM(H779:H783)</f>
        <v>0</v>
      </c>
    </row>
    <row r="779" spans="1:8">
      <c r="A779" s="114"/>
      <c r="B779" s="115" t="s">
        <v>17</v>
      </c>
      <c r="C779" s="116" t="s">
        <v>18</v>
      </c>
      <c r="D779" s="116" t="s">
        <v>19</v>
      </c>
      <c r="E779" s="116">
        <v>0.68</v>
      </c>
      <c r="F779" s="72">
        <f>E779*F778</f>
        <v>17.952000000000002</v>
      </c>
      <c r="G779" s="42"/>
      <c r="H779" s="44">
        <f>G779*F779</f>
        <v>0</v>
      </c>
    </row>
    <row r="780" spans="1:8">
      <c r="A780" s="114"/>
      <c r="B780" s="115" t="s">
        <v>17</v>
      </c>
      <c r="C780" s="116" t="s">
        <v>20</v>
      </c>
      <c r="D780" s="116" t="s">
        <v>3</v>
      </c>
      <c r="E780" s="116">
        <v>2.9999999999999997E-4</v>
      </c>
      <c r="F780" s="72">
        <f>E780*F778</f>
        <v>7.9199999999999982E-3</v>
      </c>
      <c r="G780" s="42"/>
      <c r="H780" s="44">
        <f>G780*F780</f>
        <v>0</v>
      </c>
    </row>
    <row r="781" spans="1:8">
      <c r="A781" s="114"/>
      <c r="B781" s="41" t="s">
        <v>256</v>
      </c>
      <c r="C781" s="116" t="s">
        <v>257</v>
      </c>
      <c r="D781" s="116" t="s">
        <v>123</v>
      </c>
      <c r="E781" s="116">
        <v>0.246</v>
      </c>
      <c r="F781" s="72">
        <f>E781*F778</f>
        <v>6.4943999999999997</v>
      </c>
      <c r="G781" s="42"/>
      <c r="H781" s="44">
        <f>G781*F781</f>
        <v>0</v>
      </c>
    </row>
    <row r="782" spans="1:8">
      <c r="A782" s="114"/>
      <c r="B782" s="15" t="s">
        <v>258</v>
      </c>
      <c r="C782" s="116" t="s">
        <v>259</v>
      </c>
      <c r="D782" s="116" t="s">
        <v>123</v>
      </c>
      <c r="E782" s="116">
        <v>2.7E-2</v>
      </c>
      <c r="F782" s="72">
        <f>E782*F778</f>
        <v>0.71279999999999999</v>
      </c>
      <c r="G782" s="42"/>
      <c r="H782" s="44">
        <f>G782*F782</f>
        <v>0</v>
      </c>
    </row>
    <row r="783" spans="1:8">
      <c r="A783" s="114"/>
      <c r="B783" s="115" t="s">
        <v>17</v>
      </c>
      <c r="C783" s="116" t="s">
        <v>611</v>
      </c>
      <c r="D783" s="116" t="s">
        <v>3</v>
      </c>
      <c r="E783" s="116">
        <v>1.9E-3</v>
      </c>
      <c r="F783" s="72">
        <f>E783*F778</f>
        <v>5.0159999999999996E-2</v>
      </c>
      <c r="G783" s="42"/>
      <c r="H783" s="44">
        <f>G783*F783</f>
        <v>0</v>
      </c>
    </row>
    <row r="784" spans="1:8" ht="54">
      <c r="A784" s="68" t="s">
        <v>162</v>
      </c>
      <c r="B784" s="55" t="s">
        <v>631</v>
      </c>
      <c r="C784" s="20" t="s">
        <v>632</v>
      </c>
      <c r="D784" s="20" t="s">
        <v>112</v>
      </c>
      <c r="E784" s="20"/>
      <c r="F784" s="69">
        <v>21</v>
      </c>
      <c r="G784" s="69"/>
      <c r="H784" s="13">
        <f>H785+H786+H787+H788+H789+H790+H791</f>
        <v>0</v>
      </c>
    </row>
    <row r="785" spans="1:8">
      <c r="A785" s="89"/>
      <c r="B785" s="89" t="s">
        <v>17</v>
      </c>
      <c r="C785" s="90" t="s">
        <v>28</v>
      </c>
      <c r="D785" s="91" t="s">
        <v>19</v>
      </c>
      <c r="E785" s="90">
        <v>0.439</v>
      </c>
      <c r="F785" s="92">
        <f>E785*F784</f>
        <v>9.2189999999999994</v>
      </c>
      <c r="G785" s="92"/>
      <c r="H785" s="92">
        <f t="shared" ref="H785:H791" si="25">F785*G785</f>
        <v>0</v>
      </c>
    </row>
    <row r="786" spans="1:8">
      <c r="A786" s="89"/>
      <c r="B786" s="89" t="s">
        <v>17</v>
      </c>
      <c r="C786" s="90" t="s">
        <v>20</v>
      </c>
      <c r="D786" s="91" t="s">
        <v>3</v>
      </c>
      <c r="E786" s="90">
        <v>3.5000000000000003E-2</v>
      </c>
      <c r="F786" s="92">
        <f>F784*E786</f>
        <v>0.7350000000000001</v>
      </c>
      <c r="G786" s="90"/>
      <c r="H786" s="92">
        <f t="shared" si="25"/>
        <v>0</v>
      </c>
    </row>
    <row r="787" spans="1:8" ht="40.5">
      <c r="A787" s="89"/>
      <c r="B787" s="82" t="s">
        <v>204</v>
      </c>
      <c r="C787" s="91" t="s">
        <v>227</v>
      </c>
      <c r="D787" s="91" t="s">
        <v>16</v>
      </c>
      <c r="E787" s="90">
        <v>1.1200000000000001</v>
      </c>
      <c r="F787" s="92">
        <f>F784*E787</f>
        <v>23.520000000000003</v>
      </c>
      <c r="G787" s="92"/>
      <c r="H787" s="92">
        <f t="shared" si="25"/>
        <v>0</v>
      </c>
    </row>
    <row r="788" spans="1:8" ht="27">
      <c r="A788" s="89"/>
      <c r="B788" s="82" t="s">
        <v>228</v>
      </c>
      <c r="C788" s="91" t="s">
        <v>222</v>
      </c>
      <c r="D788" s="91" t="s">
        <v>59</v>
      </c>
      <c r="E788" s="90">
        <v>2.9999999999999997E-4</v>
      </c>
      <c r="F788" s="204">
        <f>E788*F784</f>
        <v>6.2999999999999992E-3</v>
      </c>
      <c r="G788" s="90"/>
      <c r="H788" s="92">
        <f t="shared" si="25"/>
        <v>0</v>
      </c>
    </row>
    <row r="789" spans="1:8">
      <c r="A789" s="89"/>
      <c r="B789" s="82" t="s">
        <v>225</v>
      </c>
      <c r="C789" s="90" t="s">
        <v>226</v>
      </c>
      <c r="D789" s="90" t="s">
        <v>123</v>
      </c>
      <c r="E789" s="90">
        <v>0.15</v>
      </c>
      <c r="F789" s="92">
        <f>E789*F784</f>
        <v>3.15</v>
      </c>
      <c r="G789" s="90"/>
      <c r="H789" s="92">
        <f t="shared" si="25"/>
        <v>0</v>
      </c>
    </row>
    <row r="790" spans="1:8">
      <c r="A790" s="89"/>
      <c r="B790" s="82" t="s">
        <v>223</v>
      </c>
      <c r="C790" s="90" t="s">
        <v>224</v>
      </c>
      <c r="D790" s="90" t="s">
        <v>209</v>
      </c>
      <c r="E790" s="90">
        <v>8</v>
      </c>
      <c r="F790" s="92">
        <f>E790*F784</f>
        <v>168</v>
      </c>
      <c r="G790" s="90"/>
      <c r="H790" s="92">
        <f t="shared" si="25"/>
        <v>0</v>
      </c>
    </row>
    <row r="791" spans="1:8">
      <c r="A791" s="89"/>
      <c r="B791" s="89" t="s">
        <v>17</v>
      </c>
      <c r="C791" s="116" t="s">
        <v>611</v>
      </c>
      <c r="D791" s="91" t="s">
        <v>3</v>
      </c>
      <c r="E791" s="90">
        <v>8.1600000000000006E-2</v>
      </c>
      <c r="F791" s="92">
        <f>E791*F784</f>
        <v>1.7136</v>
      </c>
      <c r="G791" s="90"/>
      <c r="H791" s="92">
        <f t="shared" si="25"/>
        <v>0</v>
      </c>
    </row>
    <row r="792" spans="1:8" ht="48">
      <c r="A792" s="68" t="s">
        <v>168</v>
      </c>
      <c r="B792" s="55" t="s">
        <v>229</v>
      </c>
      <c r="C792" s="94" t="s">
        <v>633</v>
      </c>
      <c r="D792" s="20" t="s">
        <v>45</v>
      </c>
      <c r="E792" s="26"/>
      <c r="F792" s="60">
        <v>15</v>
      </c>
      <c r="G792" s="11"/>
      <c r="H792" s="27">
        <f>SUM(H793:H794)</f>
        <v>0</v>
      </c>
    </row>
    <row r="793" spans="1:8">
      <c r="A793" s="61"/>
      <c r="B793" s="15" t="s">
        <v>17</v>
      </c>
      <c r="C793" s="28" t="s">
        <v>28</v>
      </c>
      <c r="D793" s="28" t="s">
        <v>19</v>
      </c>
      <c r="E793" s="29">
        <v>0.246</v>
      </c>
      <c r="F793" s="19">
        <f>E793*F792</f>
        <v>3.69</v>
      </c>
      <c r="G793" s="17"/>
      <c r="H793" s="30">
        <f>G793*F793</f>
        <v>0</v>
      </c>
    </row>
    <row r="794" spans="1:8">
      <c r="A794" s="61"/>
      <c r="B794" s="15" t="s">
        <v>17</v>
      </c>
      <c r="C794" s="28" t="s">
        <v>31</v>
      </c>
      <c r="D794" s="28" t="s">
        <v>3</v>
      </c>
      <c r="E794" s="29">
        <v>9.2999999999999999E-2</v>
      </c>
      <c r="F794" s="19">
        <f>F792*E794</f>
        <v>1.395</v>
      </c>
      <c r="G794" s="17"/>
      <c r="H794" s="31">
        <f>G794*F794</f>
        <v>0</v>
      </c>
    </row>
    <row r="795" spans="1:8" ht="48">
      <c r="A795" s="25">
        <v>21</v>
      </c>
      <c r="B795" s="9" t="s">
        <v>231</v>
      </c>
      <c r="C795" s="20" t="s">
        <v>634</v>
      </c>
      <c r="D795" s="26" t="s">
        <v>45</v>
      </c>
      <c r="E795" s="26"/>
      <c r="F795" s="12">
        <v>15</v>
      </c>
      <c r="G795" s="26"/>
      <c r="H795" s="13">
        <f>SUM(H796:H800)</f>
        <v>0</v>
      </c>
    </row>
    <row r="796" spans="1:8">
      <c r="A796" s="15"/>
      <c r="B796" s="15" t="s">
        <v>17</v>
      </c>
      <c r="C796" s="28" t="s">
        <v>28</v>
      </c>
      <c r="D796" s="29" t="s">
        <v>19</v>
      </c>
      <c r="E796" s="29">
        <v>0.52500000000000002</v>
      </c>
      <c r="F796" s="19">
        <f>E796*F795</f>
        <v>7.875</v>
      </c>
      <c r="G796" s="29"/>
      <c r="H796" s="19">
        <f>G796*F796</f>
        <v>0</v>
      </c>
    </row>
    <row r="797" spans="1:8">
      <c r="A797" s="15"/>
      <c r="B797" s="15" t="s">
        <v>17</v>
      </c>
      <c r="C797" s="28" t="s">
        <v>233</v>
      </c>
      <c r="D797" s="29" t="s">
        <v>3</v>
      </c>
      <c r="E797" s="29">
        <v>6.7000000000000002E-3</v>
      </c>
      <c r="F797" s="19">
        <f>F795*E797</f>
        <v>0.10050000000000001</v>
      </c>
      <c r="G797" s="29"/>
      <c r="H797" s="19">
        <f>G797*F797</f>
        <v>0</v>
      </c>
    </row>
    <row r="798" spans="1:8">
      <c r="A798" s="15"/>
      <c r="B798" s="15" t="s">
        <v>308</v>
      </c>
      <c r="C798" s="28" t="s">
        <v>234</v>
      </c>
      <c r="D798" s="29" t="s">
        <v>75</v>
      </c>
      <c r="E798" s="29">
        <v>2.5999999999999999E-3</v>
      </c>
      <c r="F798" s="79">
        <f>F795*E798</f>
        <v>3.9E-2</v>
      </c>
      <c r="G798" s="29"/>
      <c r="H798" s="19">
        <f>G798*F798</f>
        <v>0</v>
      </c>
    </row>
    <row r="799" spans="1:8">
      <c r="A799" s="15"/>
      <c r="B799" s="15" t="s">
        <v>52</v>
      </c>
      <c r="C799" s="28" t="s">
        <v>235</v>
      </c>
      <c r="D799" s="29" t="s">
        <v>123</v>
      </c>
      <c r="E799" s="29">
        <v>0.22</v>
      </c>
      <c r="F799" s="78">
        <f>F795*E799</f>
        <v>3.3</v>
      </c>
      <c r="G799" s="29"/>
      <c r="H799" s="19">
        <f>G799*F799</f>
        <v>0</v>
      </c>
    </row>
    <row r="800" spans="1:8">
      <c r="A800" s="15"/>
      <c r="B800" s="15" t="s">
        <v>635</v>
      </c>
      <c r="C800" s="28" t="s">
        <v>237</v>
      </c>
      <c r="D800" s="29" t="s">
        <v>238</v>
      </c>
      <c r="E800" s="29">
        <v>0.17799999999999999</v>
      </c>
      <c r="F800" s="19">
        <f>E800*F795</f>
        <v>2.67</v>
      </c>
      <c r="G800" s="19"/>
      <c r="H800" s="19">
        <f>F800*G800</f>
        <v>0</v>
      </c>
    </row>
    <row r="801" spans="1:8" ht="27" customHeight="1">
      <c r="A801" s="15"/>
      <c r="B801" s="205"/>
      <c r="C801" s="20" t="s">
        <v>636</v>
      </c>
      <c r="D801" s="148" t="s">
        <v>3</v>
      </c>
      <c r="E801" s="148"/>
      <c r="F801" s="472"/>
      <c r="G801" s="473"/>
      <c r="H801" s="466">
        <f>H700+H702+H706+H709+H715+H719+H721+H724+H729+H736+H740+H744+H749+H755+H761+H768+H773+H778+H784+H792+H795</f>
        <v>0</v>
      </c>
    </row>
    <row r="802" spans="1:8" ht="32.25" customHeight="1">
      <c r="A802" s="15"/>
      <c r="B802" s="205"/>
      <c r="C802" s="206" t="s">
        <v>637</v>
      </c>
      <c r="D802" s="148"/>
      <c r="E802" s="148"/>
      <c r="F802" s="19"/>
      <c r="G802" s="29"/>
      <c r="H802" s="21"/>
    </row>
    <row r="803" spans="1:8" ht="84">
      <c r="A803" s="68" t="s">
        <v>13</v>
      </c>
      <c r="B803" s="9" t="s">
        <v>638</v>
      </c>
      <c r="C803" s="10" t="s">
        <v>639</v>
      </c>
      <c r="D803" s="26" t="s">
        <v>33</v>
      </c>
      <c r="E803" s="26"/>
      <c r="F803" s="12">
        <v>240</v>
      </c>
      <c r="G803" s="26"/>
      <c r="H803" s="27">
        <f>SUM(H804:H807)</f>
        <v>0</v>
      </c>
    </row>
    <row r="804" spans="1:8">
      <c r="A804" s="61"/>
      <c r="B804" s="15" t="s">
        <v>17</v>
      </c>
      <c r="C804" s="16" t="s">
        <v>640</v>
      </c>
      <c r="D804" s="29" t="s">
        <v>19</v>
      </c>
      <c r="E804" s="29">
        <f>0.93*1.05</f>
        <v>0.97650000000000015</v>
      </c>
      <c r="F804" s="19">
        <f>F803*E804</f>
        <v>234.36000000000004</v>
      </c>
      <c r="G804" s="29"/>
      <c r="H804" s="30">
        <f>G804*F804</f>
        <v>0</v>
      </c>
    </row>
    <row r="805" spans="1:8">
      <c r="A805" s="61"/>
      <c r="B805" s="28" t="s">
        <v>641</v>
      </c>
      <c r="C805" s="16" t="s">
        <v>642</v>
      </c>
      <c r="D805" s="181" t="s">
        <v>326</v>
      </c>
      <c r="E805" s="29">
        <f>0.024</f>
        <v>2.4E-2</v>
      </c>
      <c r="F805" s="19">
        <f>F803*E805</f>
        <v>5.76</v>
      </c>
      <c r="G805" s="29"/>
      <c r="H805" s="30">
        <f>G805*F805</f>
        <v>0</v>
      </c>
    </row>
    <row r="806" spans="1:8">
      <c r="A806" s="61"/>
      <c r="B806" s="15" t="s">
        <v>17</v>
      </c>
      <c r="C806" s="16" t="s">
        <v>544</v>
      </c>
      <c r="D806" s="29" t="s">
        <v>3</v>
      </c>
      <c r="E806" s="29">
        <f>0.026</f>
        <v>2.5999999999999999E-2</v>
      </c>
      <c r="F806" s="19">
        <f>E806*F803</f>
        <v>6.2399999999999993</v>
      </c>
      <c r="G806" s="29"/>
      <c r="H806" s="30">
        <f>G806*F806</f>
        <v>0</v>
      </c>
    </row>
    <row r="807" spans="1:8">
      <c r="A807" s="61"/>
      <c r="B807" s="28" t="s">
        <v>545</v>
      </c>
      <c r="C807" s="16" t="s">
        <v>309</v>
      </c>
      <c r="D807" s="29" t="s">
        <v>75</v>
      </c>
      <c r="E807" s="29">
        <f>0.0255</f>
        <v>2.5499999999999998E-2</v>
      </c>
      <c r="F807" s="19">
        <f>E807*F803</f>
        <v>6.1199999999999992</v>
      </c>
      <c r="G807" s="29"/>
      <c r="H807" s="30">
        <f>G807*F807</f>
        <v>0</v>
      </c>
    </row>
    <row r="808" spans="1:8" ht="67.5">
      <c r="A808" s="68" t="s">
        <v>72</v>
      </c>
      <c r="B808" s="9" t="s">
        <v>643</v>
      </c>
      <c r="C808" s="20" t="s">
        <v>644</v>
      </c>
      <c r="D808" s="26" t="s">
        <v>33</v>
      </c>
      <c r="E808" s="26"/>
      <c r="F808" s="12">
        <v>1880</v>
      </c>
      <c r="G808" s="26"/>
      <c r="H808" s="27">
        <f>SUM(H809:H811)</f>
        <v>0</v>
      </c>
    </row>
    <row r="809" spans="1:8">
      <c r="A809" s="61"/>
      <c r="B809" s="15" t="s">
        <v>17</v>
      </c>
      <c r="C809" s="28" t="s">
        <v>18</v>
      </c>
      <c r="D809" s="29" t="s">
        <v>19</v>
      </c>
      <c r="E809" s="29">
        <v>0.37</v>
      </c>
      <c r="F809" s="19">
        <f>F808*E809</f>
        <v>695.6</v>
      </c>
      <c r="G809" s="29"/>
      <c r="H809" s="30">
        <f>G809*F809</f>
        <v>0</v>
      </c>
    </row>
    <row r="810" spans="1:8">
      <c r="A810" s="61"/>
      <c r="B810" s="15" t="s">
        <v>17</v>
      </c>
      <c r="C810" s="28" t="s">
        <v>233</v>
      </c>
      <c r="D810" s="29" t="s">
        <v>3</v>
      </c>
      <c r="E810" s="29">
        <v>0.01</v>
      </c>
      <c r="F810" s="19">
        <f>E810*F808</f>
        <v>18.8</v>
      </c>
      <c r="G810" s="29"/>
      <c r="H810" s="30">
        <f>G810*F810</f>
        <v>0</v>
      </c>
    </row>
    <row r="811" spans="1:8">
      <c r="A811" s="61"/>
      <c r="B811" s="28" t="s">
        <v>645</v>
      </c>
      <c r="C811" s="28" t="s">
        <v>646</v>
      </c>
      <c r="D811" s="29" t="s">
        <v>123</v>
      </c>
      <c r="E811" s="29">
        <v>2.5</v>
      </c>
      <c r="F811" s="19">
        <f>F808*E811</f>
        <v>4700</v>
      </c>
      <c r="G811" s="29"/>
      <c r="H811" s="30">
        <f>G811*F811</f>
        <v>0</v>
      </c>
    </row>
    <row r="812" spans="1:8" ht="54">
      <c r="A812" s="123" t="s">
        <v>480</v>
      </c>
      <c r="B812" s="207" t="s">
        <v>647</v>
      </c>
      <c r="C812" s="124" t="s">
        <v>648</v>
      </c>
      <c r="D812" s="124" t="s">
        <v>16</v>
      </c>
      <c r="E812" s="124"/>
      <c r="F812" s="208">
        <v>1575</v>
      </c>
      <c r="G812" s="124"/>
      <c r="H812" s="209">
        <f>H813+H814+H816+H817+H815</f>
        <v>0</v>
      </c>
    </row>
    <row r="813" spans="1:8">
      <c r="A813" s="210"/>
      <c r="B813" s="211" t="s">
        <v>17</v>
      </c>
      <c r="C813" s="126" t="s">
        <v>28</v>
      </c>
      <c r="D813" s="126" t="s">
        <v>243</v>
      </c>
      <c r="E813" s="126">
        <v>1.43</v>
      </c>
      <c r="F813" s="212">
        <f>E813*F812</f>
        <v>2252.25</v>
      </c>
      <c r="G813" s="126"/>
      <c r="H813" s="213">
        <f>F813*G813</f>
        <v>0</v>
      </c>
    </row>
    <row r="814" spans="1:8">
      <c r="A814" s="210"/>
      <c r="B814" s="211" t="s">
        <v>17</v>
      </c>
      <c r="C814" s="126" t="s">
        <v>20</v>
      </c>
      <c r="D814" s="126" t="s">
        <v>3</v>
      </c>
      <c r="E814" s="126">
        <v>8.9999999999999993E-3</v>
      </c>
      <c r="F814" s="33">
        <f>F812*E814</f>
        <v>14.174999999999999</v>
      </c>
      <c r="G814" s="126"/>
      <c r="H814" s="213">
        <f>F814*G814</f>
        <v>0</v>
      </c>
    </row>
    <row r="815" spans="1:8">
      <c r="A815" s="210"/>
      <c r="B815" s="214" t="s">
        <v>649</v>
      </c>
      <c r="C815" s="126" t="s">
        <v>650</v>
      </c>
      <c r="D815" s="126" t="s">
        <v>123</v>
      </c>
      <c r="E815" s="126">
        <v>6</v>
      </c>
      <c r="F815" s="18">
        <f>E815*F812</f>
        <v>9450</v>
      </c>
      <c r="G815" s="91"/>
      <c r="H815" s="213">
        <f>F815*G815</f>
        <v>0</v>
      </c>
    </row>
    <row r="816" spans="1:8">
      <c r="A816" s="210"/>
      <c r="B816" s="214" t="s">
        <v>651</v>
      </c>
      <c r="C816" s="126" t="s">
        <v>652</v>
      </c>
      <c r="D816" s="126" t="s">
        <v>123</v>
      </c>
      <c r="E816" s="126">
        <v>0.252</v>
      </c>
      <c r="F816" s="33">
        <f>E816*F812</f>
        <v>396.9</v>
      </c>
      <c r="G816" s="91"/>
      <c r="H816" s="213">
        <f>F816*G816</f>
        <v>0</v>
      </c>
    </row>
    <row r="817" spans="1:8">
      <c r="A817" s="210"/>
      <c r="B817" s="211" t="s">
        <v>17</v>
      </c>
      <c r="C817" s="126" t="s">
        <v>653</v>
      </c>
      <c r="D817" s="126" t="s">
        <v>3</v>
      </c>
      <c r="E817" s="126">
        <v>2.4E-2</v>
      </c>
      <c r="F817" s="33">
        <f>E817*F812</f>
        <v>37.800000000000004</v>
      </c>
      <c r="G817" s="126"/>
      <c r="H817" s="213">
        <f>F817*G817</f>
        <v>0</v>
      </c>
    </row>
    <row r="818" spans="1:8" ht="94.5">
      <c r="A818" s="123" t="s">
        <v>327</v>
      </c>
      <c r="B818" s="215" t="s">
        <v>654</v>
      </c>
      <c r="C818" s="86" t="s">
        <v>655</v>
      </c>
      <c r="D818" s="86" t="s">
        <v>16</v>
      </c>
      <c r="E818" s="86"/>
      <c r="F818" s="216">
        <v>645</v>
      </c>
      <c r="G818" s="86"/>
      <c r="H818" s="217">
        <f>H819+H820+H821+H825+H822+H823+H824</f>
        <v>0</v>
      </c>
    </row>
    <row r="819" spans="1:8">
      <c r="A819" s="210"/>
      <c r="B819" s="89" t="s">
        <v>17</v>
      </c>
      <c r="C819" s="126" t="s">
        <v>28</v>
      </c>
      <c r="D819" s="126" t="s">
        <v>16</v>
      </c>
      <c r="E819" s="126">
        <v>1</v>
      </c>
      <c r="F819" s="126">
        <f>E819*F818</f>
        <v>645</v>
      </c>
      <c r="G819" s="126"/>
      <c r="H819" s="218">
        <f>F819*G819</f>
        <v>0</v>
      </c>
    </row>
    <row r="820" spans="1:8">
      <c r="A820" s="210"/>
      <c r="B820" s="89" t="s">
        <v>17</v>
      </c>
      <c r="C820" s="126" t="s">
        <v>20</v>
      </c>
      <c r="D820" s="126" t="s">
        <v>3</v>
      </c>
      <c r="E820" s="126">
        <v>7.0000000000000001E-3</v>
      </c>
      <c r="F820" s="33">
        <f>F818*E820</f>
        <v>4.5149999999999997</v>
      </c>
      <c r="G820" s="126"/>
      <c r="H820" s="218">
        <f t="shared" ref="H820:H825" si="26">F820*G820</f>
        <v>0</v>
      </c>
    </row>
    <row r="821" spans="1:8">
      <c r="A821" s="210"/>
      <c r="B821" s="82" t="s">
        <v>651</v>
      </c>
      <c r="C821" s="126" t="s">
        <v>652</v>
      </c>
      <c r="D821" s="126" t="s">
        <v>123</v>
      </c>
      <c r="E821" s="126">
        <v>0.59</v>
      </c>
      <c r="F821" s="33">
        <f>E821*F818</f>
        <v>380.54999999999995</v>
      </c>
      <c r="G821" s="91"/>
      <c r="H821" s="218">
        <f t="shared" si="26"/>
        <v>0</v>
      </c>
    </row>
    <row r="822" spans="1:8">
      <c r="A822" s="210"/>
      <c r="B822" s="82" t="s">
        <v>251</v>
      </c>
      <c r="C822" s="126" t="s">
        <v>656</v>
      </c>
      <c r="D822" s="126" t="s">
        <v>123</v>
      </c>
      <c r="E822" s="126">
        <v>0.1</v>
      </c>
      <c r="F822" s="33">
        <f>E822*F818</f>
        <v>64.5</v>
      </c>
      <c r="G822" s="91"/>
      <c r="H822" s="218">
        <f t="shared" si="26"/>
        <v>0</v>
      </c>
    </row>
    <row r="823" spans="1:8">
      <c r="A823" s="210"/>
      <c r="B823" s="82" t="s">
        <v>657</v>
      </c>
      <c r="C823" s="91" t="s">
        <v>658</v>
      </c>
      <c r="D823" s="126" t="s">
        <v>123</v>
      </c>
      <c r="E823" s="126">
        <v>0.15</v>
      </c>
      <c r="F823" s="33">
        <f>E823*F818</f>
        <v>96.75</v>
      </c>
      <c r="G823" s="91"/>
      <c r="H823" s="218">
        <f t="shared" si="26"/>
        <v>0</v>
      </c>
    </row>
    <row r="824" spans="1:8">
      <c r="A824" s="210"/>
      <c r="B824" s="82" t="s">
        <v>659</v>
      </c>
      <c r="C824" s="126" t="s">
        <v>660</v>
      </c>
      <c r="D824" s="126" t="s">
        <v>661</v>
      </c>
      <c r="E824" s="126">
        <v>0.12</v>
      </c>
      <c r="F824" s="33">
        <f>E824*F818</f>
        <v>77.399999999999991</v>
      </c>
      <c r="G824" s="91"/>
      <c r="H824" s="218">
        <f t="shared" si="26"/>
        <v>0</v>
      </c>
    </row>
    <row r="825" spans="1:8">
      <c r="A825" s="210"/>
      <c r="B825" s="89" t="s">
        <v>17</v>
      </c>
      <c r="C825" s="116" t="s">
        <v>611</v>
      </c>
      <c r="D825" s="126" t="s">
        <v>3</v>
      </c>
      <c r="E825" s="126">
        <v>3.3999999999999998E-3</v>
      </c>
      <c r="F825" s="33">
        <f>E825*F818</f>
        <v>2.1930000000000001</v>
      </c>
      <c r="G825" s="126"/>
      <c r="H825" s="218">
        <f t="shared" si="26"/>
        <v>0</v>
      </c>
    </row>
    <row r="826" spans="1:8" ht="67.5">
      <c r="A826" s="62" t="s">
        <v>82</v>
      </c>
      <c r="B826" s="9" t="s">
        <v>662</v>
      </c>
      <c r="C826" s="10" t="s">
        <v>663</v>
      </c>
      <c r="D826" s="11" t="s">
        <v>16</v>
      </c>
      <c r="E826" s="11"/>
      <c r="F826" s="57">
        <v>940</v>
      </c>
      <c r="G826" s="11"/>
      <c r="H826" s="13">
        <f>SUM(H827:H833)</f>
        <v>0</v>
      </c>
    </row>
    <row r="827" spans="1:8">
      <c r="A827" s="64"/>
      <c r="B827" s="24" t="s">
        <v>17</v>
      </c>
      <c r="C827" s="16" t="s">
        <v>28</v>
      </c>
      <c r="D827" s="17" t="s">
        <v>19</v>
      </c>
      <c r="E827" s="17">
        <v>1.37</v>
      </c>
      <c r="F827" s="18">
        <f>E827*F826</f>
        <v>1287.8000000000002</v>
      </c>
      <c r="G827" s="18"/>
      <c r="H827" s="19">
        <f t="shared" ref="H827:H833" si="27">G827*F827</f>
        <v>0</v>
      </c>
    </row>
    <row r="828" spans="1:8">
      <c r="A828" s="64"/>
      <c r="B828" s="15" t="s">
        <v>17</v>
      </c>
      <c r="C828" s="16" t="s">
        <v>20</v>
      </c>
      <c r="D828" s="17" t="s">
        <v>3</v>
      </c>
      <c r="E828" s="17">
        <v>7.6999999999999999E-2</v>
      </c>
      <c r="F828" s="18">
        <f>E828*F826</f>
        <v>72.38</v>
      </c>
      <c r="G828" s="18"/>
      <c r="H828" s="19">
        <f t="shared" si="27"/>
        <v>0</v>
      </c>
    </row>
    <row r="829" spans="1:8">
      <c r="A829" s="64"/>
      <c r="B829" s="23" t="s">
        <v>645</v>
      </c>
      <c r="C829" s="17" t="s">
        <v>664</v>
      </c>
      <c r="D829" s="17" t="s">
        <v>123</v>
      </c>
      <c r="E829" s="17">
        <v>6.5</v>
      </c>
      <c r="F829" s="18">
        <f>E829*F826</f>
        <v>6110</v>
      </c>
      <c r="G829" s="18"/>
      <c r="H829" s="19">
        <f t="shared" si="27"/>
        <v>0</v>
      </c>
    </row>
    <row r="830" spans="1:8">
      <c r="A830" s="64"/>
      <c r="B830" s="23" t="s">
        <v>597</v>
      </c>
      <c r="C830" s="16" t="s">
        <v>598</v>
      </c>
      <c r="D830" s="17" t="s">
        <v>123</v>
      </c>
      <c r="E830" s="17">
        <v>0.3</v>
      </c>
      <c r="F830" s="18">
        <f>E830*F826</f>
        <v>282</v>
      </c>
      <c r="G830" s="18"/>
      <c r="H830" s="19">
        <f t="shared" si="27"/>
        <v>0</v>
      </c>
    </row>
    <row r="831" spans="1:8" ht="27">
      <c r="A831" s="64"/>
      <c r="B831" s="15" t="s">
        <v>665</v>
      </c>
      <c r="C831" s="16" t="s">
        <v>666</v>
      </c>
      <c r="D831" s="17" t="s">
        <v>209</v>
      </c>
      <c r="E831" s="17">
        <v>50.4</v>
      </c>
      <c r="F831" s="18">
        <f>E831*F826</f>
        <v>47376</v>
      </c>
      <c r="G831" s="19"/>
      <c r="H831" s="19">
        <f t="shared" si="27"/>
        <v>0</v>
      </c>
    </row>
    <row r="832" spans="1:8">
      <c r="A832" s="64"/>
      <c r="B832" s="15" t="s">
        <v>520</v>
      </c>
      <c r="C832" s="16" t="s">
        <v>144</v>
      </c>
      <c r="D832" s="17" t="s">
        <v>123</v>
      </c>
      <c r="E832" s="17">
        <v>0.9</v>
      </c>
      <c r="F832" s="18">
        <f>E832*F826</f>
        <v>846</v>
      </c>
      <c r="G832" s="19"/>
      <c r="H832" s="19">
        <f t="shared" si="27"/>
        <v>0</v>
      </c>
    </row>
    <row r="833" spans="1:8">
      <c r="A833" s="64"/>
      <c r="B833" s="15" t="s">
        <v>17</v>
      </c>
      <c r="C833" s="16" t="s">
        <v>100</v>
      </c>
      <c r="D833" s="17" t="s">
        <v>3</v>
      </c>
      <c r="E833" s="17">
        <v>5.7599999999999998E-2</v>
      </c>
      <c r="F833" s="18">
        <f>E833*F826</f>
        <v>54.143999999999998</v>
      </c>
      <c r="G833" s="18"/>
      <c r="H833" s="19">
        <f t="shared" si="27"/>
        <v>0</v>
      </c>
    </row>
    <row r="834" spans="1:8" ht="54">
      <c r="A834" s="68" t="s">
        <v>88</v>
      </c>
      <c r="B834" s="9" t="s">
        <v>667</v>
      </c>
      <c r="C834" s="20" t="s">
        <v>668</v>
      </c>
      <c r="D834" s="20" t="s">
        <v>45</v>
      </c>
      <c r="E834" s="26"/>
      <c r="F834" s="12">
        <v>194</v>
      </c>
      <c r="G834" s="11"/>
      <c r="H834" s="13">
        <f>SUM(H835:H839)</f>
        <v>0</v>
      </c>
    </row>
    <row r="835" spans="1:8">
      <c r="A835" s="14"/>
      <c r="B835" s="15" t="s">
        <v>17</v>
      </c>
      <c r="C835" s="16" t="s">
        <v>28</v>
      </c>
      <c r="D835" s="16" t="s">
        <v>45</v>
      </c>
      <c r="E835" s="17">
        <v>0.74</v>
      </c>
      <c r="F835" s="18">
        <f>E835*F834</f>
        <v>143.56</v>
      </c>
      <c r="G835" s="17"/>
      <c r="H835" s="19">
        <f>G835*F835</f>
        <v>0</v>
      </c>
    </row>
    <row r="836" spans="1:8">
      <c r="A836" s="14"/>
      <c r="B836" s="15" t="s">
        <v>17</v>
      </c>
      <c r="C836" s="16" t="s">
        <v>31</v>
      </c>
      <c r="D836" s="16" t="s">
        <v>3</v>
      </c>
      <c r="E836" s="17">
        <v>6.6199999999999995E-2</v>
      </c>
      <c r="F836" s="18">
        <f>E836*F834</f>
        <v>12.842799999999999</v>
      </c>
      <c r="G836" s="17"/>
      <c r="H836" s="19">
        <f>G836*F836</f>
        <v>0</v>
      </c>
    </row>
    <row r="837" spans="1:8" ht="27">
      <c r="A837" s="14"/>
      <c r="B837" s="82" t="s">
        <v>669</v>
      </c>
      <c r="C837" s="16" t="s">
        <v>670</v>
      </c>
      <c r="D837" s="16" t="s">
        <v>16</v>
      </c>
      <c r="E837" s="142">
        <v>0.35</v>
      </c>
      <c r="F837" s="18">
        <f>E837*F834</f>
        <v>67.899999999999991</v>
      </c>
      <c r="G837" s="17"/>
      <c r="H837" s="19">
        <f>G837*F837</f>
        <v>0</v>
      </c>
    </row>
    <row r="838" spans="1:8">
      <c r="A838" s="14"/>
      <c r="B838" s="23" t="s">
        <v>211</v>
      </c>
      <c r="C838" s="16" t="s">
        <v>212</v>
      </c>
      <c r="D838" s="16" t="s">
        <v>213</v>
      </c>
      <c r="E838" s="18">
        <v>0.1</v>
      </c>
      <c r="F838" s="18">
        <f>F834*E838</f>
        <v>19.400000000000002</v>
      </c>
      <c r="G838" s="18"/>
      <c r="H838" s="19">
        <f>G838*F838</f>
        <v>0</v>
      </c>
    </row>
    <row r="839" spans="1:8">
      <c r="A839" s="14"/>
      <c r="B839" s="15" t="s">
        <v>17</v>
      </c>
      <c r="C839" s="116" t="s">
        <v>611</v>
      </c>
      <c r="D839" s="16" t="s">
        <v>3</v>
      </c>
      <c r="E839" s="17">
        <v>0.13300000000000001</v>
      </c>
      <c r="F839" s="18">
        <f>E839*F834</f>
        <v>25.802</v>
      </c>
      <c r="G839" s="17"/>
      <c r="H839" s="19">
        <f>G839*F839</f>
        <v>0</v>
      </c>
    </row>
    <row r="840" spans="1:8" ht="48">
      <c r="A840" s="8">
        <v>7</v>
      </c>
      <c r="B840" s="9" t="s">
        <v>671</v>
      </c>
      <c r="C840" s="20" t="s">
        <v>672</v>
      </c>
      <c r="D840" s="73" t="s">
        <v>673</v>
      </c>
      <c r="E840" s="10"/>
      <c r="F840" s="69">
        <v>2770</v>
      </c>
      <c r="G840" s="10"/>
      <c r="H840" s="39">
        <f>SUM(H841:H845)</f>
        <v>0</v>
      </c>
    </row>
    <row r="841" spans="1:8">
      <c r="A841" s="64"/>
      <c r="B841" s="24" t="s">
        <v>17</v>
      </c>
      <c r="C841" s="16" t="s">
        <v>28</v>
      </c>
      <c r="D841" s="16" t="s">
        <v>19</v>
      </c>
      <c r="E841" s="16">
        <v>0.45900000000000002</v>
      </c>
      <c r="F841" s="43">
        <f>E841*F840</f>
        <v>1271.43</v>
      </c>
      <c r="G841" s="16"/>
      <c r="H841" s="44">
        <f>G841*F841</f>
        <v>0</v>
      </c>
    </row>
    <row r="842" spans="1:8">
      <c r="A842" s="64"/>
      <c r="B842" s="24" t="s">
        <v>17</v>
      </c>
      <c r="C842" s="16" t="s">
        <v>20</v>
      </c>
      <c r="D842" s="16" t="s">
        <v>3</v>
      </c>
      <c r="E842" s="16">
        <v>2.3E-3</v>
      </c>
      <c r="F842" s="43">
        <f>E842*F840</f>
        <v>6.3709999999999996</v>
      </c>
      <c r="G842" s="16"/>
      <c r="H842" s="44">
        <f>G842*F842</f>
        <v>0</v>
      </c>
    </row>
    <row r="843" spans="1:8">
      <c r="A843" s="64"/>
      <c r="B843" s="15" t="s">
        <v>572</v>
      </c>
      <c r="C843" s="16" t="s">
        <v>573</v>
      </c>
      <c r="D843" s="16" t="s">
        <v>59</v>
      </c>
      <c r="E843" s="66">
        <v>3.5E-4</v>
      </c>
      <c r="F843" s="43">
        <f>E843*F840</f>
        <v>0.96950000000000003</v>
      </c>
      <c r="G843" s="16"/>
      <c r="H843" s="44">
        <f>G843*F843</f>
        <v>0</v>
      </c>
    </row>
    <row r="844" spans="1:8">
      <c r="A844" s="64"/>
      <c r="B844" s="15" t="s">
        <v>674</v>
      </c>
      <c r="C844" s="16" t="s">
        <v>574</v>
      </c>
      <c r="D844" s="16" t="s">
        <v>75</v>
      </c>
      <c r="E844" s="66">
        <v>9.0000000000000006E-5</v>
      </c>
      <c r="F844" s="43">
        <f>E844*F840</f>
        <v>0.24930000000000002</v>
      </c>
      <c r="G844" s="43"/>
      <c r="H844" s="44">
        <f>G844*F844</f>
        <v>0</v>
      </c>
    </row>
    <row r="845" spans="1:8">
      <c r="A845" s="64"/>
      <c r="B845" s="15" t="s">
        <v>675</v>
      </c>
      <c r="C845" s="16" t="s">
        <v>575</v>
      </c>
      <c r="D845" s="16" t="s">
        <v>112</v>
      </c>
      <c r="E845" s="16">
        <v>3.4000000000000002E-2</v>
      </c>
      <c r="F845" s="43">
        <f>E845*F840</f>
        <v>94.18</v>
      </c>
      <c r="G845" s="16"/>
      <c r="H845" s="44">
        <f>G845*F845</f>
        <v>0</v>
      </c>
    </row>
    <row r="846" spans="1:8">
      <c r="A846" s="130"/>
      <c r="B846" s="174"/>
      <c r="C846" s="20" t="s">
        <v>676</v>
      </c>
      <c r="D846" s="130" t="s">
        <v>3</v>
      </c>
      <c r="E846" s="130"/>
      <c r="F846" s="469"/>
      <c r="G846" s="470"/>
      <c r="H846" s="471">
        <f>H803+H808+H812+H818+H826+H834+H840</f>
        <v>0</v>
      </c>
    </row>
    <row r="847" spans="1:8" ht="37.5" customHeight="1">
      <c r="A847" s="64"/>
      <c r="B847" s="9"/>
      <c r="C847" s="219" t="s">
        <v>677</v>
      </c>
      <c r="D847" s="219"/>
      <c r="E847" s="16"/>
      <c r="F847" s="43"/>
      <c r="G847" s="16"/>
      <c r="H847" s="44"/>
    </row>
    <row r="848" spans="1:8" ht="40.5">
      <c r="A848" s="62" t="s">
        <v>13</v>
      </c>
      <c r="B848" s="220" t="s">
        <v>52</v>
      </c>
      <c r="C848" s="10" t="s">
        <v>1676</v>
      </c>
      <c r="D848" s="73" t="s">
        <v>678</v>
      </c>
      <c r="E848" s="11"/>
      <c r="F848" s="221">
        <v>2</v>
      </c>
      <c r="G848" s="11"/>
      <c r="H848" s="27">
        <f>H849+H850</f>
        <v>0</v>
      </c>
    </row>
    <row r="849" spans="1:8">
      <c r="A849" s="64"/>
      <c r="B849" s="67" t="s">
        <v>52</v>
      </c>
      <c r="C849" s="16" t="s">
        <v>679</v>
      </c>
      <c r="D849" s="17" t="s">
        <v>678</v>
      </c>
      <c r="E849" s="222">
        <v>1</v>
      </c>
      <c r="F849" s="222">
        <v>2</v>
      </c>
      <c r="G849" s="56"/>
      <c r="H849" s="31">
        <f>F849*G849</f>
        <v>0</v>
      </c>
    </row>
    <row r="850" spans="1:8">
      <c r="A850" s="61"/>
      <c r="B850" s="67" t="s">
        <v>52</v>
      </c>
      <c r="C850" s="16" t="s">
        <v>680</v>
      </c>
      <c r="D850" s="17" t="s">
        <v>678</v>
      </c>
      <c r="E850" s="222">
        <v>1</v>
      </c>
      <c r="F850" s="222">
        <v>2</v>
      </c>
      <c r="G850" s="56"/>
      <c r="H850" s="31">
        <f>F850*G850</f>
        <v>0</v>
      </c>
    </row>
    <row r="851" spans="1:8" ht="54">
      <c r="A851" s="62" t="s">
        <v>72</v>
      </c>
      <c r="B851" s="223" t="s">
        <v>52</v>
      </c>
      <c r="C851" s="10" t="s">
        <v>1677</v>
      </c>
      <c r="D851" s="73" t="s">
        <v>678</v>
      </c>
      <c r="E851" s="57"/>
      <c r="F851" s="57">
        <v>2</v>
      </c>
      <c r="G851" s="11"/>
      <c r="H851" s="13">
        <f>H852+H853</f>
        <v>0</v>
      </c>
    </row>
    <row r="852" spans="1:8">
      <c r="A852" s="64"/>
      <c r="B852" s="24" t="s">
        <v>52</v>
      </c>
      <c r="C852" s="16" t="s">
        <v>28</v>
      </c>
      <c r="D852" s="17" t="s">
        <v>678</v>
      </c>
      <c r="E852" s="18">
        <v>1</v>
      </c>
      <c r="F852" s="18">
        <f>E852*F851</f>
        <v>2</v>
      </c>
      <c r="G852" s="56"/>
      <c r="H852" s="18">
        <f>F852*G852</f>
        <v>0</v>
      </c>
    </row>
    <row r="853" spans="1:8">
      <c r="A853" s="64"/>
      <c r="B853" s="24" t="s">
        <v>52</v>
      </c>
      <c r="C853" s="16" t="s">
        <v>680</v>
      </c>
      <c r="D853" s="17" t="s">
        <v>678</v>
      </c>
      <c r="E853" s="18">
        <v>1</v>
      </c>
      <c r="F853" s="18">
        <f>F852*E853</f>
        <v>2</v>
      </c>
      <c r="G853" s="56"/>
      <c r="H853" s="18">
        <f>F853*G853</f>
        <v>0</v>
      </c>
    </row>
    <row r="854" spans="1:8" ht="27">
      <c r="A854" s="62" t="s">
        <v>480</v>
      </c>
      <c r="B854" s="223" t="s">
        <v>52</v>
      </c>
      <c r="C854" s="10" t="s">
        <v>681</v>
      </c>
      <c r="D854" s="73" t="s">
        <v>678</v>
      </c>
      <c r="E854" s="57"/>
      <c r="F854" s="57">
        <v>2</v>
      </c>
      <c r="G854" s="47"/>
      <c r="H854" s="13">
        <f>H855+H856</f>
        <v>0</v>
      </c>
    </row>
    <row r="855" spans="1:8">
      <c r="A855" s="64"/>
      <c r="B855" s="24" t="s">
        <v>52</v>
      </c>
      <c r="C855" s="16" t="s">
        <v>28</v>
      </c>
      <c r="D855" s="17" t="s">
        <v>678</v>
      </c>
      <c r="E855" s="18">
        <v>1</v>
      </c>
      <c r="F855" s="18">
        <f>E855*F854</f>
        <v>2</v>
      </c>
      <c r="G855" s="56"/>
      <c r="H855" s="18">
        <f>F855*G855</f>
        <v>0</v>
      </c>
    </row>
    <row r="856" spans="1:8">
      <c r="A856" s="64"/>
      <c r="B856" s="24" t="s">
        <v>52</v>
      </c>
      <c r="C856" s="16" t="s">
        <v>680</v>
      </c>
      <c r="D856" s="17" t="s">
        <v>678</v>
      </c>
      <c r="E856" s="18">
        <v>1</v>
      </c>
      <c r="F856" s="18">
        <f>F855*E856</f>
        <v>2</v>
      </c>
      <c r="G856" s="56"/>
      <c r="H856" s="18">
        <f>F856*G856</f>
        <v>0</v>
      </c>
    </row>
    <row r="857" spans="1:8">
      <c r="A857" s="62" t="s">
        <v>327</v>
      </c>
      <c r="B857" s="223" t="s">
        <v>52</v>
      </c>
      <c r="C857" s="10" t="s">
        <v>682</v>
      </c>
      <c r="D857" s="73" t="s">
        <v>678</v>
      </c>
      <c r="E857" s="57"/>
      <c r="F857" s="57">
        <v>2</v>
      </c>
      <c r="G857" s="47"/>
      <c r="H857" s="13">
        <f>H858+H859</f>
        <v>0</v>
      </c>
    </row>
    <row r="858" spans="1:8">
      <c r="A858" s="64"/>
      <c r="B858" s="24" t="s">
        <v>52</v>
      </c>
      <c r="C858" s="16" t="s">
        <v>28</v>
      </c>
      <c r="D858" s="17" t="s">
        <v>678</v>
      </c>
      <c r="E858" s="18">
        <v>1</v>
      </c>
      <c r="F858" s="18">
        <f>E858*F857</f>
        <v>2</v>
      </c>
      <c r="G858" s="56"/>
      <c r="H858" s="18">
        <f>F858*G858</f>
        <v>0</v>
      </c>
    </row>
    <row r="859" spans="1:8">
      <c r="A859" s="64"/>
      <c r="B859" s="24" t="s">
        <v>52</v>
      </c>
      <c r="C859" s="16" t="s">
        <v>680</v>
      </c>
      <c r="D859" s="17" t="s">
        <v>678</v>
      </c>
      <c r="E859" s="18">
        <v>1</v>
      </c>
      <c r="F859" s="18">
        <f>F858*E859</f>
        <v>2</v>
      </c>
      <c r="G859" s="56"/>
      <c r="H859" s="18">
        <f>F859*G859</f>
        <v>0</v>
      </c>
    </row>
    <row r="860" spans="1:8">
      <c r="A860" s="62" t="s">
        <v>82</v>
      </c>
      <c r="B860" s="223" t="s">
        <v>52</v>
      </c>
      <c r="C860" s="10" t="s">
        <v>683</v>
      </c>
      <c r="D860" s="73" t="s">
        <v>678</v>
      </c>
      <c r="E860" s="57"/>
      <c r="F860" s="57">
        <v>2</v>
      </c>
      <c r="G860" s="47"/>
      <c r="H860" s="13">
        <f>H861+H862</f>
        <v>0</v>
      </c>
    </row>
    <row r="861" spans="1:8">
      <c r="A861" s="64"/>
      <c r="B861" s="24" t="s">
        <v>52</v>
      </c>
      <c r="C861" s="16" t="s">
        <v>28</v>
      </c>
      <c r="D861" s="17" t="s">
        <v>678</v>
      </c>
      <c r="E861" s="18">
        <v>1</v>
      </c>
      <c r="F861" s="18">
        <f>E861*F860</f>
        <v>2</v>
      </c>
      <c r="G861" s="56"/>
      <c r="H861" s="18">
        <f>F861*G861</f>
        <v>0</v>
      </c>
    </row>
    <row r="862" spans="1:8">
      <c r="A862" s="64"/>
      <c r="B862" s="24" t="s">
        <v>52</v>
      </c>
      <c r="C862" s="16" t="s">
        <v>680</v>
      </c>
      <c r="D862" s="17" t="s">
        <v>678</v>
      </c>
      <c r="E862" s="18">
        <v>1</v>
      </c>
      <c r="F862" s="18">
        <f>F861*E862</f>
        <v>2</v>
      </c>
      <c r="G862" s="56"/>
      <c r="H862" s="18">
        <f>F862*G862</f>
        <v>0</v>
      </c>
    </row>
    <row r="863" spans="1:8">
      <c r="A863" s="130"/>
      <c r="B863" s="174"/>
      <c r="C863" s="20" t="s">
        <v>684</v>
      </c>
      <c r="D863" s="130" t="s">
        <v>3</v>
      </c>
      <c r="E863" s="200"/>
      <c r="F863" s="200"/>
      <c r="G863" s="470"/>
      <c r="H863" s="471">
        <f>H851+H854+H857+H860+H848</f>
        <v>0</v>
      </c>
    </row>
    <row r="864" spans="1:8" ht="27">
      <c r="A864" s="68"/>
      <c r="B864" s="20"/>
      <c r="C864" s="20" t="s">
        <v>685</v>
      </c>
      <c r="D864" s="20" t="s">
        <v>3</v>
      </c>
      <c r="E864" s="69"/>
      <c r="F864" s="69"/>
      <c r="G864" s="20"/>
      <c r="H864" s="69">
        <f>H863+H846+H801+H698+H655+H581+H546+H350+H290+H187+H61</f>
        <v>0</v>
      </c>
    </row>
    <row r="865" spans="1:8">
      <c r="A865" s="64"/>
      <c r="B865" s="14"/>
      <c r="C865" s="16" t="s">
        <v>687</v>
      </c>
      <c r="D865" s="16" t="s">
        <v>3</v>
      </c>
      <c r="E865" s="16"/>
      <c r="F865" s="224">
        <v>0.1</v>
      </c>
      <c r="G865" s="16"/>
      <c r="H865" s="18">
        <f>H864*F865</f>
        <v>0</v>
      </c>
    </row>
    <row r="866" spans="1:8">
      <c r="A866" s="64"/>
      <c r="B866" s="46"/>
      <c r="C866" s="10" t="s">
        <v>688</v>
      </c>
      <c r="D866" s="10" t="s">
        <v>3</v>
      </c>
      <c r="E866" s="10"/>
      <c r="F866" s="10"/>
      <c r="G866" s="10"/>
      <c r="H866" s="57">
        <f>H865+H864</f>
        <v>0</v>
      </c>
    </row>
    <row r="867" spans="1:8">
      <c r="A867" s="64"/>
      <c r="B867" s="14"/>
      <c r="C867" s="16" t="s">
        <v>689</v>
      </c>
      <c r="D867" s="16" t="s">
        <v>3</v>
      </c>
      <c r="E867" s="16"/>
      <c r="F867" s="224">
        <v>0.08</v>
      </c>
      <c r="G867" s="16"/>
      <c r="H867" s="18">
        <f>H866*F867</f>
        <v>0</v>
      </c>
    </row>
    <row r="868" spans="1:8">
      <c r="A868" s="83"/>
      <c r="B868" s="46"/>
      <c r="C868" s="10" t="s">
        <v>690</v>
      </c>
      <c r="D868" s="10" t="s">
        <v>3</v>
      </c>
      <c r="E868" s="10"/>
      <c r="F868" s="225"/>
      <c r="G868" s="10"/>
      <c r="H868" s="462">
        <f>SUM(H866:H867)</f>
        <v>0</v>
      </c>
    </row>
    <row r="871" spans="1:8">
      <c r="A871" s="488" t="s">
        <v>692</v>
      </c>
      <c r="B871" s="488"/>
      <c r="C871" s="488"/>
      <c r="D871" s="488"/>
      <c r="E871" s="488"/>
      <c r="F871" s="488"/>
      <c r="G871" s="488"/>
      <c r="H871" s="488"/>
    </row>
    <row r="872" spans="1:8">
      <c r="A872" s="488"/>
      <c r="B872" s="488"/>
      <c r="C872" s="488"/>
      <c r="D872" s="488"/>
      <c r="E872" s="488"/>
      <c r="F872" s="488"/>
      <c r="G872" s="488"/>
      <c r="H872" s="488"/>
    </row>
    <row r="873" spans="1:8" ht="23.25" customHeight="1">
      <c r="A873" s="488" t="s">
        <v>693</v>
      </c>
      <c r="B873" s="488"/>
      <c r="C873" s="488"/>
      <c r="D873" s="488"/>
      <c r="E873" s="488"/>
      <c r="F873" s="488"/>
      <c r="G873" s="488"/>
      <c r="H873" s="488"/>
    </row>
    <row r="874" spans="1:8" ht="32.25" customHeight="1">
      <c r="A874" s="497" t="s">
        <v>5</v>
      </c>
      <c r="B874" s="498" t="s">
        <v>6</v>
      </c>
      <c r="C874" s="499" t="s">
        <v>7</v>
      </c>
      <c r="D874" s="500" t="s">
        <v>8</v>
      </c>
      <c r="E874" s="501" t="s">
        <v>9</v>
      </c>
      <c r="F874" s="501"/>
      <c r="G874" s="501" t="s">
        <v>10</v>
      </c>
      <c r="H874" s="501"/>
    </row>
    <row r="875" spans="1:8" ht="87" customHeight="1">
      <c r="A875" s="497"/>
      <c r="B875" s="498"/>
      <c r="C875" s="499"/>
      <c r="D875" s="500"/>
      <c r="E875" s="251" t="s">
        <v>11</v>
      </c>
      <c r="F875" s="251" t="s">
        <v>12</v>
      </c>
      <c r="G875" s="251" t="s">
        <v>11</v>
      </c>
      <c r="H875" s="252" t="s">
        <v>12</v>
      </c>
    </row>
    <row r="876" spans="1:8">
      <c r="A876" s="229" t="s">
        <v>13</v>
      </c>
      <c r="B876" s="229">
        <v>2</v>
      </c>
      <c r="C876" s="5">
        <v>3</v>
      </c>
      <c r="D876" s="5">
        <v>4</v>
      </c>
      <c r="E876" s="5">
        <v>5</v>
      </c>
      <c r="F876" s="5">
        <v>6</v>
      </c>
      <c r="G876" s="5">
        <v>7</v>
      </c>
      <c r="H876" s="48">
        <v>8</v>
      </c>
    </row>
    <row r="877" spans="1:8">
      <c r="A877" s="230"/>
      <c r="B877" s="46"/>
      <c r="C877" s="231" t="s">
        <v>694</v>
      </c>
      <c r="D877" s="232"/>
      <c r="E877" s="232"/>
      <c r="F877" s="232"/>
      <c r="G877" s="232"/>
      <c r="H877" s="8"/>
    </row>
    <row r="878" spans="1:8" ht="72">
      <c r="A878" s="62" t="s">
        <v>13</v>
      </c>
      <c r="B878" s="46" t="s">
        <v>695</v>
      </c>
      <c r="C878" s="10" t="s">
        <v>696</v>
      </c>
      <c r="D878" s="10" t="s">
        <v>45</v>
      </c>
      <c r="E878" s="10"/>
      <c r="F878" s="190">
        <v>80</v>
      </c>
      <c r="G878" s="10"/>
      <c r="H878" s="39">
        <f>SUM(H879:H886)</f>
        <v>0</v>
      </c>
    </row>
    <row r="879" spans="1:8">
      <c r="A879" s="64"/>
      <c r="B879" s="64" t="s">
        <v>17</v>
      </c>
      <c r="C879" s="16" t="s">
        <v>18</v>
      </c>
      <c r="D879" s="16" t="s">
        <v>19</v>
      </c>
      <c r="E879" s="70">
        <v>1.43</v>
      </c>
      <c r="F879" s="18">
        <f>F878*E879</f>
        <v>114.39999999999999</v>
      </c>
      <c r="G879" s="16"/>
      <c r="H879" s="19">
        <f t="shared" ref="H879:H886" si="28">F879*G879</f>
        <v>0</v>
      </c>
    </row>
    <row r="880" spans="1:8">
      <c r="A880" s="64"/>
      <c r="B880" s="64" t="s">
        <v>17</v>
      </c>
      <c r="C880" s="16" t="s">
        <v>20</v>
      </c>
      <c r="D880" s="16" t="s">
        <v>3</v>
      </c>
      <c r="E880" s="70">
        <v>2.5700000000000001E-2</v>
      </c>
      <c r="F880" s="18">
        <f>F878*E880</f>
        <v>2.056</v>
      </c>
      <c r="G880" s="17"/>
      <c r="H880" s="19">
        <f t="shared" si="28"/>
        <v>0</v>
      </c>
    </row>
    <row r="881" spans="1:8">
      <c r="A881" s="64"/>
      <c r="B881" s="233" t="s">
        <v>697</v>
      </c>
      <c r="C881" s="16" t="s">
        <v>698</v>
      </c>
      <c r="D881" s="16" t="s">
        <v>45</v>
      </c>
      <c r="E881" s="72">
        <v>0.92900000000000005</v>
      </c>
      <c r="F881" s="18">
        <f>E881*F878</f>
        <v>74.320000000000007</v>
      </c>
      <c r="G881" s="17"/>
      <c r="H881" s="19">
        <f t="shared" si="28"/>
        <v>0</v>
      </c>
    </row>
    <row r="882" spans="1:8">
      <c r="A882" s="147"/>
      <c r="B882" s="147" t="s">
        <v>699</v>
      </c>
      <c r="C882" s="147" t="s">
        <v>700</v>
      </c>
      <c r="D882" s="147" t="s">
        <v>209</v>
      </c>
      <c r="E882" s="147">
        <v>0.28000000000000003</v>
      </c>
      <c r="F882" s="147">
        <f>E882*F878</f>
        <v>22.400000000000002</v>
      </c>
      <c r="G882" s="234"/>
      <c r="H882" s="147">
        <f t="shared" si="28"/>
        <v>0</v>
      </c>
    </row>
    <row r="883" spans="1:8">
      <c r="A883" s="64"/>
      <c r="B883" s="235" t="s">
        <v>701</v>
      </c>
      <c r="C883" s="16" t="s">
        <v>702</v>
      </c>
      <c r="D883" s="16" t="s">
        <v>209</v>
      </c>
      <c r="E883" s="43">
        <v>0.08</v>
      </c>
      <c r="F883" s="18">
        <f>E883*F878</f>
        <v>6.4</v>
      </c>
      <c r="G883" s="234"/>
      <c r="H883" s="147">
        <f t="shared" si="28"/>
        <v>0</v>
      </c>
    </row>
    <row r="884" spans="1:8">
      <c r="A884" s="64"/>
      <c r="B884" s="235" t="s">
        <v>703</v>
      </c>
      <c r="C884" s="16" t="s">
        <v>704</v>
      </c>
      <c r="D884" s="16" t="s">
        <v>209</v>
      </c>
      <c r="E884" s="43">
        <v>0.04</v>
      </c>
      <c r="F884" s="18">
        <f>E884*F878</f>
        <v>3.2</v>
      </c>
      <c r="G884" s="234"/>
      <c r="H884" s="147">
        <f t="shared" si="28"/>
        <v>0</v>
      </c>
    </row>
    <row r="885" spans="1:8" ht="27">
      <c r="A885" s="64"/>
      <c r="B885" s="233" t="s">
        <v>705</v>
      </c>
      <c r="C885" s="16" t="s">
        <v>706</v>
      </c>
      <c r="D885" s="16" t="s">
        <v>209</v>
      </c>
      <c r="E885" s="43">
        <v>0.23</v>
      </c>
      <c r="F885" s="18">
        <f>E885*F878</f>
        <v>18.400000000000002</v>
      </c>
      <c r="G885" s="17"/>
      <c r="H885" s="147">
        <f t="shared" si="28"/>
        <v>0</v>
      </c>
    </row>
    <row r="886" spans="1:8">
      <c r="A886" s="64"/>
      <c r="B886" s="17" t="s">
        <v>17</v>
      </c>
      <c r="C886" s="16" t="s">
        <v>100</v>
      </c>
      <c r="D886" s="16" t="s">
        <v>3</v>
      </c>
      <c r="E886" s="134">
        <v>4.5699999999999998E-2</v>
      </c>
      <c r="F886" s="18">
        <f>F878*E886</f>
        <v>3.6559999999999997</v>
      </c>
      <c r="G886" s="17"/>
      <c r="H886" s="19">
        <f t="shared" si="28"/>
        <v>0</v>
      </c>
    </row>
    <row r="887" spans="1:8" ht="81">
      <c r="A887" s="62" t="s">
        <v>72</v>
      </c>
      <c r="B887" s="46" t="s">
        <v>695</v>
      </c>
      <c r="C887" s="10" t="s">
        <v>707</v>
      </c>
      <c r="D887" s="10" t="s">
        <v>45</v>
      </c>
      <c r="E887" s="10"/>
      <c r="F887" s="190">
        <v>12</v>
      </c>
      <c r="G887" s="10"/>
      <c r="H887" s="39">
        <f>SUM(H888:H895)</f>
        <v>0</v>
      </c>
    </row>
    <row r="888" spans="1:8">
      <c r="A888" s="64"/>
      <c r="B888" s="64" t="s">
        <v>17</v>
      </c>
      <c r="C888" s="16" t="s">
        <v>18</v>
      </c>
      <c r="D888" s="16" t="s">
        <v>19</v>
      </c>
      <c r="E888" s="70">
        <v>1.43</v>
      </c>
      <c r="F888" s="18">
        <f>F887*E888</f>
        <v>17.16</v>
      </c>
      <c r="G888" s="16"/>
      <c r="H888" s="19">
        <f t="shared" ref="H888:H895" si="29">F888*G888</f>
        <v>0</v>
      </c>
    </row>
    <row r="889" spans="1:8">
      <c r="A889" s="64"/>
      <c r="B889" s="64" t="s">
        <v>17</v>
      </c>
      <c r="C889" s="16" t="s">
        <v>20</v>
      </c>
      <c r="D889" s="16" t="s">
        <v>3</v>
      </c>
      <c r="E889" s="70">
        <v>2.5700000000000001E-2</v>
      </c>
      <c r="F889" s="18">
        <f>F887*E889</f>
        <v>0.30840000000000001</v>
      </c>
      <c r="G889" s="17"/>
      <c r="H889" s="19">
        <f t="shared" si="29"/>
        <v>0</v>
      </c>
    </row>
    <row r="890" spans="1:8" ht="27">
      <c r="A890" s="64"/>
      <c r="B890" s="233" t="s">
        <v>708</v>
      </c>
      <c r="C890" s="16" t="s">
        <v>709</v>
      </c>
      <c r="D890" s="16" t="s">
        <v>45</v>
      </c>
      <c r="E890" s="72">
        <v>0.92900000000000005</v>
      </c>
      <c r="F890" s="18">
        <f>E890*F887</f>
        <v>11.148</v>
      </c>
      <c r="G890" s="17"/>
      <c r="H890" s="19">
        <f t="shared" si="29"/>
        <v>0</v>
      </c>
    </row>
    <row r="891" spans="1:8">
      <c r="A891" s="147"/>
      <c r="B891" s="147" t="s">
        <v>699</v>
      </c>
      <c r="C891" s="147" t="s">
        <v>700</v>
      </c>
      <c r="D891" s="147" t="s">
        <v>209</v>
      </c>
      <c r="E891" s="147">
        <v>0.28000000000000003</v>
      </c>
      <c r="F891" s="147">
        <f>E891*F887</f>
        <v>3.3600000000000003</v>
      </c>
      <c r="G891" s="234"/>
      <c r="H891" s="147">
        <f t="shared" si="29"/>
        <v>0</v>
      </c>
    </row>
    <row r="892" spans="1:8">
      <c r="A892" s="64"/>
      <c r="B892" s="235" t="s">
        <v>701</v>
      </c>
      <c r="C892" s="16" t="s">
        <v>702</v>
      </c>
      <c r="D892" s="16" t="s">
        <v>209</v>
      </c>
      <c r="E892" s="43">
        <v>0.08</v>
      </c>
      <c r="F892" s="18">
        <f>E892*F887</f>
        <v>0.96</v>
      </c>
      <c r="G892" s="234"/>
      <c r="H892" s="147">
        <f t="shared" si="29"/>
        <v>0</v>
      </c>
    </row>
    <row r="893" spans="1:8">
      <c r="A893" s="64"/>
      <c r="B893" s="235" t="s">
        <v>703</v>
      </c>
      <c r="C893" s="16" t="s">
        <v>704</v>
      </c>
      <c r="D893" s="16" t="s">
        <v>209</v>
      </c>
      <c r="E893" s="43">
        <v>0.04</v>
      </c>
      <c r="F893" s="18">
        <f>E893*F887</f>
        <v>0.48</v>
      </c>
      <c r="G893" s="234"/>
      <c r="H893" s="147">
        <f t="shared" si="29"/>
        <v>0</v>
      </c>
    </row>
    <row r="894" spans="1:8" ht="27">
      <c r="A894" s="64"/>
      <c r="B894" s="233" t="s">
        <v>705</v>
      </c>
      <c r="C894" s="16" t="s">
        <v>706</v>
      </c>
      <c r="D894" s="16" t="s">
        <v>209</v>
      </c>
      <c r="E894" s="43">
        <v>0.23</v>
      </c>
      <c r="F894" s="18">
        <f>E894*F887</f>
        <v>2.7600000000000002</v>
      </c>
      <c r="G894" s="17"/>
      <c r="H894" s="147">
        <f t="shared" si="29"/>
        <v>0</v>
      </c>
    </row>
    <row r="895" spans="1:8">
      <c r="A895" s="64"/>
      <c r="B895" s="17" t="s">
        <v>17</v>
      </c>
      <c r="C895" s="16" t="s">
        <v>100</v>
      </c>
      <c r="D895" s="16" t="s">
        <v>3</v>
      </c>
      <c r="E895" s="134">
        <v>4.5699999999999998E-2</v>
      </c>
      <c r="F895" s="18">
        <f>F887*E895</f>
        <v>0.5484</v>
      </c>
      <c r="G895" s="17"/>
      <c r="H895" s="19">
        <f t="shared" si="29"/>
        <v>0</v>
      </c>
    </row>
    <row r="896" spans="1:8" ht="72">
      <c r="A896" s="62" t="s">
        <v>480</v>
      </c>
      <c r="B896" s="46" t="s">
        <v>710</v>
      </c>
      <c r="C896" s="10" t="s">
        <v>711</v>
      </c>
      <c r="D896" s="10" t="s">
        <v>45</v>
      </c>
      <c r="E896" s="10"/>
      <c r="F896" s="60">
        <v>64</v>
      </c>
      <c r="G896" s="10"/>
      <c r="H896" s="39">
        <f>SUM(H897:H904)</f>
        <v>0</v>
      </c>
    </row>
    <row r="897" spans="1:8">
      <c r="A897" s="64"/>
      <c r="B897" s="64" t="s">
        <v>17</v>
      </c>
      <c r="C897" s="16" t="s">
        <v>28</v>
      </c>
      <c r="D897" s="16" t="s">
        <v>19</v>
      </c>
      <c r="E897" s="70">
        <v>1.17</v>
      </c>
      <c r="F897" s="18">
        <f>F896*E897</f>
        <v>74.88</v>
      </c>
      <c r="G897" s="16"/>
      <c r="H897" s="19">
        <f t="shared" ref="H897:H904" si="30">F897*G897</f>
        <v>0</v>
      </c>
    </row>
    <row r="898" spans="1:8">
      <c r="A898" s="64"/>
      <c r="B898" s="64" t="s">
        <v>17</v>
      </c>
      <c r="C898" s="16" t="s">
        <v>20</v>
      </c>
      <c r="D898" s="16" t="s">
        <v>3</v>
      </c>
      <c r="E898" s="70">
        <v>1.72E-2</v>
      </c>
      <c r="F898" s="18">
        <f>F896*E898</f>
        <v>1.1008</v>
      </c>
      <c r="G898" s="17"/>
      <c r="H898" s="19">
        <f t="shared" si="30"/>
        <v>0</v>
      </c>
    </row>
    <row r="899" spans="1:8">
      <c r="A899" s="64"/>
      <c r="B899" s="233" t="s">
        <v>712</v>
      </c>
      <c r="C899" s="16" t="s">
        <v>713</v>
      </c>
      <c r="D899" s="16" t="s">
        <v>45</v>
      </c>
      <c r="E899" s="236">
        <v>0.93899999999999995</v>
      </c>
      <c r="F899" s="18">
        <f>E899*F896</f>
        <v>60.095999999999997</v>
      </c>
      <c r="G899" s="18"/>
      <c r="H899" s="19">
        <f t="shared" si="30"/>
        <v>0</v>
      </c>
    </row>
    <row r="900" spans="1:8">
      <c r="A900" s="234"/>
      <c r="B900" s="234" t="s">
        <v>714</v>
      </c>
      <c r="C900" s="147" t="s">
        <v>715</v>
      </c>
      <c r="D900" s="147" t="s">
        <v>209</v>
      </c>
      <c r="E900" s="234">
        <v>0.16</v>
      </c>
      <c r="F900" s="147">
        <f>E900*F896</f>
        <v>10.24</v>
      </c>
      <c r="G900" s="234"/>
      <c r="H900" s="147">
        <f t="shared" si="30"/>
        <v>0</v>
      </c>
    </row>
    <row r="901" spans="1:8">
      <c r="A901" s="64"/>
      <c r="B901" s="233" t="s">
        <v>716</v>
      </c>
      <c r="C901" s="16" t="s">
        <v>717</v>
      </c>
      <c r="D901" s="16" t="s">
        <v>209</v>
      </c>
      <c r="E901" s="234">
        <v>0.08</v>
      </c>
      <c r="F901" s="18">
        <f>E901*F896</f>
        <v>5.12</v>
      </c>
      <c r="G901" s="18"/>
      <c r="H901" s="147">
        <f t="shared" si="30"/>
        <v>0</v>
      </c>
    </row>
    <row r="902" spans="1:8">
      <c r="A902" s="64"/>
      <c r="B902" s="233" t="s">
        <v>718</v>
      </c>
      <c r="C902" s="16" t="s">
        <v>704</v>
      </c>
      <c r="D902" s="16" t="s">
        <v>209</v>
      </c>
      <c r="E902" s="234">
        <v>0.04</v>
      </c>
      <c r="F902" s="18">
        <f>E902*F896</f>
        <v>2.56</v>
      </c>
      <c r="G902" s="18"/>
      <c r="H902" s="147">
        <f t="shared" si="30"/>
        <v>0</v>
      </c>
    </row>
    <row r="903" spans="1:8" ht="27">
      <c r="A903" s="64"/>
      <c r="B903" s="233" t="s">
        <v>719</v>
      </c>
      <c r="C903" s="16" t="s">
        <v>720</v>
      </c>
      <c r="D903" s="16" t="s">
        <v>209</v>
      </c>
      <c r="E903" s="234">
        <v>0.17</v>
      </c>
      <c r="F903" s="18">
        <f>E903*F896</f>
        <v>10.88</v>
      </c>
      <c r="G903" s="18"/>
      <c r="H903" s="147">
        <f t="shared" si="30"/>
        <v>0</v>
      </c>
    </row>
    <row r="904" spans="1:8">
      <c r="A904" s="64"/>
      <c r="B904" s="17" t="s">
        <v>17</v>
      </c>
      <c r="C904" s="16" t="s">
        <v>100</v>
      </c>
      <c r="D904" s="16" t="s">
        <v>3</v>
      </c>
      <c r="E904" s="134">
        <v>3.9300000000000002E-2</v>
      </c>
      <c r="F904" s="18">
        <f>F896*E904</f>
        <v>2.5152000000000001</v>
      </c>
      <c r="G904" s="17"/>
      <c r="H904" s="19">
        <f t="shared" si="30"/>
        <v>0</v>
      </c>
    </row>
    <row r="905" spans="1:8" ht="81">
      <c r="A905" s="62" t="s">
        <v>327</v>
      </c>
      <c r="B905" s="46" t="s">
        <v>710</v>
      </c>
      <c r="C905" s="10" t="s">
        <v>721</v>
      </c>
      <c r="D905" s="10" t="s">
        <v>45</v>
      </c>
      <c r="E905" s="10"/>
      <c r="F905" s="60">
        <v>14</v>
      </c>
      <c r="G905" s="10"/>
      <c r="H905" s="39">
        <f>SUM(H906:H913)</f>
        <v>0</v>
      </c>
    </row>
    <row r="906" spans="1:8">
      <c r="A906" s="64"/>
      <c r="B906" s="64" t="s">
        <v>17</v>
      </c>
      <c r="C906" s="16" t="s">
        <v>28</v>
      </c>
      <c r="D906" s="16" t="s">
        <v>19</v>
      </c>
      <c r="E906" s="70">
        <v>1.17</v>
      </c>
      <c r="F906" s="18">
        <f>F905*E906</f>
        <v>16.38</v>
      </c>
      <c r="G906" s="16"/>
      <c r="H906" s="19">
        <f t="shared" ref="H906:H913" si="31">F906*G906</f>
        <v>0</v>
      </c>
    </row>
    <row r="907" spans="1:8">
      <c r="A907" s="64"/>
      <c r="B907" s="64" t="s">
        <v>17</v>
      </c>
      <c r="C907" s="16" t="s">
        <v>20</v>
      </c>
      <c r="D907" s="16" t="s">
        <v>3</v>
      </c>
      <c r="E907" s="70">
        <v>1.72E-2</v>
      </c>
      <c r="F907" s="18">
        <f>F905*E907</f>
        <v>0.24080000000000001</v>
      </c>
      <c r="G907" s="17"/>
      <c r="H907" s="19">
        <f t="shared" si="31"/>
        <v>0</v>
      </c>
    </row>
    <row r="908" spans="1:8" ht="27">
      <c r="A908" s="64"/>
      <c r="B908" s="233" t="s">
        <v>722</v>
      </c>
      <c r="C908" s="16" t="s">
        <v>723</v>
      </c>
      <c r="D908" s="16" t="s">
        <v>45</v>
      </c>
      <c r="E908" s="236">
        <v>0.93899999999999995</v>
      </c>
      <c r="F908" s="18">
        <f>E908*F905</f>
        <v>13.145999999999999</v>
      </c>
      <c r="G908" s="18"/>
      <c r="H908" s="19">
        <f t="shared" si="31"/>
        <v>0</v>
      </c>
    </row>
    <row r="909" spans="1:8">
      <c r="A909" s="234"/>
      <c r="B909" s="234" t="s">
        <v>714</v>
      </c>
      <c r="C909" s="147" t="s">
        <v>715</v>
      </c>
      <c r="D909" s="147" t="s">
        <v>209</v>
      </c>
      <c r="E909" s="234">
        <v>0.16</v>
      </c>
      <c r="F909" s="147">
        <f>E909*F905</f>
        <v>2.2400000000000002</v>
      </c>
      <c r="G909" s="234"/>
      <c r="H909" s="147">
        <f t="shared" si="31"/>
        <v>0</v>
      </c>
    </row>
    <row r="910" spans="1:8">
      <c r="A910" s="64"/>
      <c r="B910" s="233" t="s">
        <v>716</v>
      </c>
      <c r="C910" s="16" t="s">
        <v>717</v>
      </c>
      <c r="D910" s="16" t="s">
        <v>209</v>
      </c>
      <c r="E910" s="234">
        <v>0.08</v>
      </c>
      <c r="F910" s="18">
        <f>E910*F905</f>
        <v>1.1200000000000001</v>
      </c>
      <c r="G910" s="18"/>
      <c r="H910" s="147">
        <f t="shared" si="31"/>
        <v>0</v>
      </c>
    </row>
    <row r="911" spans="1:8">
      <c r="A911" s="64"/>
      <c r="B911" s="233" t="s">
        <v>718</v>
      </c>
      <c r="C911" s="16" t="s">
        <v>704</v>
      </c>
      <c r="D911" s="16" t="s">
        <v>209</v>
      </c>
      <c r="E911" s="234">
        <v>0.04</v>
      </c>
      <c r="F911" s="18">
        <f>E911*F905</f>
        <v>0.56000000000000005</v>
      </c>
      <c r="G911" s="18"/>
      <c r="H911" s="147">
        <f t="shared" si="31"/>
        <v>0</v>
      </c>
    </row>
    <row r="912" spans="1:8" ht="27">
      <c r="A912" s="64"/>
      <c r="B912" s="233" t="s">
        <v>719</v>
      </c>
      <c r="C912" s="16" t="s">
        <v>720</v>
      </c>
      <c r="D912" s="16" t="s">
        <v>209</v>
      </c>
      <c r="E912" s="234">
        <v>0.17</v>
      </c>
      <c r="F912" s="18">
        <f>E912*F905</f>
        <v>2.3800000000000003</v>
      </c>
      <c r="G912" s="18"/>
      <c r="H912" s="147">
        <f t="shared" si="31"/>
        <v>0</v>
      </c>
    </row>
    <row r="913" spans="1:8">
      <c r="A913" s="64"/>
      <c r="B913" s="17" t="s">
        <v>17</v>
      </c>
      <c r="C913" s="16" t="s">
        <v>100</v>
      </c>
      <c r="D913" s="16" t="s">
        <v>3</v>
      </c>
      <c r="E913" s="134">
        <v>3.9300000000000002E-2</v>
      </c>
      <c r="F913" s="18">
        <f>F905*E913</f>
        <v>0.55020000000000002</v>
      </c>
      <c r="G913" s="17"/>
      <c r="H913" s="19">
        <f t="shared" si="31"/>
        <v>0</v>
      </c>
    </row>
    <row r="914" spans="1:8" ht="72">
      <c r="A914" s="62" t="s">
        <v>82</v>
      </c>
      <c r="B914" s="46" t="s">
        <v>724</v>
      </c>
      <c r="C914" s="10" t="s">
        <v>725</v>
      </c>
      <c r="D914" s="10" t="s">
        <v>45</v>
      </c>
      <c r="E914" s="10"/>
      <c r="F914" s="60">
        <v>16</v>
      </c>
      <c r="G914" s="10"/>
      <c r="H914" s="39">
        <f>SUM(H915:H922)</f>
        <v>0</v>
      </c>
    </row>
    <row r="915" spans="1:8">
      <c r="A915" s="64"/>
      <c r="B915" s="64" t="s">
        <v>17</v>
      </c>
      <c r="C915" s="16" t="s">
        <v>28</v>
      </c>
      <c r="D915" s="16" t="s">
        <v>19</v>
      </c>
      <c r="E915" s="70">
        <v>1.56</v>
      </c>
      <c r="F915" s="18">
        <f>F914*E915</f>
        <v>24.96</v>
      </c>
      <c r="G915" s="16"/>
      <c r="H915" s="19">
        <f t="shared" ref="H915:H922" si="32">F915*G915</f>
        <v>0</v>
      </c>
    </row>
    <row r="916" spans="1:8">
      <c r="A916" s="64"/>
      <c r="B916" s="64" t="s">
        <v>17</v>
      </c>
      <c r="C916" s="16" t="s">
        <v>20</v>
      </c>
      <c r="D916" s="16" t="s">
        <v>3</v>
      </c>
      <c r="E916" s="70">
        <v>2.1700000000000001E-2</v>
      </c>
      <c r="F916" s="18">
        <f>F914*E916</f>
        <v>0.34720000000000001</v>
      </c>
      <c r="G916" s="17"/>
      <c r="H916" s="19">
        <f t="shared" si="32"/>
        <v>0</v>
      </c>
    </row>
    <row r="917" spans="1:8">
      <c r="A917" s="64"/>
      <c r="B917" s="233" t="s">
        <v>726</v>
      </c>
      <c r="C917" s="16" t="s">
        <v>727</v>
      </c>
      <c r="D917" s="16" t="s">
        <v>45</v>
      </c>
      <c r="E917" s="236">
        <v>0.93700000000000006</v>
      </c>
      <c r="F917" s="18">
        <f>E917*F914</f>
        <v>14.992000000000001</v>
      </c>
      <c r="G917" s="18"/>
      <c r="H917" s="19">
        <f t="shared" si="32"/>
        <v>0</v>
      </c>
    </row>
    <row r="918" spans="1:8">
      <c r="A918" s="234"/>
      <c r="B918" s="234" t="s">
        <v>728</v>
      </c>
      <c r="C918" s="147" t="s">
        <v>729</v>
      </c>
      <c r="D918" s="147" t="s">
        <v>209</v>
      </c>
      <c r="E918" s="234">
        <v>0.16</v>
      </c>
      <c r="F918" s="147">
        <f>E918*F914</f>
        <v>2.56</v>
      </c>
      <c r="G918" s="234"/>
      <c r="H918" s="147">
        <f t="shared" si="32"/>
        <v>0</v>
      </c>
    </row>
    <row r="919" spans="1:8">
      <c r="A919" s="64"/>
      <c r="B919" s="233" t="s">
        <v>730</v>
      </c>
      <c r="C919" s="16" t="s">
        <v>731</v>
      </c>
      <c r="D919" s="16" t="s">
        <v>209</v>
      </c>
      <c r="E919" s="234">
        <v>7.0000000000000007E-2</v>
      </c>
      <c r="F919" s="18">
        <f>E919*F914</f>
        <v>1.1200000000000001</v>
      </c>
      <c r="G919" s="19"/>
      <c r="H919" s="147">
        <f t="shared" si="32"/>
        <v>0</v>
      </c>
    </row>
    <row r="920" spans="1:8">
      <c r="A920" s="64"/>
      <c r="B920" s="233" t="s">
        <v>718</v>
      </c>
      <c r="C920" s="16" t="s">
        <v>704</v>
      </c>
      <c r="D920" s="16" t="s">
        <v>209</v>
      </c>
      <c r="E920" s="234">
        <v>0.04</v>
      </c>
      <c r="F920" s="18">
        <f>E920*F914</f>
        <v>0.64</v>
      </c>
      <c r="G920" s="19"/>
      <c r="H920" s="147">
        <f t="shared" si="32"/>
        <v>0</v>
      </c>
    </row>
    <row r="921" spans="1:8" ht="27">
      <c r="A921" s="64"/>
      <c r="B921" s="233" t="s">
        <v>732</v>
      </c>
      <c r="C921" s="16" t="s">
        <v>733</v>
      </c>
      <c r="D921" s="16" t="s">
        <v>209</v>
      </c>
      <c r="E921" s="234">
        <v>0.14000000000000001</v>
      </c>
      <c r="F921" s="18">
        <f>E921*F914</f>
        <v>2.2400000000000002</v>
      </c>
      <c r="G921" s="19"/>
      <c r="H921" s="147">
        <f t="shared" si="32"/>
        <v>0</v>
      </c>
    </row>
    <row r="922" spans="1:8">
      <c r="A922" s="64"/>
      <c r="B922" s="17" t="s">
        <v>17</v>
      </c>
      <c r="C922" s="16" t="s">
        <v>100</v>
      </c>
      <c r="D922" s="16" t="s">
        <v>3</v>
      </c>
      <c r="E922" s="134">
        <v>7.0800000000000002E-2</v>
      </c>
      <c r="F922" s="18">
        <f>F914*E922</f>
        <v>1.1328</v>
      </c>
      <c r="G922" s="17"/>
      <c r="H922" s="19">
        <f t="shared" si="32"/>
        <v>0</v>
      </c>
    </row>
    <row r="923" spans="1:8" ht="48">
      <c r="A923" s="62" t="s">
        <v>88</v>
      </c>
      <c r="B923" s="9" t="s">
        <v>734</v>
      </c>
      <c r="C923" s="20" t="s">
        <v>735</v>
      </c>
      <c r="D923" s="26" t="s">
        <v>209</v>
      </c>
      <c r="E923" s="20"/>
      <c r="F923" s="60">
        <v>3</v>
      </c>
      <c r="G923" s="20"/>
      <c r="H923" s="39">
        <f>SUM(H924:H927)</f>
        <v>0</v>
      </c>
    </row>
    <row r="924" spans="1:8">
      <c r="A924" s="64"/>
      <c r="B924" s="61" t="s">
        <v>17</v>
      </c>
      <c r="C924" s="28" t="s">
        <v>28</v>
      </c>
      <c r="D924" s="28" t="s">
        <v>19</v>
      </c>
      <c r="E924" s="28">
        <v>1.51</v>
      </c>
      <c r="F924" s="19">
        <f>F923*E924</f>
        <v>4.53</v>
      </c>
      <c r="G924" s="28"/>
      <c r="H924" s="19">
        <f>F924*G924</f>
        <v>0</v>
      </c>
    </row>
    <row r="925" spans="1:8">
      <c r="A925" s="64"/>
      <c r="B925" s="61" t="s">
        <v>17</v>
      </c>
      <c r="C925" s="28" t="s">
        <v>20</v>
      </c>
      <c r="D925" s="28" t="s">
        <v>3</v>
      </c>
      <c r="E925" s="135">
        <v>0.13</v>
      </c>
      <c r="F925" s="19">
        <f>F923*E925</f>
        <v>0.39</v>
      </c>
      <c r="G925" s="29"/>
      <c r="H925" s="19">
        <f>F925*G925</f>
        <v>0</v>
      </c>
    </row>
    <row r="926" spans="1:8">
      <c r="A926" s="64"/>
      <c r="B926" s="61" t="s">
        <v>736</v>
      </c>
      <c r="C926" s="28" t="s">
        <v>737</v>
      </c>
      <c r="D926" s="28" t="s">
        <v>209</v>
      </c>
      <c r="E926" s="237">
        <v>1</v>
      </c>
      <c r="F926" s="19">
        <f>E926*F923</f>
        <v>3</v>
      </c>
      <c r="G926" s="29"/>
      <c r="H926" s="19">
        <f>F926*G926</f>
        <v>0</v>
      </c>
    </row>
    <row r="927" spans="1:8">
      <c r="A927" s="64"/>
      <c r="B927" s="29" t="s">
        <v>17</v>
      </c>
      <c r="C927" s="28" t="s">
        <v>100</v>
      </c>
      <c r="D927" s="28" t="s">
        <v>3</v>
      </c>
      <c r="E927" s="29">
        <v>7.0000000000000007E-2</v>
      </c>
      <c r="F927" s="19">
        <f>F923*E927</f>
        <v>0.21000000000000002</v>
      </c>
      <c r="G927" s="29"/>
      <c r="H927" s="19">
        <f>F927*G927</f>
        <v>0</v>
      </c>
    </row>
    <row r="928" spans="1:8" ht="48">
      <c r="A928" s="68" t="s">
        <v>95</v>
      </c>
      <c r="B928" s="9" t="s">
        <v>734</v>
      </c>
      <c r="C928" s="20" t="s">
        <v>738</v>
      </c>
      <c r="D928" s="26" t="s">
        <v>209</v>
      </c>
      <c r="E928" s="20"/>
      <c r="F928" s="60">
        <v>6</v>
      </c>
      <c r="G928" s="20"/>
      <c r="H928" s="39">
        <f>SUM(H929:H932)</f>
        <v>0</v>
      </c>
    </row>
    <row r="929" spans="1:8">
      <c r="A929" s="61"/>
      <c r="B929" s="61" t="s">
        <v>17</v>
      </c>
      <c r="C929" s="28" t="s">
        <v>28</v>
      </c>
      <c r="D929" s="28" t="s">
        <v>19</v>
      </c>
      <c r="E929" s="28">
        <v>1.51</v>
      </c>
      <c r="F929" s="19">
        <f>F928*E929</f>
        <v>9.06</v>
      </c>
      <c r="G929" s="28"/>
      <c r="H929" s="19">
        <f>F929*G929</f>
        <v>0</v>
      </c>
    </row>
    <row r="930" spans="1:8">
      <c r="A930" s="61"/>
      <c r="B930" s="61" t="s">
        <v>17</v>
      </c>
      <c r="C930" s="28" t="s">
        <v>20</v>
      </c>
      <c r="D930" s="28" t="s">
        <v>3</v>
      </c>
      <c r="E930" s="135">
        <v>0.13</v>
      </c>
      <c r="F930" s="19">
        <f>F928*E930</f>
        <v>0.78</v>
      </c>
      <c r="G930" s="29"/>
      <c r="H930" s="19">
        <f>F930*G930</f>
        <v>0</v>
      </c>
    </row>
    <row r="931" spans="1:8">
      <c r="A931" s="61"/>
      <c r="B931" s="61" t="s">
        <v>739</v>
      </c>
      <c r="C931" s="28" t="s">
        <v>740</v>
      </c>
      <c r="D931" s="28" t="s">
        <v>209</v>
      </c>
      <c r="E931" s="237">
        <v>1</v>
      </c>
      <c r="F931" s="19">
        <f>E931*F928</f>
        <v>6</v>
      </c>
      <c r="G931" s="29"/>
      <c r="H931" s="19">
        <f>F931*G931</f>
        <v>0</v>
      </c>
    </row>
    <row r="932" spans="1:8">
      <c r="A932" s="61"/>
      <c r="B932" s="29" t="s">
        <v>17</v>
      </c>
      <c r="C932" s="28" t="s">
        <v>100</v>
      </c>
      <c r="D932" s="28" t="s">
        <v>3</v>
      </c>
      <c r="E932" s="29">
        <v>7.0000000000000007E-2</v>
      </c>
      <c r="F932" s="19">
        <f>F928*E932</f>
        <v>0.42000000000000004</v>
      </c>
      <c r="G932" s="29"/>
      <c r="H932" s="19">
        <f>F932*G932</f>
        <v>0</v>
      </c>
    </row>
    <row r="933" spans="1:8" ht="48">
      <c r="A933" s="68" t="s">
        <v>101</v>
      </c>
      <c r="B933" s="9" t="s">
        <v>734</v>
      </c>
      <c r="C933" s="20" t="s">
        <v>741</v>
      </c>
      <c r="D933" s="26" t="s">
        <v>209</v>
      </c>
      <c r="E933" s="20"/>
      <c r="F933" s="60">
        <v>2</v>
      </c>
      <c r="G933" s="20"/>
      <c r="H933" s="39">
        <f>SUM(H934:H937)</f>
        <v>0</v>
      </c>
    </row>
    <row r="934" spans="1:8">
      <c r="A934" s="61"/>
      <c r="B934" s="61" t="s">
        <v>17</v>
      </c>
      <c r="C934" s="28" t="s">
        <v>28</v>
      </c>
      <c r="D934" s="28" t="s">
        <v>19</v>
      </c>
      <c r="E934" s="28">
        <v>1.51</v>
      </c>
      <c r="F934" s="19">
        <f>F933*E934</f>
        <v>3.02</v>
      </c>
      <c r="G934" s="28"/>
      <c r="H934" s="19">
        <f>F934*G934</f>
        <v>0</v>
      </c>
    </row>
    <row r="935" spans="1:8">
      <c r="A935" s="61"/>
      <c r="B935" s="61" t="s">
        <v>17</v>
      </c>
      <c r="C935" s="28" t="s">
        <v>20</v>
      </c>
      <c r="D935" s="28" t="s">
        <v>3</v>
      </c>
      <c r="E935" s="135">
        <v>0.13</v>
      </c>
      <c r="F935" s="19">
        <f>F933*E935</f>
        <v>0.26</v>
      </c>
      <c r="G935" s="29"/>
      <c r="H935" s="19">
        <f>F935*G935</f>
        <v>0</v>
      </c>
    </row>
    <row r="936" spans="1:8">
      <c r="A936" s="61"/>
      <c r="B936" s="61" t="s">
        <v>742</v>
      </c>
      <c r="C936" s="28" t="s">
        <v>743</v>
      </c>
      <c r="D936" s="28" t="s">
        <v>209</v>
      </c>
      <c r="E936" s="237">
        <v>1</v>
      </c>
      <c r="F936" s="19">
        <f>E936*F933</f>
        <v>2</v>
      </c>
      <c r="G936" s="29"/>
      <c r="H936" s="19">
        <f>F936*G936</f>
        <v>0</v>
      </c>
    </row>
    <row r="937" spans="1:8">
      <c r="A937" s="61"/>
      <c r="B937" s="29" t="s">
        <v>17</v>
      </c>
      <c r="C937" s="28" t="s">
        <v>100</v>
      </c>
      <c r="D937" s="28" t="s">
        <v>3</v>
      </c>
      <c r="E937" s="29">
        <v>7.0000000000000007E-2</v>
      </c>
      <c r="F937" s="19">
        <f>F933*E937</f>
        <v>0.14000000000000001</v>
      </c>
      <c r="G937" s="29"/>
      <c r="H937" s="19">
        <f>F937*G937</f>
        <v>0</v>
      </c>
    </row>
    <row r="938" spans="1:8" ht="48">
      <c r="A938" s="68" t="s">
        <v>42</v>
      </c>
      <c r="B938" s="9" t="s">
        <v>744</v>
      </c>
      <c r="C938" s="20" t="s">
        <v>745</v>
      </c>
      <c r="D938" s="26" t="s">
        <v>209</v>
      </c>
      <c r="E938" s="20"/>
      <c r="F938" s="60">
        <v>39</v>
      </c>
      <c r="G938" s="20"/>
      <c r="H938" s="39">
        <f>SUM(H939:H942)</f>
        <v>0</v>
      </c>
    </row>
    <row r="939" spans="1:8">
      <c r="A939" s="64"/>
      <c r="B939" s="16" t="s">
        <v>17</v>
      </c>
      <c r="C939" s="16" t="s">
        <v>28</v>
      </c>
      <c r="D939" s="16" t="s">
        <v>19</v>
      </c>
      <c r="E939" s="70">
        <v>0.82</v>
      </c>
      <c r="F939" s="18">
        <f>F938*E939</f>
        <v>31.979999999999997</v>
      </c>
      <c r="G939" s="16"/>
      <c r="H939" s="19">
        <f>F939*G939</f>
        <v>0</v>
      </c>
    </row>
    <row r="940" spans="1:8">
      <c r="A940" s="64"/>
      <c r="B940" s="16" t="s">
        <v>17</v>
      </c>
      <c r="C940" s="16" t="s">
        <v>20</v>
      </c>
      <c r="D940" s="16" t="s">
        <v>3</v>
      </c>
      <c r="E940" s="70">
        <v>0.01</v>
      </c>
      <c r="F940" s="18">
        <f>F938*E940</f>
        <v>0.39</v>
      </c>
      <c r="G940" s="17"/>
      <c r="H940" s="18">
        <f>F940*G940</f>
        <v>0</v>
      </c>
    </row>
    <row r="941" spans="1:8">
      <c r="A941" s="61"/>
      <c r="B941" s="233" t="s">
        <v>746</v>
      </c>
      <c r="C941" s="28" t="s">
        <v>747</v>
      </c>
      <c r="D941" s="28" t="s">
        <v>209</v>
      </c>
      <c r="E941" s="44">
        <v>1</v>
      </c>
      <c r="F941" s="19">
        <f>E941*F938</f>
        <v>39</v>
      </c>
      <c r="G941" s="29"/>
      <c r="H941" s="19">
        <f>F941*G941</f>
        <v>0</v>
      </c>
    </row>
    <row r="942" spans="1:8">
      <c r="A942" s="64"/>
      <c r="B942" s="16" t="s">
        <v>17</v>
      </c>
      <c r="C942" s="16" t="s">
        <v>100</v>
      </c>
      <c r="D942" s="16" t="s">
        <v>3</v>
      </c>
      <c r="E942" s="134">
        <v>7.0000000000000007E-2</v>
      </c>
      <c r="F942" s="18">
        <f>F938*E942</f>
        <v>2.7300000000000004</v>
      </c>
      <c r="G942" s="17"/>
      <c r="H942" s="18">
        <f>F942*G942</f>
        <v>0</v>
      </c>
    </row>
    <row r="943" spans="1:8" ht="48">
      <c r="A943" s="68" t="s">
        <v>124</v>
      </c>
      <c r="B943" s="9" t="s">
        <v>744</v>
      </c>
      <c r="C943" s="20" t="s">
        <v>748</v>
      </c>
      <c r="D943" s="26" t="s">
        <v>209</v>
      </c>
      <c r="E943" s="20"/>
      <c r="F943" s="60">
        <v>20</v>
      </c>
      <c r="G943" s="20"/>
      <c r="H943" s="39">
        <f>SUM(H944:H947)</f>
        <v>0</v>
      </c>
    </row>
    <row r="944" spans="1:8">
      <c r="A944" s="64"/>
      <c r="B944" s="16" t="s">
        <v>17</v>
      </c>
      <c r="C944" s="16" t="s">
        <v>28</v>
      </c>
      <c r="D944" s="16" t="s">
        <v>19</v>
      </c>
      <c r="E944" s="70">
        <v>0.82</v>
      </c>
      <c r="F944" s="18">
        <f>F943*E944</f>
        <v>16.399999999999999</v>
      </c>
      <c r="G944" s="16"/>
      <c r="H944" s="19">
        <f>F944*G944</f>
        <v>0</v>
      </c>
    </row>
    <row r="945" spans="1:8">
      <c r="A945" s="64"/>
      <c r="B945" s="16" t="s">
        <v>17</v>
      </c>
      <c r="C945" s="16" t="s">
        <v>20</v>
      </c>
      <c r="D945" s="16" t="s">
        <v>3</v>
      </c>
      <c r="E945" s="70">
        <v>0.01</v>
      </c>
      <c r="F945" s="18">
        <f>F943*E945</f>
        <v>0.2</v>
      </c>
      <c r="G945" s="17"/>
      <c r="H945" s="18">
        <f>F945*G945</f>
        <v>0</v>
      </c>
    </row>
    <row r="946" spans="1:8">
      <c r="A946" s="61"/>
      <c r="B946" s="28" t="s">
        <v>52</v>
      </c>
      <c r="C946" s="28" t="s">
        <v>749</v>
      </c>
      <c r="D946" s="28" t="s">
        <v>209</v>
      </c>
      <c r="E946" s="44">
        <v>1</v>
      </c>
      <c r="F946" s="19">
        <f>E946*F943</f>
        <v>20</v>
      </c>
      <c r="G946" s="29"/>
      <c r="H946" s="19">
        <f>F946*G946</f>
        <v>0</v>
      </c>
    </row>
    <row r="947" spans="1:8">
      <c r="A947" s="64"/>
      <c r="B947" s="16" t="s">
        <v>17</v>
      </c>
      <c r="C947" s="16" t="s">
        <v>100</v>
      </c>
      <c r="D947" s="16" t="s">
        <v>3</v>
      </c>
      <c r="E947" s="134">
        <v>7.0000000000000007E-2</v>
      </c>
      <c r="F947" s="18">
        <f>F943*E947</f>
        <v>1.4000000000000001</v>
      </c>
      <c r="G947" s="17"/>
      <c r="H947" s="18">
        <f>F947*G947</f>
        <v>0</v>
      </c>
    </row>
    <row r="948" spans="1:8" ht="54">
      <c r="A948" s="68" t="s">
        <v>127</v>
      </c>
      <c r="B948" s="20" t="s">
        <v>750</v>
      </c>
      <c r="C948" s="20" t="s">
        <v>751</v>
      </c>
      <c r="D948" s="20" t="s">
        <v>209</v>
      </c>
      <c r="E948" s="26"/>
      <c r="F948" s="21">
        <v>4</v>
      </c>
      <c r="G948" s="26"/>
      <c r="H948" s="39">
        <f>H949+H950+H951+H952</f>
        <v>0</v>
      </c>
    </row>
    <row r="949" spans="1:8">
      <c r="A949" s="68"/>
      <c r="B949" s="61" t="s">
        <v>17</v>
      </c>
      <c r="C949" s="28" t="s">
        <v>752</v>
      </c>
      <c r="D949" s="29" t="s">
        <v>753</v>
      </c>
      <c r="E949" s="28">
        <v>2.58</v>
      </c>
      <c r="F949" s="238">
        <f>F948*E949</f>
        <v>10.32</v>
      </c>
      <c r="G949" s="28"/>
      <c r="H949" s="44">
        <f>F949*G949</f>
        <v>0</v>
      </c>
    </row>
    <row r="950" spans="1:8">
      <c r="A950" s="61"/>
      <c r="B950" s="61" t="s">
        <v>17</v>
      </c>
      <c r="C950" s="28" t="s">
        <v>244</v>
      </c>
      <c r="D950" s="28" t="s">
        <v>3</v>
      </c>
      <c r="E950" s="28">
        <v>0.17</v>
      </c>
      <c r="F950" s="19">
        <v>7.5</v>
      </c>
      <c r="G950" s="28"/>
      <c r="H950" s="44">
        <f>F950*G950</f>
        <v>0</v>
      </c>
    </row>
    <row r="951" spans="1:8">
      <c r="A951" s="61"/>
      <c r="B951" s="28" t="s">
        <v>754</v>
      </c>
      <c r="C951" s="28" t="s">
        <v>755</v>
      </c>
      <c r="D951" s="28" t="s">
        <v>756</v>
      </c>
      <c r="E951" s="29">
        <v>1</v>
      </c>
      <c r="F951" s="19">
        <f>E951*F948</f>
        <v>4</v>
      </c>
      <c r="G951" s="29"/>
      <c r="H951" s="44">
        <f>F951*G951</f>
        <v>0</v>
      </c>
    </row>
    <row r="952" spans="1:8">
      <c r="A952" s="68"/>
      <c r="B952" s="61" t="s">
        <v>17</v>
      </c>
      <c r="C952" s="28" t="s">
        <v>385</v>
      </c>
      <c r="D952" s="28" t="s">
        <v>3</v>
      </c>
      <c r="E952" s="28">
        <v>0.23</v>
      </c>
      <c r="F952" s="237">
        <v>10.1</v>
      </c>
      <c r="G952" s="28"/>
      <c r="H952" s="44">
        <f>F952*G952</f>
        <v>0</v>
      </c>
    </row>
    <row r="953" spans="1:8">
      <c r="A953" s="61"/>
      <c r="B953" s="61"/>
      <c r="C953" s="239" t="s">
        <v>757</v>
      </c>
      <c r="D953" s="20" t="s">
        <v>3</v>
      </c>
      <c r="E953" s="20"/>
      <c r="F953" s="467"/>
      <c r="G953" s="467"/>
      <c r="H953" s="468">
        <f>H948+H943+H938+H933+H928+H923+H914+H905+H896+H887+H878</f>
        <v>0</v>
      </c>
    </row>
    <row r="954" spans="1:8">
      <c r="A954" s="243"/>
      <c r="B954" s="244"/>
      <c r="C954" s="245" t="s">
        <v>758</v>
      </c>
      <c r="D954" s="246"/>
      <c r="E954" s="246"/>
      <c r="F954" s="246"/>
      <c r="G954" s="246"/>
      <c r="H954" s="247"/>
    </row>
    <row r="955" spans="1:8" ht="54">
      <c r="A955" s="62" t="s">
        <v>13</v>
      </c>
      <c r="B955" s="46" t="s">
        <v>759</v>
      </c>
      <c r="C955" s="10" t="s">
        <v>760</v>
      </c>
      <c r="D955" s="10" t="s">
        <v>45</v>
      </c>
      <c r="E955" s="10"/>
      <c r="F955" s="60">
        <v>40</v>
      </c>
      <c r="G955" s="10"/>
      <c r="H955" s="39">
        <f>SUM(H956:H960)</f>
        <v>0</v>
      </c>
    </row>
    <row r="956" spans="1:8">
      <c r="A956" s="64"/>
      <c r="B956" s="64" t="s">
        <v>17</v>
      </c>
      <c r="C956" s="16" t="s">
        <v>28</v>
      </c>
      <c r="D956" s="16" t="s">
        <v>19</v>
      </c>
      <c r="E956" s="70">
        <v>0.60899999999999999</v>
      </c>
      <c r="F956" s="18">
        <f>F955*E956</f>
        <v>24.36</v>
      </c>
      <c r="G956" s="16"/>
      <c r="H956" s="19">
        <f>F956*G956</f>
        <v>0</v>
      </c>
    </row>
    <row r="957" spans="1:8">
      <c r="A957" s="64"/>
      <c r="B957" s="64" t="s">
        <v>17</v>
      </c>
      <c r="C957" s="16" t="s">
        <v>20</v>
      </c>
      <c r="D957" s="16" t="s">
        <v>3</v>
      </c>
      <c r="E957" s="70">
        <v>2.0999999999999999E-3</v>
      </c>
      <c r="F957" s="33">
        <f>F955*E957</f>
        <v>8.3999999999999991E-2</v>
      </c>
      <c r="G957" s="17"/>
      <c r="H957" s="19">
        <f>F957*G957</f>
        <v>0</v>
      </c>
    </row>
    <row r="958" spans="1:8" ht="27">
      <c r="A958" s="64"/>
      <c r="B958" s="64" t="s">
        <v>761</v>
      </c>
      <c r="C958" s="16" t="s">
        <v>762</v>
      </c>
      <c r="D958" s="16" t="s">
        <v>45</v>
      </c>
      <c r="E958" s="43">
        <v>1</v>
      </c>
      <c r="F958" s="18">
        <f>E958*F955</f>
        <v>40</v>
      </c>
      <c r="G958" s="17"/>
      <c r="H958" s="19">
        <f>F958*G958</f>
        <v>0</v>
      </c>
    </row>
    <row r="959" spans="1:8">
      <c r="A959" s="234"/>
      <c r="B959" s="233" t="s">
        <v>264</v>
      </c>
      <c r="C959" s="234" t="s">
        <v>763</v>
      </c>
      <c r="D959" s="234" t="s">
        <v>123</v>
      </c>
      <c r="E959" s="234">
        <v>0.14000000000000001</v>
      </c>
      <c r="F959" s="234">
        <f>E959*F955</f>
        <v>5.6000000000000005</v>
      </c>
      <c r="G959" s="234"/>
      <c r="H959" s="234">
        <f>F959*G959</f>
        <v>0</v>
      </c>
    </row>
    <row r="960" spans="1:8">
      <c r="A960" s="64"/>
      <c r="B960" s="17" t="s">
        <v>17</v>
      </c>
      <c r="C960" s="16" t="s">
        <v>100</v>
      </c>
      <c r="D960" s="16" t="s">
        <v>3</v>
      </c>
      <c r="E960" s="17">
        <v>0.156</v>
      </c>
      <c r="F960" s="18">
        <f>F955*E960</f>
        <v>6.24</v>
      </c>
      <c r="G960" s="17"/>
      <c r="H960" s="18">
        <f>F960*G960</f>
        <v>0</v>
      </c>
    </row>
    <row r="961" spans="1:8" ht="54">
      <c r="A961" s="62" t="s">
        <v>72</v>
      </c>
      <c r="B961" s="46" t="s">
        <v>260</v>
      </c>
      <c r="C961" s="10" t="s">
        <v>764</v>
      </c>
      <c r="D961" s="10" t="s">
        <v>45</v>
      </c>
      <c r="E961" s="10"/>
      <c r="F961" s="190">
        <v>96</v>
      </c>
      <c r="G961" s="10"/>
      <c r="H961" s="39">
        <f>SUM(H962:H966)</f>
        <v>0</v>
      </c>
    </row>
    <row r="962" spans="1:8">
      <c r="A962" s="64"/>
      <c r="B962" s="64" t="s">
        <v>17</v>
      </c>
      <c r="C962" s="16" t="s">
        <v>18</v>
      </c>
      <c r="D962" s="16" t="s">
        <v>19</v>
      </c>
      <c r="E962" s="70">
        <v>0.58299999999999996</v>
      </c>
      <c r="F962" s="33">
        <f>F961*E962</f>
        <v>55.967999999999996</v>
      </c>
      <c r="G962" s="16"/>
      <c r="H962" s="19">
        <f>F962*G962</f>
        <v>0</v>
      </c>
    </row>
    <row r="963" spans="1:8">
      <c r="A963" s="64"/>
      <c r="B963" s="64" t="s">
        <v>17</v>
      </c>
      <c r="C963" s="16" t="s">
        <v>20</v>
      </c>
      <c r="D963" s="16" t="s">
        <v>3</v>
      </c>
      <c r="E963" s="70">
        <v>4.5999999999999999E-3</v>
      </c>
      <c r="F963" s="33">
        <f>F961*E963</f>
        <v>0.44159999999999999</v>
      </c>
      <c r="G963" s="17"/>
      <c r="H963" s="19">
        <f>F963*G963</f>
        <v>0</v>
      </c>
    </row>
    <row r="964" spans="1:8" ht="27">
      <c r="A964" s="64"/>
      <c r="B964" s="64" t="s">
        <v>765</v>
      </c>
      <c r="C964" s="16" t="s">
        <v>766</v>
      </c>
      <c r="D964" s="16" t="s">
        <v>45</v>
      </c>
      <c r="E964" s="43">
        <v>1</v>
      </c>
      <c r="F964" s="18">
        <f>E964*F961</f>
        <v>96</v>
      </c>
      <c r="G964" s="17"/>
      <c r="H964" s="19">
        <f>F964*G964</f>
        <v>0</v>
      </c>
    </row>
    <row r="965" spans="1:8">
      <c r="A965" s="234"/>
      <c r="B965" s="233" t="s">
        <v>264</v>
      </c>
      <c r="C965" s="234" t="s">
        <v>763</v>
      </c>
      <c r="D965" s="234" t="s">
        <v>123</v>
      </c>
      <c r="E965" s="236">
        <v>0.23499999999999999</v>
      </c>
      <c r="F965" s="234">
        <f>E965*F961</f>
        <v>22.56</v>
      </c>
      <c r="G965" s="234"/>
      <c r="H965" s="234">
        <f>F965*G965</f>
        <v>0</v>
      </c>
    </row>
    <row r="966" spans="1:8">
      <c r="A966" s="64"/>
      <c r="B966" s="17" t="s">
        <v>17</v>
      </c>
      <c r="C966" s="16" t="s">
        <v>100</v>
      </c>
      <c r="D966" s="16" t="s">
        <v>3</v>
      </c>
      <c r="E966" s="17">
        <v>0.20799999999999999</v>
      </c>
      <c r="F966" s="33">
        <f>F961*E966</f>
        <v>19.968</v>
      </c>
      <c r="G966" s="17"/>
      <c r="H966" s="18">
        <f>F966*G966</f>
        <v>0</v>
      </c>
    </row>
    <row r="967" spans="1:8" ht="48">
      <c r="A967" s="62" t="s">
        <v>480</v>
      </c>
      <c r="B967" s="46" t="s">
        <v>767</v>
      </c>
      <c r="C967" s="10" t="s">
        <v>768</v>
      </c>
      <c r="D967" s="11" t="s">
        <v>769</v>
      </c>
      <c r="E967" s="10"/>
      <c r="F967" s="190">
        <v>3</v>
      </c>
      <c r="G967" s="10"/>
      <c r="H967" s="39">
        <f>SUM(H968:H972)</f>
        <v>0</v>
      </c>
    </row>
    <row r="968" spans="1:8">
      <c r="A968" s="64"/>
      <c r="B968" s="14" t="s">
        <v>17</v>
      </c>
      <c r="C968" s="16" t="s">
        <v>28</v>
      </c>
      <c r="D968" s="16" t="s">
        <v>19</v>
      </c>
      <c r="E968" s="16">
        <v>1.56</v>
      </c>
      <c r="F968" s="18">
        <f>F967*E968</f>
        <v>4.68</v>
      </c>
      <c r="G968" s="16"/>
      <c r="H968" s="19">
        <f>F968*G968</f>
        <v>0</v>
      </c>
    </row>
    <row r="969" spans="1:8">
      <c r="A969" s="64"/>
      <c r="B969" s="14" t="s">
        <v>17</v>
      </c>
      <c r="C969" s="16" t="s">
        <v>20</v>
      </c>
      <c r="D969" s="16" t="s">
        <v>3</v>
      </c>
      <c r="E969" s="43">
        <v>0.06</v>
      </c>
      <c r="F969" s="18">
        <f>F967*E969</f>
        <v>0.18</v>
      </c>
      <c r="G969" s="17"/>
      <c r="H969" s="18">
        <f>F969*G969</f>
        <v>0</v>
      </c>
    </row>
    <row r="970" spans="1:8">
      <c r="A970" s="64"/>
      <c r="B970" s="181" t="s">
        <v>770</v>
      </c>
      <c r="C970" s="16" t="s">
        <v>771</v>
      </c>
      <c r="D970" s="17" t="s">
        <v>769</v>
      </c>
      <c r="E970" s="17">
        <v>1</v>
      </c>
      <c r="F970" s="222">
        <f>F967*E970</f>
        <v>3</v>
      </c>
      <c r="G970" s="17"/>
      <c r="H970" s="18">
        <f>F970*G970</f>
        <v>0</v>
      </c>
    </row>
    <row r="971" spans="1:8">
      <c r="A971" s="64"/>
      <c r="B971" s="181" t="s">
        <v>772</v>
      </c>
      <c r="C971" s="16" t="s">
        <v>212</v>
      </c>
      <c r="D971" s="17" t="s">
        <v>209</v>
      </c>
      <c r="E971" s="17">
        <v>0.55500000000000005</v>
      </c>
      <c r="F971" s="18">
        <f>E971*F967</f>
        <v>1.665</v>
      </c>
      <c r="G971" s="17"/>
      <c r="H971" s="18">
        <f>F971*G971</f>
        <v>0</v>
      </c>
    </row>
    <row r="972" spans="1:8">
      <c r="A972" s="64"/>
      <c r="B972" s="248" t="s">
        <v>17</v>
      </c>
      <c r="C972" s="16" t="s">
        <v>100</v>
      </c>
      <c r="D972" s="16" t="s">
        <v>3</v>
      </c>
      <c r="E972" s="17">
        <v>0.28999999999999998</v>
      </c>
      <c r="F972" s="18">
        <f>F967*E972</f>
        <v>0.86999999999999988</v>
      </c>
      <c r="G972" s="17"/>
      <c r="H972" s="18">
        <f>F972*G972</f>
        <v>0</v>
      </c>
    </row>
    <row r="973" spans="1:8" ht="48">
      <c r="A973" s="62" t="s">
        <v>327</v>
      </c>
      <c r="B973" s="46" t="s">
        <v>773</v>
      </c>
      <c r="C973" s="10" t="s">
        <v>774</v>
      </c>
      <c r="D973" s="11" t="s">
        <v>769</v>
      </c>
      <c r="E973" s="10"/>
      <c r="F973" s="190">
        <v>3</v>
      </c>
      <c r="G973" s="10"/>
      <c r="H973" s="39">
        <f>SUM(H974:H978)</f>
        <v>0</v>
      </c>
    </row>
    <row r="974" spans="1:8">
      <c r="A974" s="64"/>
      <c r="B974" s="14" t="s">
        <v>17</v>
      </c>
      <c r="C974" s="16" t="s">
        <v>28</v>
      </c>
      <c r="D974" s="16" t="s">
        <v>19</v>
      </c>
      <c r="E974" s="16">
        <v>2.44</v>
      </c>
      <c r="F974" s="18">
        <f>F973*E974</f>
        <v>7.32</v>
      </c>
      <c r="G974" s="16"/>
      <c r="H974" s="19">
        <f>F974*G974</f>
        <v>0</v>
      </c>
    </row>
    <row r="975" spans="1:8">
      <c r="A975" s="64"/>
      <c r="B975" s="14" t="s">
        <v>17</v>
      </c>
      <c r="C975" s="16" t="s">
        <v>20</v>
      </c>
      <c r="D975" s="16" t="s">
        <v>3</v>
      </c>
      <c r="E975" s="77">
        <v>0.13</v>
      </c>
      <c r="F975" s="18">
        <f>F973*E975</f>
        <v>0.39</v>
      </c>
      <c r="G975" s="17"/>
      <c r="H975" s="18">
        <f>F975*G975</f>
        <v>0</v>
      </c>
    </row>
    <row r="976" spans="1:8">
      <c r="A976" s="64"/>
      <c r="B976" s="181" t="s">
        <v>775</v>
      </c>
      <c r="C976" s="16" t="s">
        <v>776</v>
      </c>
      <c r="D976" s="17" t="s">
        <v>769</v>
      </c>
      <c r="E976" s="17">
        <v>1</v>
      </c>
      <c r="F976" s="222">
        <f>E976*F973</f>
        <v>3</v>
      </c>
      <c r="G976" s="17"/>
      <c r="H976" s="18">
        <f>F976*G976</f>
        <v>0</v>
      </c>
    </row>
    <row r="977" spans="1:8">
      <c r="A977" s="64"/>
      <c r="B977" s="181" t="s">
        <v>772</v>
      </c>
      <c r="C977" s="16" t="s">
        <v>212</v>
      </c>
      <c r="D977" s="17" t="s">
        <v>209</v>
      </c>
      <c r="E977" s="17">
        <v>0.55500000000000005</v>
      </c>
      <c r="F977" s="18">
        <f>E977*F973</f>
        <v>1.665</v>
      </c>
      <c r="G977" s="17"/>
      <c r="H977" s="18">
        <f>F977*G977</f>
        <v>0</v>
      </c>
    </row>
    <row r="978" spans="1:8">
      <c r="A978" s="64"/>
      <c r="B978" s="248" t="s">
        <v>17</v>
      </c>
      <c r="C978" s="16" t="s">
        <v>777</v>
      </c>
      <c r="D978" s="16" t="s">
        <v>3</v>
      </c>
      <c r="E978" s="17">
        <v>0.94</v>
      </c>
      <c r="F978" s="18">
        <f>F973*E978</f>
        <v>2.82</v>
      </c>
      <c r="G978" s="17"/>
      <c r="H978" s="18">
        <f>F978*G978</f>
        <v>0</v>
      </c>
    </row>
    <row r="979" spans="1:8" ht="72">
      <c r="A979" s="62" t="s">
        <v>82</v>
      </c>
      <c r="B979" s="46" t="s">
        <v>778</v>
      </c>
      <c r="C979" s="10" t="s">
        <v>779</v>
      </c>
      <c r="D979" s="11" t="s">
        <v>769</v>
      </c>
      <c r="E979" s="10"/>
      <c r="F979" s="190">
        <v>3</v>
      </c>
      <c r="G979" s="10"/>
      <c r="H979" s="39">
        <f>SUM(H980:H983)</f>
        <v>0</v>
      </c>
    </row>
    <row r="980" spans="1:8">
      <c r="A980" s="64"/>
      <c r="B980" s="14" t="s">
        <v>17</v>
      </c>
      <c r="C980" s="16" t="s">
        <v>28</v>
      </c>
      <c r="D980" s="16" t="s">
        <v>19</v>
      </c>
      <c r="E980" s="16">
        <v>2.4700000000000002</v>
      </c>
      <c r="F980" s="18">
        <f>F979*E980</f>
        <v>7.41</v>
      </c>
      <c r="G980" s="16"/>
      <c r="H980" s="19">
        <f>F980*G980</f>
        <v>0</v>
      </c>
    </row>
    <row r="981" spans="1:8">
      <c r="A981" s="64"/>
      <c r="B981" s="14" t="s">
        <v>17</v>
      </c>
      <c r="C981" s="16" t="s">
        <v>20</v>
      </c>
      <c r="D981" s="16" t="s">
        <v>3</v>
      </c>
      <c r="E981" s="43">
        <v>0.02</v>
      </c>
      <c r="F981" s="18">
        <f>F979*E981</f>
        <v>0.06</v>
      </c>
      <c r="G981" s="17"/>
      <c r="H981" s="18">
        <f>F981*G981</f>
        <v>0</v>
      </c>
    </row>
    <row r="982" spans="1:8">
      <c r="A982" s="64"/>
      <c r="B982" s="181" t="s">
        <v>775</v>
      </c>
      <c r="C982" s="16" t="s">
        <v>780</v>
      </c>
      <c r="D982" s="17" t="s">
        <v>769</v>
      </c>
      <c r="E982" s="17">
        <v>1</v>
      </c>
      <c r="F982" s="222">
        <f>F979*E982</f>
        <v>3</v>
      </c>
      <c r="G982" s="17"/>
      <c r="H982" s="18">
        <f>F982*G982</f>
        <v>0</v>
      </c>
    </row>
    <row r="983" spans="1:8">
      <c r="A983" s="64"/>
      <c r="B983" s="248" t="s">
        <v>17</v>
      </c>
      <c r="C983" s="16" t="s">
        <v>100</v>
      </c>
      <c r="D983" s="16" t="s">
        <v>3</v>
      </c>
      <c r="E983" s="17">
        <v>0.26</v>
      </c>
      <c r="F983" s="18">
        <f>F979*E983</f>
        <v>0.78</v>
      </c>
      <c r="G983" s="17"/>
      <c r="H983" s="18">
        <f>F983*G983</f>
        <v>0</v>
      </c>
    </row>
    <row r="984" spans="1:8" ht="48">
      <c r="A984" s="62" t="s">
        <v>88</v>
      </c>
      <c r="B984" s="46" t="s">
        <v>773</v>
      </c>
      <c r="C984" s="10" t="s">
        <v>781</v>
      </c>
      <c r="D984" s="11" t="s">
        <v>769</v>
      </c>
      <c r="E984" s="10"/>
      <c r="F984" s="190">
        <v>10</v>
      </c>
      <c r="G984" s="10"/>
      <c r="H984" s="39">
        <f>SUM(H985:H989)</f>
        <v>0</v>
      </c>
    </row>
    <row r="985" spans="1:8">
      <c r="A985" s="64"/>
      <c r="B985" s="14" t="s">
        <v>17</v>
      </c>
      <c r="C985" s="16" t="s">
        <v>28</v>
      </c>
      <c r="D985" s="16" t="s">
        <v>19</v>
      </c>
      <c r="E985" s="16">
        <v>2.44</v>
      </c>
      <c r="F985" s="18">
        <f>F984*E985</f>
        <v>24.4</v>
      </c>
      <c r="G985" s="16"/>
      <c r="H985" s="19">
        <f>F985*G985</f>
        <v>0</v>
      </c>
    </row>
    <row r="986" spans="1:8">
      <c r="A986" s="64"/>
      <c r="B986" s="14" t="s">
        <v>17</v>
      </c>
      <c r="C986" s="16" t="s">
        <v>20</v>
      </c>
      <c r="D986" s="16" t="s">
        <v>3</v>
      </c>
      <c r="E986" s="77">
        <v>0.13</v>
      </c>
      <c r="F986" s="18">
        <f>F984*E986</f>
        <v>1.3</v>
      </c>
      <c r="G986" s="17"/>
      <c r="H986" s="18">
        <f>F986*G986</f>
        <v>0</v>
      </c>
    </row>
    <row r="987" spans="1:8">
      <c r="A987" s="64"/>
      <c r="B987" s="181" t="s">
        <v>782</v>
      </c>
      <c r="C987" s="16" t="s">
        <v>783</v>
      </c>
      <c r="D987" s="17" t="s">
        <v>769</v>
      </c>
      <c r="E987" s="17">
        <v>1</v>
      </c>
      <c r="F987" s="222">
        <f>E987*F984</f>
        <v>10</v>
      </c>
      <c r="G987" s="17"/>
      <c r="H987" s="18">
        <f>F987*G987</f>
        <v>0</v>
      </c>
    </row>
    <row r="988" spans="1:8">
      <c r="A988" s="64"/>
      <c r="B988" s="181" t="s">
        <v>772</v>
      </c>
      <c r="C988" s="16" t="s">
        <v>212</v>
      </c>
      <c r="D988" s="17" t="s">
        <v>209</v>
      </c>
      <c r="E988" s="17">
        <v>0.55500000000000005</v>
      </c>
      <c r="F988" s="18">
        <f>E988*F984</f>
        <v>5.5500000000000007</v>
      </c>
      <c r="G988" s="17"/>
      <c r="H988" s="18">
        <f>F988*G988</f>
        <v>0</v>
      </c>
    </row>
    <row r="989" spans="1:8">
      <c r="A989" s="64"/>
      <c r="B989" s="248" t="s">
        <v>17</v>
      </c>
      <c r="C989" s="16" t="s">
        <v>777</v>
      </c>
      <c r="D989" s="16" t="s">
        <v>3</v>
      </c>
      <c r="E989" s="17">
        <v>0.94</v>
      </c>
      <c r="F989" s="18">
        <f>F984*E989</f>
        <v>9.3999999999999986</v>
      </c>
      <c r="G989" s="17"/>
      <c r="H989" s="18">
        <f>F989*G989</f>
        <v>0</v>
      </c>
    </row>
    <row r="990" spans="1:8" ht="48">
      <c r="A990" s="62" t="s">
        <v>95</v>
      </c>
      <c r="B990" s="46" t="s">
        <v>767</v>
      </c>
      <c r="C990" s="10" t="s">
        <v>784</v>
      </c>
      <c r="D990" s="11" t="s">
        <v>769</v>
      </c>
      <c r="E990" s="10"/>
      <c r="F990" s="76">
        <v>17</v>
      </c>
      <c r="G990" s="10"/>
      <c r="H990" s="39">
        <f>SUM(H991:H994)</f>
        <v>0</v>
      </c>
    </row>
    <row r="991" spans="1:8">
      <c r="A991" s="64"/>
      <c r="B991" s="14" t="s">
        <v>17</v>
      </c>
      <c r="C991" s="16" t="s">
        <v>28</v>
      </c>
      <c r="D991" s="16" t="s">
        <v>19</v>
      </c>
      <c r="E991" s="16">
        <v>1.56</v>
      </c>
      <c r="F991" s="18">
        <f>F990*E991</f>
        <v>26.52</v>
      </c>
      <c r="G991" s="16"/>
      <c r="H991" s="19">
        <f>F991*G991</f>
        <v>0</v>
      </c>
    </row>
    <row r="992" spans="1:8">
      <c r="A992" s="64"/>
      <c r="B992" s="14" t="s">
        <v>17</v>
      </c>
      <c r="C992" s="16" t="s">
        <v>20</v>
      </c>
      <c r="D992" s="16" t="s">
        <v>3</v>
      </c>
      <c r="E992" s="43">
        <v>0.06</v>
      </c>
      <c r="F992" s="18">
        <f>F990*E992</f>
        <v>1.02</v>
      </c>
      <c r="G992" s="17"/>
      <c r="H992" s="18">
        <f>F992*G992</f>
        <v>0</v>
      </c>
    </row>
    <row r="993" spans="1:8">
      <c r="A993" s="64"/>
      <c r="B993" s="181" t="s">
        <v>785</v>
      </c>
      <c r="C993" s="16" t="s">
        <v>771</v>
      </c>
      <c r="D993" s="17" t="s">
        <v>769</v>
      </c>
      <c r="E993" s="17">
        <v>1</v>
      </c>
      <c r="F993" s="222">
        <f>F990*E993</f>
        <v>17</v>
      </c>
      <c r="G993" s="17"/>
      <c r="H993" s="18">
        <f>F993*G993</f>
        <v>0</v>
      </c>
    </row>
    <row r="994" spans="1:8">
      <c r="A994" s="64"/>
      <c r="B994" s="248" t="s">
        <v>17</v>
      </c>
      <c r="C994" s="16" t="s">
        <v>100</v>
      </c>
      <c r="D994" s="16" t="s">
        <v>3</v>
      </c>
      <c r="E994" s="17">
        <v>0.28999999999999998</v>
      </c>
      <c r="F994" s="18">
        <f>F990*E994</f>
        <v>4.93</v>
      </c>
      <c r="G994" s="17"/>
      <c r="H994" s="18">
        <f>F994*G994</f>
        <v>0</v>
      </c>
    </row>
    <row r="995" spans="1:8" ht="48">
      <c r="A995" s="62" t="s">
        <v>101</v>
      </c>
      <c r="B995" s="46" t="s">
        <v>786</v>
      </c>
      <c r="C995" s="20" t="s">
        <v>787</v>
      </c>
      <c r="D995" s="11" t="s">
        <v>769</v>
      </c>
      <c r="E995" s="10"/>
      <c r="F995" s="190">
        <v>6</v>
      </c>
      <c r="G995" s="10"/>
      <c r="H995" s="39">
        <f>SUM(H996:H999)</f>
        <v>0</v>
      </c>
    </row>
    <row r="996" spans="1:8">
      <c r="A996" s="64"/>
      <c r="B996" s="14" t="s">
        <v>17</v>
      </c>
      <c r="C996" s="16" t="s">
        <v>28</v>
      </c>
      <c r="D996" s="16" t="s">
        <v>19</v>
      </c>
      <c r="E996" s="16">
        <v>3.66</v>
      </c>
      <c r="F996" s="18">
        <f>F995*E996</f>
        <v>21.96</v>
      </c>
      <c r="G996" s="16"/>
      <c r="H996" s="19">
        <f>F996*G996</f>
        <v>0</v>
      </c>
    </row>
    <row r="997" spans="1:8">
      <c r="A997" s="64"/>
      <c r="B997" s="14" t="s">
        <v>17</v>
      </c>
      <c r="C997" s="16" t="s">
        <v>20</v>
      </c>
      <c r="D997" s="16" t="s">
        <v>3</v>
      </c>
      <c r="E997" s="77">
        <v>0.28000000000000003</v>
      </c>
      <c r="F997" s="18">
        <f>F995*E997</f>
        <v>1.6800000000000002</v>
      </c>
      <c r="G997" s="17"/>
      <c r="H997" s="18">
        <f>F997*G997</f>
        <v>0</v>
      </c>
    </row>
    <row r="998" spans="1:8">
      <c r="A998" s="64"/>
      <c r="B998" s="181" t="s">
        <v>788</v>
      </c>
      <c r="C998" s="16" t="s">
        <v>789</v>
      </c>
      <c r="D998" s="17" t="s">
        <v>769</v>
      </c>
      <c r="E998" s="17">
        <v>1</v>
      </c>
      <c r="F998" s="222">
        <f>E998*F995</f>
        <v>6</v>
      </c>
      <c r="G998" s="17"/>
      <c r="H998" s="18">
        <f>F998*G998</f>
        <v>0</v>
      </c>
    </row>
    <row r="999" spans="1:8">
      <c r="A999" s="64"/>
      <c r="B999" s="248" t="s">
        <v>17</v>
      </c>
      <c r="C999" s="16" t="s">
        <v>777</v>
      </c>
      <c r="D999" s="16" t="s">
        <v>3</v>
      </c>
      <c r="E999" s="17">
        <v>1.24</v>
      </c>
      <c r="F999" s="18">
        <f>F995*E999</f>
        <v>7.4399999999999995</v>
      </c>
      <c r="G999" s="17"/>
      <c r="H999" s="18">
        <f>F999*G999</f>
        <v>0</v>
      </c>
    </row>
    <row r="1000" spans="1:8" ht="36">
      <c r="A1000" s="62" t="s">
        <v>42</v>
      </c>
      <c r="B1000" s="9" t="s">
        <v>790</v>
      </c>
      <c r="C1000" s="20" t="s">
        <v>1678</v>
      </c>
      <c r="D1000" s="11" t="s">
        <v>769</v>
      </c>
      <c r="E1000" s="10"/>
      <c r="F1000" s="76">
        <v>4</v>
      </c>
      <c r="G1000" s="10"/>
      <c r="H1000" s="39">
        <f>SUM(H1001:H1004)</f>
        <v>0</v>
      </c>
    </row>
    <row r="1001" spans="1:8">
      <c r="A1001" s="64"/>
      <c r="B1001" s="14" t="s">
        <v>17</v>
      </c>
      <c r="C1001" s="16" t="s">
        <v>28</v>
      </c>
      <c r="D1001" s="16" t="s">
        <v>19</v>
      </c>
      <c r="E1001" s="16">
        <v>2.58</v>
      </c>
      <c r="F1001" s="18">
        <f>F1000*E1001</f>
        <v>10.32</v>
      </c>
      <c r="G1001" s="16"/>
      <c r="H1001" s="19">
        <f>F1001*G1001</f>
        <v>0</v>
      </c>
    </row>
    <row r="1002" spans="1:8">
      <c r="A1002" s="64"/>
      <c r="B1002" s="14" t="s">
        <v>17</v>
      </c>
      <c r="C1002" s="16" t="s">
        <v>20</v>
      </c>
      <c r="D1002" s="16" t="s">
        <v>3</v>
      </c>
      <c r="E1002" s="77">
        <v>0.17</v>
      </c>
      <c r="F1002" s="18">
        <f>F1000*E1002</f>
        <v>0.68</v>
      </c>
      <c r="G1002" s="17"/>
      <c r="H1002" s="19">
        <f>F1002*G1002</f>
        <v>0</v>
      </c>
    </row>
    <row r="1003" spans="1:8">
      <c r="A1003" s="64"/>
      <c r="B1003" s="233" t="s">
        <v>791</v>
      </c>
      <c r="C1003" s="16" t="s">
        <v>1679</v>
      </c>
      <c r="D1003" s="17" t="s">
        <v>769</v>
      </c>
      <c r="E1003" s="17">
        <v>1</v>
      </c>
      <c r="F1003" s="222">
        <f>E1003*F1000</f>
        <v>4</v>
      </c>
      <c r="G1003" s="17"/>
      <c r="H1003" s="19">
        <f>F1003*G1003</f>
        <v>0</v>
      </c>
    </row>
    <row r="1004" spans="1:8">
      <c r="A1004" s="64"/>
      <c r="B1004" s="248" t="s">
        <v>17</v>
      </c>
      <c r="C1004" s="16" t="s">
        <v>777</v>
      </c>
      <c r="D1004" s="16" t="s">
        <v>3</v>
      </c>
      <c r="E1004" s="17">
        <v>0.23</v>
      </c>
      <c r="F1004" s="18">
        <f>F1000*E1004</f>
        <v>0.92</v>
      </c>
      <c r="G1004" s="17"/>
      <c r="H1004" s="19">
        <f>F1004*G1004</f>
        <v>0</v>
      </c>
    </row>
    <row r="1005" spans="1:8">
      <c r="A1005" s="61"/>
      <c r="B1005" s="61"/>
      <c r="C1005" s="239" t="s">
        <v>792</v>
      </c>
      <c r="D1005" s="20" t="s">
        <v>3</v>
      </c>
      <c r="E1005" s="20"/>
      <c r="F1005" s="467"/>
      <c r="G1005" s="467"/>
      <c r="H1005" s="468">
        <f>H955+H961+H967+H973+H979+H990+H1000+H984+H995</f>
        <v>0</v>
      </c>
    </row>
    <row r="1006" spans="1:8" ht="27">
      <c r="A1006" s="61"/>
      <c r="B1006" s="68"/>
      <c r="C1006" s="20" t="s">
        <v>793</v>
      </c>
      <c r="D1006" s="20" t="s">
        <v>3</v>
      </c>
      <c r="E1006" s="28"/>
      <c r="F1006" s="28"/>
      <c r="G1006" s="28"/>
      <c r="H1006" s="69">
        <f>H1005+H953</f>
        <v>0</v>
      </c>
    </row>
    <row r="1007" spans="1:8">
      <c r="A1007" s="61"/>
      <c r="B1007" s="61"/>
      <c r="C1007" s="28" t="s">
        <v>795</v>
      </c>
      <c r="D1007" s="249" t="s">
        <v>3</v>
      </c>
      <c r="E1007" s="28"/>
      <c r="F1007" s="250">
        <v>0.12</v>
      </c>
      <c r="G1007" s="28"/>
      <c r="H1007" s="44">
        <f>H1006*F1007</f>
        <v>0</v>
      </c>
    </row>
    <row r="1008" spans="1:8">
      <c r="A1008" s="68"/>
      <c r="B1008" s="68"/>
      <c r="C1008" s="20" t="s">
        <v>796</v>
      </c>
      <c r="D1008" s="20" t="s">
        <v>3</v>
      </c>
      <c r="E1008" s="20"/>
      <c r="F1008" s="20"/>
      <c r="G1008" s="20"/>
      <c r="H1008" s="69">
        <f>H1007+H1006</f>
        <v>0</v>
      </c>
    </row>
    <row r="1009" spans="1:8">
      <c r="A1009" s="61"/>
      <c r="B1009" s="61"/>
      <c r="C1009" s="28" t="s">
        <v>797</v>
      </c>
      <c r="D1009" s="249" t="s">
        <v>3</v>
      </c>
      <c r="E1009" s="28"/>
      <c r="F1009" s="250">
        <v>0.08</v>
      </c>
      <c r="G1009" s="28"/>
      <c r="H1009" s="44">
        <f>H1008*0.08</f>
        <v>0</v>
      </c>
    </row>
    <row r="1010" spans="1:8">
      <c r="A1010" s="8"/>
      <c r="B1010" s="46"/>
      <c r="C1010" s="10" t="s">
        <v>798</v>
      </c>
      <c r="D1010" s="10" t="s">
        <v>3</v>
      </c>
      <c r="E1010" s="10"/>
      <c r="F1010" s="225"/>
      <c r="G1010" s="10"/>
      <c r="H1010" s="462">
        <f>SUM(H1008:H1009)</f>
        <v>0</v>
      </c>
    </row>
    <row r="1012" spans="1:8">
      <c r="A1012" s="488" t="s">
        <v>799</v>
      </c>
      <c r="B1012" s="488"/>
      <c r="C1012" s="488"/>
      <c r="D1012" s="488"/>
      <c r="E1012" s="488"/>
      <c r="F1012" s="488"/>
      <c r="G1012" s="488"/>
      <c r="H1012" s="488"/>
    </row>
    <row r="1013" spans="1:8">
      <c r="A1013" s="488" t="s">
        <v>800</v>
      </c>
      <c r="B1013" s="488"/>
      <c r="C1013" s="488"/>
      <c r="D1013" s="488"/>
      <c r="E1013" s="488"/>
      <c r="F1013" s="488"/>
      <c r="G1013" s="488"/>
      <c r="H1013" s="488"/>
    </row>
    <row r="1014" spans="1:8" ht="23.25" customHeight="1">
      <c r="A1014" s="497" t="s">
        <v>5</v>
      </c>
      <c r="B1014" s="498" t="s">
        <v>6</v>
      </c>
      <c r="C1014" s="499" t="s">
        <v>7</v>
      </c>
      <c r="D1014" s="500" t="s">
        <v>8</v>
      </c>
      <c r="E1014" s="501" t="s">
        <v>9</v>
      </c>
      <c r="F1014" s="501"/>
      <c r="G1014" s="501" t="s">
        <v>10</v>
      </c>
      <c r="H1014" s="501"/>
    </row>
    <row r="1015" spans="1:8" ht="87" customHeight="1">
      <c r="A1015" s="497"/>
      <c r="B1015" s="498"/>
      <c r="C1015" s="499"/>
      <c r="D1015" s="500"/>
      <c r="E1015" s="251" t="s">
        <v>11</v>
      </c>
      <c r="F1015" s="251" t="s">
        <v>12</v>
      </c>
      <c r="G1015" s="251" t="s">
        <v>11</v>
      </c>
      <c r="H1015" s="268" t="s">
        <v>12</v>
      </c>
    </row>
    <row r="1016" spans="1:8">
      <c r="A1016" s="229" t="s">
        <v>13</v>
      </c>
      <c r="B1016" s="229">
        <v>2</v>
      </c>
      <c r="C1016" s="5">
        <v>3</v>
      </c>
      <c r="D1016" s="5">
        <v>4</v>
      </c>
      <c r="E1016" s="5">
        <v>5</v>
      </c>
      <c r="F1016" s="5">
        <v>6</v>
      </c>
      <c r="G1016" s="5">
        <v>7</v>
      </c>
      <c r="H1016" s="48">
        <v>8</v>
      </c>
    </row>
    <row r="1017" spans="1:8" ht="72">
      <c r="A1017" s="62" t="s">
        <v>13</v>
      </c>
      <c r="B1017" s="46" t="s">
        <v>801</v>
      </c>
      <c r="C1017" s="10" t="s">
        <v>802</v>
      </c>
      <c r="D1017" s="11" t="s">
        <v>803</v>
      </c>
      <c r="E1017" s="10"/>
      <c r="F1017" s="76">
        <v>283.76</v>
      </c>
      <c r="G1017" s="10"/>
      <c r="H1017" s="39">
        <f>SUM(H1018:H1030)</f>
        <v>0</v>
      </c>
    </row>
    <row r="1018" spans="1:8">
      <c r="A1018" s="64"/>
      <c r="B1018" s="14" t="s">
        <v>17</v>
      </c>
      <c r="C1018" s="16" t="s">
        <v>28</v>
      </c>
      <c r="D1018" s="16" t="s">
        <v>19</v>
      </c>
      <c r="E1018" s="16">
        <v>0.442</v>
      </c>
      <c r="F1018" s="18">
        <f>F1017*E1018</f>
        <v>125.42192</v>
      </c>
      <c r="G1018" s="43"/>
      <c r="H1018" s="19">
        <f t="shared" ref="H1018:H1030" si="33">F1018*G1018</f>
        <v>0</v>
      </c>
    </row>
    <row r="1019" spans="1:8">
      <c r="A1019" s="64"/>
      <c r="B1019" s="14" t="s">
        <v>17</v>
      </c>
      <c r="C1019" s="16" t="s">
        <v>20</v>
      </c>
      <c r="D1019" s="16" t="s">
        <v>3</v>
      </c>
      <c r="E1019" s="70">
        <v>2.76E-2</v>
      </c>
      <c r="F1019" s="18">
        <f>F1017*E1019</f>
        <v>7.8317759999999996</v>
      </c>
      <c r="G1019" s="18"/>
      <c r="H1019" s="18">
        <f t="shared" si="33"/>
        <v>0</v>
      </c>
    </row>
    <row r="1020" spans="1:8" ht="27">
      <c r="A1020" s="64"/>
      <c r="B1020" s="15" t="s">
        <v>804</v>
      </c>
      <c r="C1020" s="28" t="s">
        <v>805</v>
      </c>
      <c r="D1020" s="28" t="s">
        <v>209</v>
      </c>
      <c r="E1020" s="253" t="s">
        <v>806</v>
      </c>
      <c r="F1020" s="19">
        <v>2</v>
      </c>
      <c r="G1020" s="19"/>
      <c r="H1020" s="18">
        <f t="shared" si="33"/>
        <v>0</v>
      </c>
    </row>
    <row r="1021" spans="1:8" ht="27">
      <c r="A1021" s="64"/>
      <c r="B1021" s="15" t="s">
        <v>807</v>
      </c>
      <c r="C1021" s="28" t="s">
        <v>808</v>
      </c>
      <c r="D1021" s="28" t="s">
        <v>209</v>
      </c>
      <c r="E1021" s="253" t="s">
        <v>806</v>
      </c>
      <c r="F1021" s="19">
        <v>4</v>
      </c>
      <c r="G1021" s="19"/>
      <c r="H1021" s="18">
        <f t="shared" si="33"/>
        <v>0</v>
      </c>
    </row>
    <row r="1022" spans="1:8" ht="27">
      <c r="A1022" s="64"/>
      <c r="B1022" s="15" t="s">
        <v>809</v>
      </c>
      <c r="C1022" s="16" t="s">
        <v>810</v>
      </c>
      <c r="D1022" s="16" t="s">
        <v>209</v>
      </c>
      <c r="E1022" s="254" t="s">
        <v>806</v>
      </c>
      <c r="F1022" s="18">
        <v>6</v>
      </c>
      <c r="G1022" s="19"/>
      <c r="H1022" s="18">
        <f t="shared" si="33"/>
        <v>0</v>
      </c>
    </row>
    <row r="1023" spans="1:8" ht="27">
      <c r="A1023" s="64"/>
      <c r="B1023" s="15" t="s">
        <v>811</v>
      </c>
      <c r="C1023" s="28" t="s">
        <v>812</v>
      </c>
      <c r="D1023" s="28" t="s">
        <v>209</v>
      </c>
      <c r="E1023" s="253" t="s">
        <v>806</v>
      </c>
      <c r="F1023" s="19">
        <v>2</v>
      </c>
      <c r="G1023" s="19"/>
      <c r="H1023" s="18">
        <f t="shared" si="33"/>
        <v>0</v>
      </c>
    </row>
    <row r="1024" spans="1:8" ht="27">
      <c r="A1024" s="64"/>
      <c r="B1024" s="15" t="s">
        <v>813</v>
      </c>
      <c r="C1024" s="28" t="s">
        <v>814</v>
      </c>
      <c r="D1024" s="28" t="s">
        <v>209</v>
      </c>
      <c r="E1024" s="253" t="s">
        <v>806</v>
      </c>
      <c r="F1024" s="19">
        <v>31</v>
      </c>
      <c r="G1024" s="19"/>
      <c r="H1024" s="18">
        <f t="shared" si="33"/>
        <v>0</v>
      </c>
    </row>
    <row r="1025" spans="1:8" ht="27">
      <c r="A1025" s="64"/>
      <c r="B1025" s="15" t="s">
        <v>813</v>
      </c>
      <c r="C1025" s="28" t="s">
        <v>815</v>
      </c>
      <c r="D1025" s="28" t="s">
        <v>209</v>
      </c>
      <c r="E1025" s="253" t="s">
        <v>806</v>
      </c>
      <c r="F1025" s="19">
        <v>25</v>
      </c>
      <c r="G1025" s="19"/>
      <c r="H1025" s="18">
        <f t="shared" si="33"/>
        <v>0</v>
      </c>
    </row>
    <row r="1026" spans="1:8" ht="27">
      <c r="A1026" s="64"/>
      <c r="B1026" s="15" t="s">
        <v>813</v>
      </c>
      <c r="C1026" s="28" t="s">
        <v>816</v>
      </c>
      <c r="D1026" s="28" t="s">
        <v>209</v>
      </c>
      <c r="E1026" s="253" t="s">
        <v>806</v>
      </c>
      <c r="F1026" s="19">
        <v>18</v>
      </c>
      <c r="G1026" s="19"/>
      <c r="H1026" s="19">
        <f t="shared" si="33"/>
        <v>0</v>
      </c>
    </row>
    <row r="1027" spans="1:8" ht="27">
      <c r="A1027" s="64"/>
      <c r="B1027" s="15" t="s">
        <v>817</v>
      </c>
      <c r="C1027" s="28" t="s">
        <v>818</v>
      </c>
      <c r="D1027" s="28" t="s">
        <v>209</v>
      </c>
      <c r="E1027" s="253" t="s">
        <v>806</v>
      </c>
      <c r="F1027" s="19">
        <v>2</v>
      </c>
      <c r="G1027" s="19"/>
      <c r="H1027" s="19">
        <f t="shared" si="33"/>
        <v>0</v>
      </c>
    </row>
    <row r="1028" spans="1:8" ht="27">
      <c r="A1028" s="64"/>
      <c r="B1028" s="15" t="s">
        <v>819</v>
      </c>
      <c r="C1028" s="28" t="s">
        <v>820</v>
      </c>
      <c r="D1028" s="28" t="s">
        <v>209</v>
      </c>
      <c r="E1028" s="253" t="s">
        <v>806</v>
      </c>
      <c r="F1028" s="19">
        <v>5</v>
      </c>
      <c r="G1028" s="19"/>
      <c r="H1028" s="19">
        <f t="shared" si="33"/>
        <v>0</v>
      </c>
    </row>
    <row r="1029" spans="1:8" ht="33.75">
      <c r="A1029" s="61"/>
      <c r="B1029" s="255" t="s">
        <v>821</v>
      </c>
      <c r="C1029" s="28" t="s">
        <v>822</v>
      </c>
      <c r="D1029" s="28" t="s">
        <v>756</v>
      </c>
      <c r="E1029" s="253">
        <v>0.442</v>
      </c>
      <c r="F1029" s="234">
        <f>E1029*F1017</f>
        <v>125.42192</v>
      </c>
      <c r="G1029" s="29"/>
      <c r="H1029" s="19">
        <f t="shared" si="33"/>
        <v>0</v>
      </c>
    </row>
    <row r="1030" spans="1:8">
      <c r="A1030" s="64"/>
      <c r="B1030" s="22" t="s">
        <v>17</v>
      </c>
      <c r="C1030" s="16" t="s">
        <v>100</v>
      </c>
      <c r="D1030" s="16" t="s">
        <v>3</v>
      </c>
      <c r="E1030" s="17">
        <v>6.54E-2</v>
      </c>
      <c r="F1030" s="18">
        <f>F1017*E1030</f>
        <v>18.557904000000001</v>
      </c>
      <c r="G1030" s="18"/>
      <c r="H1030" s="18">
        <f t="shared" si="33"/>
        <v>0</v>
      </c>
    </row>
    <row r="1031" spans="1:8" ht="72">
      <c r="A1031" s="62" t="s">
        <v>72</v>
      </c>
      <c r="B1031" s="46" t="s">
        <v>695</v>
      </c>
      <c r="C1031" s="10" t="s">
        <v>823</v>
      </c>
      <c r="D1031" s="10" t="s">
        <v>45</v>
      </c>
      <c r="E1031" s="10"/>
      <c r="F1031" s="190">
        <v>104</v>
      </c>
      <c r="G1031" s="10"/>
      <c r="H1031" s="39">
        <f>SUM(H1032:H1039)</f>
        <v>0</v>
      </c>
    </row>
    <row r="1032" spans="1:8">
      <c r="A1032" s="64"/>
      <c r="B1032" s="64" t="s">
        <v>17</v>
      </c>
      <c r="C1032" s="16" t="s">
        <v>28</v>
      </c>
      <c r="D1032" s="16" t="s">
        <v>19</v>
      </c>
      <c r="E1032" s="70">
        <v>1.17</v>
      </c>
      <c r="F1032" s="18">
        <f>F1031*E1032</f>
        <v>121.67999999999999</v>
      </c>
      <c r="G1032" s="16"/>
      <c r="H1032" s="19">
        <f t="shared" ref="H1032:H1039" si="34">F1032*G1032</f>
        <v>0</v>
      </c>
    </row>
    <row r="1033" spans="1:8">
      <c r="A1033" s="64"/>
      <c r="B1033" s="64" t="s">
        <v>17</v>
      </c>
      <c r="C1033" s="16" t="s">
        <v>20</v>
      </c>
      <c r="D1033" s="16" t="s">
        <v>3</v>
      </c>
      <c r="E1033" s="70">
        <v>1.72E-2</v>
      </c>
      <c r="F1033" s="18">
        <f>F1031*E1033</f>
        <v>1.7887999999999999</v>
      </c>
      <c r="G1033" s="17"/>
      <c r="H1033" s="19">
        <f t="shared" si="34"/>
        <v>0</v>
      </c>
    </row>
    <row r="1034" spans="1:8" ht="27">
      <c r="A1034" s="64"/>
      <c r="B1034" s="235" t="s">
        <v>722</v>
      </c>
      <c r="C1034" s="16" t="s">
        <v>824</v>
      </c>
      <c r="D1034" s="16" t="s">
        <v>45</v>
      </c>
      <c r="E1034" s="256">
        <v>0.93899999999999995</v>
      </c>
      <c r="F1034" s="18">
        <f>E1034*F1031</f>
        <v>97.655999999999992</v>
      </c>
      <c r="G1034" s="18"/>
      <c r="H1034" s="19">
        <f t="shared" si="34"/>
        <v>0</v>
      </c>
    </row>
    <row r="1035" spans="1:8">
      <c r="A1035" s="147"/>
      <c r="B1035" s="147" t="s">
        <v>699</v>
      </c>
      <c r="C1035" s="147" t="s">
        <v>715</v>
      </c>
      <c r="D1035" s="147" t="s">
        <v>209</v>
      </c>
      <c r="E1035" s="147">
        <v>0.16</v>
      </c>
      <c r="F1035" s="147">
        <f>E1035*F1031</f>
        <v>16.64</v>
      </c>
      <c r="G1035" s="147"/>
      <c r="H1035" s="257">
        <f t="shared" si="34"/>
        <v>0</v>
      </c>
    </row>
    <row r="1036" spans="1:8">
      <c r="A1036" s="64"/>
      <c r="B1036" s="235" t="s">
        <v>701</v>
      </c>
      <c r="C1036" s="16" t="s">
        <v>717</v>
      </c>
      <c r="D1036" s="16" t="s">
        <v>209</v>
      </c>
      <c r="E1036" s="147">
        <v>0.08</v>
      </c>
      <c r="F1036" s="19">
        <f>E1036*F1031</f>
        <v>8.32</v>
      </c>
      <c r="G1036" s="18"/>
      <c r="H1036" s="257">
        <f t="shared" si="34"/>
        <v>0</v>
      </c>
    </row>
    <row r="1037" spans="1:8">
      <c r="A1037" s="64"/>
      <c r="B1037" s="235" t="s">
        <v>703</v>
      </c>
      <c r="C1037" s="16" t="s">
        <v>704</v>
      </c>
      <c r="D1037" s="16" t="s">
        <v>209</v>
      </c>
      <c r="E1037" s="147">
        <v>0.04</v>
      </c>
      <c r="F1037" s="19">
        <f>E1037*F1031</f>
        <v>4.16</v>
      </c>
      <c r="G1037" s="18"/>
      <c r="H1037" s="257">
        <f t="shared" si="34"/>
        <v>0</v>
      </c>
    </row>
    <row r="1038" spans="1:8" ht="27">
      <c r="A1038" s="64"/>
      <c r="B1038" s="235" t="s">
        <v>719</v>
      </c>
      <c r="C1038" s="16" t="s">
        <v>720</v>
      </c>
      <c r="D1038" s="16" t="s">
        <v>209</v>
      </c>
      <c r="E1038" s="147">
        <v>0.17</v>
      </c>
      <c r="F1038" s="19">
        <f>E1038*F1031</f>
        <v>17.68</v>
      </c>
      <c r="G1038" s="18"/>
      <c r="H1038" s="257">
        <f t="shared" si="34"/>
        <v>0</v>
      </c>
    </row>
    <row r="1039" spans="1:8">
      <c r="A1039" s="64"/>
      <c r="B1039" s="17" t="s">
        <v>17</v>
      </c>
      <c r="C1039" s="16" t="s">
        <v>100</v>
      </c>
      <c r="D1039" s="16" t="s">
        <v>3</v>
      </c>
      <c r="E1039" s="134">
        <v>3.9300000000000002E-2</v>
      </c>
      <c r="F1039" s="18">
        <f>F1031*E1039</f>
        <v>4.0872000000000002</v>
      </c>
      <c r="G1039" s="17"/>
      <c r="H1039" s="19">
        <f t="shared" si="34"/>
        <v>0</v>
      </c>
    </row>
    <row r="1040" spans="1:8" ht="81">
      <c r="A1040" s="62" t="s">
        <v>480</v>
      </c>
      <c r="B1040" s="46" t="s">
        <v>724</v>
      </c>
      <c r="C1040" s="10" t="s">
        <v>825</v>
      </c>
      <c r="D1040" s="10" t="s">
        <v>45</v>
      </c>
      <c r="E1040" s="10"/>
      <c r="F1040" s="190">
        <v>116</v>
      </c>
      <c r="G1040" s="10"/>
      <c r="H1040" s="39">
        <f>SUM(H1041:H1048)</f>
        <v>0</v>
      </c>
    </row>
    <row r="1041" spans="1:8">
      <c r="A1041" s="64"/>
      <c r="B1041" s="64" t="s">
        <v>17</v>
      </c>
      <c r="C1041" s="16" t="s">
        <v>28</v>
      </c>
      <c r="D1041" s="16" t="s">
        <v>19</v>
      </c>
      <c r="E1041" s="70">
        <v>1.56</v>
      </c>
      <c r="F1041" s="18">
        <f>F1040*E1041</f>
        <v>180.96</v>
      </c>
      <c r="G1041" s="16"/>
      <c r="H1041" s="19">
        <f t="shared" ref="H1041:H1048" si="35">F1041*G1041</f>
        <v>0</v>
      </c>
    </row>
    <row r="1042" spans="1:8">
      <c r="A1042" s="64"/>
      <c r="B1042" s="64" t="s">
        <v>17</v>
      </c>
      <c r="C1042" s="16" t="s">
        <v>20</v>
      </c>
      <c r="D1042" s="16" t="s">
        <v>3</v>
      </c>
      <c r="E1042" s="70">
        <v>2.1700000000000001E-2</v>
      </c>
      <c r="F1042" s="18">
        <f>F1040*E1042</f>
        <v>2.5171999999999999</v>
      </c>
      <c r="G1042" s="17"/>
      <c r="H1042" s="19">
        <f t="shared" si="35"/>
        <v>0</v>
      </c>
    </row>
    <row r="1043" spans="1:8" ht="27">
      <c r="A1043" s="64"/>
      <c r="B1043" s="233" t="s">
        <v>826</v>
      </c>
      <c r="C1043" s="16" t="s">
        <v>827</v>
      </c>
      <c r="D1043" s="16" t="s">
        <v>45</v>
      </c>
      <c r="E1043" s="236">
        <v>0.93700000000000006</v>
      </c>
      <c r="F1043" s="18">
        <f>E1043*F1040</f>
        <v>108.69200000000001</v>
      </c>
      <c r="G1043" s="18"/>
      <c r="H1043" s="19">
        <f t="shared" si="35"/>
        <v>0</v>
      </c>
    </row>
    <row r="1044" spans="1:8">
      <c r="A1044" s="234"/>
      <c r="B1044" s="234" t="s">
        <v>728</v>
      </c>
      <c r="C1044" s="147" t="s">
        <v>729</v>
      </c>
      <c r="D1044" s="147" t="s">
        <v>209</v>
      </c>
      <c r="E1044" s="234">
        <v>0.16</v>
      </c>
      <c r="F1044" s="147">
        <f>E1044*F1040</f>
        <v>18.559999999999999</v>
      </c>
      <c r="G1044" s="234"/>
      <c r="H1044" s="257">
        <f t="shared" si="35"/>
        <v>0</v>
      </c>
    </row>
    <row r="1045" spans="1:8">
      <c r="A1045" s="64"/>
      <c r="B1045" s="233" t="s">
        <v>730</v>
      </c>
      <c r="C1045" s="16" t="s">
        <v>731</v>
      </c>
      <c r="D1045" s="16" t="s">
        <v>209</v>
      </c>
      <c r="E1045" s="234">
        <v>7.0000000000000007E-2</v>
      </c>
      <c r="F1045" s="19">
        <f>E1045*F1040</f>
        <v>8.120000000000001</v>
      </c>
      <c r="G1045" s="19"/>
      <c r="H1045" s="257">
        <f t="shared" si="35"/>
        <v>0</v>
      </c>
    </row>
    <row r="1046" spans="1:8">
      <c r="A1046" s="64"/>
      <c r="B1046" s="233" t="s">
        <v>718</v>
      </c>
      <c r="C1046" s="16" t="s">
        <v>704</v>
      </c>
      <c r="D1046" s="16" t="s">
        <v>209</v>
      </c>
      <c r="E1046" s="234">
        <v>0.04</v>
      </c>
      <c r="F1046" s="19">
        <f>E1046*F1040</f>
        <v>4.6399999999999997</v>
      </c>
      <c r="G1046" s="19"/>
      <c r="H1046" s="257">
        <f t="shared" si="35"/>
        <v>0</v>
      </c>
    </row>
    <row r="1047" spans="1:8" ht="27">
      <c r="A1047" s="64"/>
      <c r="B1047" s="233" t="s">
        <v>732</v>
      </c>
      <c r="C1047" s="16" t="s">
        <v>733</v>
      </c>
      <c r="D1047" s="16" t="s">
        <v>209</v>
      </c>
      <c r="E1047" s="234">
        <v>0.14000000000000001</v>
      </c>
      <c r="F1047" s="19">
        <f>E1047*F1040</f>
        <v>16.240000000000002</v>
      </c>
      <c r="G1047" s="19"/>
      <c r="H1047" s="257">
        <f t="shared" si="35"/>
        <v>0</v>
      </c>
    </row>
    <row r="1048" spans="1:8">
      <c r="A1048" s="64"/>
      <c r="B1048" s="17" t="s">
        <v>17</v>
      </c>
      <c r="C1048" s="16" t="s">
        <v>100</v>
      </c>
      <c r="D1048" s="16" t="s">
        <v>3</v>
      </c>
      <c r="E1048" s="134">
        <v>7.0800000000000002E-2</v>
      </c>
      <c r="F1048" s="18">
        <f>F1040*E1048</f>
        <v>8.2127999999999997</v>
      </c>
      <c r="G1048" s="17"/>
      <c r="H1048" s="19">
        <f t="shared" si="35"/>
        <v>0</v>
      </c>
    </row>
    <row r="1049" spans="1:8" ht="72">
      <c r="A1049" s="62" t="s">
        <v>327</v>
      </c>
      <c r="B1049" s="46" t="s">
        <v>828</v>
      </c>
      <c r="C1049" s="10" t="s">
        <v>829</v>
      </c>
      <c r="D1049" s="10" t="s">
        <v>45</v>
      </c>
      <c r="E1049" s="10"/>
      <c r="F1049" s="190">
        <v>548</v>
      </c>
      <c r="G1049" s="10"/>
      <c r="H1049" s="39">
        <f>SUM(H1050:H1057)</f>
        <v>0</v>
      </c>
    </row>
    <row r="1050" spans="1:8">
      <c r="A1050" s="64"/>
      <c r="B1050" s="64" t="s">
        <v>17</v>
      </c>
      <c r="C1050" s="16" t="s">
        <v>28</v>
      </c>
      <c r="D1050" s="16" t="s">
        <v>19</v>
      </c>
      <c r="E1050" s="70">
        <v>1.35</v>
      </c>
      <c r="F1050" s="18">
        <f>F1049*E1050</f>
        <v>739.80000000000007</v>
      </c>
      <c r="G1050" s="16"/>
      <c r="H1050" s="19">
        <f t="shared" ref="H1050:H1057" si="36">F1050*G1050</f>
        <v>0</v>
      </c>
    </row>
    <row r="1051" spans="1:8">
      <c r="A1051" s="64"/>
      <c r="B1051" s="64" t="s">
        <v>17</v>
      </c>
      <c r="C1051" s="16" t="s">
        <v>20</v>
      </c>
      <c r="D1051" s="16" t="s">
        <v>3</v>
      </c>
      <c r="E1051" s="70">
        <v>3.1399999999999997E-2</v>
      </c>
      <c r="F1051" s="18">
        <f>F1049*E1051</f>
        <v>17.2072</v>
      </c>
      <c r="G1051" s="17"/>
      <c r="H1051" s="19">
        <f t="shared" si="36"/>
        <v>0</v>
      </c>
    </row>
    <row r="1052" spans="1:8" ht="27">
      <c r="A1052" s="64"/>
      <c r="B1052" s="233" t="s">
        <v>830</v>
      </c>
      <c r="C1052" s="16" t="s">
        <v>831</v>
      </c>
      <c r="D1052" s="16" t="s">
        <v>45</v>
      </c>
      <c r="E1052" s="236">
        <v>0.94599999999999995</v>
      </c>
      <c r="F1052" s="18">
        <f>E1052*F1049</f>
        <v>518.40800000000002</v>
      </c>
      <c r="G1052" s="18"/>
      <c r="H1052" s="19">
        <f t="shared" si="36"/>
        <v>0</v>
      </c>
    </row>
    <row r="1053" spans="1:8">
      <c r="A1053" s="234"/>
      <c r="B1053" s="234" t="s">
        <v>832</v>
      </c>
      <c r="C1053" s="147" t="s">
        <v>833</v>
      </c>
      <c r="D1053" s="147" t="s">
        <v>209</v>
      </c>
      <c r="E1053" s="234">
        <v>0.16</v>
      </c>
      <c r="F1053" s="147">
        <f>E1053*F1049</f>
        <v>87.68</v>
      </c>
      <c r="G1053" s="234"/>
      <c r="H1053" s="257">
        <f t="shared" si="36"/>
        <v>0</v>
      </c>
    </row>
    <row r="1054" spans="1:8">
      <c r="A1054" s="64"/>
      <c r="B1054" s="233" t="s">
        <v>834</v>
      </c>
      <c r="C1054" s="16" t="s">
        <v>835</v>
      </c>
      <c r="D1054" s="16" t="s">
        <v>209</v>
      </c>
      <c r="E1054" s="234">
        <v>0.05</v>
      </c>
      <c r="F1054" s="19">
        <f>E1054*F1049</f>
        <v>27.400000000000002</v>
      </c>
      <c r="G1054" s="19"/>
      <c r="H1054" s="257">
        <f t="shared" si="36"/>
        <v>0</v>
      </c>
    </row>
    <row r="1055" spans="1:8">
      <c r="A1055" s="64"/>
      <c r="B1055" s="233" t="s">
        <v>836</v>
      </c>
      <c r="C1055" s="16" t="s">
        <v>704</v>
      </c>
      <c r="D1055" s="16" t="s">
        <v>209</v>
      </c>
      <c r="E1055" s="234">
        <v>0.04</v>
      </c>
      <c r="F1055" s="19">
        <f>E1055*F1049</f>
        <v>21.92</v>
      </c>
      <c r="G1055" s="19"/>
      <c r="H1055" s="257">
        <f t="shared" si="36"/>
        <v>0</v>
      </c>
    </row>
    <row r="1056" spans="1:8" ht="27">
      <c r="A1056" s="64"/>
      <c r="B1056" s="233" t="s">
        <v>837</v>
      </c>
      <c r="C1056" s="16" t="s">
        <v>838</v>
      </c>
      <c r="D1056" s="16" t="s">
        <v>209</v>
      </c>
      <c r="E1056" s="234">
        <v>0.08</v>
      </c>
      <c r="F1056" s="19">
        <f>E1056*F1049</f>
        <v>43.84</v>
      </c>
      <c r="G1056" s="19"/>
      <c r="H1056" s="257">
        <f t="shared" si="36"/>
        <v>0</v>
      </c>
    </row>
    <row r="1057" spans="1:8">
      <c r="A1057" s="64"/>
      <c r="B1057" s="17" t="s">
        <v>17</v>
      </c>
      <c r="C1057" s="16" t="s">
        <v>100</v>
      </c>
      <c r="D1057" s="16" t="s">
        <v>3</v>
      </c>
      <c r="E1057" s="134">
        <v>6.5199999999999994E-2</v>
      </c>
      <c r="F1057" s="18">
        <f>F1049*E1057</f>
        <v>35.729599999999998</v>
      </c>
      <c r="G1057" s="17"/>
      <c r="H1057" s="19">
        <f t="shared" si="36"/>
        <v>0</v>
      </c>
    </row>
    <row r="1058" spans="1:8" ht="72">
      <c r="A1058" s="62" t="s">
        <v>82</v>
      </c>
      <c r="B1058" s="46" t="s">
        <v>828</v>
      </c>
      <c r="C1058" s="10" t="s">
        <v>839</v>
      </c>
      <c r="D1058" s="10" t="s">
        <v>45</v>
      </c>
      <c r="E1058" s="10"/>
      <c r="F1058" s="190">
        <v>112</v>
      </c>
      <c r="G1058" s="10"/>
      <c r="H1058" s="39">
        <f>SUM(H1059:H1066)</f>
        <v>0</v>
      </c>
    </row>
    <row r="1059" spans="1:8">
      <c r="A1059" s="64"/>
      <c r="B1059" s="64" t="s">
        <v>17</v>
      </c>
      <c r="C1059" s="16" t="s">
        <v>28</v>
      </c>
      <c r="D1059" s="16" t="s">
        <v>19</v>
      </c>
      <c r="E1059" s="70">
        <v>1.35</v>
      </c>
      <c r="F1059" s="18">
        <f>F1058*E1059</f>
        <v>151.20000000000002</v>
      </c>
      <c r="G1059" s="16"/>
      <c r="H1059" s="19">
        <f t="shared" ref="H1059:H1066" si="37">F1059*G1059</f>
        <v>0</v>
      </c>
    </row>
    <row r="1060" spans="1:8">
      <c r="A1060" s="64"/>
      <c r="B1060" s="64" t="s">
        <v>17</v>
      </c>
      <c r="C1060" s="16" t="s">
        <v>20</v>
      </c>
      <c r="D1060" s="16" t="s">
        <v>3</v>
      </c>
      <c r="E1060" s="70">
        <v>3.1399999999999997E-2</v>
      </c>
      <c r="F1060" s="18">
        <f>F1058*E1060</f>
        <v>3.5167999999999999</v>
      </c>
      <c r="G1060" s="17"/>
      <c r="H1060" s="19">
        <f t="shared" si="37"/>
        <v>0</v>
      </c>
    </row>
    <row r="1061" spans="1:8" ht="27">
      <c r="A1061" s="64"/>
      <c r="B1061" s="233" t="s">
        <v>840</v>
      </c>
      <c r="C1061" s="16" t="s">
        <v>841</v>
      </c>
      <c r="D1061" s="16" t="s">
        <v>45</v>
      </c>
      <c r="E1061" s="236">
        <v>0.94599999999999995</v>
      </c>
      <c r="F1061" s="18">
        <f>E1061*F1058</f>
        <v>105.952</v>
      </c>
      <c r="G1061" s="18"/>
      <c r="H1061" s="19">
        <f t="shared" si="37"/>
        <v>0</v>
      </c>
    </row>
    <row r="1062" spans="1:8">
      <c r="A1062" s="234"/>
      <c r="B1062" s="234" t="s">
        <v>842</v>
      </c>
      <c r="C1062" s="147" t="s">
        <v>843</v>
      </c>
      <c r="D1062" s="147" t="s">
        <v>209</v>
      </c>
      <c r="E1062" s="234">
        <v>0.16</v>
      </c>
      <c r="F1062" s="147">
        <f>E1062*F1058</f>
        <v>17.920000000000002</v>
      </c>
      <c r="G1062" s="234"/>
      <c r="H1062" s="257">
        <f t="shared" si="37"/>
        <v>0</v>
      </c>
    </row>
    <row r="1063" spans="1:8">
      <c r="A1063" s="64"/>
      <c r="B1063" s="233" t="s">
        <v>844</v>
      </c>
      <c r="C1063" s="16" t="s">
        <v>845</v>
      </c>
      <c r="D1063" s="16" t="s">
        <v>209</v>
      </c>
      <c r="E1063" s="234">
        <v>0.05</v>
      </c>
      <c r="F1063" s="19">
        <f>E1063*F1058</f>
        <v>5.6000000000000005</v>
      </c>
      <c r="G1063" s="19"/>
      <c r="H1063" s="257">
        <f t="shared" si="37"/>
        <v>0</v>
      </c>
    </row>
    <row r="1064" spans="1:8">
      <c r="A1064" s="64"/>
      <c r="B1064" s="233" t="s">
        <v>846</v>
      </c>
      <c r="C1064" s="16" t="s">
        <v>704</v>
      </c>
      <c r="D1064" s="16" t="s">
        <v>209</v>
      </c>
      <c r="E1064" s="234">
        <v>0.04</v>
      </c>
      <c r="F1064" s="19">
        <f>E1064*F1058</f>
        <v>4.4800000000000004</v>
      </c>
      <c r="G1064" s="19"/>
      <c r="H1064" s="257">
        <f t="shared" si="37"/>
        <v>0</v>
      </c>
    </row>
    <row r="1065" spans="1:8" ht="27">
      <c r="A1065" s="64"/>
      <c r="B1065" s="233" t="s">
        <v>847</v>
      </c>
      <c r="C1065" s="16" t="s">
        <v>848</v>
      </c>
      <c r="D1065" s="16" t="s">
        <v>209</v>
      </c>
      <c r="E1065" s="234">
        <v>0.08</v>
      </c>
      <c r="F1065" s="19">
        <f>E1065*F1058</f>
        <v>8.9600000000000009</v>
      </c>
      <c r="G1065" s="19"/>
      <c r="H1065" s="257">
        <f t="shared" si="37"/>
        <v>0</v>
      </c>
    </row>
    <row r="1066" spans="1:8">
      <c r="A1066" s="64"/>
      <c r="B1066" s="17" t="s">
        <v>17</v>
      </c>
      <c r="C1066" s="16" t="s">
        <v>100</v>
      </c>
      <c r="D1066" s="16" t="s">
        <v>3</v>
      </c>
      <c r="E1066" s="134">
        <v>6.5199999999999994E-2</v>
      </c>
      <c r="F1066" s="18">
        <f>F1058*E1066</f>
        <v>7.3023999999999996</v>
      </c>
      <c r="G1066" s="17"/>
      <c r="H1066" s="19">
        <f t="shared" si="37"/>
        <v>0</v>
      </c>
    </row>
    <row r="1067" spans="1:8" ht="72">
      <c r="A1067" s="62" t="s">
        <v>88</v>
      </c>
      <c r="B1067" s="46" t="s">
        <v>849</v>
      </c>
      <c r="C1067" s="10" t="s">
        <v>850</v>
      </c>
      <c r="D1067" s="10" t="s">
        <v>45</v>
      </c>
      <c r="E1067" s="10"/>
      <c r="F1067" s="190">
        <v>28</v>
      </c>
      <c r="G1067" s="10"/>
      <c r="H1067" s="39">
        <f>SUM(H1068:H1073)</f>
        <v>0</v>
      </c>
    </row>
    <row r="1068" spans="1:8">
      <c r="A1068" s="64"/>
      <c r="B1068" s="64" t="s">
        <v>17</v>
      </c>
      <c r="C1068" s="16" t="s">
        <v>28</v>
      </c>
      <c r="D1068" s="16" t="s">
        <v>19</v>
      </c>
      <c r="E1068" s="70">
        <v>1.57</v>
      </c>
      <c r="F1068" s="18">
        <f>F1067*E1068</f>
        <v>43.96</v>
      </c>
      <c r="G1068" s="16"/>
      <c r="H1068" s="19">
        <f t="shared" ref="H1068:H1073" si="38">F1068*G1068</f>
        <v>0</v>
      </c>
    </row>
    <row r="1069" spans="1:8">
      <c r="A1069" s="64"/>
      <c r="B1069" s="64" t="s">
        <v>17</v>
      </c>
      <c r="C1069" s="16" t="s">
        <v>20</v>
      </c>
      <c r="D1069" s="16" t="s">
        <v>3</v>
      </c>
      <c r="E1069" s="70">
        <v>5.2499999999999998E-2</v>
      </c>
      <c r="F1069" s="18">
        <f>F1067*E1069</f>
        <v>1.47</v>
      </c>
      <c r="G1069" s="17"/>
      <c r="H1069" s="19">
        <f t="shared" si="38"/>
        <v>0</v>
      </c>
    </row>
    <row r="1070" spans="1:8" ht="27">
      <c r="A1070" s="64"/>
      <c r="B1070" s="233" t="s">
        <v>851</v>
      </c>
      <c r="C1070" s="16" t="s">
        <v>852</v>
      </c>
      <c r="D1070" s="16" t="s">
        <v>45</v>
      </c>
      <c r="E1070" s="236">
        <v>0.94599999999999995</v>
      </c>
      <c r="F1070" s="18">
        <f>E1070*F1067</f>
        <v>26.488</v>
      </c>
      <c r="G1070" s="18"/>
      <c r="H1070" s="19">
        <f t="shared" si="38"/>
        <v>0</v>
      </c>
    </row>
    <row r="1071" spans="1:8">
      <c r="A1071" s="64"/>
      <c r="B1071" s="233" t="s">
        <v>853</v>
      </c>
      <c r="C1071" s="16" t="s">
        <v>704</v>
      </c>
      <c r="D1071" s="16" t="s">
        <v>209</v>
      </c>
      <c r="E1071" s="234">
        <v>0.03</v>
      </c>
      <c r="F1071" s="147">
        <f>E1071*F1067</f>
        <v>0.84</v>
      </c>
      <c r="G1071" s="19"/>
      <c r="H1071" s="257">
        <f t="shared" si="38"/>
        <v>0</v>
      </c>
    </row>
    <row r="1072" spans="1:8" ht="27">
      <c r="A1072" s="64"/>
      <c r="B1072" s="233" t="s">
        <v>854</v>
      </c>
      <c r="C1072" s="16" t="s">
        <v>855</v>
      </c>
      <c r="D1072" s="16" t="s">
        <v>209</v>
      </c>
      <c r="E1072" s="234">
        <v>7.0000000000000007E-2</v>
      </c>
      <c r="F1072" s="19">
        <f>E1072*F1067</f>
        <v>1.9600000000000002</v>
      </c>
      <c r="G1072" s="19"/>
      <c r="H1072" s="257">
        <f t="shared" si="38"/>
        <v>0</v>
      </c>
    </row>
    <row r="1073" spans="1:8">
      <c r="A1073" s="64"/>
      <c r="B1073" s="17" t="s">
        <v>17</v>
      </c>
      <c r="C1073" s="16" t="s">
        <v>100</v>
      </c>
      <c r="D1073" s="16" t="s">
        <v>3</v>
      </c>
      <c r="E1073" s="134">
        <v>4.7800000000000002E-2</v>
      </c>
      <c r="F1073" s="18">
        <f>F1067*E1073</f>
        <v>1.3384</v>
      </c>
      <c r="G1073" s="17"/>
      <c r="H1073" s="19">
        <f t="shared" si="38"/>
        <v>0</v>
      </c>
    </row>
    <row r="1074" spans="1:8" ht="48">
      <c r="A1074" s="68" t="s">
        <v>95</v>
      </c>
      <c r="B1074" s="9" t="s">
        <v>734</v>
      </c>
      <c r="C1074" s="20" t="s">
        <v>856</v>
      </c>
      <c r="D1074" s="26" t="s">
        <v>209</v>
      </c>
      <c r="E1074" s="20"/>
      <c r="F1074" s="60">
        <v>12</v>
      </c>
      <c r="G1074" s="20"/>
      <c r="H1074" s="39">
        <f>SUM(H1075:H1078)</f>
        <v>0</v>
      </c>
    </row>
    <row r="1075" spans="1:8">
      <c r="A1075" s="61"/>
      <c r="B1075" s="61" t="s">
        <v>17</v>
      </c>
      <c r="C1075" s="28" t="s">
        <v>28</v>
      </c>
      <c r="D1075" s="28" t="s">
        <v>19</v>
      </c>
      <c r="E1075" s="28">
        <v>1.51</v>
      </c>
      <c r="F1075" s="19">
        <f>F1074*E1075</f>
        <v>18.12</v>
      </c>
      <c r="G1075" s="28"/>
      <c r="H1075" s="19">
        <f>F1075*G1075</f>
        <v>0</v>
      </c>
    </row>
    <row r="1076" spans="1:8">
      <c r="A1076" s="61"/>
      <c r="B1076" s="61" t="s">
        <v>17</v>
      </c>
      <c r="C1076" s="28" t="s">
        <v>20</v>
      </c>
      <c r="D1076" s="28" t="s">
        <v>3</v>
      </c>
      <c r="E1076" s="135">
        <v>0.13</v>
      </c>
      <c r="F1076" s="19">
        <f>F1074*E1076</f>
        <v>1.56</v>
      </c>
      <c r="G1076" s="29"/>
      <c r="H1076" s="19">
        <f>F1076*G1076</f>
        <v>0</v>
      </c>
    </row>
    <row r="1077" spans="1:8">
      <c r="A1077" s="61"/>
      <c r="B1077" s="61" t="s">
        <v>857</v>
      </c>
      <c r="C1077" s="28" t="s">
        <v>858</v>
      </c>
      <c r="D1077" s="28" t="s">
        <v>209</v>
      </c>
      <c r="E1077" s="237">
        <v>1</v>
      </c>
      <c r="F1077" s="19">
        <f>E1077*F1074</f>
        <v>12</v>
      </c>
      <c r="G1077" s="29"/>
      <c r="H1077" s="19">
        <f>F1077*G1077</f>
        <v>0</v>
      </c>
    </row>
    <row r="1078" spans="1:8">
      <c r="A1078" s="61"/>
      <c r="B1078" s="29" t="s">
        <v>17</v>
      </c>
      <c r="C1078" s="28" t="s">
        <v>100</v>
      </c>
      <c r="D1078" s="28" t="s">
        <v>3</v>
      </c>
      <c r="E1078" s="29">
        <v>7.0000000000000007E-2</v>
      </c>
      <c r="F1078" s="19">
        <f>F1074*E1078</f>
        <v>0.84000000000000008</v>
      </c>
      <c r="G1078" s="29"/>
      <c r="H1078" s="19">
        <f>F1078*G1078</f>
        <v>0</v>
      </c>
    </row>
    <row r="1079" spans="1:8" ht="48">
      <c r="A1079" s="68" t="s">
        <v>101</v>
      </c>
      <c r="B1079" s="9" t="s">
        <v>859</v>
      </c>
      <c r="C1079" s="20" t="s">
        <v>860</v>
      </c>
      <c r="D1079" s="26" t="s">
        <v>209</v>
      </c>
      <c r="E1079" s="20"/>
      <c r="F1079" s="60">
        <v>2</v>
      </c>
      <c r="G1079" s="20"/>
      <c r="H1079" s="39">
        <f>SUM(H1080:H1083)</f>
        <v>0</v>
      </c>
    </row>
    <row r="1080" spans="1:8">
      <c r="A1080" s="61"/>
      <c r="B1080" s="61" t="s">
        <v>17</v>
      </c>
      <c r="C1080" s="28" t="s">
        <v>28</v>
      </c>
      <c r="D1080" s="28" t="s">
        <v>19</v>
      </c>
      <c r="E1080" s="28">
        <v>2.67</v>
      </c>
      <c r="F1080" s="19">
        <f>F1079*E1080</f>
        <v>5.34</v>
      </c>
      <c r="G1080" s="28"/>
      <c r="H1080" s="19">
        <f>F1080*G1080</f>
        <v>0</v>
      </c>
    </row>
    <row r="1081" spans="1:8">
      <c r="A1081" s="61"/>
      <c r="B1081" s="61" t="s">
        <v>17</v>
      </c>
      <c r="C1081" s="28" t="s">
        <v>20</v>
      </c>
      <c r="D1081" s="28" t="s">
        <v>3</v>
      </c>
      <c r="E1081" s="135">
        <v>0.28999999999999998</v>
      </c>
      <c r="F1081" s="19">
        <f>F1079*E1081</f>
        <v>0.57999999999999996</v>
      </c>
      <c r="G1081" s="29"/>
      <c r="H1081" s="19">
        <f>F1081*G1081</f>
        <v>0</v>
      </c>
    </row>
    <row r="1082" spans="1:8">
      <c r="A1082" s="61"/>
      <c r="B1082" s="61" t="s">
        <v>861</v>
      </c>
      <c r="C1082" s="28" t="s">
        <v>862</v>
      </c>
      <c r="D1082" s="28" t="s">
        <v>209</v>
      </c>
      <c r="E1082" s="237">
        <v>1</v>
      </c>
      <c r="F1082" s="19">
        <f>E1082*F1079</f>
        <v>2</v>
      </c>
      <c r="G1082" s="29"/>
      <c r="H1082" s="19">
        <f>F1082*G1082</f>
        <v>0</v>
      </c>
    </row>
    <row r="1083" spans="1:8">
      <c r="A1083" s="61"/>
      <c r="B1083" s="29" t="s">
        <v>17</v>
      </c>
      <c r="C1083" s="28" t="s">
        <v>100</v>
      </c>
      <c r="D1083" s="28" t="s">
        <v>3</v>
      </c>
      <c r="E1083" s="29">
        <v>0.27</v>
      </c>
      <c r="F1083" s="19">
        <f>F1079*E1083</f>
        <v>0.54</v>
      </c>
      <c r="G1083" s="29"/>
      <c r="H1083" s="19">
        <f>F1083*G1083</f>
        <v>0</v>
      </c>
    </row>
    <row r="1084" spans="1:8" ht="48">
      <c r="A1084" s="68" t="s">
        <v>42</v>
      </c>
      <c r="B1084" s="9" t="s">
        <v>859</v>
      </c>
      <c r="C1084" s="20" t="s">
        <v>863</v>
      </c>
      <c r="D1084" s="26" t="s">
        <v>209</v>
      </c>
      <c r="E1084" s="20"/>
      <c r="F1084" s="60">
        <v>2</v>
      </c>
      <c r="G1084" s="20"/>
      <c r="H1084" s="39">
        <f>SUM(H1085:H1088)</f>
        <v>0</v>
      </c>
    </row>
    <row r="1085" spans="1:8">
      <c r="A1085" s="61"/>
      <c r="B1085" s="61" t="s">
        <v>17</v>
      </c>
      <c r="C1085" s="28" t="s">
        <v>28</v>
      </c>
      <c r="D1085" s="28" t="s">
        <v>19</v>
      </c>
      <c r="E1085" s="28">
        <v>2.67</v>
      </c>
      <c r="F1085" s="19">
        <f>F1084*E1085</f>
        <v>5.34</v>
      </c>
      <c r="G1085" s="28"/>
      <c r="H1085" s="19">
        <f>F1085*G1085</f>
        <v>0</v>
      </c>
    </row>
    <row r="1086" spans="1:8">
      <c r="A1086" s="61"/>
      <c r="B1086" s="61" t="s">
        <v>17</v>
      </c>
      <c r="C1086" s="28" t="s">
        <v>20</v>
      </c>
      <c r="D1086" s="28" t="s">
        <v>3</v>
      </c>
      <c r="E1086" s="135">
        <v>0.28999999999999998</v>
      </c>
      <c r="F1086" s="19">
        <f>F1084*E1086</f>
        <v>0.57999999999999996</v>
      </c>
      <c r="G1086" s="29"/>
      <c r="H1086" s="19">
        <f>F1086*G1086</f>
        <v>0</v>
      </c>
    </row>
    <row r="1087" spans="1:8">
      <c r="A1087" s="61"/>
      <c r="B1087" s="61" t="s">
        <v>864</v>
      </c>
      <c r="C1087" s="28" t="s">
        <v>865</v>
      </c>
      <c r="D1087" s="28" t="s">
        <v>209</v>
      </c>
      <c r="E1087" s="237">
        <v>1</v>
      </c>
      <c r="F1087" s="19">
        <f>E1087*F1084</f>
        <v>2</v>
      </c>
      <c r="G1087" s="29"/>
      <c r="H1087" s="19">
        <f>F1087*G1087</f>
        <v>0</v>
      </c>
    </row>
    <row r="1088" spans="1:8">
      <c r="A1088" s="61"/>
      <c r="B1088" s="29" t="s">
        <v>17</v>
      </c>
      <c r="C1088" s="28" t="s">
        <v>100</v>
      </c>
      <c r="D1088" s="28" t="s">
        <v>3</v>
      </c>
      <c r="E1088" s="29">
        <v>0.27</v>
      </c>
      <c r="F1088" s="19">
        <f>F1084*E1088</f>
        <v>0.54</v>
      </c>
      <c r="G1088" s="29"/>
      <c r="H1088" s="19">
        <f>F1088*G1088</f>
        <v>0</v>
      </c>
    </row>
    <row r="1089" spans="1:8" ht="48">
      <c r="A1089" s="62" t="s">
        <v>124</v>
      </c>
      <c r="B1089" s="46" t="s">
        <v>734</v>
      </c>
      <c r="C1089" s="10" t="s">
        <v>866</v>
      </c>
      <c r="D1089" s="10" t="s">
        <v>209</v>
      </c>
      <c r="E1089" s="10"/>
      <c r="F1089" s="69">
        <v>95</v>
      </c>
      <c r="G1089" s="76"/>
      <c r="H1089" s="39">
        <f>H1090+H1091+H1092+H1093</f>
        <v>0</v>
      </c>
    </row>
    <row r="1090" spans="1:8">
      <c r="A1090" s="64"/>
      <c r="B1090" s="16" t="s">
        <v>17</v>
      </c>
      <c r="C1090" s="16" t="s">
        <v>28</v>
      </c>
      <c r="D1090" s="16" t="s">
        <v>19</v>
      </c>
      <c r="E1090" s="70">
        <v>1.51</v>
      </c>
      <c r="F1090" s="18">
        <f>F1089*E1090</f>
        <v>143.44999999999999</v>
      </c>
      <c r="G1090" s="43"/>
      <c r="H1090" s="19">
        <f>F1090*G1090</f>
        <v>0</v>
      </c>
    </row>
    <row r="1091" spans="1:8">
      <c r="A1091" s="64"/>
      <c r="B1091" s="16" t="s">
        <v>17</v>
      </c>
      <c r="C1091" s="16" t="s">
        <v>31</v>
      </c>
      <c r="D1091" s="16" t="s">
        <v>3</v>
      </c>
      <c r="E1091" s="70">
        <v>0.13</v>
      </c>
      <c r="F1091" s="18">
        <f>F1089*E1091</f>
        <v>12.35</v>
      </c>
      <c r="G1091" s="18"/>
      <c r="H1091" s="19">
        <f>F1091*G1091</f>
        <v>0</v>
      </c>
    </row>
    <row r="1092" spans="1:8">
      <c r="A1092" s="64"/>
      <c r="B1092" s="154" t="s">
        <v>867</v>
      </c>
      <c r="C1092" s="16" t="s">
        <v>868</v>
      </c>
      <c r="D1092" s="16" t="s">
        <v>209</v>
      </c>
      <c r="E1092" s="17">
        <v>1</v>
      </c>
      <c r="F1092" s="222">
        <f>E1092*F1089</f>
        <v>95</v>
      </c>
      <c r="G1092" s="18"/>
      <c r="H1092" s="18">
        <f>F1092*G1092</f>
        <v>0</v>
      </c>
    </row>
    <row r="1093" spans="1:8">
      <c r="A1093" s="64"/>
      <c r="B1093" s="16" t="s">
        <v>17</v>
      </c>
      <c r="C1093" s="16" t="s">
        <v>777</v>
      </c>
      <c r="D1093" s="16" t="s">
        <v>3</v>
      </c>
      <c r="E1093" s="134">
        <v>7.0000000000000007E-2</v>
      </c>
      <c r="F1093" s="18">
        <f>F1089*E1093</f>
        <v>6.65</v>
      </c>
      <c r="G1093" s="18"/>
      <c r="H1093" s="19">
        <f>F1093*G1093</f>
        <v>0</v>
      </c>
    </row>
    <row r="1094" spans="1:8" ht="48">
      <c r="A1094" s="62" t="s">
        <v>127</v>
      </c>
      <c r="B1094" s="46" t="s">
        <v>734</v>
      </c>
      <c r="C1094" s="10" t="s">
        <v>869</v>
      </c>
      <c r="D1094" s="10" t="s">
        <v>209</v>
      </c>
      <c r="E1094" s="10"/>
      <c r="F1094" s="69">
        <v>95</v>
      </c>
      <c r="G1094" s="76"/>
      <c r="H1094" s="39">
        <f>H1095+H1096+H1097+H1098</f>
        <v>0</v>
      </c>
    </row>
    <row r="1095" spans="1:8">
      <c r="A1095" s="64"/>
      <c r="B1095" s="16" t="s">
        <v>17</v>
      </c>
      <c r="C1095" s="16" t="s">
        <v>28</v>
      </c>
      <c r="D1095" s="16" t="s">
        <v>19</v>
      </c>
      <c r="E1095" s="70">
        <v>1.51</v>
      </c>
      <c r="F1095" s="18">
        <f>F1094*E1095</f>
        <v>143.44999999999999</v>
      </c>
      <c r="G1095" s="43"/>
      <c r="H1095" s="19">
        <f>F1095*G1095</f>
        <v>0</v>
      </c>
    </row>
    <row r="1096" spans="1:8">
      <c r="A1096" s="64"/>
      <c r="B1096" s="16" t="s">
        <v>17</v>
      </c>
      <c r="C1096" s="16" t="s">
        <v>31</v>
      </c>
      <c r="D1096" s="16" t="s">
        <v>3</v>
      </c>
      <c r="E1096" s="70">
        <v>0.13</v>
      </c>
      <c r="F1096" s="18">
        <f>F1094*E1096</f>
        <v>12.35</v>
      </c>
      <c r="G1096" s="18"/>
      <c r="H1096" s="19">
        <f>F1096*G1096</f>
        <v>0</v>
      </c>
    </row>
    <row r="1097" spans="1:8">
      <c r="A1097" s="64"/>
      <c r="B1097" s="154" t="s">
        <v>870</v>
      </c>
      <c r="C1097" s="16" t="s">
        <v>871</v>
      </c>
      <c r="D1097" s="16" t="s">
        <v>209</v>
      </c>
      <c r="E1097" s="17">
        <v>1</v>
      </c>
      <c r="F1097" s="178">
        <f>E1097*F1094</f>
        <v>95</v>
      </c>
      <c r="G1097" s="18"/>
      <c r="H1097" s="18">
        <f>F1097*G1097</f>
        <v>0</v>
      </c>
    </row>
    <row r="1098" spans="1:8">
      <c r="A1098" s="64"/>
      <c r="B1098" s="16" t="s">
        <v>17</v>
      </c>
      <c r="C1098" s="16" t="s">
        <v>777</v>
      </c>
      <c r="D1098" s="16" t="s">
        <v>3</v>
      </c>
      <c r="E1098" s="134">
        <v>7.0000000000000007E-2</v>
      </c>
      <c r="F1098" s="18">
        <f>F1094*E1098</f>
        <v>6.65</v>
      </c>
      <c r="G1098" s="18"/>
      <c r="H1098" s="19">
        <f>F1098*G1098</f>
        <v>0</v>
      </c>
    </row>
    <row r="1099" spans="1:8" ht="60">
      <c r="A1099" s="258" t="s">
        <v>132</v>
      </c>
      <c r="B1099" s="46" t="s">
        <v>872</v>
      </c>
      <c r="C1099" s="258" t="s">
        <v>873</v>
      </c>
      <c r="D1099" s="258" t="s">
        <v>874</v>
      </c>
      <c r="E1099" s="259"/>
      <c r="F1099" s="260">
        <v>116</v>
      </c>
      <c r="G1099" s="259"/>
      <c r="H1099" s="261">
        <f>H1100+H1102+H1103+H1101</f>
        <v>0</v>
      </c>
    </row>
    <row r="1100" spans="1:8">
      <c r="A1100" s="262"/>
      <c r="B1100" s="263" t="s">
        <v>17</v>
      </c>
      <c r="C1100" s="263" t="s">
        <v>752</v>
      </c>
      <c r="D1100" s="263" t="s">
        <v>19</v>
      </c>
      <c r="E1100" s="264">
        <v>8.6099999999999996E-2</v>
      </c>
      <c r="F1100" s="265">
        <f>E1100*F1099</f>
        <v>9.9875999999999987</v>
      </c>
      <c r="G1100" s="262"/>
      <c r="H1100" s="266">
        <f>F1100*G1100</f>
        <v>0</v>
      </c>
    </row>
    <row r="1101" spans="1:8">
      <c r="A1101" s="262"/>
      <c r="B1101" s="263" t="s">
        <v>17</v>
      </c>
      <c r="C1101" s="263" t="s">
        <v>244</v>
      </c>
      <c r="D1101" s="16" t="s">
        <v>3</v>
      </c>
      <c r="E1101" s="70">
        <v>3.9399999999999998E-2</v>
      </c>
      <c r="F1101" s="18">
        <f>F1099*E1101</f>
        <v>4.5703999999999994</v>
      </c>
      <c r="G1101" s="17"/>
      <c r="H1101" s="178">
        <f>F1101*G1101</f>
        <v>0</v>
      </c>
    </row>
    <row r="1102" spans="1:8">
      <c r="A1102" s="262"/>
      <c r="B1102" s="263" t="s">
        <v>875</v>
      </c>
      <c r="C1102" s="263" t="s">
        <v>876</v>
      </c>
      <c r="D1102" s="265" t="s">
        <v>874</v>
      </c>
      <c r="E1102" s="265">
        <v>1.02</v>
      </c>
      <c r="F1102" s="265">
        <f>E1102*F1099</f>
        <v>118.32000000000001</v>
      </c>
      <c r="G1102" s="267"/>
      <c r="H1102" s="266">
        <f>F1102*G1102</f>
        <v>0</v>
      </c>
    </row>
    <row r="1103" spans="1:8">
      <c r="A1103" s="262"/>
      <c r="B1103" s="263" t="s">
        <v>17</v>
      </c>
      <c r="C1103" s="263" t="s">
        <v>877</v>
      </c>
      <c r="D1103" s="263" t="s">
        <v>3</v>
      </c>
      <c r="E1103" s="264">
        <v>1.84E-2</v>
      </c>
      <c r="F1103" s="265">
        <f>E1103*F1099</f>
        <v>2.1343999999999999</v>
      </c>
      <c r="G1103" s="262"/>
      <c r="H1103" s="266">
        <f>F1103*G1103</f>
        <v>0</v>
      </c>
    </row>
    <row r="1104" spans="1:8" ht="60">
      <c r="A1104" s="258" t="s">
        <v>137</v>
      </c>
      <c r="B1104" s="46" t="s">
        <v>872</v>
      </c>
      <c r="C1104" s="258" t="s">
        <v>878</v>
      </c>
      <c r="D1104" s="258" t="s">
        <v>874</v>
      </c>
      <c r="E1104" s="259"/>
      <c r="F1104" s="260">
        <v>540</v>
      </c>
      <c r="G1104" s="259"/>
      <c r="H1104" s="261">
        <f>H1105+H1107+H1108+H1106</f>
        <v>0</v>
      </c>
    </row>
    <row r="1105" spans="1:8">
      <c r="A1105" s="262"/>
      <c r="B1105" s="263" t="s">
        <v>17</v>
      </c>
      <c r="C1105" s="263" t="s">
        <v>752</v>
      </c>
      <c r="D1105" s="263" t="s">
        <v>19</v>
      </c>
      <c r="E1105" s="264">
        <v>8.6099999999999996E-2</v>
      </c>
      <c r="F1105" s="265">
        <f>E1105*F1104</f>
        <v>46.494</v>
      </c>
      <c r="G1105" s="262"/>
      <c r="H1105" s="266">
        <f>F1105*G1105</f>
        <v>0</v>
      </c>
    </row>
    <row r="1106" spans="1:8">
      <c r="A1106" s="262"/>
      <c r="B1106" s="263" t="s">
        <v>17</v>
      </c>
      <c r="C1106" s="263" t="s">
        <v>244</v>
      </c>
      <c r="D1106" s="16" t="s">
        <v>3</v>
      </c>
      <c r="E1106" s="70">
        <v>3.9399999999999998E-2</v>
      </c>
      <c r="F1106" s="18">
        <f>F1104*E1106</f>
        <v>21.276</v>
      </c>
      <c r="G1106" s="17"/>
      <c r="H1106" s="178">
        <f>F1106*G1106</f>
        <v>0</v>
      </c>
    </row>
    <row r="1107" spans="1:8">
      <c r="A1107" s="262"/>
      <c r="B1107" s="263" t="s">
        <v>879</v>
      </c>
      <c r="C1107" s="263" t="s">
        <v>880</v>
      </c>
      <c r="D1107" s="265" t="s">
        <v>874</v>
      </c>
      <c r="E1107" s="265">
        <v>1.02</v>
      </c>
      <c r="F1107" s="265">
        <f>E1107*F1104</f>
        <v>550.79999999999995</v>
      </c>
      <c r="G1107" s="267"/>
      <c r="H1107" s="266">
        <f>F1107*G1107</f>
        <v>0</v>
      </c>
    </row>
    <row r="1108" spans="1:8">
      <c r="A1108" s="262"/>
      <c r="B1108" s="263" t="s">
        <v>17</v>
      </c>
      <c r="C1108" s="263" t="s">
        <v>877</v>
      </c>
      <c r="D1108" s="263" t="s">
        <v>3</v>
      </c>
      <c r="E1108" s="264">
        <v>1.84E-2</v>
      </c>
      <c r="F1108" s="265">
        <f>E1108*F1104</f>
        <v>9.9359999999999999</v>
      </c>
      <c r="G1108" s="262"/>
      <c r="H1108" s="266">
        <f>F1108*G1108</f>
        <v>0</v>
      </c>
    </row>
    <row r="1109" spans="1:8" ht="60">
      <c r="A1109" s="258" t="s">
        <v>139</v>
      </c>
      <c r="B1109" s="46" t="s">
        <v>881</v>
      </c>
      <c r="C1109" s="258" t="s">
        <v>882</v>
      </c>
      <c r="D1109" s="258" t="s">
        <v>874</v>
      </c>
      <c r="E1109" s="259"/>
      <c r="F1109" s="260">
        <v>100</v>
      </c>
      <c r="G1109" s="259"/>
      <c r="H1109" s="261">
        <f>H1110+H1112+H1111+H1113</f>
        <v>0</v>
      </c>
    </row>
    <row r="1110" spans="1:8">
      <c r="A1110" s="262"/>
      <c r="B1110" s="263" t="s">
        <v>17</v>
      </c>
      <c r="C1110" s="263" t="s">
        <v>752</v>
      </c>
      <c r="D1110" s="263" t="s">
        <v>19</v>
      </c>
      <c r="E1110" s="264">
        <v>9.6299999999999997E-2</v>
      </c>
      <c r="F1110" s="265">
        <f>E1110*F1109</f>
        <v>9.629999999999999</v>
      </c>
      <c r="G1110" s="262"/>
      <c r="H1110" s="266">
        <f>F1110*G1110</f>
        <v>0</v>
      </c>
    </row>
    <row r="1111" spans="1:8">
      <c r="A1111" s="262"/>
      <c r="B1111" s="263" t="s">
        <v>17</v>
      </c>
      <c r="C1111" s="263" t="s">
        <v>244</v>
      </c>
      <c r="D1111" s="16" t="s">
        <v>3</v>
      </c>
      <c r="E1111" s="70">
        <v>4.5100000000000001E-2</v>
      </c>
      <c r="F1111" s="18">
        <f>F1109*E1111</f>
        <v>4.51</v>
      </c>
      <c r="G1111" s="17"/>
      <c r="H1111" s="178">
        <f>F1111*G1111</f>
        <v>0</v>
      </c>
    </row>
    <row r="1112" spans="1:8">
      <c r="A1112" s="262"/>
      <c r="B1112" s="263" t="s">
        <v>883</v>
      </c>
      <c r="C1112" s="263" t="s">
        <v>884</v>
      </c>
      <c r="D1112" s="265" t="s">
        <v>874</v>
      </c>
      <c r="E1112" s="265">
        <v>1.02</v>
      </c>
      <c r="F1112" s="265">
        <f>E1112*F1109</f>
        <v>102</v>
      </c>
      <c r="G1112" s="265"/>
      <c r="H1112" s="266">
        <f>F1112*G1112</f>
        <v>0</v>
      </c>
    </row>
    <row r="1113" spans="1:8">
      <c r="A1113" s="262"/>
      <c r="B1113" s="263" t="s">
        <v>17</v>
      </c>
      <c r="C1113" s="263" t="s">
        <v>877</v>
      </c>
      <c r="D1113" s="263" t="s">
        <v>3</v>
      </c>
      <c r="E1113" s="264">
        <v>2.18E-2</v>
      </c>
      <c r="F1113" s="265">
        <f>E1113*F1109</f>
        <v>2.1800000000000002</v>
      </c>
      <c r="G1113" s="262"/>
      <c r="H1113" s="266">
        <f>F1113*G1113</f>
        <v>0</v>
      </c>
    </row>
    <row r="1114" spans="1:8" ht="60">
      <c r="A1114" s="258" t="s">
        <v>253</v>
      </c>
      <c r="B1114" s="46" t="s">
        <v>881</v>
      </c>
      <c r="C1114" s="258" t="s">
        <v>885</v>
      </c>
      <c r="D1114" s="258" t="s">
        <v>874</v>
      </c>
      <c r="E1114" s="259"/>
      <c r="F1114" s="260">
        <v>28</v>
      </c>
      <c r="G1114" s="259"/>
      <c r="H1114" s="261">
        <f>H1115+H1117+H1116+H1118</f>
        <v>0</v>
      </c>
    </row>
    <row r="1115" spans="1:8">
      <c r="A1115" s="262"/>
      <c r="B1115" s="263" t="s">
        <v>17</v>
      </c>
      <c r="C1115" s="263" t="s">
        <v>752</v>
      </c>
      <c r="D1115" s="263" t="s">
        <v>19</v>
      </c>
      <c r="E1115" s="264">
        <v>9.6299999999999997E-2</v>
      </c>
      <c r="F1115" s="265">
        <f>E1115*F1114</f>
        <v>2.6963999999999997</v>
      </c>
      <c r="G1115" s="262"/>
      <c r="H1115" s="266">
        <f>F1115*G1115</f>
        <v>0</v>
      </c>
    </row>
    <row r="1116" spans="1:8">
      <c r="A1116" s="262"/>
      <c r="B1116" s="263" t="s">
        <v>17</v>
      </c>
      <c r="C1116" s="263" t="s">
        <v>244</v>
      </c>
      <c r="D1116" s="16" t="s">
        <v>3</v>
      </c>
      <c r="E1116" s="70">
        <v>4.5100000000000001E-2</v>
      </c>
      <c r="F1116" s="18">
        <f>F1114*E1116</f>
        <v>1.2627999999999999</v>
      </c>
      <c r="G1116" s="17"/>
      <c r="H1116" s="178">
        <f>F1116*G1116</f>
        <v>0</v>
      </c>
    </row>
    <row r="1117" spans="1:8">
      <c r="A1117" s="262"/>
      <c r="B1117" s="263" t="s">
        <v>886</v>
      </c>
      <c r="C1117" s="263" t="s">
        <v>887</v>
      </c>
      <c r="D1117" s="265" t="s">
        <v>874</v>
      </c>
      <c r="E1117" s="265">
        <v>1.02</v>
      </c>
      <c r="F1117" s="265">
        <f>E1117*F1114</f>
        <v>28.560000000000002</v>
      </c>
      <c r="G1117" s="265"/>
      <c r="H1117" s="266">
        <f>F1117*G1117</f>
        <v>0</v>
      </c>
    </row>
    <row r="1118" spans="1:8">
      <c r="A1118" s="262"/>
      <c r="B1118" s="263" t="s">
        <v>17</v>
      </c>
      <c r="C1118" s="263" t="s">
        <v>877</v>
      </c>
      <c r="D1118" s="263" t="s">
        <v>3</v>
      </c>
      <c r="E1118" s="264">
        <v>2.18E-2</v>
      </c>
      <c r="F1118" s="265">
        <f>E1118*F1114</f>
        <v>0.61040000000000005</v>
      </c>
      <c r="G1118" s="262"/>
      <c r="H1118" s="266">
        <f>F1118*G1118</f>
        <v>0</v>
      </c>
    </row>
    <row r="1119" spans="1:8">
      <c r="A1119" s="61"/>
      <c r="B1119" s="68"/>
      <c r="C1119" s="20" t="s">
        <v>888</v>
      </c>
      <c r="D1119" s="20" t="s">
        <v>3</v>
      </c>
      <c r="E1119" s="28"/>
      <c r="F1119" s="28"/>
      <c r="G1119" s="28"/>
      <c r="H1119" s="39">
        <f>H1017+H1031+H1040+H1049+H1058+H1067+H1074+H1079+H1084+H1089+H1094+H1099+H1104+H1114+H1109</f>
        <v>0</v>
      </c>
    </row>
    <row r="1120" spans="1:8">
      <c r="A1120" s="64"/>
      <c r="B1120" s="14"/>
      <c r="C1120" s="16" t="s">
        <v>687</v>
      </c>
      <c r="D1120" s="16" t="s">
        <v>3</v>
      </c>
      <c r="E1120" s="16"/>
      <c r="F1120" s="224">
        <v>0.1</v>
      </c>
      <c r="G1120" s="16"/>
      <c r="H1120" s="18">
        <f>H1119*F1120</f>
        <v>0</v>
      </c>
    </row>
    <row r="1121" spans="1:8">
      <c r="A1121" s="64"/>
      <c r="B1121" s="46"/>
      <c r="C1121" s="10" t="s">
        <v>688</v>
      </c>
      <c r="D1121" s="10" t="s">
        <v>3</v>
      </c>
      <c r="E1121" s="10"/>
      <c r="F1121" s="10"/>
      <c r="G1121" s="10"/>
      <c r="H1121" s="57">
        <f>H1120+H1119</f>
        <v>0</v>
      </c>
    </row>
    <row r="1122" spans="1:8">
      <c r="A1122" s="64"/>
      <c r="B1122" s="14"/>
      <c r="C1122" s="16" t="s">
        <v>689</v>
      </c>
      <c r="D1122" s="16" t="s">
        <v>3</v>
      </c>
      <c r="E1122" s="16"/>
      <c r="F1122" s="224">
        <v>0.08</v>
      </c>
      <c r="G1122" s="16"/>
      <c r="H1122" s="18">
        <f>H1121*F1122</f>
        <v>0</v>
      </c>
    </row>
    <row r="1123" spans="1:8">
      <c r="A1123" s="83"/>
      <c r="B1123" s="46"/>
      <c r="C1123" s="10" t="s">
        <v>690</v>
      </c>
      <c r="D1123" s="10" t="s">
        <v>3</v>
      </c>
      <c r="E1123" s="10"/>
      <c r="F1123" s="225"/>
      <c r="G1123" s="206"/>
      <c r="H1123" s="462">
        <f>SUM(H1121:H1122)</f>
        <v>0</v>
      </c>
    </row>
    <row r="1124" spans="1:8">
      <c r="A1124" s="488" t="s">
        <v>889</v>
      </c>
      <c r="B1124" s="488"/>
      <c r="C1124" s="488"/>
      <c r="D1124" s="488"/>
      <c r="E1124" s="488"/>
      <c r="F1124" s="488"/>
      <c r="G1124" s="488"/>
      <c r="H1124" s="488"/>
    </row>
    <row r="1125" spans="1:8">
      <c r="A1125" s="488"/>
      <c r="B1125" s="488"/>
      <c r="C1125" s="488"/>
      <c r="D1125" s="488"/>
      <c r="E1125" s="488"/>
      <c r="F1125" s="488"/>
      <c r="G1125" s="488"/>
      <c r="H1125" s="488"/>
    </row>
    <row r="1126" spans="1:8" ht="28.5" customHeight="1">
      <c r="A1126" s="488" t="s">
        <v>1680</v>
      </c>
      <c r="B1126" s="488"/>
      <c r="C1126" s="488"/>
      <c r="D1126" s="488"/>
      <c r="E1126" s="488"/>
      <c r="F1126" s="488"/>
      <c r="G1126" s="488"/>
      <c r="H1126" s="488"/>
    </row>
    <row r="1127" spans="1:8" ht="24.75" customHeight="1">
      <c r="A1127" s="497" t="s">
        <v>5</v>
      </c>
      <c r="B1127" s="498" t="s">
        <v>6</v>
      </c>
      <c r="C1127" s="499" t="s">
        <v>7</v>
      </c>
      <c r="D1127" s="500" t="s">
        <v>8</v>
      </c>
      <c r="E1127" s="501" t="s">
        <v>9</v>
      </c>
      <c r="F1127" s="501"/>
      <c r="G1127" s="501" t="s">
        <v>10</v>
      </c>
      <c r="H1127" s="501"/>
    </row>
    <row r="1128" spans="1:8" ht="74.25" customHeight="1">
      <c r="A1128" s="497"/>
      <c r="B1128" s="498"/>
      <c r="C1128" s="499"/>
      <c r="D1128" s="500"/>
      <c r="E1128" s="251" t="s">
        <v>11</v>
      </c>
      <c r="F1128" s="251" t="s">
        <v>12</v>
      </c>
      <c r="G1128" s="251" t="s">
        <v>11</v>
      </c>
      <c r="H1128" s="268" t="s">
        <v>12</v>
      </c>
    </row>
    <row r="1129" spans="1:8">
      <c r="A1129" s="229" t="s">
        <v>13</v>
      </c>
      <c r="B1129" s="229">
        <v>2</v>
      </c>
      <c r="C1129" s="5">
        <v>3</v>
      </c>
      <c r="D1129" s="5">
        <v>4</v>
      </c>
      <c r="E1129" s="5">
        <v>5</v>
      </c>
      <c r="F1129" s="5">
        <v>6</v>
      </c>
      <c r="G1129" s="5">
        <v>7</v>
      </c>
      <c r="H1129" s="48">
        <v>8</v>
      </c>
    </row>
    <row r="1130" spans="1:8" ht="54">
      <c r="A1130" s="62" t="s">
        <v>13</v>
      </c>
      <c r="B1130" s="46" t="s">
        <v>890</v>
      </c>
      <c r="C1130" s="10" t="s">
        <v>891</v>
      </c>
      <c r="D1130" s="10" t="s">
        <v>45</v>
      </c>
      <c r="E1130" s="10"/>
      <c r="F1130" s="190">
        <v>36</v>
      </c>
      <c r="G1130" s="76"/>
      <c r="H1130" s="39">
        <f>SUM(H1131:H1139)</f>
        <v>0</v>
      </c>
    </row>
    <row r="1131" spans="1:8">
      <c r="A1131" s="64"/>
      <c r="B1131" s="64" t="s">
        <v>17</v>
      </c>
      <c r="C1131" s="16" t="s">
        <v>28</v>
      </c>
      <c r="D1131" s="16" t="s">
        <v>19</v>
      </c>
      <c r="E1131" s="70">
        <v>0.86299999999999999</v>
      </c>
      <c r="F1131" s="18">
        <f>F1130*E1131</f>
        <v>31.067999999999998</v>
      </c>
      <c r="G1131" s="43"/>
      <c r="H1131" s="19">
        <f t="shared" ref="H1131:H1139" si="39">F1131*G1131</f>
        <v>0</v>
      </c>
    </row>
    <row r="1132" spans="1:8">
      <c r="A1132" s="64"/>
      <c r="B1132" s="64" t="s">
        <v>17</v>
      </c>
      <c r="C1132" s="16" t="s">
        <v>20</v>
      </c>
      <c r="D1132" s="16" t="s">
        <v>3</v>
      </c>
      <c r="E1132" s="70">
        <v>6.7799999999999999E-2</v>
      </c>
      <c r="F1132" s="18">
        <f>F1130*E1132</f>
        <v>2.4407999999999999</v>
      </c>
      <c r="G1132" s="18"/>
      <c r="H1132" s="19">
        <f t="shared" si="39"/>
        <v>0</v>
      </c>
    </row>
    <row r="1133" spans="1:8">
      <c r="A1133" s="64"/>
      <c r="B1133" s="64" t="s">
        <v>892</v>
      </c>
      <c r="C1133" s="16" t="s">
        <v>893</v>
      </c>
      <c r="D1133" s="16" t="s">
        <v>45</v>
      </c>
      <c r="E1133" s="43">
        <v>1</v>
      </c>
      <c r="F1133" s="33">
        <f>E1133*F1130</f>
        <v>36</v>
      </c>
      <c r="G1133" s="18"/>
      <c r="H1133" s="19">
        <f t="shared" si="39"/>
        <v>0</v>
      </c>
    </row>
    <row r="1134" spans="1:8">
      <c r="A1134" s="64"/>
      <c r="B1134" s="28" t="s">
        <v>894</v>
      </c>
      <c r="C1134" s="16" t="s">
        <v>895</v>
      </c>
      <c r="D1134" s="16" t="s">
        <v>209</v>
      </c>
      <c r="E1134" s="43" t="s">
        <v>109</v>
      </c>
      <c r="F1134" s="33">
        <v>6</v>
      </c>
      <c r="G1134" s="18"/>
      <c r="H1134" s="19">
        <f t="shared" si="39"/>
        <v>0</v>
      </c>
    </row>
    <row r="1135" spans="1:8">
      <c r="A1135" s="28"/>
      <c r="B1135" s="28" t="s">
        <v>896</v>
      </c>
      <c r="C1135" s="28" t="s">
        <v>897</v>
      </c>
      <c r="D1135" s="28" t="s">
        <v>678</v>
      </c>
      <c r="E1135" s="28" t="s">
        <v>109</v>
      </c>
      <c r="F1135" s="44">
        <v>2</v>
      </c>
      <c r="G1135" s="28"/>
      <c r="H1135" s="44">
        <f t="shared" si="39"/>
        <v>0</v>
      </c>
    </row>
    <row r="1136" spans="1:8">
      <c r="A1136" s="28"/>
      <c r="B1136" s="28" t="s">
        <v>898</v>
      </c>
      <c r="C1136" s="28" t="s">
        <v>899</v>
      </c>
      <c r="D1136" s="28" t="s">
        <v>209</v>
      </c>
      <c r="E1136" s="28" t="s">
        <v>109</v>
      </c>
      <c r="F1136" s="44">
        <v>1</v>
      </c>
      <c r="G1136" s="28"/>
      <c r="H1136" s="44">
        <f t="shared" si="39"/>
        <v>0</v>
      </c>
    </row>
    <row r="1137" spans="1:8">
      <c r="A1137" s="64"/>
      <c r="B1137" s="28" t="s">
        <v>900</v>
      </c>
      <c r="C1137" s="28" t="s">
        <v>901</v>
      </c>
      <c r="D1137" s="16" t="s">
        <v>209</v>
      </c>
      <c r="E1137" s="43" t="s">
        <v>109</v>
      </c>
      <c r="F1137" s="33">
        <v>2</v>
      </c>
      <c r="G1137" s="18"/>
      <c r="H1137" s="19">
        <f t="shared" si="39"/>
        <v>0</v>
      </c>
    </row>
    <row r="1138" spans="1:8">
      <c r="A1138" s="64"/>
      <c r="B1138" s="28" t="s">
        <v>902</v>
      </c>
      <c r="C1138" s="16" t="s">
        <v>903</v>
      </c>
      <c r="D1138" s="16" t="s">
        <v>209</v>
      </c>
      <c r="E1138" s="43" t="s">
        <v>109</v>
      </c>
      <c r="F1138" s="33">
        <v>9</v>
      </c>
      <c r="G1138" s="18"/>
      <c r="H1138" s="19">
        <f t="shared" si="39"/>
        <v>0</v>
      </c>
    </row>
    <row r="1139" spans="1:8">
      <c r="A1139" s="64"/>
      <c r="B1139" s="17" t="s">
        <v>17</v>
      </c>
      <c r="C1139" s="16" t="s">
        <v>100</v>
      </c>
      <c r="D1139" s="16" t="s">
        <v>3</v>
      </c>
      <c r="E1139" s="134">
        <v>4.24E-2</v>
      </c>
      <c r="F1139" s="18">
        <f>F1130*E1139</f>
        <v>1.5264</v>
      </c>
      <c r="G1139" s="18"/>
      <c r="H1139" s="19">
        <f t="shared" si="39"/>
        <v>0</v>
      </c>
    </row>
    <row r="1140" spans="1:8" ht="54">
      <c r="A1140" s="62" t="s">
        <v>72</v>
      </c>
      <c r="B1140" s="46" t="s">
        <v>890</v>
      </c>
      <c r="C1140" s="10" t="s">
        <v>904</v>
      </c>
      <c r="D1140" s="10" t="s">
        <v>45</v>
      </c>
      <c r="E1140" s="10"/>
      <c r="F1140" s="190">
        <v>140</v>
      </c>
      <c r="G1140" s="76"/>
      <c r="H1140" s="39">
        <f>SUM(H1141:H1146)</f>
        <v>0</v>
      </c>
    </row>
    <row r="1141" spans="1:8">
      <c r="A1141" s="64"/>
      <c r="B1141" s="64" t="s">
        <v>17</v>
      </c>
      <c r="C1141" s="16" t="s">
        <v>28</v>
      </c>
      <c r="D1141" s="16" t="s">
        <v>19</v>
      </c>
      <c r="E1141" s="70">
        <v>0.86299999999999999</v>
      </c>
      <c r="F1141" s="18">
        <f>F1140*E1141</f>
        <v>120.82</v>
      </c>
      <c r="G1141" s="43"/>
      <c r="H1141" s="19">
        <f t="shared" ref="H1141:H1146" si="40">F1141*G1141</f>
        <v>0</v>
      </c>
    </row>
    <row r="1142" spans="1:8">
      <c r="A1142" s="64"/>
      <c r="B1142" s="64" t="s">
        <v>17</v>
      </c>
      <c r="C1142" s="16" t="s">
        <v>20</v>
      </c>
      <c r="D1142" s="16" t="s">
        <v>3</v>
      </c>
      <c r="E1142" s="70">
        <v>6.7799999999999999E-2</v>
      </c>
      <c r="F1142" s="18">
        <f>F1140*E1142</f>
        <v>9.4919999999999991</v>
      </c>
      <c r="G1142" s="18"/>
      <c r="H1142" s="19">
        <f t="shared" si="40"/>
        <v>0</v>
      </c>
    </row>
    <row r="1143" spans="1:8">
      <c r="A1143" s="64"/>
      <c r="B1143" s="64" t="s">
        <v>905</v>
      </c>
      <c r="C1143" s="16" t="s">
        <v>906</v>
      </c>
      <c r="D1143" s="16" t="s">
        <v>45</v>
      </c>
      <c r="E1143" s="43">
        <v>1</v>
      </c>
      <c r="F1143" s="33">
        <f>E1143*F1140</f>
        <v>140</v>
      </c>
      <c r="G1143" s="18"/>
      <c r="H1143" s="19">
        <f t="shared" si="40"/>
        <v>0</v>
      </c>
    </row>
    <row r="1144" spans="1:8">
      <c r="A1144" s="64"/>
      <c r="B1144" s="28" t="s">
        <v>907</v>
      </c>
      <c r="C1144" s="16" t="s">
        <v>908</v>
      </c>
      <c r="D1144" s="16" t="s">
        <v>209</v>
      </c>
      <c r="E1144" s="43" t="s">
        <v>109</v>
      </c>
      <c r="F1144" s="33">
        <v>12</v>
      </c>
      <c r="G1144" s="18"/>
      <c r="H1144" s="19">
        <f t="shared" si="40"/>
        <v>0</v>
      </c>
    </row>
    <row r="1145" spans="1:8">
      <c r="A1145" s="64"/>
      <c r="B1145" s="28" t="s">
        <v>909</v>
      </c>
      <c r="C1145" s="16" t="s">
        <v>910</v>
      </c>
      <c r="D1145" s="16" t="s">
        <v>209</v>
      </c>
      <c r="E1145" s="43" t="s">
        <v>109</v>
      </c>
      <c r="F1145" s="33">
        <v>35</v>
      </c>
      <c r="G1145" s="18"/>
      <c r="H1145" s="19">
        <f t="shared" si="40"/>
        <v>0</v>
      </c>
    </row>
    <row r="1146" spans="1:8">
      <c r="A1146" s="64"/>
      <c r="B1146" s="17" t="s">
        <v>17</v>
      </c>
      <c r="C1146" s="16" t="s">
        <v>100</v>
      </c>
      <c r="D1146" s="16" t="s">
        <v>3</v>
      </c>
      <c r="E1146" s="134">
        <v>4.24E-2</v>
      </c>
      <c r="F1146" s="18">
        <f>F1140*E1146</f>
        <v>5.9359999999999999</v>
      </c>
      <c r="G1146" s="18"/>
      <c r="H1146" s="19">
        <f t="shared" si="40"/>
        <v>0</v>
      </c>
    </row>
    <row r="1147" spans="1:8" ht="54">
      <c r="A1147" s="62" t="s">
        <v>480</v>
      </c>
      <c r="B1147" s="46" t="s">
        <v>911</v>
      </c>
      <c r="C1147" s="10" t="s">
        <v>912</v>
      </c>
      <c r="D1147" s="10" t="s">
        <v>45</v>
      </c>
      <c r="E1147" s="10"/>
      <c r="F1147" s="190">
        <v>220</v>
      </c>
      <c r="G1147" s="76"/>
      <c r="H1147" s="39">
        <f>SUM(H1148:H1153)</f>
        <v>0</v>
      </c>
    </row>
    <row r="1148" spans="1:8">
      <c r="A1148" s="64"/>
      <c r="B1148" s="64" t="s">
        <v>17</v>
      </c>
      <c r="C1148" s="16" t="s">
        <v>28</v>
      </c>
      <c r="D1148" s="16" t="s">
        <v>19</v>
      </c>
      <c r="E1148" s="70">
        <v>0.76700000000000002</v>
      </c>
      <c r="F1148" s="18">
        <f>F1147*E1148</f>
        <v>168.74</v>
      </c>
      <c r="G1148" s="43"/>
      <c r="H1148" s="19">
        <f t="shared" ref="H1148:H1153" si="41">F1148*G1148</f>
        <v>0</v>
      </c>
    </row>
    <row r="1149" spans="1:8">
      <c r="A1149" s="64"/>
      <c r="B1149" s="64" t="s">
        <v>17</v>
      </c>
      <c r="C1149" s="16" t="s">
        <v>20</v>
      </c>
      <c r="D1149" s="16" t="s">
        <v>3</v>
      </c>
      <c r="E1149" s="70">
        <v>5.21E-2</v>
      </c>
      <c r="F1149" s="18">
        <f>F1147*E1149</f>
        <v>11.462</v>
      </c>
      <c r="G1149" s="18"/>
      <c r="H1149" s="19">
        <f t="shared" si="41"/>
        <v>0</v>
      </c>
    </row>
    <row r="1150" spans="1:8">
      <c r="A1150" s="64"/>
      <c r="B1150" s="64" t="s">
        <v>913</v>
      </c>
      <c r="C1150" s="16" t="s">
        <v>914</v>
      </c>
      <c r="D1150" s="16" t="s">
        <v>45</v>
      </c>
      <c r="E1150" s="43">
        <v>1</v>
      </c>
      <c r="F1150" s="33">
        <f>E1150*F1147</f>
        <v>220</v>
      </c>
      <c r="G1150" s="18"/>
      <c r="H1150" s="19">
        <f t="shared" si="41"/>
        <v>0</v>
      </c>
    </row>
    <row r="1151" spans="1:8">
      <c r="A1151" s="64"/>
      <c r="B1151" s="28" t="s">
        <v>915</v>
      </c>
      <c r="C1151" s="16" t="s">
        <v>916</v>
      </c>
      <c r="D1151" s="16" t="s">
        <v>209</v>
      </c>
      <c r="E1151" s="43" t="s">
        <v>109</v>
      </c>
      <c r="F1151" s="33">
        <v>14</v>
      </c>
      <c r="G1151" s="18"/>
      <c r="H1151" s="19">
        <f t="shared" si="41"/>
        <v>0</v>
      </c>
    </row>
    <row r="1152" spans="1:8">
      <c r="A1152" s="64"/>
      <c r="B1152" s="28" t="s">
        <v>917</v>
      </c>
      <c r="C1152" s="16" t="s">
        <v>918</v>
      </c>
      <c r="D1152" s="16" t="s">
        <v>209</v>
      </c>
      <c r="E1152" s="43" t="s">
        <v>109</v>
      </c>
      <c r="F1152" s="33">
        <v>56</v>
      </c>
      <c r="G1152" s="18"/>
      <c r="H1152" s="19">
        <f t="shared" si="41"/>
        <v>0</v>
      </c>
    </row>
    <row r="1153" spans="1:8">
      <c r="A1153" s="64"/>
      <c r="B1153" s="17" t="s">
        <v>17</v>
      </c>
      <c r="C1153" s="16" t="s">
        <v>100</v>
      </c>
      <c r="D1153" s="16" t="s">
        <v>3</v>
      </c>
      <c r="E1153" s="134">
        <v>3.44E-2</v>
      </c>
      <c r="F1153" s="18">
        <f>F1147*E1153</f>
        <v>7.5679999999999996</v>
      </c>
      <c r="G1153" s="18"/>
      <c r="H1153" s="19">
        <f t="shared" si="41"/>
        <v>0</v>
      </c>
    </row>
    <row r="1154" spans="1:8" ht="54">
      <c r="A1154" s="62" t="s">
        <v>327</v>
      </c>
      <c r="B1154" s="46" t="s">
        <v>919</v>
      </c>
      <c r="C1154" s="10" t="s">
        <v>920</v>
      </c>
      <c r="D1154" s="10" t="s">
        <v>45</v>
      </c>
      <c r="E1154" s="10"/>
      <c r="F1154" s="190">
        <v>150</v>
      </c>
      <c r="G1154" s="76"/>
      <c r="H1154" s="39">
        <f>SUM(H1155:H1160)</f>
        <v>0</v>
      </c>
    </row>
    <row r="1155" spans="1:8">
      <c r="A1155" s="64"/>
      <c r="B1155" s="64" t="s">
        <v>17</v>
      </c>
      <c r="C1155" s="16" t="s">
        <v>28</v>
      </c>
      <c r="D1155" s="16" t="s">
        <v>19</v>
      </c>
      <c r="E1155" s="70">
        <v>0.66300000000000003</v>
      </c>
      <c r="F1155" s="18">
        <f>F1154*E1155</f>
        <v>99.45</v>
      </c>
      <c r="G1155" s="43"/>
      <c r="H1155" s="19">
        <f t="shared" ref="H1155:H1160" si="42">F1155*G1155</f>
        <v>0</v>
      </c>
    </row>
    <row r="1156" spans="1:8">
      <c r="A1156" s="64"/>
      <c r="B1156" s="64" t="s">
        <v>17</v>
      </c>
      <c r="C1156" s="16" t="s">
        <v>20</v>
      </c>
      <c r="D1156" s="16" t="s">
        <v>3</v>
      </c>
      <c r="E1156" s="70">
        <v>4.5999999999999999E-2</v>
      </c>
      <c r="F1156" s="18">
        <f>F1154*E1156</f>
        <v>6.8999999999999995</v>
      </c>
      <c r="G1156" s="18"/>
      <c r="H1156" s="19">
        <f t="shared" si="42"/>
        <v>0</v>
      </c>
    </row>
    <row r="1157" spans="1:8">
      <c r="A1157" s="64"/>
      <c r="B1157" s="64" t="s">
        <v>921</v>
      </c>
      <c r="C1157" s="16" t="s">
        <v>922</v>
      </c>
      <c r="D1157" s="16" t="s">
        <v>45</v>
      </c>
      <c r="E1157" s="43">
        <v>1</v>
      </c>
      <c r="F1157" s="33">
        <f>E1157*F1154</f>
        <v>150</v>
      </c>
      <c r="G1157" s="18"/>
      <c r="H1157" s="19">
        <f t="shared" si="42"/>
        <v>0</v>
      </c>
    </row>
    <row r="1158" spans="1:8">
      <c r="A1158" s="64"/>
      <c r="B1158" s="28" t="s">
        <v>923</v>
      </c>
      <c r="C1158" s="16" t="s">
        <v>924</v>
      </c>
      <c r="D1158" s="16" t="s">
        <v>209</v>
      </c>
      <c r="E1158" s="43" t="s">
        <v>109</v>
      </c>
      <c r="F1158" s="33">
        <v>8</v>
      </c>
      <c r="G1158" s="18"/>
      <c r="H1158" s="19">
        <f t="shared" si="42"/>
        <v>0</v>
      </c>
    </row>
    <row r="1159" spans="1:8">
      <c r="A1159" s="64"/>
      <c r="B1159" s="28" t="s">
        <v>917</v>
      </c>
      <c r="C1159" s="16" t="s">
        <v>925</v>
      </c>
      <c r="D1159" s="16" t="s">
        <v>209</v>
      </c>
      <c r="E1159" s="43" t="s">
        <v>109</v>
      </c>
      <c r="F1159" s="33">
        <v>38</v>
      </c>
      <c r="G1159" s="18"/>
      <c r="H1159" s="19">
        <f t="shared" si="42"/>
        <v>0</v>
      </c>
    </row>
    <row r="1160" spans="1:8">
      <c r="A1160" s="64"/>
      <c r="B1160" s="17" t="s">
        <v>17</v>
      </c>
      <c r="C1160" s="16" t="s">
        <v>100</v>
      </c>
      <c r="D1160" s="16" t="s">
        <v>3</v>
      </c>
      <c r="E1160" s="134">
        <v>2.8000000000000001E-2</v>
      </c>
      <c r="F1160" s="18">
        <f>F1154*E1160</f>
        <v>4.2</v>
      </c>
      <c r="G1160" s="18"/>
      <c r="H1160" s="19">
        <f t="shared" si="42"/>
        <v>0</v>
      </c>
    </row>
    <row r="1161" spans="1:8" ht="54">
      <c r="A1161" s="62" t="s">
        <v>82</v>
      </c>
      <c r="B1161" s="46" t="s">
        <v>919</v>
      </c>
      <c r="C1161" s="10" t="s">
        <v>926</v>
      </c>
      <c r="D1161" s="10" t="s">
        <v>45</v>
      </c>
      <c r="E1161" s="10"/>
      <c r="F1161" s="190">
        <v>640</v>
      </c>
      <c r="G1161" s="76"/>
      <c r="H1161" s="39">
        <f>SUM(H1162:H1168)</f>
        <v>0</v>
      </c>
    </row>
    <row r="1162" spans="1:8">
      <c r="A1162" s="64"/>
      <c r="B1162" s="64" t="s">
        <v>17</v>
      </c>
      <c r="C1162" s="16" t="s">
        <v>28</v>
      </c>
      <c r="D1162" s="16" t="s">
        <v>19</v>
      </c>
      <c r="E1162" s="70">
        <v>0.66300000000000003</v>
      </c>
      <c r="F1162" s="18">
        <f>F1161*E1162</f>
        <v>424.32000000000005</v>
      </c>
      <c r="G1162" s="43"/>
      <c r="H1162" s="19">
        <f t="shared" ref="H1162:H1168" si="43">F1162*G1162</f>
        <v>0</v>
      </c>
    </row>
    <row r="1163" spans="1:8">
      <c r="A1163" s="64"/>
      <c r="B1163" s="64" t="s">
        <v>17</v>
      </c>
      <c r="C1163" s="16" t="s">
        <v>20</v>
      </c>
      <c r="D1163" s="16" t="s">
        <v>3</v>
      </c>
      <c r="E1163" s="70">
        <v>4.5999999999999999E-2</v>
      </c>
      <c r="F1163" s="18">
        <f>F1161*E1163</f>
        <v>29.439999999999998</v>
      </c>
      <c r="G1163" s="18"/>
      <c r="H1163" s="19">
        <f t="shared" si="43"/>
        <v>0</v>
      </c>
    </row>
    <row r="1164" spans="1:8">
      <c r="A1164" s="64"/>
      <c r="B1164" s="64" t="s">
        <v>927</v>
      </c>
      <c r="C1164" s="16" t="s">
        <v>928</v>
      </c>
      <c r="D1164" s="16" t="s">
        <v>45</v>
      </c>
      <c r="E1164" s="43">
        <v>1</v>
      </c>
      <c r="F1164" s="33">
        <f>E1164*F1161</f>
        <v>640</v>
      </c>
      <c r="G1164" s="18"/>
      <c r="H1164" s="19">
        <f t="shared" si="43"/>
        <v>0</v>
      </c>
    </row>
    <row r="1165" spans="1:8">
      <c r="A1165" s="64"/>
      <c r="B1165" s="28" t="s">
        <v>929</v>
      </c>
      <c r="C1165" s="16" t="s">
        <v>930</v>
      </c>
      <c r="D1165" s="16" t="s">
        <v>209</v>
      </c>
      <c r="E1165" s="43" t="s">
        <v>109</v>
      </c>
      <c r="F1165" s="33">
        <v>24</v>
      </c>
      <c r="G1165" s="18"/>
      <c r="H1165" s="19">
        <f t="shared" si="43"/>
        <v>0</v>
      </c>
    </row>
    <row r="1166" spans="1:8">
      <c r="A1166" s="64"/>
      <c r="B1166" s="28" t="s">
        <v>837</v>
      </c>
      <c r="C1166" s="16" t="s">
        <v>931</v>
      </c>
      <c r="D1166" s="16" t="s">
        <v>209</v>
      </c>
      <c r="E1166" s="43" t="s">
        <v>109</v>
      </c>
      <c r="F1166" s="33">
        <v>40</v>
      </c>
      <c r="G1166" s="18"/>
      <c r="H1166" s="19">
        <f t="shared" si="43"/>
        <v>0</v>
      </c>
    </row>
    <row r="1167" spans="1:8">
      <c r="A1167" s="64"/>
      <c r="B1167" s="28" t="s">
        <v>932</v>
      </c>
      <c r="C1167" s="16" t="s">
        <v>933</v>
      </c>
      <c r="D1167" s="16" t="s">
        <v>209</v>
      </c>
      <c r="E1167" s="43" t="s">
        <v>109</v>
      </c>
      <c r="F1167" s="33">
        <v>160</v>
      </c>
      <c r="G1167" s="18"/>
      <c r="H1167" s="19">
        <f t="shared" si="43"/>
        <v>0</v>
      </c>
    </row>
    <row r="1168" spans="1:8">
      <c r="A1168" s="64"/>
      <c r="B1168" s="17" t="s">
        <v>17</v>
      </c>
      <c r="C1168" s="16" t="s">
        <v>100</v>
      </c>
      <c r="D1168" s="16" t="s">
        <v>3</v>
      </c>
      <c r="E1168" s="134">
        <v>2.8000000000000001E-2</v>
      </c>
      <c r="F1168" s="18">
        <f>F1161*E1168</f>
        <v>17.920000000000002</v>
      </c>
      <c r="G1168" s="18"/>
      <c r="H1168" s="19">
        <f t="shared" si="43"/>
        <v>0</v>
      </c>
    </row>
    <row r="1169" spans="1:8" ht="54">
      <c r="A1169" s="20">
        <v>6</v>
      </c>
      <c r="B1169" s="20" t="s">
        <v>934</v>
      </c>
      <c r="C1169" s="20" t="s">
        <v>935</v>
      </c>
      <c r="D1169" s="20" t="s">
        <v>358</v>
      </c>
      <c r="E1169" s="20"/>
      <c r="F1169" s="60">
        <v>790</v>
      </c>
      <c r="G1169" s="20"/>
      <c r="H1169" s="39">
        <f>H1170+H1171+H1172</f>
        <v>0</v>
      </c>
    </row>
    <row r="1170" spans="1:8">
      <c r="A1170" s="28"/>
      <c r="B1170" s="28" t="s">
        <v>17</v>
      </c>
      <c r="C1170" s="28" t="s">
        <v>936</v>
      </c>
      <c r="D1170" s="28" t="s">
        <v>243</v>
      </c>
      <c r="E1170" s="28">
        <v>5.16E-2</v>
      </c>
      <c r="F1170" s="28">
        <f>E1170*F1169</f>
        <v>40.764000000000003</v>
      </c>
      <c r="G1170" s="28"/>
      <c r="H1170" s="44">
        <f>F1170*G1170</f>
        <v>0</v>
      </c>
    </row>
    <row r="1171" spans="1:8">
      <c r="A1171" s="28"/>
      <c r="B1171" s="28" t="s">
        <v>937</v>
      </c>
      <c r="C1171" s="28" t="s">
        <v>938</v>
      </c>
      <c r="D1171" s="28" t="s">
        <v>557</v>
      </c>
      <c r="E1171" s="28">
        <v>0.01</v>
      </c>
      <c r="F1171" s="28">
        <f>E1171*F1169</f>
        <v>7.9</v>
      </c>
      <c r="G1171" s="28"/>
      <c r="H1171" s="44">
        <f>F1171*G1171</f>
        <v>0</v>
      </c>
    </row>
    <row r="1172" spans="1:8">
      <c r="A1172" s="28"/>
      <c r="B1172" s="28" t="s">
        <v>17</v>
      </c>
      <c r="C1172" s="28" t="s">
        <v>87</v>
      </c>
      <c r="D1172" s="28" t="s">
        <v>3</v>
      </c>
      <c r="E1172" s="24">
        <v>1.1000000000000001E-3</v>
      </c>
      <c r="F1172" s="28">
        <f>E1172*F1169</f>
        <v>0.86900000000000011</v>
      </c>
      <c r="G1172" s="28"/>
      <c r="H1172" s="44">
        <f>F1172*G1172</f>
        <v>0</v>
      </c>
    </row>
    <row r="1173" spans="1:8" ht="54">
      <c r="A1173" s="20">
        <v>7</v>
      </c>
      <c r="B1173" s="20" t="s">
        <v>934</v>
      </c>
      <c r="C1173" s="20" t="s">
        <v>939</v>
      </c>
      <c r="D1173" s="20" t="s">
        <v>358</v>
      </c>
      <c r="E1173" s="20"/>
      <c r="F1173" s="60">
        <v>396</v>
      </c>
      <c r="G1173" s="20"/>
      <c r="H1173" s="39">
        <f>H1174+H1175+H1176</f>
        <v>0</v>
      </c>
    </row>
    <row r="1174" spans="1:8">
      <c r="A1174" s="28"/>
      <c r="B1174" s="28" t="s">
        <v>17</v>
      </c>
      <c r="C1174" s="28" t="s">
        <v>936</v>
      </c>
      <c r="D1174" s="28" t="s">
        <v>243</v>
      </c>
      <c r="E1174" s="28">
        <v>5.16E-2</v>
      </c>
      <c r="F1174" s="28">
        <f>E1174*F1173</f>
        <v>20.433599999999998</v>
      </c>
      <c r="G1174" s="28"/>
      <c r="H1174" s="44">
        <f>F1174*G1174</f>
        <v>0</v>
      </c>
    </row>
    <row r="1175" spans="1:8">
      <c r="A1175" s="28"/>
      <c r="B1175" s="28" t="s">
        <v>937</v>
      </c>
      <c r="C1175" s="28" t="s">
        <v>938</v>
      </c>
      <c r="D1175" s="28" t="s">
        <v>557</v>
      </c>
      <c r="E1175" s="28">
        <v>3.7999999999999999E-2</v>
      </c>
      <c r="F1175" s="28">
        <f>E1175*F1173</f>
        <v>15.048</v>
      </c>
      <c r="G1175" s="28"/>
      <c r="H1175" s="44">
        <f>F1175*G1175</f>
        <v>0</v>
      </c>
    </row>
    <row r="1176" spans="1:8">
      <c r="A1176" s="28"/>
      <c r="B1176" s="28" t="s">
        <v>17</v>
      </c>
      <c r="C1176" s="28" t="s">
        <v>87</v>
      </c>
      <c r="D1176" s="28" t="s">
        <v>3</v>
      </c>
      <c r="E1176" s="24">
        <v>1.1000000000000001E-3</v>
      </c>
      <c r="F1176" s="28">
        <f>E1176*F1173</f>
        <v>0.43560000000000004</v>
      </c>
      <c r="G1176" s="28"/>
      <c r="H1176" s="44">
        <f>F1176*G1176</f>
        <v>0</v>
      </c>
    </row>
    <row r="1177" spans="1:8" ht="48">
      <c r="A1177" s="68" t="s">
        <v>101</v>
      </c>
      <c r="B1177" s="9" t="s">
        <v>247</v>
      </c>
      <c r="C1177" s="20" t="s">
        <v>940</v>
      </c>
      <c r="D1177" s="20" t="s">
        <v>16</v>
      </c>
      <c r="E1177" s="20"/>
      <c r="F1177" s="69">
        <v>168.95</v>
      </c>
      <c r="G1177" s="10"/>
      <c r="H1177" s="39">
        <f>SUM(H1178:H1181)</f>
        <v>0</v>
      </c>
    </row>
    <row r="1178" spans="1:8">
      <c r="A1178" s="114"/>
      <c r="B1178" s="115" t="s">
        <v>17</v>
      </c>
      <c r="C1178" s="116" t="s">
        <v>28</v>
      </c>
      <c r="D1178" s="116" t="s">
        <v>19</v>
      </c>
      <c r="E1178" s="116">
        <v>2.3800000000000002E-2</v>
      </c>
      <c r="F1178" s="70">
        <f>E1178*F1177</f>
        <v>4.0210100000000004</v>
      </c>
      <c r="G1178" s="42"/>
      <c r="H1178" s="44">
        <f>G1178*F1178</f>
        <v>0</v>
      </c>
    </row>
    <row r="1179" spans="1:8">
      <c r="A1179" s="114"/>
      <c r="B1179" s="115" t="s">
        <v>17</v>
      </c>
      <c r="C1179" s="116" t="s">
        <v>20</v>
      </c>
      <c r="D1179" s="116" t="s">
        <v>3</v>
      </c>
      <c r="E1179" s="116">
        <v>2.5999999999999999E-3</v>
      </c>
      <c r="F1179" s="70">
        <f>E1179*F1177</f>
        <v>0.43926999999999994</v>
      </c>
      <c r="G1179" s="42"/>
      <c r="H1179" s="43">
        <f>G1179*F1179</f>
        <v>0</v>
      </c>
    </row>
    <row r="1180" spans="1:8">
      <c r="A1180" s="114"/>
      <c r="B1180" s="115" t="s">
        <v>249</v>
      </c>
      <c r="C1180" s="116" t="s">
        <v>250</v>
      </c>
      <c r="D1180" s="116" t="s">
        <v>123</v>
      </c>
      <c r="E1180" s="116">
        <v>0.14599999999999999</v>
      </c>
      <c r="F1180" s="70">
        <f>E1180*F1177</f>
        <v>24.666699999999995</v>
      </c>
      <c r="G1180" s="42"/>
      <c r="H1180" s="43">
        <f>G1180*F1180</f>
        <v>0</v>
      </c>
    </row>
    <row r="1181" spans="1:8">
      <c r="A1181" s="114"/>
      <c r="B1181" s="115" t="s">
        <v>251</v>
      </c>
      <c r="C1181" s="116" t="s">
        <v>252</v>
      </c>
      <c r="D1181" s="116" t="s">
        <v>3</v>
      </c>
      <c r="E1181" s="116">
        <v>2.1899999999999999E-2</v>
      </c>
      <c r="F1181" s="70">
        <f>E1181*F1177</f>
        <v>3.7000049999999995</v>
      </c>
      <c r="G1181" s="42"/>
      <c r="H1181" s="43">
        <f>G1181*F1181</f>
        <v>0</v>
      </c>
    </row>
    <row r="1182" spans="1:8" ht="48">
      <c r="A1182" s="68" t="s">
        <v>42</v>
      </c>
      <c r="B1182" s="9" t="s">
        <v>254</v>
      </c>
      <c r="C1182" s="20" t="s">
        <v>941</v>
      </c>
      <c r="D1182" s="20" t="s">
        <v>16</v>
      </c>
      <c r="E1182" s="20"/>
      <c r="F1182" s="69">
        <f>F1177</f>
        <v>168.95</v>
      </c>
      <c r="G1182" s="10"/>
      <c r="H1182" s="39">
        <f>SUM(H1183:H1187)</f>
        <v>0</v>
      </c>
    </row>
    <row r="1183" spans="1:8">
      <c r="A1183" s="114"/>
      <c r="B1183" s="115" t="s">
        <v>17</v>
      </c>
      <c r="C1183" s="116" t="s">
        <v>18</v>
      </c>
      <c r="D1183" s="116" t="s">
        <v>19</v>
      </c>
      <c r="E1183" s="116">
        <v>0.68</v>
      </c>
      <c r="F1183" s="135">
        <f>E1183*F1182</f>
        <v>114.886</v>
      </c>
      <c r="G1183" s="42"/>
      <c r="H1183" s="44">
        <f>G1183*F1183</f>
        <v>0</v>
      </c>
    </row>
    <row r="1184" spans="1:8">
      <c r="A1184" s="114"/>
      <c r="B1184" s="115" t="s">
        <v>17</v>
      </c>
      <c r="C1184" s="116" t="s">
        <v>20</v>
      </c>
      <c r="D1184" s="116" t="s">
        <v>3</v>
      </c>
      <c r="E1184" s="116">
        <v>2.9999999999999997E-4</v>
      </c>
      <c r="F1184" s="72">
        <f>E1184*F1182</f>
        <v>5.0684999999999994E-2</v>
      </c>
      <c r="G1184" s="42"/>
      <c r="H1184" s="44">
        <f>G1184*F1184</f>
        <v>0</v>
      </c>
    </row>
    <row r="1185" spans="1:8">
      <c r="A1185" s="114"/>
      <c r="B1185" s="41" t="s">
        <v>256</v>
      </c>
      <c r="C1185" s="116" t="s">
        <v>257</v>
      </c>
      <c r="D1185" s="116" t="s">
        <v>123</v>
      </c>
      <c r="E1185" s="116">
        <v>0.246</v>
      </c>
      <c r="F1185" s="72">
        <f>E1185*F1182</f>
        <v>41.561699999999995</v>
      </c>
      <c r="G1185" s="42"/>
      <c r="H1185" s="44">
        <f>G1185*F1185</f>
        <v>0</v>
      </c>
    </row>
    <row r="1186" spans="1:8">
      <c r="A1186" s="114"/>
      <c r="B1186" s="14" t="s">
        <v>258</v>
      </c>
      <c r="C1186" s="116" t="s">
        <v>259</v>
      </c>
      <c r="D1186" s="116" t="s">
        <v>123</v>
      </c>
      <c r="E1186" s="116">
        <v>2.7E-2</v>
      </c>
      <c r="F1186" s="72">
        <f>E1186*F1182</f>
        <v>4.5616499999999993</v>
      </c>
      <c r="G1186" s="42"/>
      <c r="H1186" s="44">
        <f>G1186*F1186</f>
        <v>0</v>
      </c>
    </row>
    <row r="1187" spans="1:8">
      <c r="A1187" s="114"/>
      <c r="B1187" s="115" t="s">
        <v>17</v>
      </c>
      <c r="C1187" s="116" t="s">
        <v>100</v>
      </c>
      <c r="D1187" s="116" t="s">
        <v>3</v>
      </c>
      <c r="E1187" s="116">
        <v>1.9E-3</v>
      </c>
      <c r="F1187" s="72">
        <f>E1187*F1182</f>
        <v>0.32100499999999998</v>
      </c>
      <c r="G1187" s="42"/>
      <c r="H1187" s="44">
        <f>G1187*F1187</f>
        <v>0</v>
      </c>
    </row>
    <row r="1188" spans="1:8" ht="48">
      <c r="A1188" s="68" t="s">
        <v>124</v>
      </c>
      <c r="B1188" s="9" t="s">
        <v>942</v>
      </c>
      <c r="C1188" s="20" t="s">
        <v>943</v>
      </c>
      <c r="D1188" s="26" t="s">
        <v>209</v>
      </c>
      <c r="E1188" s="20"/>
      <c r="F1188" s="69">
        <v>4</v>
      </c>
      <c r="G1188" s="69"/>
      <c r="H1188" s="39">
        <f>SUM(H1189:H1192)</f>
        <v>0</v>
      </c>
    </row>
    <row r="1189" spans="1:8">
      <c r="A1189" s="61"/>
      <c r="B1189" s="61" t="s">
        <v>17</v>
      </c>
      <c r="C1189" s="28" t="s">
        <v>28</v>
      </c>
      <c r="D1189" s="28" t="s">
        <v>19</v>
      </c>
      <c r="E1189" s="28">
        <v>3.14</v>
      </c>
      <c r="F1189" s="19">
        <f>F1188*E1189</f>
        <v>12.56</v>
      </c>
      <c r="G1189" s="44"/>
      <c r="H1189" s="19">
        <f>F1189*G1189</f>
        <v>0</v>
      </c>
    </row>
    <row r="1190" spans="1:8">
      <c r="A1190" s="61"/>
      <c r="B1190" s="61" t="s">
        <v>17</v>
      </c>
      <c r="C1190" s="28" t="s">
        <v>20</v>
      </c>
      <c r="D1190" s="28" t="s">
        <v>3</v>
      </c>
      <c r="E1190" s="135">
        <v>8.0000000000000002E-3</v>
      </c>
      <c r="F1190" s="19">
        <f>F1188*E1190</f>
        <v>3.2000000000000001E-2</v>
      </c>
      <c r="G1190" s="19"/>
      <c r="H1190" s="19">
        <f>F1190*G1190</f>
        <v>0</v>
      </c>
    </row>
    <row r="1191" spans="1:8">
      <c r="A1191" s="61"/>
      <c r="B1191" s="61" t="s">
        <v>944</v>
      </c>
      <c r="C1191" s="28" t="s">
        <v>945</v>
      </c>
      <c r="D1191" s="28" t="s">
        <v>209</v>
      </c>
      <c r="E1191" s="237">
        <v>1</v>
      </c>
      <c r="F1191" s="19">
        <f>E1191*F1188</f>
        <v>4</v>
      </c>
      <c r="G1191" s="19"/>
      <c r="H1191" s="19">
        <f>F1191*G1191</f>
        <v>0</v>
      </c>
    </row>
    <row r="1192" spans="1:8">
      <c r="A1192" s="61"/>
      <c r="B1192" s="29" t="s">
        <v>17</v>
      </c>
      <c r="C1192" s="28" t="s">
        <v>100</v>
      </c>
      <c r="D1192" s="28" t="s">
        <v>3</v>
      </c>
      <c r="E1192" s="29">
        <v>0.72</v>
      </c>
      <c r="F1192" s="19">
        <f>F1188*E1192</f>
        <v>2.88</v>
      </c>
      <c r="G1192" s="19"/>
      <c r="H1192" s="19">
        <f>F1192*G1192</f>
        <v>0</v>
      </c>
    </row>
    <row r="1193" spans="1:8" ht="48">
      <c r="A1193" s="62" t="s">
        <v>127</v>
      </c>
      <c r="B1193" s="46" t="s">
        <v>946</v>
      </c>
      <c r="C1193" s="10" t="s">
        <v>947</v>
      </c>
      <c r="D1193" s="11" t="s">
        <v>769</v>
      </c>
      <c r="E1193" s="11"/>
      <c r="F1193" s="57">
        <v>4</v>
      </c>
      <c r="G1193" s="11"/>
      <c r="H1193" s="13">
        <f>SUM(H1194:H1196)</f>
        <v>0</v>
      </c>
    </row>
    <row r="1194" spans="1:8">
      <c r="A1194" s="64"/>
      <c r="B1194" s="67" t="s">
        <v>17</v>
      </c>
      <c r="C1194" s="16" t="s">
        <v>28</v>
      </c>
      <c r="D1194" s="17" t="s">
        <v>19</v>
      </c>
      <c r="E1194" s="17">
        <v>0.32</v>
      </c>
      <c r="F1194" s="18">
        <f>F1193*E1194</f>
        <v>1.28</v>
      </c>
      <c r="G1194" s="17"/>
      <c r="H1194" s="19">
        <f>F1194*G1194</f>
        <v>0</v>
      </c>
    </row>
    <row r="1195" spans="1:8">
      <c r="A1195" s="64"/>
      <c r="B1195" s="22" t="s">
        <v>948</v>
      </c>
      <c r="C1195" s="16" t="s">
        <v>949</v>
      </c>
      <c r="D1195" s="17" t="s">
        <v>950</v>
      </c>
      <c r="E1195" s="17">
        <v>1</v>
      </c>
      <c r="F1195" s="222">
        <f>F1193*E1195</f>
        <v>4</v>
      </c>
      <c r="G1195" s="17"/>
      <c r="H1195" s="18">
        <f>F1195*G1195</f>
        <v>0</v>
      </c>
    </row>
    <row r="1196" spans="1:8">
      <c r="A1196" s="64"/>
      <c r="B1196" s="67" t="s">
        <v>17</v>
      </c>
      <c r="C1196" s="16" t="s">
        <v>87</v>
      </c>
      <c r="D1196" s="17" t="s">
        <v>3</v>
      </c>
      <c r="E1196" s="17">
        <v>0.02</v>
      </c>
      <c r="F1196" s="18">
        <f>F1193*E1196</f>
        <v>0.08</v>
      </c>
      <c r="G1196" s="17"/>
      <c r="H1196" s="18">
        <f>F1196*G1196</f>
        <v>0</v>
      </c>
    </row>
    <row r="1197" spans="1:8" ht="48">
      <c r="A1197" s="68" t="s">
        <v>132</v>
      </c>
      <c r="B1197" s="46" t="s">
        <v>951</v>
      </c>
      <c r="C1197" s="10" t="s">
        <v>952</v>
      </c>
      <c r="D1197" s="11" t="s">
        <v>209</v>
      </c>
      <c r="E1197" s="11"/>
      <c r="F1197" s="47">
        <v>12</v>
      </c>
      <c r="G1197" s="11"/>
      <c r="H1197" s="13">
        <f>SUM(H1198:H1201)</f>
        <v>0</v>
      </c>
    </row>
    <row r="1198" spans="1:8">
      <c r="A1198" s="64"/>
      <c r="B1198" s="67" t="s">
        <v>17</v>
      </c>
      <c r="C1198" s="16" t="s">
        <v>28</v>
      </c>
      <c r="D1198" s="17" t="s">
        <v>19</v>
      </c>
      <c r="E1198" s="17">
        <v>1.59</v>
      </c>
      <c r="F1198" s="18">
        <f>F1197*E1198</f>
        <v>19.080000000000002</v>
      </c>
      <c r="G1198" s="17"/>
      <c r="H1198" s="19">
        <f>F1198*G1198</f>
        <v>0</v>
      </c>
    </row>
    <row r="1199" spans="1:8">
      <c r="A1199" s="64"/>
      <c r="B1199" s="67" t="s">
        <v>17</v>
      </c>
      <c r="C1199" s="16" t="s">
        <v>31</v>
      </c>
      <c r="D1199" s="17" t="s">
        <v>3</v>
      </c>
      <c r="E1199" s="18">
        <v>0.06</v>
      </c>
      <c r="F1199" s="18">
        <f>F1197*E1199</f>
        <v>0.72</v>
      </c>
      <c r="G1199" s="17"/>
      <c r="H1199" s="18">
        <f>F1199*G1199</f>
        <v>0</v>
      </c>
    </row>
    <row r="1200" spans="1:8">
      <c r="A1200" s="64"/>
      <c r="B1200" s="22" t="s">
        <v>52</v>
      </c>
      <c r="C1200" s="16" t="s">
        <v>953</v>
      </c>
      <c r="D1200" s="17" t="s">
        <v>209</v>
      </c>
      <c r="E1200" s="17">
        <v>1</v>
      </c>
      <c r="F1200" s="222">
        <f>F1197*E1200</f>
        <v>12</v>
      </c>
      <c r="G1200" s="17"/>
      <c r="H1200" s="19">
        <f>F1200*G1200</f>
        <v>0</v>
      </c>
    </row>
    <row r="1201" spans="1:8">
      <c r="A1201" s="64"/>
      <c r="B1201" s="67" t="s">
        <v>17</v>
      </c>
      <c r="C1201" s="16" t="s">
        <v>87</v>
      </c>
      <c r="D1201" s="17" t="s">
        <v>3</v>
      </c>
      <c r="E1201" s="17">
        <v>0.66</v>
      </c>
      <c r="F1201" s="18">
        <f>F1197*E1201</f>
        <v>7.92</v>
      </c>
      <c r="G1201" s="17"/>
      <c r="H1201" s="18">
        <f>F1201*G1201</f>
        <v>0</v>
      </c>
    </row>
    <row r="1202" spans="1:8" ht="60">
      <c r="A1202" s="68" t="s">
        <v>137</v>
      </c>
      <c r="B1202" s="9" t="s">
        <v>954</v>
      </c>
      <c r="C1202" s="20" t="s">
        <v>1681</v>
      </c>
      <c r="D1202" s="26" t="s">
        <v>209</v>
      </c>
      <c r="E1202" s="20"/>
      <c r="F1202" s="69">
        <v>370</v>
      </c>
      <c r="G1202" s="69"/>
      <c r="H1202" s="39">
        <f>SUM(H1203:H1206)</f>
        <v>0</v>
      </c>
    </row>
    <row r="1203" spans="1:8">
      <c r="A1203" s="61"/>
      <c r="B1203" s="61" t="s">
        <v>17</v>
      </c>
      <c r="C1203" s="28" t="s">
        <v>28</v>
      </c>
      <c r="D1203" s="28" t="s">
        <v>19</v>
      </c>
      <c r="E1203" s="28">
        <v>0.31</v>
      </c>
      <c r="F1203" s="19">
        <f>F1202*E1203</f>
        <v>114.7</v>
      </c>
      <c r="G1203" s="44"/>
      <c r="H1203" s="19">
        <f>F1203*G1203</f>
        <v>0</v>
      </c>
    </row>
    <row r="1204" spans="1:8">
      <c r="A1204" s="61"/>
      <c r="B1204" s="61" t="s">
        <v>17</v>
      </c>
      <c r="C1204" s="28" t="s">
        <v>20</v>
      </c>
      <c r="D1204" s="28" t="s">
        <v>3</v>
      </c>
      <c r="E1204" s="135">
        <v>0.01</v>
      </c>
      <c r="F1204" s="19">
        <f>F1202*E1204</f>
        <v>3.7</v>
      </c>
      <c r="G1204" s="19"/>
      <c r="H1204" s="19">
        <f>F1204*G1204</f>
        <v>0</v>
      </c>
    </row>
    <row r="1205" spans="1:8">
      <c r="A1205" s="61"/>
      <c r="B1205" s="61" t="s">
        <v>955</v>
      </c>
      <c r="C1205" s="28" t="s">
        <v>956</v>
      </c>
      <c r="D1205" s="28" t="s">
        <v>209</v>
      </c>
      <c r="E1205" s="237">
        <v>1</v>
      </c>
      <c r="F1205" s="19">
        <f>E1205*F1202</f>
        <v>370</v>
      </c>
      <c r="G1205" s="19"/>
      <c r="H1205" s="19">
        <f>F1205*G1205</f>
        <v>0</v>
      </c>
    </row>
    <row r="1206" spans="1:8">
      <c r="A1206" s="61"/>
      <c r="B1206" s="29" t="s">
        <v>17</v>
      </c>
      <c r="C1206" s="28" t="s">
        <v>100</v>
      </c>
      <c r="D1206" s="28" t="s">
        <v>3</v>
      </c>
      <c r="E1206" s="29">
        <v>0.04</v>
      </c>
      <c r="F1206" s="19">
        <f>F1202*E1206</f>
        <v>14.8</v>
      </c>
      <c r="G1206" s="19"/>
      <c r="H1206" s="19">
        <f>F1206*G1206</f>
        <v>0</v>
      </c>
    </row>
    <row r="1207" spans="1:8">
      <c r="A1207" s="61"/>
      <c r="B1207" s="68"/>
      <c r="C1207" s="20" t="s">
        <v>888</v>
      </c>
      <c r="D1207" s="20" t="s">
        <v>3</v>
      </c>
      <c r="E1207" s="28"/>
      <c r="F1207" s="28"/>
      <c r="G1207" s="28"/>
      <c r="H1207" s="39">
        <f>H1130+H1140+H1147+H1154+H1161+H1169+H1173+H1177+H1182+H1188+H1193+H1197+H1202</f>
        <v>0</v>
      </c>
    </row>
    <row r="1208" spans="1:8">
      <c r="A1208" s="64"/>
      <c r="B1208" s="14"/>
      <c r="C1208" s="16" t="s">
        <v>687</v>
      </c>
      <c r="D1208" s="16" t="s">
        <v>3</v>
      </c>
      <c r="E1208" s="16"/>
      <c r="F1208" s="224">
        <v>0.1</v>
      </c>
      <c r="G1208" s="16"/>
      <c r="H1208" s="18">
        <f>H1207*F1208</f>
        <v>0</v>
      </c>
    </row>
    <row r="1209" spans="1:8">
      <c r="A1209" s="64"/>
      <c r="B1209" s="46"/>
      <c r="C1209" s="10" t="s">
        <v>688</v>
      </c>
      <c r="D1209" s="10" t="s">
        <v>3</v>
      </c>
      <c r="E1209" s="10"/>
      <c r="F1209" s="10"/>
      <c r="G1209" s="10"/>
      <c r="H1209" s="57">
        <f>H1208+H1207</f>
        <v>0</v>
      </c>
    </row>
    <row r="1210" spans="1:8">
      <c r="A1210" s="64"/>
      <c r="B1210" s="14"/>
      <c r="C1210" s="16" t="s">
        <v>689</v>
      </c>
      <c r="D1210" s="16" t="s">
        <v>3</v>
      </c>
      <c r="E1210" s="16"/>
      <c r="F1210" s="224">
        <v>0.08</v>
      </c>
      <c r="G1210" s="16"/>
      <c r="H1210" s="18">
        <f>H1209*F1210</f>
        <v>0</v>
      </c>
    </row>
    <row r="1211" spans="1:8">
      <c r="A1211" s="83"/>
      <c r="B1211" s="46"/>
      <c r="C1211" s="10" t="s">
        <v>690</v>
      </c>
      <c r="D1211" s="10" t="s">
        <v>3</v>
      </c>
      <c r="E1211" s="10"/>
      <c r="F1211" s="225"/>
      <c r="G1211" s="206"/>
      <c r="H1211" s="462">
        <f>SUM(H1209:H1210)</f>
        <v>0</v>
      </c>
    </row>
    <row r="1214" spans="1:8">
      <c r="A1214" s="488" t="s">
        <v>957</v>
      </c>
      <c r="B1214" s="488"/>
      <c r="C1214" s="488"/>
      <c r="D1214" s="488"/>
      <c r="E1214" s="488"/>
      <c r="F1214" s="488"/>
      <c r="G1214" s="488"/>
      <c r="H1214" s="488"/>
    </row>
    <row r="1215" spans="1:8">
      <c r="A1215" s="488"/>
      <c r="B1215" s="488"/>
      <c r="C1215" s="488"/>
      <c r="D1215" s="488"/>
      <c r="E1215" s="488"/>
      <c r="F1215" s="488"/>
      <c r="G1215" s="488"/>
      <c r="H1215" s="488"/>
    </row>
    <row r="1216" spans="1:8">
      <c r="A1216" s="488" t="s">
        <v>958</v>
      </c>
      <c r="B1216" s="488"/>
      <c r="C1216" s="488"/>
      <c r="D1216" s="488"/>
      <c r="E1216" s="488"/>
      <c r="F1216" s="488"/>
      <c r="G1216" s="488"/>
      <c r="H1216" s="488"/>
    </row>
    <row r="1217" spans="1:8" ht="32.25" customHeight="1">
      <c r="A1217" s="501" t="s">
        <v>5</v>
      </c>
      <c r="B1217" s="500" t="s">
        <v>6</v>
      </c>
      <c r="C1217" s="501" t="s">
        <v>959</v>
      </c>
      <c r="D1217" s="500" t="s">
        <v>960</v>
      </c>
      <c r="E1217" s="501" t="s">
        <v>9</v>
      </c>
      <c r="F1217" s="501"/>
      <c r="G1217" s="501" t="s">
        <v>961</v>
      </c>
      <c r="H1217" s="501"/>
    </row>
    <row r="1218" spans="1:8" ht="75.75" customHeight="1">
      <c r="A1218" s="501"/>
      <c r="B1218" s="500"/>
      <c r="C1218" s="501"/>
      <c r="D1218" s="500"/>
      <c r="E1218" s="271" t="s">
        <v>962</v>
      </c>
      <c r="F1218" s="271" t="s">
        <v>963</v>
      </c>
      <c r="G1218" s="271" t="s">
        <v>962</v>
      </c>
      <c r="H1218" s="271" t="s">
        <v>964</v>
      </c>
    </row>
    <row r="1219" spans="1:8">
      <c r="A1219" s="5">
        <v>1</v>
      </c>
      <c r="B1219" s="5">
        <v>2</v>
      </c>
      <c r="C1219" s="5">
        <v>3</v>
      </c>
      <c r="D1219" s="5">
        <v>4</v>
      </c>
      <c r="E1219" s="5">
        <v>5</v>
      </c>
      <c r="F1219" s="5">
        <v>6</v>
      </c>
      <c r="G1219" s="5">
        <v>7</v>
      </c>
      <c r="H1219" s="5">
        <v>8</v>
      </c>
    </row>
    <row r="1220" spans="1:8" ht="48">
      <c r="A1220" s="68" t="s">
        <v>13</v>
      </c>
      <c r="B1220" s="9" t="s">
        <v>965</v>
      </c>
      <c r="C1220" s="20" t="s">
        <v>966</v>
      </c>
      <c r="D1220" s="20" t="s">
        <v>16</v>
      </c>
      <c r="E1220" s="20"/>
      <c r="F1220" s="60">
        <v>60</v>
      </c>
      <c r="G1220" s="20"/>
      <c r="H1220" s="39">
        <f>SUM(H1221:H1225)</f>
        <v>0</v>
      </c>
    </row>
    <row r="1221" spans="1:8">
      <c r="A1221" s="61"/>
      <c r="B1221" s="61" t="s">
        <v>17</v>
      </c>
      <c r="C1221" s="28" t="s">
        <v>18</v>
      </c>
      <c r="D1221" s="28" t="s">
        <v>19</v>
      </c>
      <c r="E1221" s="72">
        <v>1.54</v>
      </c>
      <c r="F1221" s="19">
        <f>F1220*E1221</f>
        <v>92.4</v>
      </c>
      <c r="G1221" s="28"/>
      <c r="H1221" s="19">
        <f>F1221*G1221</f>
        <v>0</v>
      </c>
    </row>
    <row r="1222" spans="1:8">
      <c r="A1222" s="61"/>
      <c r="B1222" s="61" t="s">
        <v>17</v>
      </c>
      <c r="C1222" s="28" t="s">
        <v>20</v>
      </c>
      <c r="D1222" s="28" t="s">
        <v>3</v>
      </c>
      <c r="E1222" s="72">
        <v>3.73E-2</v>
      </c>
      <c r="F1222" s="19">
        <f>F1220*E1222</f>
        <v>2.238</v>
      </c>
      <c r="G1222" s="29"/>
      <c r="H1222" s="19">
        <f>F1222*G1222</f>
        <v>0</v>
      </c>
    </row>
    <row r="1223" spans="1:8" ht="27">
      <c r="A1223" s="61"/>
      <c r="B1223" s="28" t="s">
        <v>967</v>
      </c>
      <c r="C1223" s="28" t="s">
        <v>968</v>
      </c>
      <c r="D1223" s="28" t="s">
        <v>16</v>
      </c>
      <c r="E1223" s="44">
        <v>1</v>
      </c>
      <c r="F1223" s="19">
        <f>E1223*F1220</f>
        <v>60</v>
      </c>
      <c r="G1223" s="29"/>
      <c r="H1223" s="19">
        <f>F1223*G1223</f>
        <v>0</v>
      </c>
    </row>
    <row r="1224" spans="1:8" ht="27">
      <c r="A1224" s="61"/>
      <c r="B1224" s="270" t="s">
        <v>969</v>
      </c>
      <c r="C1224" s="28" t="s">
        <v>970</v>
      </c>
      <c r="D1224" s="28" t="s">
        <v>123</v>
      </c>
      <c r="E1224" s="44">
        <v>0.65</v>
      </c>
      <c r="F1224" s="19">
        <f>E1224</f>
        <v>0.65</v>
      </c>
      <c r="G1224" s="29"/>
      <c r="H1224" s="19">
        <f>F1224*G1224</f>
        <v>0</v>
      </c>
    </row>
    <row r="1225" spans="1:8">
      <c r="A1225" s="61"/>
      <c r="B1225" s="29" t="s">
        <v>17</v>
      </c>
      <c r="C1225" s="28" t="s">
        <v>100</v>
      </c>
      <c r="D1225" s="28" t="s">
        <v>3</v>
      </c>
      <c r="E1225" s="29">
        <v>0.16900000000000001</v>
      </c>
      <c r="F1225" s="19">
        <f>F1220*E1225</f>
        <v>10.14</v>
      </c>
      <c r="G1225" s="29"/>
      <c r="H1225" s="19">
        <f>F1225*G1225</f>
        <v>0</v>
      </c>
    </row>
    <row r="1226" spans="1:8" ht="48">
      <c r="A1226" s="68" t="s">
        <v>72</v>
      </c>
      <c r="B1226" s="9" t="s">
        <v>971</v>
      </c>
      <c r="C1226" s="20" t="s">
        <v>972</v>
      </c>
      <c r="D1226" s="26" t="s">
        <v>209</v>
      </c>
      <c r="E1226" s="20"/>
      <c r="F1226" s="25">
        <v>25</v>
      </c>
      <c r="G1226" s="20"/>
      <c r="H1226" s="39">
        <f>SUM(H1227:H1229)</f>
        <v>0</v>
      </c>
    </row>
    <row r="1227" spans="1:8">
      <c r="A1227" s="61"/>
      <c r="B1227" s="15" t="s">
        <v>17</v>
      </c>
      <c r="C1227" s="28" t="s">
        <v>28</v>
      </c>
      <c r="D1227" s="28" t="s">
        <v>19</v>
      </c>
      <c r="E1227" s="28">
        <v>1.34</v>
      </c>
      <c r="F1227" s="19">
        <f>F1226*E1227</f>
        <v>33.5</v>
      </c>
      <c r="G1227" s="28"/>
      <c r="H1227" s="19">
        <f>F1227*G1227</f>
        <v>0</v>
      </c>
    </row>
    <row r="1228" spans="1:8" ht="27">
      <c r="A1228" s="61"/>
      <c r="B1228" s="61" t="s">
        <v>973</v>
      </c>
      <c r="C1228" s="28" t="s">
        <v>974</v>
      </c>
      <c r="D1228" s="29" t="s">
        <v>209</v>
      </c>
      <c r="E1228" s="29">
        <v>1</v>
      </c>
      <c r="F1228" s="178">
        <f>E1228*F1226</f>
        <v>25</v>
      </c>
      <c r="G1228" s="29"/>
      <c r="H1228" s="19">
        <f>F1228*G1228</f>
        <v>0</v>
      </c>
    </row>
    <row r="1229" spans="1:8">
      <c r="A1229" s="61"/>
      <c r="B1229" s="181" t="s">
        <v>17</v>
      </c>
      <c r="C1229" s="28" t="s">
        <v>100</v>
      </c>
      <c r="D1229" s="28" t="s">
        <v>3</v>
      </c>
      <c r="E1229" s="29">
        <v>0.16</v>
      </c>
      <c r="F1229" s="19">
        <f>F1226*E1229</f>
        <v>4</v>
      </c>
      <c r="G1229" s="29"/>
      <c r="H1229" s="19">
        <f>F1229*G1229</f>
        <v>0</v>
      </c>
    </row>
    <row r="1230" spans="1:8">
      <c r="A1230" s="68"/>
      <c r="B1230" s="20"/>
      <c r="C1230" s="20" t="s">
        <v>975</v>
      </c>
      <c r="D1230" s="20" t="s">
        <v>3</v>
      </c>
      <c r="E1230" s="20"/>
      <c r="F1230" s="20"/>
      <c r="G1230" s="20"/>
      <c r="H1230" s="69">
        <f>H1220+H1226</f>
        <v>0</v>
      </c>
    </row>
    <row r="1231" spans="1:8">
      <c r="A1231" s="64"/>
      <c r="B1231" s="14"/>
      <c r="C1231" s="16" t="s">
        <v>687</v>
      </c>
      <c r="D1231" s="16" t="s">
        <v>3</v>
      </c>
      <c r="E1231" s="16"/>
      <c r="F1231" s="224">
        <v>0.1</v>
      </c>
      <c r="G1231" s="16"/>
      <c r="H1231" s="18">
        <f>H1230*F1231</f>
        <v>0</v>
      </c>
    </row>
    <row r="1232" spans="1:8">
      <c r="A1232" s="64"/>
      <c r="B1232" s="46"/>
      <c r="C1232" s="10" t="s">
        <v>688</v>
      </c>
      <c r="D1232" s="10" t="s">
        <v>3</v>
      </c>
      <c r="E1232" s="10"/>
      <c r="F1232" s="10"/>
      <c r="G1232" s="10"/>
      <c r="H1232" s="57">
        <f>H1231+H1230</f>
        <v>0</v>
      </c>
    </row>
    <row r="1233" spans="1:8">
      <c r="A1233" s="64"/>
      <c r="B1233" s="14"/>
      <c r="C1233" s="16" t="s">
        <v>689</v>
      </c>
      <c r="D1233" s="16" t="s">
        <v>3</v>
      </c>
      <c r="E1233" s="16"/>
      <c r="F1233" s="224">
        <v>0.08</v>
      </c>
      <c r="G1233" s="16"/>
      <c r="H1233" s="18">
        <f>H1232*F1233</f>
        <v>0</v>
      </c>
    </row>
    <row r="1234" spans="1:8">
      <c r="A1234" s="83"/>
      <c r="B1234" s="46"/>
      <c r="C1234" s="10" t="s">
        <v>690</v>
      </c>
      <c r="D1234" s="10" t="s">
        <v>3</v>
      </c>
      <c r="E1234" s="10"/>
      <c r="F1234" s="225"/>
      <c r="G1234" s="206"/>
      <c r="H1234" s="462">
        <f>SUM(H1232:H1233)</f>
        <v>0</v>
      </c>
    </row>
    <row r="1237" spans="1:8">
      <c r="A1237" s="487" t="s">
        <v>976</v>
      </c>
      <c r="B1237" s="487"/>
      <c r="C1237" s="487"/>
      <c r="D1237" s="487"/>
      <c r="E1237" s="487"/>
      <c r="F1237" s="487"/>
      <c r="G1237" s="487"/>
      <c r="H1237" s="487"/>
    </row>
    <row r="1238" spans="1:8">
      <c r="A1238" s="488"/>
      <c r="B1238" s="488"/>
      <c r="C1238" s="488"/>
      <c r="D1238" s="488"/>
      <c r="E1238" s="488"/>
      <c r="F1238" s="488"/>
      <c r="G1238" s="488"/>
      <c r="H1238" s="488"/>
    </row>
    <row r="1239" spans="1:8" ht="20.25" customHeight="1">
      <c r="A1239" s="488" t="s">
        <v>977</v>
      </c>
      <c r="B1239" s="488"/>
      <c r="C1239" s="488"/>
      <c r="D1239" s="488"/>
      <c r="E1239" s="488"/>
      <c r="F1239" s="488"/>
      <c r="G1239" s="488"/>
      <c r="H1239" s="488"/>
    </row>
    <row r="1240" spans="1:8" ht="23.25" customHeight="1">
      <c r="A1240" s="502" t="s">
        <v>5</v>
      </c>
      <c r="B1240" s="493" t="s">
        <v>6</v>
      </c>
      <c r="C1240" s="503" t="s">
        <v>7</v>
      </c>
      <c r="D1240" s="504" t="s">
        <v>8</v>
      </c>
      <c r="E1240" s="505" t="s">
        <v>9</v>
      </c>
      <c r="F1240" s="505"/>
      <c r="G1240" s="496" t="s">
        <v>10</v>
      </c>
      <c r="H1240" s="496"/>
    </row>
    <row r="1241" spans="1:8" ht="87" customHeight="1">
      <c r="A1241" s="502"/>
      <c r="B1241" s="493"/>
      <c r="C1241" s="503"/>
      <c r="D1241" s="504"/>
      <c r="E1241" s="280" t="s">
        <v>11</v>
      </c>
      <c r="F1241" s="280" t="s">
        <v>12</v>
      </c>
      <c r="G1241" s="226" t="s">
        <v>11</v>
      </c>
      <c r="H1241" s="281" t="s">
        <v>12</v>
      </c>
    </row>
    <row r="1242" spans="1:8">
      <c r="A1242" s="68" t="s">
        <v>13</v>
      </c>
      <c r="B1242" s="68">
        <v>2</v>
      </c>
      <c r="C1242" s="20">
        <v>3</v>
      </c>
      <c r="D1242" s="20">
        <v>4</v>
      </c>
      <c r="E1242" s="20">
        <v>5</v>
      </c>
      <c r="F1242" s="20">
        <v>6</v>
      </c>
      <c r="G1242" s="232">
        <v>7</v>
      </c>
      <c r="H1242" s="8">
        <v>8</v>
      </c>
    </row>
    <row r="1243" spans="1:8" ht="54">
      <c r="A1243" s="272">
        <v>1</v>
      </c>
      <c r="B1243" s="273" t="s">
        <v>978</v>
      </c>
      <c r="C1243" s="241" t="s">
        <v>979</v>
      </c>
      <c r="D1243" s="241" t="s">
        <v>209</v>
      </c>
      <c r="E1243" s="241"/>
      <c r="F1243" s="274">
        <v>1</v>
      </c>
      <c r="G1243" s="275"/>
      <c r="H1243" s="276">
        <f>SUM(H1244:H1247)</f>
        <v>0</v>
      </c>
    </row>
    <row r="1244" spans="1:8">
      <c r="A1244" s="61"/>
      <c r="B1244" s="15" t="s">
        <v>17</v>
      </c>
      <c r="C1244" s="28" t="s">
        <v>28</v>
      </c>
      <c r="D1244" s="28" t="s">
        <v>19</v>
      </c>
      <c r="E1244" s="28">
        <v>7</v>
      </c>
      <c r="F1244" s="238">
        <f>E1244*F1243</f>
        <v>7</v>
      </c>
      <c r="G1244" s="16"/>
      <c r="H1244" s="44">
        <f>G1244*F1244</f>
        <v>0</v>
      </c>
    </row>
    <row r="1245" spans="1:8">
      <c r="A1245" s="61"/>
      <c r="B1245" s="15" t="s">
        <v>17</v>
      </c>
      <c r="C1245" s="28" t="s">
        <v>233</v>
      </c>
      <c r="D1245" s="28" t="s">
        <v>3</v>
      </c>
      <c r="E1245" s="28">
        <v>0.74</v>
      </c>
      <c r="F1245" s="44">
        <f>E1245*F1243</f>
        <v>0.74</v>
      </c>
      <c r="G1245" s="16"/>
      <c r="H1245" s="44">
        <f>G1245*F1245</f>
        <v>0</v>
      </c>
    </row>
    <row r="1246" spans="1:8" ht="27">
      <c r="A1246" s="61"/>
      <c r="B1246" s="15" t="s">
        <v>980</v>
      </c>
      <c r="C1246" s="44" t="s">
        <v>981</v>
      </c>
      <c r="D1246" s="28" t="s">
        <v>209</v>
      </c>
      <c r="E1246" s="29">
        <v>1</v>
      </c>
      <c r="F1246" s="178">
        <v>1</v>
      </c>
      <c r="G1246" s="29"/>
      <c r="H1246" s="19">
        <f>F1246*G1246</f>
        <v>0</v>
      </c>
    </row>
    <row r="1247" spans="1:8">
      <c r="A1247" s="61"/>
      <c r="B1247" s="15" t="s">
        <v>17</v>
      </c>
      <c r="C1247" s="28" t="s">
        <v>100</v>
      </c>
      <c r="D1247" s="28" t="s">
        <v>3</v>
      </c>
      <c r="E1247" s="28">
        <v>9.67</v>
      </c>
      <c r="F1247" s="44">
        <f>F1243*E1247</f>
        <v>9.67</v>
      </c>
      <c r="G1247" s="16"/>
      <c r="H1247" s="44">
        <f>G1247*F1247</f>
        <v>0</v>
      </c>
    </row>
    <row r="1248" spans="1:8" ht="48">
      <c r="A1248" s="25">
        <v>2</v>
      </c>
      <c r="B1248" s="9" t="s">
        <v>982</v>
      </c>
      <c r="C1248" s="20" t="s">
        <v>983</v>
      </c>
      <c r="D1248" s="20" t="s">
        <v>678</v>
      </c>
      <c r="E1248" s="20"/>
      <c r="F1248" s="274">
        <v>1</v>
      </c>
      <c r="G1248" s="10"/>
      <c r="H1248" s="39">
        <f>H1249+H1250+H1251</f>
        <v>0</v>
      </c>
    </row>
    <row r="1249" spans="1:8">
      <c r="A1249" s="61"/>
      <c r="B1249" s="15" t="s">
        <v>17</v>
      </c>
      <c r="C1249" s="28" t="s">
        <v>28</v>
      </c>
      <c r="D1249" s="28" t="s">
        <v>19</v>
      </c>
      <c r="E1249" s="28">
        <v>2.75</v>
      </c>
      <c r="F1249" s="44">
        <f>E1249*F1248</f>
        <v>2.75</v>
      </c>
      <c r="G1249" s="43"/>
      <c r="H1249" s="44">
        <f>G1249*F1249</f>
        <v>0</v>
      </c>
    </row>
    <row r="1250" spans="1:8">
      <c r="A1250" s="61"/>
      <c r="B1250" s="15" t="s">
        <v>984</v>
      </c>
      <c r="C1250" s="28" t="s">
        <v>985</v>
      </c>
      <c r="D1250" s="28" t="s">
        <v>209</v>
      </c>
      <c r="E1250" s="29">
        <v>1</v>
      </c>
      <c r="F1250" s="178">
        <f>F1248*E1250</f>
        <v>1</v>
      </c>
      <c r="G1250" s="18"/>
      <c r="H1250" s="18">
        <f>F1250*G1250</f>
        <v>0</v>
      </c>
    </row>
    <row r="1251" spans="1:8">
      <c r="A1251" s="61"/>
      <c r="B1251" s="15" t="s">
        <v>17</v>
      </c>
      <c r="C1251" s="28" t="s">
        <v>100</v>
      </c>
      <c r="D1251" s="28" t="s">
        <v>3</v>
      </c>
      <c r="E1251" s="28">
        <v>2.1800000000000002</v>
      </c>
      <c r="F1251" s="44">
        <f>E1251*F1248</f>
        <v>2.1800000000000002</v>
      </c>
      <c r="G1251" s="43"/>
      <c r="H1251" s="44">
        <f>G1251*F1251</f>
        <v>0</v>
      </c>
    </row>
    <row r="1252" spans="1:8" ht="48">
      <c r="A1252" s="25">
        <v>3</v>
      </c>
      <c r="B1252" s="9" t="s">
        <v>986</v>
      </c>
      <c r="C1252" s="20" t="s">
        <v>987</v>
      </c>
      <c r="D1252" s="20" t="s">
        <v>678</v>
      </c>
      <c r="E1252" s="20"/>
      <c r="F1252" s="274">
        <v>5</v>
      </c>
      <c r="G1252" s="10"/>
      <c r="H1252" s="39">
        <f>H1253+H1254+H1255</f>
        <v>0</v>
      </c>
    </row>
    <row r="1253" spans="1:8">
      <c r="A1253" s="61"/>
      <c r="B1253" s="15" t="s">
        <v>17</v>
      </c>
      <c r="C1253" s="28" t="s">
        <v>28</v>
      </c>
      <c r="D1253" s="28" t="s">
        <v>19</v>
      </c>
      <c r="E1253" s="28">
        <v>1.99</v>
      </c>
      <c r="F1253" s="44">
        <f>E1253*F1252</f>
        <v>9.9499999999999993</v>
      </c>
      <c r="G1253" s="43"/>
      <c r="H1253" s="44">
        <f>G1253*F1253</f>
        <v>0</v>
      </c>
    </row>
    <row r="1254" spans="1:8">
      <c r="A1254" s="61"/>
      <c r="B1254" s="15" t="s">
        <v>988</v>
      </c>
      <c r="C1254" s="28" t="s">
        <v>989</v>
      </c>
      <c r="D1254" s="28" t="s">
        <v>209</v>
      </c>
      <c r="E1254" s="29">
        <v>1</v>
      </c>
      <c r="F1254" s="178">
        <f>F1252*E1254</f>
        <v>5</v>
      </c>
      <c r="G1254" s="18"/>
      <c r="H1254" s="18">
        <f>F1254*G1254</f>
        <v>0</v>
      </c>
    </row>
    <row r="1255" spans="1:8">
      <c r="A1255" s="61"/>
      <c r="B1255" s="15" t="s">
        <v>17</v>
      </c>
      <c r="C1255" s="28" t="s">
        <v>100</v>
      </c>
      <c r="D1255" s="28" t="s">
        <v>3</v>
      </c>
      <c r="E1255" s="28">
        <v>1.39</v>
      </c>
      <c r="F1255" s="44">
        <f>E1255*F1252</f>
        <v>6.9499999999999993</v>
      </c>
      <c r="G1255" s="43"/>
      <c r="H1255" s="44">
        <f>G1255*F1255</f>
        <v>0</v>
      </c>
    </row>
    <row r="1256" spans="1:8" ht="48">
      <c r="A1256" s="25">
        <v>4</v>
      </c>
      <c r="B1256" s="9" t="s">
        <v>986</v>
      </c>
      <c r="C1256" s="20" t="s">
        <v>990</v>
      </c>
      <c r="D1256" s="20" t="s">
        <v>209</v>
      </c>
      <c r="E1256" s="20"/>
      <c r="F1256" s="69">
        <v>1</v>
      </c>
      <c r="G1256" s="10"/>
      <c r="H1256" s="39">
        <f>H1257+H1258+H1259</f>
        <v>0</v>
      </c>
    </row>
    <row r="1257" spans="1:8">
      <c r="A1257" s="61"/>
      <c r="B1257" s="15" t="s">
        <v>17</v>
      </c>
      <c r="C1257" s="28" t="s">
        <v>28</v>
      </c>
      <c r="D1257" s="28" t="s">
        <v>19</v>
      </c>
      <c r="E1257" s="28">
        <v>1.99</v>
      </c>
      <c r="F1257" s="44">
        <f>E1257*F1256</f>
        <v>1.99</v>
      </c>
      <c r="G1257" s="16"/>
      <c r="H1257" s="44">
        <f>G1257*F1257</f>
        <v>0</v>
      </c>
    </row>
    <row r="1258" spans="1:8">
      <c r="A1258" s="61"/>
      <c r="B1258" s="15" t="s">
        <v>991</v>
      </c>
      <c r="C1258" s="28" t="s">
        <v>992</v>
      </c>
      <c r="D1258" s="28" t="s">
        <v>209</v>
      </c>
      <c r="E1258" s="29">
        <v>1</v>
      </c>
      <c r="F1258" s="178">
        <f>F1256*E1258</f>
        <v>1</v>
      </c>
      <c r="G1258" s="29"/>
      <c r="H1258" s="18">
        <f>F1258*G1258</f>
        <v>0</v>
      </c>
    </row>
    <row r="1259" spans="1:8">
      <c r="A1259" s="61"/>
      <c r="B1259" s="15" t="s">
        <v>17</v>
      </c>
      <c r="C1259" s="28" t="s">
        <v>100</v>
      </c>
      <c r="D1259" s="28" t="s">
        <v>3</v>
      </c>
      <c r="E1259" s="28">
        <v>1.39</v>
      </c>
      <c r="F1259" s="44">
        <f>E1259*F1256</f>
        <v>1.39</v>
      </c>
      <c r="G1259" s="16"/>
      <c r="H1259" s="44">
        <f>G1259*F1259</f>
        <v>0</v>
      </c>
    </row>
    <row r="1260" spans="1:8" ht="48">
      <c r="A1260" s="25">
        <v>5</v>
      </c>
      <c r="B1260" s="9" t="s">
        <v>986</v>
      </c>
      <c r="C1260" s="20" t="s">
        <v>993</v>
      </c>
      <c r="D1260" s="20" t="s">
        <v>209</v>
      </c>
      <c r="E1260" s="20"/>
      <c r="F1260" s="69">
        <v>3</v>
      </c>
      <c r="G1260" s="10"/>
      <c r="H1260" s="39">
        <f>H1261+H1262+H1263</f>
        <v>0</v>
      </c>
    </row>
    <row r="1261" spans="1:8">
      <c r="A1261" s="61"/>
      <c r="B1261" s="15" t="s">
        <v>17</v>
      </c>
      <c r="C1261" s="28" t="s">
        <v>28</v>
      </c>
      <c r="D1261" s="28" t="s">
        <v>19</v>
      </c>
      <c r="E1261" s="28">
        <v>1.99</v>
      </c>
      <c r="F1261" s="44">
        <f>E1261*F1260</f>
        <v>5.97</v>
      </c>
      <c r="G1261" s="16"/>
      <c r="H1261" s="44">
        <f>G1261*F1261</f>
        <v>0</v>
      </c>
    </row>
    <row r="1262" spans="1:8">
      <c r="A1262" s="61"/>
      <c r="B1262" s="15" t="s">
        <v>991</v>
      </c>
      <c r="C1262" s="28" t="s">
        <v>994</v>
      </c>
      <c r="D1262" s="28" t="s">
        <v>209</v>
      </c>
      <c r="E1262" s="29">
        <v>1</v>
      </c>
      <c r="F1262" s="178">
        <f>F1260*E1262</f>
        <v>3</v>
      </c>
      <c r="G1262" s="29"/>
      <c r="H1262" s="18">
        <f>F1262*G1262</f>
        <v>0</v>
      </c>
    </row>
    <row r="1263" spans="1:8">
      <c r="A1263" s="61"/>
      <c r="B1263" s="15" t="s">
        <v>17</v>
      </c>
      <c r="C1263" s="28" t="s">
        <v>100</v>
      </c>
      <c r="D1263" s="28" t="s">
        <v>3</v>
      </c>
      <c r="E1263" s="28">
        <v>1.39</v>
      </c>
      <c r="F1263" s="44">
        <f>E1263*F1260</f>
        <v>4.17</v>
      </c>
      <c r="G1263" s="16"/>
      <c r="H1263" s="44">
        <f>G1263*F1263</f>
        <v>0</v>
      </c>
    </row>
    <row r="1264" spans="1:8" ht="48">
      <c r="A1264" s="25">
        <v>6</v>
      </c>
      <c r="B1264" s="9" t="s">
        <v>986</v>
      </c>
      <c r="C1264" s="20" t="s">
        <v>995</v>
      </c>
      <c r="D1264" s="20" t="s">
        <v>209</v>
      </c>
      <c r="E1264" s="20"/>
      <c r="F1264" s="69">
        <v>1</v>
      </c>
      <c r="G1264" s="10"/>
      <c r="H1264" s="39">
        <f>H1265+H1266+H1267</f>
        <v>0</v>
      </c>
    </row>
    <row r="1265" spans="1:8">
      <c r="A1265" s="61"/>
      <c r="B1265" s="15" t="s">
        <v>17</v>
      </c>
      <c r="C1265" s="28" t="s">
        <v>28</v>
      </c>
      <c r="D1265" s="28" t="s">
        <v>19</v>
      </c>
      <c r="E1265" s="28">
        <v>1.99</v>
      </c>
      <c r="F1265" s="44">
        <f>E1265*F1264</f>
        <v>1.99</v>
      </c>
      <c r="G1265" s="16"/>
      <c r="H1265" s="44">
        <f>G1265*F1265</f>
        <v>0</v>
      </c>
    </row>
    <row r="1266" spans="1:8">
      <c r="A1266" s="61"/>
      <c r="B1266" s="15" t="s">
        <v>991</v>
      </c>
      <c r="C1266" s="28" t="s">
        <v>996</v>
      </c>
      <c r="D1266" s="28" t="s">
        <v>209</v>
      </c>
      <c r="E1266" s="29">
        <v>1</v>
      </c>
      <c r="F1266" s="178">
        <f>F1264*E1266</f>
        <v>1</v>
      </c>
      <c r="G1266" s="29"/>
      <c r="H1266" s="18">
        <f>F1266*G1266</f>
        <v>0</v>
      </c>
    </row>
    <row r="1267" spans="1:8">
      <c r="A1267" s="61"/>
      <c r="B1267" s="15" t="s">
        <v>17</v>
      </c>
      <c r="C1267" s="28" t="s">
        <v>100</v>
      </c>
      <c r="D1267" s="28" t="s">
        <v>3</v>
      </c>
      <c r="E1267" s="28">
        <v>1.39</v>
      </c>
      <c r="F1267" s="44">
        <f>E1267*F1264</f>
        <v>1.39</v>
      </c>
      <c r="G1267" s="16"/>
      <c r="H1267" s="44">
        <f>G1267*F1267</f>
        <v>0</v>
      </c>
    </row>
    <row r="1268" spans="1:8" ht="48">
      <c r="A1268" s="25">
        <v>7</v>
      </c>
      <c r="B1268" s="9" t="s">
        <v>986</v>
      </c>
      <c r="C1268" s="20" t="s">
        <v>997</v>
      </c>
      <c r="D1268" s="20" t="s">
        <v>209</v>
      </c>
      <c r="E1268" s="20"/>
      <c r="F1268" s="69">
        <v>1</v>
      </c>
      <c r="G1268" s="10"/>
      <c r="H1268" s="39">
        <f>H1269+H1270+H1271</f>
        <v>0</v>
      </c>
    </row>
    <row r="1269" spans="1:8">
      <c r="A1269" s="61"/>
      <c r="B1269" s="15" t="s">
        <v>17</v>
      </c>
      <c r="C1269" s="28" t="s">
        <v>28</v>
      </c>
      <c r="D1269" s="28" t="s">
        <v>19</v>
      </c>
      <c r="E1269" s="28">
        <v>1.99</v>
      </c>
      <c r="F1269" s="44">
        <f>E1269*F1268</f>
        <v>1.99</v>
      </c>
      <c r="G1269" s="16"/>
      <c r="H1269" s="44">
        <f>G1269*F1269</f>
        <v>0</v>
      </c>
    </row>
    <row r="1270" spans="1:8" ht="24">
      <c r="A1270" s="61"/>
      <c r="B1270" s="15" t="s">
        <v>998</v>
      </c>
      <c r="C1270" s="28" t="s">
        <v>999</v>
      </c>
      <c r="D1270" s="28" t="s">
        <v>209</v>
      </c>
      <c r="E1270" s="29">
        <v>1</v>
      </c>
      <c r="F1270" s="178">
        <f>F1268*E1270</f>
        <v>1</v>
      </c>
      <c r="G1270" s="29"/>
      <c r="H1270" s="18">
        <f>F1270*G1270</f>
        <v>0</v>
      </c>
    </row>
    <row r="1271" spans="1:8">
      <c r="A1271" s="61"/>
      <c r="B1271" s="15" t="s">
        <v>17</v>
      </c>
      <c r="C1271" s="28" t="s">
        <v>100</v>
      </c>
      <c r="D1271" s="28" t="s">
        <v>3</v>
      </c>
      <c r="E1271" s="28">
        <v>1.39</v>
      </c>
      <c r="F1271" s="44">
        <f>E1271*F1268</f>
        <v>1.39</v>
      </c>
      <c r="G1271" s="16"/>
      <c r="H1271" s="44">
        <f>G1271*F1271</f>
        <v>0</v>
      </c>
    </row>
    <row r="1272" spans="1:8" ht="48">
      <c r="A1272" s="25">
        <v>8</v>
      </c>
      <c r="B1272" s="9" t="s">
        <v>1000</v>
      </c>
      <c r="C1272" s="20" t="s">
        <v>1001</v>
      </c>
      <c r="D1272" s="20" t="s">
        <v>209</v>
      </c>
      <c r="E1272" s="20"/>
      <c r="F1272" s="69">
        <v>1</v>
      </c>
      <c r="G1272" s="10"/>
      <c r="H1272" s="39">
        <f>SUM(H1273:H1274)</f>
        <v>0</v>
      </c>
    </row>
    <row r="1273" spans="1:8">
      <c r="A1273" s="61"/>
      <c r="B1273" s="15" t="s">
        <v>17</v>
      </c>
      <c r="C1273" s="28" t="s">
        <v>28</v>
      </c>
      <c r="D1273" s="28" t="s">
        <v>19</v>
      </c>
      <c r="E1273" s="28">
        <v>2</v>
      </c>
      <c r="F1273" s="44">
        <f>E1273*F1272</f>
        <v>2</v>
      </c>
      <c r="G1273" s="16"/>
      <c r="H1273" s="44">
        <f>G1273*F1273</f>
        <v>0</v>
      </c>
    </row>
    <row r="1274" spans="1:8">
      <c r="A1274" s="61"/>
      <c r="B1274" s="23" t="s">
        <v>1002</v>
      </c>
      <c r="C1274" s="28" t="s">
        <v>1003</v>
      </c>
      <c r="D1274" s="28" t="s">
        <v>209</v>
      </c>
      <c r="E1274" s="29">
        <v>1</v>
      </c>
      <c r="F1274" s="19">
        <f>E1274*F1272</f>
        <v>1</v>
      </c>
      <c r="G1274" s="17"/>
      <c r="H1274" s="43">
        <f>F1274*G1274</f>
        <v>0</v>
      </c>
    </row>
    <row r="1275" spans="1:8" ht="54">
      <c r="A1275" s="25">
        <v>9</v>
      </c>
      <c r="B1275" s="9" t="s">
        <v>986</v>
      </c>
      <c r="C1275" s="20" t="s">
        <v>1004</v>
      </c>
      <c r="D1275" s="20" t="s">
        <v>678</v>
      </c>
      <c r="E1275" s="20"/>
      <c r="F1275" s="274">
        <v>1</v>
      </c>
      <c r="G1275" s="10"/>
      <c r="H1275" s="39">
        <f>H1276+H1277+H1278</f>
        <v>0</v>
      </c>
    </row>
    <row r="1276" spans="1:8">
      <c r="A1276" s="61"/>
      <c r="B1276" s="15" t="s">
        <v>17</v>
      </c>
      <c r="C1276" s="28" t="s">
        <v>28</v>
      </c>
      <c r="D1276" s="28" t="s">
        <v>19</v>
      </c>
      <c r="E1276" s="28">
        <v>1.99</v>
      </c>
      <c r="F1276" s="44">
        <f>E1276*F1275</f>
        <v>1.99</v>
      </c>
      <c r="G1276" s="43"/>
      <c r="H1276" s="44">
        <f>G1276*F1276</f>
        <v>0</v>
      </c>
    </row>
    <row r="1277" spans="1:8">
      <c r="A1277" s="61"/>
      <c r="B1277" s="15" t="s">
        <v>988</v>
      </c>
      <c r="C1277" s="28" t="s">
        <v>989</v>
      </c>
      <c r="D1277" s="28" t="s">
        <v>209</v>
      </c>
      <c r="E1277" s="29">
        <v>1</v>
      </c>
      <c r="F1277" s="178">
        <f>F1275*E1277</f>
        <v>1</v>
      </c>
      <c r="G1277" s="18"/>
      <c r="H1277" s="18">
        <f>F1277*G1277</f>
        <v>0</v>
      </c>
    </row>
    <row r="1278" spans="1:8">
      <c r="A1278" s="61"/>
      <c r="B1278" s="15" t="s">
        <v>17</v>
      </c>
      <c r="C1278" s="28" t="s">
        <v>100</v>
      </c>
      <c r="D1278" s="28" t="s">
        <v>3</v>
      </c>
      <c r="E1278" s="28">
        <v>1.39</v>
      </c>
      <c r="F1278" s="44">
        <f>E1278*F1275</f>
        <v>1.39</v>
      </c>
      <c r="G1278" s="43"/>
      <c r="H1278" s="44">
        <f>G1278*F1278</f>
        <v>0</v>
      </c>
    </row>
    <row r="1279" spans="1:8" ht="48">
      <c r="A1279" s="25">
        <v>10</v>
      </c>
      <c r="B1279" s="9" t="s">
        <v>1000</v>
      </c>
      <c r="C1279" s="20" t="s">
        <v>1005</v>
      </c>
      <c r="D1279" s="20" t="s">
        <v>209</v>
      </c>
      <c r="E1279" s="20"/>
      <c r="F1279" s="69">
        <v>1</v>
      </c>
      <c r="G1279" s="10"/>
      <c r="H1279" s="39">
        <f>SUM(H1280:H1281)</f>
        <v>0</v>
      </c>
    </row>
    <row r="1280" spans="1:8">
      <c r="A1280" s="61"/>
      <c r="B1280" s="15" t="s">
        <v>17</v>
      </c>
      <c r="C1280" s="28" t="s">
        <v>28</v>
      </c>
      <c r="D1280" s="28" t="s">
        <v>19</v>
      </c>
      <c r="E1280" s="28">
        <v>2</v>
      </c>
      <c r="F1280" s="44">
        <f>E1280*F1279</f>
        <v>2</v>
      </c>
      <c r="G1280" s="16"/>
      <c r="H1280" s="44">
        <f>G1280*F1280</f>
        <v>0</v>
      </c>
    </row>
    <row r="1281" spans="1:8">
      <c r="A1281" s="61"/>
      <c r="B1281" s="23" t="s">
        <v>1002</v>
      </c>
      <c r="C1281" s="28" t="s">
        <v>1003</v>
      </c>
      <c r="D1281" s="28" t="s">
        <v>209</v>
      </c>
      <c r="E1281" s="29">
        <v>1</v>
      </c>
      <c r="F1281" s="19">
        <f>E1281*F1279</f>
        <v>1</v>
      </c>
      <c r="G1281" s="17"/>
      <c r="H1281" s="43">
        <f>F1281*G1281</f>
        <v>0</v>
      </c>
    </row>
    <row r="1282" spans="1:8" ht="48">
      <c r="A1282" s="25">
        <v>11</v>
      </c>
      <c r="B1282" s="9" t="s">
        <v>986</v>
      </c>
      <c r="C1282" s="20" t="s">
        <v>1006</v>
      </c>
      <c r="D1282" s="20" t="s">
        <v>209</v>
      </c>
      <c r="E1282" s="20"/>
      <c r="F1282" s="69">
        <v>1</v>
      </c>
      <c r="G1282" s="10"/>
      <c r="H1282" s="39">
        <f>H1283+H1284+H1285</f>
        <v>0</v>
      </c>
    </row>
    <row r="1283" spans="1:8">
      <c r="A1283" s="61"/>
      <c r="B1283" s="15" t="s">
        <v>17</v>
      </c>
      <c r="C1283" s="28" t="s">
        <v>28</v>
      </c>
      <c r="D1283" s="28" t="s">
        <v>19</v>
      </c>
      <c r="E1283" s="28">
        <v>1.99</v>
      </c>
      <c r="F1283" s="44">
        <f>E1283*F1282</f>
        <v>1.99</v>
      </c>
      <c r="G1283" s="16"/>
      <c r="H1283" s="44">
        <f>G1283*F1283</f>
        <v>0</v>
      </c>
    </row>
    <row r="1284" spans="1:8">
      <c r="A1284" s="61"/>
      <c r="B1284" s="15" t="s">
        <v>991</v>
      </c>
      <c r="C1284" s="28" t="s">
        <v>996</v>
      </c>
      <c r="D1284" s="28" t="s">
        <v>209</v>
      </c>
      <c r="E1284" s="29">
        <v>1</v>
      </c>
      <c r="F1284" s="178">
        <f>F1282*E1284</f>
        <v>1</v>
      </c>
      <c r="G1284" s="29"/>
      <c r="H1284" s="18">
        <f>F1284*G1284</f>
        <v>0</v>
      </c>
    </row>
    <row r="1285" spans="1:8">
      <c r="A1285" s="61"/>
      <c r="B1285" s="15" t="s">
        <v>17</v>
      </c>
      <c r="C1285" s="28" t="s">
        <v>100</v>
      </c>
      <c r="D1285" s="28" t="s">
        <v>3</v>
      </c>
      <c r="E1285" s="28">
        <v>1.39</v>
      </c>
      <c r="F1285" s="44">
        <f>E1285*F1282</f>
        <v>1.39</v>
      </c>
      <c r="G1285" s="16"/>
      <c r="H1285" s="44">
        <f>G1285*F1285</f>
        <v>0</v>
      </c>
    </row>
    <row r="1286" spans="1:8" ht="48">
      <c r="A1286" s="25">
        <v>12</v>
      </c>
      <c r="B1286" s="9" t="s">
        <v>1000</v>
      </c>
      <c r="C1286" s="20" t="s">
        <v>1007</v>
      </c>
      <c r="D1286" s="20" t="s">
        <v>209</v>
      </c>
      <c r="E1286" s="20"/>
      <c r="F1286" s="69">
        <v>3</v>
      </c>
      <c r="G1286" s="10"/>
      <c r="H1286" s="39">
        <f>SUM(H1287:H1288)</f>
        <v>0</v>
      </c>
    </row>
    <row r="1287" spans="1:8">
      <c r="A1287" s="61"/>
      <c r="B1287" s="15" t="s">
        <v>17</v>
      </c>
      <c r="C1287" s="28" t="s">
        <v>28</v>
      </c>
      <c r="D1287" s="28" t="s">
        <v>19</v>
      </c>
      <c r="E1287" s="28">
        <v>2</v>
      </c>
      <c r="F1287" s="44">
        <f>E1287*F1286</f>
        <v>6</v>
      </c>
      <c r="G1287" s="16"/>
      <c r="H1287" s="44">
        <f>G1287*F1287</f>
        <v>0</v>
      </c>
    </row>
    <row r="1288" spans="1:8">
      <c r="A1288" s="61"/>
      <c r="B1288" s="23" t="s">
        <v>1008</v>
      </c>
      <c r="C1288" s="28" t="s">
        <v>1009</v>
      </c>
      <c r="D1288" s="28" t="s">
        <v>209</v>
      </c>
      <c r="E1288" s="29">
        <v>1</v>
      </c>
      <c r="F1288" s="19">
        <f>E1288*F1286</f>
        <v>3</v>
      </c>
      <c r="G1288" s="17"/>
      <c r="H1288" s="43">
        <f>F1288*G1288</f>
        <v>0</v>
      </c>
    </row>
    <row r="1289" spans="1:8" ht="48">
      <c r="A1289" s="25">
        <v>13</v>
      </c>
      <c r="B1289" s="9" t="s">
        <v>1000</v>
      </c>
      <c r="C1289" s="20" t="s">
        <v>1010</v>
      </c>
      <c r="D1289" s="20" t="s">
        <v>209</v>
      </c>
      <c r="E1289" s="20"/>
      <c r="F1289" s="69">
        <v>3</v>
      </c>
      <c r="G1289" s="10"/>
      <c r="H1289" s="39">
        <f>SUM(H1290:H1291)</f>
        <v>0</v>
      </c>
    </row>
    <row r="1290" spans="1:8">
      <c r="A1290" s="61"/>
      <c r="B1290" s="15" t="s">
        <v>17</v>
      </c>
      <c r="C1290" s="28" t="s">
        <v>28</v>
      </c>
      <c r="D1290" s="28" t="s">
        <v>19</v>
      </c>
      <c r="E1290" s="28">
        <v>2</v>
      </c>
      <c r="F1290" s="44">
        <f>E1290*F1289</f>
        <v>6</v>
      </c>
      <c r="G1290" s="16"/>
      <c r="H1290" s="44">
        <f>G1290*F1290</f>
        <v>0</v>
      </c>
    </row>
    <row r="1291" spans="1:8">
      <c r="A1291" s="61"/>
      <c r="B1291" s="23" t="s">
        <v>1002</v>
      </c>
      <c r="C1291" s="28" t="s">
        <v>1011</v>
      </c>
      <c r="D1291" s="28" t="s">
        <v>209</v>
      </c>
      <c r="E1291" s="29">
        <v>1</v>
      </c>
      <c r="F1291" s="19">
        <f>E1291*F1289</f>
        <v>3</v>
      </c>
      <c r="G1291" s="17"/>
      <c r="H1291" s="43">
        <f>F1291*G1291</f>
        <v>0</v>
      </c>
    </row>
    <row r="1292" spans="1:8" ht="48">
      <c r="A1292" s="25">
        <v>14</v>
      </c>
      <c r="B1292" s="9" t="s">
        <v>986</v>
      </c>
      <c r="C1292" s="20" t="s">
        <v>1012</v>
      </c>
      <c r="D1292" s="20" t="s">
        <v>678</v>
      </c>
      <c r="E1292" s="20"/>
      <c r="F1292" s="274">
        <v>3</v>
      </c>
      <c r="G1292" s="10"/>
      <c r="H1292" s="39">
        <f>H1293+H1294+H1295</f>
        <v>0</v>
      </c>
    </row>
    <row r="1293" spans="1:8">
      <c r="A1293" s="61"/>
      <c r="B1293" s="15" t="s">
        <v>17</v>
      </c>
      <c r="C1293" s="28" t="s">
        <v>28</v>
      </c>
      <c r="D1293" s="28" t="s">
        <v>19</v>
      </c>
      <c r="E1293" s="28">
        <v>1.99</v>
      </c>
      <c r="F1293" s="44">
        <f>E1293*F1292</f>
        <v>5.97</v>
      </c>
      <c r="G1293" s="43"/>
      <c r="H1293" s="44">
        <f>G1293*F1293</f>
        <v>0</v>
      </c>
    </row>
    <row r="1294" spans="1:8">
      <c r="A1294" s="61"/>
      <c r="B1294" s="15" t="s">
        <v>988</v>
      </c>
      <c r="C1294" s="28" t="s">
        <v>989</v>
      </c>
      <c r="D1294" s="28" t="s">
        <v>209</v>
      </c>
      <c r="E1294" s="29">
        <v>1</v>
      </c>
      <c r="F1294" s="178">
        <f>F1292*E1294</f>
        <v>3</v>
      </c>
      <c r="G1294" s="18"/>
      <c r="H1294" s="18">
        <f>F1294*G1294</f>
        <v>0</v>
      </c>
    </row>
    <row r="1295" spans="1:8">
      <c r="A1295" s="61"/>
      <c r="B1295" s="15" t="s">
        <v>17</v>
      </c>
      <c r="C1295" s="28" t="s">
        <v>100</v>
      </c>
      <c r="D1295" s="28" t="s">
        <v>3</v>
      </c>
      <c r="E1295" s="28">
        <v>1.39</v>
      </c>
      <c r="F1295" s="44">
        <f>E1295*F1292</f>
        <v>4.17</v>
      </c>
      <c r="G1295" s="43"/>
      <c r="H1295" s="44">
        <f>G1295*F1295</f>
        <v>0</v>
      </c>
    </row>
    <row r="1296" spans="1:8" ht="48">
      <c r="A1296" s="25">
        <v>15</v>
      </c>
      <c r="B1296" s="9" t="s">
        <v>986</v>
      </c>
      <c r="C1296" s="20" t="s">
        <v>1013</v>
      </c>
      <c r="D1296" s="20" t="s">
        <v>209</v>
      </c>
      <c r="E1296" s="20"/>
      <c r="F1296" s="69">
        <v>3</v>
      </c>
      <c r="G1296" s="10"/>
      <c r="H1296" s="39">
        <f>H1297+H1298+H1299</f>
        <v>0</v>
      </c>
    </row>
    <row r="1297" spans="1:8">
      <c r="A1297" s="61"/>
      <c r="B1297" s="15" t="s">
        <v>17</v>
      </c>
      <c r="C1297" s="28" t="s">
        <v>28</v>
      </c>
      <c r="D1297" s="28" t="s">
        <v>19</v>
      </c>
      <c r="E1297" s="28">
        <v>1.99</v>
      </c>
      <c r="F1297" s="44">
        <f>E1297*F1296</f>
        <v>5.97</v>
      </c>
      <c r="G1297" s="16"/>
      <c r="H1297" s="44">
        <f>G1297*F1297</f>
        <v>0</v>
      </c>
    </row>
    <row r="1298" spans="1:8">
      <c r="A1298" s="61"/>
      <c r="B1298" s="15" t="s">
        <v>991</v>
      </c>
      <c r="C1298" s="28" t="s">
        <v>994</v>
      </c>
      <c r="D1298" s="28" t="s">
        <v>209</v>
      </c>
      <c r="E1298" s="29">
        <v>1</v>
      </c>
      <c r="F1298" s="178">
        <f>F1296*E1298</f>
        <v>3</v>
      </c>
      <c r="G1298" s="29"/>
      <c r="H1298" s="18">
        <f>F1298*G1298</f>
        <v>0</v>
      </c>
    </row>
    <row r="1299" spans="1:8">
      <c r="A1299" s="61"/>
      <c r="B1299" s="15" t="s">
        <v>17</v>
      </c>
      <c r="C1299" s="28" t="s">
        <v>100</v>
      </c>
      <c r="D1299" s="28" t="s">
        <v>3</v>
      </c>
      <c r="E1299" s="28">
        <v>1.39</v>
      </c>
      <c r="F1299" s="44">
        <f>E1299*F1296</f>
        <v>4.17</v>
      </c>
      <c r="G1299" s="16"/>
      <c r="H1299" s="44">
        <f>G1299*F1299</f>
        <v>0</v>
      </c>
    </row>
    <row r="1300" spans="1:8" ht="48">
      <c r="A1300" s="25">
        <v>16</v>
      </c>
      <c r="B1300" s="9" t="s">
        <v>986</v>
      </c>
      <c r="C1300" s="20" t="s">
        <v>1014</v>
      </c>
      <c r="D1300" s="20" t="s">
        <v>209</v>
      </c>
      <c r="E1300" s="20"/>
      <c r="F1300" s="69">
        <v>34</v>
      </c>
      <c r="G1300" s="10"/>
      <c r="H1300" s="39">
        <f>H1301+H1302+H1303</f>
        <v>0</v>
      </c>
    </row>
    <row r="1301" spans="1:8">
      <c r="A1301" s="61"/>
      <c r="B1301" s="15" t="s">
        <v>17</v>
      </c>
      <c r="C1301" s="28" t="s">
        <v>28</v>
      </c>
      <c r="D1301" s="28" t="s">
        <v>19</v>
      </c>
      <c r="E1301" s="28">
        <v>1.99</v>
      </c>
      <c r="F1301" s="44">
        <f>E1301*F1300</f>
        <v>67.66</v>
      </c>
      <c r="G1301" s="16"/>
      <c r="H1301" s="44">
        <f>G1301*F1301</f>
        <v>0</v>
      </c>
    </row>
    <row r="1302" spans="1:8">
      <c r="A1302" s="61"/>
      <c r="B1302" s="15" t="s">
        <v>991</v>
      </c>
      <c r="C1302" s="28" t="s">
        <v>996</v>
      </c>
      <c r="D1302" s="28" t="s">
        <v>209</v>
      </c>
      <c r="E1302" s="29">
        <v>1</v>
      </c>
      <c r="F1302" s="178">
        <f>F1300*E1302</f>
        <v>34</v>
      </c>
      <c r="G1302" s="29"/>
      <c r="H1302" s="18">
        <f>F1302*G1302</f>
        <v>0</v>
      </c>
    </row>
    <row r="1303" spans="1:8">
      <c r="A1303" s="61"/>
      <c r="B1303" s="15" t="s">
        <v>17</v>
      </c>
      <c r="C1303" s="28" t="s">
        <v>100</v>
      </c>
      <c r="D1303" s="28" t="s">
        <v>3</v>
      </c>
      <c r="E1303" s="28">
        <v>1.39</v>
      </c>
      <c r="F1303" s="44">
        <f>E1303*F1300</f>
        <v>47.26</v>
      </c>
      <c r="G1303" s="16"/>
      <c r="H1303" s="44">
        <f>G1303*F1303</f>
        <v>0</v>
      </c>
    </row>
    <row r="1304" spans="1:8" ht="54">
      <c r="A1304" s="25">
        <v>17</v>
      </c>
      <c r="B1304" s="9" t="s">
        <v>986</v>
      </c>
      <c r="C1304" s="20" t="s">
        <v>1015</v>
      </c>
      <c r="D1304" s="20" t="s">
        <v>209</v>
      </c>
      <c r="E1304" s="20"/>
      <c r="F1304" s="69">
        <v>26</v>
      </c>
      <c r="G1304" s="10"/>
      <c r="H1304" s="39">
        <f>H1305+H1306+H1307</f>
        <v>0</v>
      </c>
    </row>
    <row r="1305" spans="1:8">
      <c r="A1305" s="61"/>
      <c r="B1305" s="15" t="s">
        <v>17</v>
      </c>
      <c r="C1305" s="28" t="s">
        <v>28</v>
      </c>
      <c r="D1305" s="28" t="s">
        <v>19</v>
      </c>
      <c r="E1305" s="28">
        <v>1.99</v>
      </c>
      <c r="F1305" s="44">
        <f>E1305*F1304</f>
        <v>51.74</v>
      </c>
      <c r="G1305" s="16"/>
      <c r="H1305" s="44">
        <f>G1305*F1305</f>
        <v>0</v>
      </c>
    </row>
    <row r="1306" spans="1:8" ht="27">
      <c r="A1306" s="61"/>
      <c r="B1306" s="15" t="s">
        <v>1016</v>
      </c>
      <c r="C1306" s="28" t="s">
        <v>1017</v>
      </c>
      <c r="D1306" s="28" t="s">
        <v>209</v>
      </c>
      <c r="E1306" s="29">
        <v>1</v>
      </c>
      <c r="F1306" s="178">
        <v>15</v>
      </c>
      <c r="G1306" s="29"/>
      <c r="H1306" s="18">
        <f>F1306*G1306</f>
        <v>0</v>
      </c>
    </row>
    <row r="1307" spans="1:8">
      <c r="A1307" s="61"/>
      <c r="B1307" s="15" t="s">
        <v>17</v>
      </c>
      <c r="C1307" s="28" t="s">
        <v>100</v>
      </c>
      <c r="D1307" s="28" t="s">
        <v>3</v>
      </c>
      <c r="E1307" s="28">
        <v>1.39</v>
      </c>
      <c r="F1307" s="44">
        <f>E1307*F1304</f>
        <v>36.14</v>
      </c>
      <c r="G1307" s="16"/>
      <c r="H1307" s="44">
        <f>G1307*F1307</f>
        <v>0</v>
      </c>
    </row>
    <row r="1308" spans="1:8" ht="60">
      <c r="A1308" s="25">
        <v>18</v>
      </c>
      <c r="B1308" s="273" t="s">
        <v>1018</v>
      </c>
      <c r="C1308" s="20" t="s">
        <v>1019</v>
      </c>
      <c r="D1308" s="20" t="s">
        <v>209</v>
      </c>
      <c r="E1308" s="20"/>
      <c r="F1308" s="69">
        <v>80</v>
      </c>
      <c r="G1308" s="10"/>
      <c r="H1308" s="39">
        <f>H1309+H1311+H1310</f>
        <v>0</v>
      </c>
    </row>
    <row r="1309" spans="1:8">
      <c r="A1309" s="61"/>
      <c r="B1309" s="15" t="s">
        <v>17</v>
      </c>
      <c r="C1309" s="28" t="s">
        <v>28</v>
      </c>
      <c r="D1309" s="28" t="s">
        <v>19</v>
      </c>
      <c r="E1309" s="28">
        <v>0.5</v>
      </c>
      <c r="F1309" s="44">
        <f>F1308*E1309</f>
        <v>40</v>
      </c>
      <c r="G1309" s="28"/>
      <c r="H1309" s="44">
        <f>G1309*F1309</f>
        <v>0</v>
      </c>
    </row>
    <row r="1310" spans="1:8">
      <c r="A1310" s="61"/>
      <c r="B1310" s="15" t="s">
        <v>1020</v>
      </c>
      <c r="C1310" s="28" t="s">
        <v>1021</v>
      </c>
      <c r="D1310" s="28" t="s">
        <v>209</v>
      </c>
      <c r="E1310" s="29">
        <v>1</v>
      </c>
      <c r="F1310" s="178">
        <f>E1310*F1308</f>
        <v>80</v>
      </c>
      <c r="G1310" s="29"/>
      <c r="H1310" s="19">
        <f>F1310*G1310</f>
        <v>0</v>
      </c>
    </row>
    <row r="1311" spans="1:8">
      <c r="A1311" s="61"/>
      <c r="B1311" s="15" t="s">
        <v>17</v>
      </c>
      <c r="C1311" s="28" t="s">
        <v>777</v>
      </c>
      <c r="D1311" s="28" t="s">
        <v>3</v>
      </c>
      <c r="E1311" s="72">
        <v>0.2</v>
      </c>
      <c r="F1311" s="44">
        <f>F1308*E1311</f>
        <v>16</v>
      </c>
      <c r="G1311" s="28"/>
      <c r="H1311" s="44">
        <f>F1311*G1311</f>
        <v>0</v>
      </c>
    </row>
    <row r="1312" spans="1:8" ht="48">
      <c r="A1312" s="25">
        <v>19</v>
      </c>
      <c r="B1312" s="9" t="s">
        <v>1022</v>
      </c>
      <c r="C1312" s="20" t="s">
        <v>1023</v>
      </c>
      <c r="D1312" s="20" t="s">
        <v>209</v>
      </c>
      <c r="E1312" s="20"/>
      <c r="F1312" s="69">
        <v>159</v>
      </c>
      <c r="G1312" s="10"/>
      <c r="H1312" s="39">
        <f>H1313+H1315+H1316+H1314</f>
        <v>0</v>
      </c>
    </row>
    <row r="1313" spans="1:8">
      <c r="A1313" s="61"/>
      <c r="B1313" s="15" t="s">
        <v>17</v>
      </c>
      <c r="C1313" s="28" t="s">
        <v>28</v>
      </c>
      <c r="D1313" s="28" t="s">
        <v>19</v>
      </c>
      <c r="E1313" s="28">
        <v>0.22</v>
      </c>
      <c r="F1313" s="44">
        <f>F1312*E1313</f>
        <v>34.979999999999997</v>
      </c>
      <c r="G1313" s="16"/>
      <c r="H1313" s="44">
        <f>G1313*F1313</f>
        <v>0</v>
      </c>
    </row>
    <row r="1314" spans="1:8">
      <c r="A1314" s="61"/>
      <c r="B1314" s="15" t="s">
        <v>17</v>
      </c>
      <c r="C1314" s="28" t="s">
        <v>233</v>
      </c>
      <c r="D1314" s="28" t="s">
        <v>326</v>
      </c>
      <c r="E1314" s="72">
        <v>2.0000000000000001E-4</v>
      </c>
      <c r="F1314" s="44">
        <f>F1312*E1314</f>
        <v>3.1800000000000002E-2</v>
      </c>
      <c r="G1314" s="16"/>
      <c r="H1314" s="44">
        <f>G1314*F1314</f>
        <v>0</v>
      </c>
    </row>
    <row r="1315" spans="1:8" ht="27">
      <c r="A1315" s="61"/>
      <c r="B1315" s="15" t="s">
        <v>1024</v>
      </c>
      <c r="C1315" s="28" t="s">
        <v>1025</v>
      </c>
      <c r="D1315" s="28" t="s">
        <v>756</v>
      </c>
      <c r="E1315" s="29">
        <v>1</v>
      </c>
      <c r="F1315" s="178">
        <f>E1315*F1312</f>
        <v>159</v>
      </c>
      <c r="G1315" s="29"/>
      <c r="H1315" s="18">
        <f>F1315*G1315</f>
        <v>0</v>
      </c>
    </row>
    <row r="1316" spans="1:8">
      <c r="A1316" s="61"/>
      <c r="B1316" s="15" t="s">
        <v>17</v>
      </c>
      <c r="C1316" s="28" t="s">
        <v>100</v>
      </c>
      <c r="D1316" s="28" t="s">
        <v>3</v>
      </c>
      <c r="E1316" s="72">
        <v>8.2799999999999999E-2</v>
      </c>
      <c r="F1316" s="44">
        <f>F1312*E1316</f>
        <v>13.1652</v>
      </c>
      <c r="G1316" s="16"/>
      <c r="H1316" s="43">
        <f>F1316*G1316</f>
        <v>0</v>
      </c>
    </row>
    <row r="1317" spans="1:8" ht="48">
      <c r="A1317" s="25">
        <v>20</v>
      </c>
      <c r="B1317" s="9" t="s">
        <v>1026</v>
      </c>
      <c r="C1317" s="20" t="s">
        <v>1027</v>
      </c>
      <c r="D1317" s="20" t="s">
        <v>678</v>
      </c>
      <c r="E1317" s="20"/>
      <c r="F1317" s="69">
        <v>76</v>
      </c>
      <c r="G1317" s="10"/>
      <c r="H1317" s="39">
        <f>SUM(H1318:H1321)</f>
        <v>0</v>
      </c>
    </row>
    <row r="1318" spans="1:8">
      <c r="A1318" s="61"/>
      <c r="B1318" s="15" t="s">
        <v>17</v>
      </c>
      <c r="C1318" s="28" t="s">
        <v>28</v>
      </c>
      <c r="D1318" s="28" t="s">
        <v>19</v>
      </c>
      <c r="E1318" s="28">
        <v>0.2</v>
      </c>
      <c r="F1318" s="44">
        <f>F1317*E1318</f>
        <v>15.200000000000001</v>
      </c>
      <c r="G1318" s="16"/>
      <c r="H1318" s="44">
        <f>G1318*F1318</f>
        <v>0</v>
      </c>
    </row>
    <row r="1319" spans="1:8">
      <c r="A1319" s="61"/>
      <c r="B1319" s="15" t="s">
        <v>17</v>
      </c>
      <c r="C1319" s="28" t="s">
        <v>233</v>
      </c>
      <c r="D1319" s="28" t="s">
        <v>326</v>
      </c>
      <c r="E1319" s="277">
        <v>5.0000000000000001E-4</v>
      </c>
      <c r="F1319" s="44">
        <f>F1317*E1319</f>
        <v>3.7999999999999999E-2</v>
      </c>
      <c r="G1319" s="16"/>
      <c r="H1319" s="44">
        <f>G1319*F1319</f>
        <v>0</v>
      </c>
    </row>
    <row r="1320" spans="1:8" ht="27">
      <c r="A1320" s="61"/>
      <c r="B1320" s="15" t="s">
        <v>1028</v>
      </c>
      <c r="C1320" s="28" t="s">
        <v>1029</v>
      </c>
      <c r="D1320" s="28" t="s">
        <v>756</v>
      </c>
      <c r="E1320" s="29">
        <v>1</v>
      </c>
      <c r="F1320" s="178">
        <f>F1317*E1320</f>
        <v>76</v>
      </c>
      <c r="G1320" s="29"/>
      <c r="H1320" s="18">
        <f>F1320*G1320</f>
        <v>0</v>
      </c>
    </row>
    <row r="1321" spans="1:8">
      <c r="A1321" s="61"/>
      <c r="B1321" s="15" t="s">
        <v>17</v>
      </c>
      <c r="C1321" s="28" t="s">
        <v>100</v>
      </c>
      <c r="D1321" s="28" t="s">
        <v>3</v>
      </c>
      <c r="E1321" s="72">
        <v>8.2500000000000004E-2</v>
      </c>
      <c r="F1321" s="44">
        <f>F1317*E1321</f>
        <v>6.2700000000000005</v>
      </c>
      <c r="G1321" s="16"/>
      <c r="H1321" s="43">
        <f>F1321*G1321</f>
        <v>0</v>
      </c>
    </row>
    <row r="1322" spans="1:8" ht="60">
      <c r="A1322" s="25">
        <v>21</v>
      </c>
      <c r="B1322" s="9" t="s">
        <v>1030</v>
      </c>
      <c r="C1322" s="20" t="s">
        <v>1031</v>
      </c>
      <c r="D1322" s="20" t="s">
        <v>678</v>
      </c>
      <c r="E1322" s="20"/>
      <c r="F1322" s="69">
        <v>11</v>
      </c>
      <c r="G1322" s="10"/>
      <c r="H1322" s="39">
        <f>SUM(H1323:H1326)</f>
        <v>0</v>
      </c>
    </row>
    <row r="1323" spans="1:8">
      <c r="A1323" s="61"/>
      <c r="B1323" s="15" t="s">
        <v>17</v>
      </c>
      <c r="C1323" s="28" t="s">
        <v>28</v>
      </c>
      <c r="D1323" s="28" t="s">
        <v>19</v>
      </c>
      <c r="E1323" s="28">
        <v>0.27</v>
      </c>
      <c r="F1323" s="44">
        <f>F1322*E1323</f>
        <v>2.97</v>
      </c>
      <c r="G1323" s="16"/>
      <c r="H1323" s="44">
        <f>G1323*F1323</f>
        <v>0</v>
      </c>
    </row>
    <row r="1324" spans="1:8">
      <c r="A1324" s="61"/>
      <c r="B1324" s="15" t="s">
        <v>17</v>
      </c>
      <c r="C1324" s="28" t="s">
        <v>233</v>
      </c>
      <c r="D1324" s="28" t="s">
        <v>326</v>
      </c>
      <c r="E1324" s="277">
        <v>4.0000000000000002E-4</v>
      </c>
      <c r="F1324" s="44">
        <f>F1322*E1324</f>
        <v>4.4000000000000003E-3</v>
      </c>
      <c r="G1324" s="16"/>
      <c r="H1324" s="44">
        <f>G1324*F1324</f>
        <v>0</v>
      </c>
    </row>
    <row r="1325" spans="1:8">
      <c r="A1325" s="61"/>
      <c r="B1325" s="15" t="s">
        <v>1032</v>
      </c>
      <c r="C1325" s="28" t="s">
        <v>1033</v>
      </c>
      <c r="D1325" s="28" t="s">
        <v>756</v>
      </c>
      <c r="E1325" s="29">
        <v>1</v>
      </c>
      <c r="F1325" s="178">
        <f>F1322*E1325</f>
        <v>11</v>
      </c>
      <c r="G1325" s="29"/>
      <c r="H1325" s="18">
        <f>F1325*G1325</f>
        <v>0</v>
      </c>
    </row>
    <row r="1326" spans="1:8">
      <c r="A1326" s="61"/>
      <c r="B1326" s="15" t="s">
        <v>17</v>
      </c>
      <c r="C1326" s="28" t="s">
        <v>100</v>
      </c>
      <c r="D1326" s="28" t="s">
        <v>3</v>
      </c>
      <c r="E1326" s="72">
        <v>7.46E-2</v>
      </c>
      <c r="F1326" s="44">
        <f>F1322*E1326</f>
        <v>0.8206</v>
      </c>
      <c r="G1326" s="16"/>
      <c r="H1326" s="43">
        <f>F1326*G1326</f>
        <v>0</v>
      </c>
    </row>
    <row r="1327" spans="1:8" ht="60">
      <c r="A1327" s="25">
        <v>22</v>
      </c>
      <c r="B1327" s="9" t="s">
        <v>1034</v>
      </c>
      <c r="C1327" s="20" t="s">
        <v>1035</v>
      </c>
      <c r="D1327" s="20" t="s">
        <v>209</v>
      </c>
      <c r="E1327" s="20"/>
      <c r="F1327" s="69">
        <v>1</v>
      </c>
      <c r="G1327" s="10"/>
      <c r="H1327" s="39">
        <f>H1328+H1329+H1330</f>
        <v>0</v>
      </c>
    </row>
    <row r="1328" spans="1:8">
      <c r="A1328" s="61"/>
      <c r="B1328" s="15" t="s">
        <v>17</v>
      </c>
      <c r="C1328" s="28" t="s">
        <v>28</v>
      </c>
      <c r="D1328" s="28" t="s">
        <v>19</v>
      </c>
      <c r="E1328" s="28">
        <v>2</v>
      </c>
      <c r="F1328" s="44">
        <f>F1327*E1328</f>
        <v>2</v>
      </c>
      <c r="G1328" s="16"/>
      <c r="H1328" s="44">
        <f>G1328*F1328</f>
        <v>0</v>
      </c>
    </row>
    <row r="1329" spans="1:8">
      <c r="A1329" s="61"/>
      <c r="B1329" s="15" t="s">
        <v>1036</v>
      </c>
      <c r="C1329" s="28" t="s">
        <v>1037</v>
      </c>
      <c r="D1329" s="28" t="s">
        <v>756</v>
      </c>
      <c r="E1329" s="29">
        <v>1</v>
      </c>
      <c r="F1329" s="178">
        <f>E1329*F1327</f>
        <v>1</v>
      </c>
      <c r="G1329" s="29"/>
      <c r="H1329" s="18">
        <f>F1329*G1329</f>
        <v>0</v>
      </c>
    </row>
    <row r="1330" spans="1:8">
      <c r="A1330" s="61"/>
      <c r="B1330" s="15" t="s">
        <v>17</v>
      </c>
      <c r="C1330" s="28" t="s">
        <v>100</v>
      </c>
      <c r="D1330" s="28" t="s">
        <v>3</v>
      </c>
      <c r="E1330" s="72">
        <v>0.14000000000000001</v>
      </c>
      <c r="F1330" s="44">
        <f>F1327*E1330</f>
        <v>0.14000000000000001</v>
      </c>
      <c r="G1330" s="16"/>
      <c r="H1330" s="43">
        <f>F1330*G1330</f>
        <v>0</v>
      </c>
    </row>
    <row r="1331" spans="1:8" ht="54">
      <c r="A1331" s="68" t="s">
        <v>1038</v>
      </c>
      <c r="B1331" s="9" t="s">
        <v>1039</v>
      </c>
      <c r="C1331" s="20" t="s">
        <v>1682</v>
      </c>
      <c r="D1331" s="20" t="s">
        <v>678</v>
      </c>
      <c r="E1331" s="278"/>
      <c r="F1331" s="69">
        <v>170</v>
      </c>
      <c r="G1331" s="10"/>
      <c r="H1331" s="39">
        <f>SUM(H1332:H1335)</f>
        <v>0</v>
      </c>
    </row>
    <row r="1332" spans="1:8">
      <c r="A1332" s="61"/>
      <c r="B1332" s="15" t="s">
        <v>17</v>
      </c>
      <c r="C1332" s="28" t="s">
        <v>28</v>
      </c>
      <c r="D1332" s="28" t="s">
        <v>19</v>
      </c>
      <c r="E1332" s="28">
        <v>1.65</v>
      </c>
      <c r="F1332" s="19">
        <f>F1331*E1332</f>
        <v>280.5</v>
      </c>
      <c r="G1332" s="16"/>
      <c r="H1332" s="19">
        <f>F1332*G1332</f>
        <v>0</v>
      </c>
    </row>
    <row r="1333" spans="1:8">
      <c r="A1333" s="61"/>
      <c r="B1333" s="15" t="s">
        <v>17</v>
      </c>
      <c r="C1333" s="28" t="s">
        <v>233</v>
      </c>
      <c r="D1333" s="28" t="s">
        <v>326</v>
      </c>
      <c r="E1333" s="277">
        <v>2.1999999999999999E-2</v>
      </c>
      <c r="F1333" s="44">
        <f>F1331*E1333</f>
        <v>3.7399999999999998</v>
      </c>
      <c r="G1333" s="16"/>
      <c r="H1333" s="44">
        <f>G1333*F1333</f>
        <v>0</v>
      </c>
    </row>
    <row r="1334" spans="1:8" ht="40.5">
      <c r="A1334" s="61"/>
      <c r="B1334" s="15" t="s">
        <v>52</v>
      </c>
      <c r="C1334" s="28" t="s">
        <v>1040</v>
      </c>
      <c r="D1334" s="28" t="s">
        <v>756</v>
      </c>
      <c r="E1334" s="72">
        <v>1</v>
      </c>
      <c r="F1334" s="44">
        <f>E1334*F1331</f>
        <v>170</v>
      </c>
      <c r="G1334" s="16"/>
      <c r="H1334" s="44">
        <f>G1334*F1334</f>
        <v>0</v>
      </c>
    </row>
    <row r="1335" spans="1:8">
      <c r="A1335" s="61"/>
      <c r="B1335" s="15" t="s">
        <v>17</v>
      </c>
      <c r="C1335" s="28" t="s">
        <v>100</v>
      </c>
      <c r="D1335" s="28" t="s">
        <v>3</v>
      </c>
      <c r="E1335" s="29">
        <v>0.30599999999999999</v>
      </c>
      <c r="F1335" s="19">
        <f>F1331*E1335</f>
        <v>52.019999999999996</v>
      </c>
      <c r="G1335" s="17"/>
      <c r="H1335" s="18">
        <f>F1335*G1335</f>
        <v>0</v>
      </c>
    </row>
    <row r="1336" spans="1:8" ht="54">
      <c r="A1336" s="68" t="s">
        <v>1041</v>
      </c>
      <c r="B1336" s="9" t="s">
        <v>1042</v>
      </c>
      <c r="C1336" s="20" t="s">
        <v>1043</v>
      </c>
      <c r="D1336" s="20" t="s">
        <v>678</v>
      </c>
      <c r="E1336" s="20"/>
      <c r="F1336" s="69">
        <v>18</v>
      </c>
      <c r="G1336" s="10"/>
      <c r="H1336" s="39">
        <f>SUM(H1337:H1340)</f>
        <v>0</v>
      </c>
    </row>
    <row r="1337" spans="1:8">
      <c r="A1337" s="61"/>
      <c r="B1337" s="15" t="s">
        <v>17</v>
      </c>
      <c r="C1337" s="28" t="s">
        <v>28</v>
      </c>
      <c r="D1337" s="28" t="s">
        <v>19</v>
      </c>
      <c r="E1337" s="28">
        <v>1.65</v>
      </c>
      <c r="F1337" s="19">
        <f>F1336*E1337</f>
        <v>29.7</v>
      </c>
      <c r="G1337" s="16"/>
      <c r="H1337" s="19">
        <f>F1337*G1337</f>
        <v>0</v>
      </c>
    </row>
    <row r="1338" spans="1:8">
      <c r="A1338" s="61"/>
      <c r="B1338" s="15" t="s">
        <v>17</v>
      </c>
      <c r="C1338" s="28" t="s">
        <v>233</v>
      </c>
      <c r="D1338" s="28" t="s">
        <v>326</v>
      </c>
      <c r="E1338" s="277">
        <v>2.1999999999999999E-2</v>
      </c>
      <c r="F1338" s="44">
        <f>F1336*E1338</f>
        <v>0.39599999999999996</v>
      </c>
      <c r="G1338" s="16"/>
      <c r="H1338" s="44">
        <f>G1338*F1338</f>
        <v>0</v>
      </c>
    </row>
    <row r="1339" spans="1:8" ht="40.5">
      <c r="A1339" s="61"/>
      <c r="B1339" s="15" t="s">
        <v>52</v>
      </c>
      <c r="C1339" s="28" t="s">
        <v>1044</v>
      </c>
      <c r="D1339" s="28" t="s">
        <v>756</v>
      </c>
      <c r="E1339" s="29">
        <v>1</v>
      </c>
      <c r="F1339" s="19">
        <f>E1339*F1336</f>
        <v>18</v>
      </c>
      <c r="G1339" s="29"/>
      <c r="H1339" s="18">
        <f>F1339*G1339</f>
        <v>0</v>
      </c>
    </row>
    <row r="1340" spans="1:8">
      <c r="A1340" s="61"/>
      <c r="B1340" s="15" t="s">
        <v>17</v>
      </c>
      <c r="C1340" s="28" t="s">
        <v>100</v>
      </c>
      <c r="D1340" s="28" t="s">
        <v>3</v>
      </c>
      <c r="E1340" s="29">
        <v>0.30599999999999999</v>
      </c>
      <c r="F1340" s="19">
        <f>F1336*E1340</f>
        <v>5.508</v>
      </c>
      <c r="G1340" s="17"/>
      <c r="H1340" s="18">
        <f>F1340*G1340</f>
        <v>0</v>
      </c>
    </row>
    <row r="1341" spans="1:8" ht="54">
      <c r="A1341" s="68" t="s">
        <v>1045</v>
      </c>
      <c r="B1341" s="9" t="s">
        <v>1039</v>
      </c>
      <c r="C1341" s="20" t="s">
        <v>1046</v>
      </c>
      <c r="D1341" s="20" t="s">
        <v>678</v>
      </c>
      <c r="E1341" s="20"/>
      <c r="F1341" s="69">
        <v>24</v>
      </c>
      <c r="G1341" s="10"/>
      <c r="H1341" s="39">
        <f>SUM(H1342:H1345)</f>
        <v>0</v>
      </c>
    </row>
    <row r="1342" spans="1:8">
      <c r="A1342" s="61"/>
      <c r="B1342" s="15" t="s">
        <v>17</v>
      </c>
      <c r="C1342" s="28" t="s">
        <v>28</v>
      </c>
      <c r="D1342" s="28" t="s">
        <v>19</v>
      </c>
      <c r="E1342" s="28">
        <v>1.65</v>
      </c>
      <c r="F1342" s="19">
        <f>F1341*E1342</f>
        <v>39.599999999999994</v>
      </c>
      <c r="G1342" s="16"/>
      <c r="H1342" s="19">
        <f>F1342*G1342</f>
        <v>0</v>
      </c>
    </row>
    <row r="1343" spans="1:8">
      <c r="A1343" s="61"/>
      <c r="B1343" s="15" t="s">
        <v>17</v>
      </c>
      <c r="C1343" s="28" t="s">
        <v>233</v>
      </c>
      <c r="D1343" s="28" t="s">
        <v>326</v>
      </c>
      <c r="E1343" s="277">
        <v>2.1999999999999999E-2</v>
      </c>
      <c r="F1343" s="44">
        <f>F1341*E1343</f>
        <v>0.52800000000000002</v>
      </c>
      <c r="G1343" s="16"/>
      <c r="H1343" s="44">
        <f>G1343*F1343</f>
        <v>0</v>
      </c>
    </row>
    <row r="1344" spans="1:8" ht="27">
      <c r="A1344" s="61"/>
      <c r="B1344" s="15" t="s">
        <v>1047</v>
      </c>
      <c r="C1344" s="28" t="s">
        <v>1048</v>
      </c>
      <c r="D1344" s="28" t="s">
        <v>756</v>
      </c>
      <c r="E1344" s="29">
        <v>1</v>
      </c>
      <c r="F1344" s="19">
        <f>E1344*F1341</f>
        <v>24</v>
      </c>
      <c r="G1344" s="29"/>
      <c r="H1344" s="18">
        <f>F1344*G1344</f>
        <v>0</v>
      </c>
    </row>
    <row r="1345" spans="1:8">
      <c r="A1345" s="61"/>
      <c r="B1345" s="15" t="s">
        <v>17</v>
      </c>
      <c r="C1345" s="28" t="s">
        <v>100</v>
      </c>
      <c r="D1345" s="28" t="s">
        <v>3</v>
      </c>
      <c r="E1345" s="29">
        <v>0.30599999999999999</v>
      </c>
      <c r="F1345" s="19">
        <f>F1341*E1345</f>
        <v>7.3439999999999994</v>
      </c>
      <c r="G1345" s="17"/>
      <c r="H1345" s="18">
        <f>F1345*G1345</f>
        <v>0</v>
      </c>
    </row>
    <row r="1346" spans="1:8" ht="54">
      <c r="A1346" s="68" t="s">
        <v>1049</v>
      </c>
      <c r="B1346" s="9" t="s">
        <v>1039</v>
      </c>
      <c r="C1346" s="20" t="s">
        <v>1050</v>
      </c>
      <c r="D1346" s="20" t="s">
        <v>678</v>
      </c>
      <c r="E1346" s="20"/>
      <c r="F1346" s="69">
        <v>135</v>
      </c>
      <c r="G1346" s="10"/>
      <c r="H1346" s="39">
        <f>SUM(H1347:H1350)</f>
        <v>0</v>
      </c>
    </row>
    <row r="1347" spans="1:8">
      <c r="A1347" s="61"/>
      <c r="B1347" s="15" t="s">
        <v>17</v>
      </c>
      <c r="C1347" s="28" t="s">
        <v>28</v>
      </c>
      <c r="D1347" s="28" t="s">
        <v>19</v>
      </c>
      <c r="E1347" s="28">
        <v>1.65</v>
      </c>
      <c r="F1347" s="19">
        <f>F1346*E1347</f>
        <v>222.75</v>
      </c>
      <c r="G1347" s="16"/>
      <c r="H1347" s="19">
        <f>F1347*G1347</f>
        <v>0</v>
      </c>
    </row>
    <row r="1348" spans="1:8">
      <c r="A1348" s="61"/>
      <c r="B1348" s="15" t="s">
        <v>17</v>
      </c>
      <c r="C1348" s="28" t="s">
        <v>233</v>
      </c>
      <c r="D1348" s="28" t="s">
        <v>326</v>
      </c>
      <c r="E1348" s="277">
        <v>2.1999999999999999E-2</v>
      </c>
      <c r="F1348" s="44">
        <f>F1346*E1348</f>
        <v>2.9699999999999998</v>
      </c>
      <c r="G1348" s="16"/>
      <c r="H1348" s="44">
        <f>G1348*F1348</f>
        <v>0</v>
      </c>
    </row>
    <row r="1349" spans="1:8" ht="40.5">
      <c r="A1349" s="61"/>
      <c r="B1349" s="15" t="s">
        <v>52</v>
      </c>
      <c r="C1349" s="28" t="s">
        <v>1051</v>
      </c>
      <c r="D1349" s="28" t="s">
        <v>756</v>
      </c>
      <c r="E1349" s="29">
        <v>1</v>
      </c>
      <c r="F1349" s="19">
        <f>E1349*F1346</f>
        <v>135</v>
      </c>
      <c r="G1349" s="29"/>
      <c r="H1349" s="18">
        <f>F1349*G1349</f>
        <v>0</v>
      </c>
    </row>
    <row r="1350" spans="1:8">
      <c r="A1350" s="61"/>
      <c r="B1350" s="15" t="s">
        <v>17</v>
      </c>
      <c r="C1350" s="28" t="s">
        <v>100</v>
      </c>
      <c r="D1350" s="28" t="s">
        <v>3</v>
      </c>
      <c r="E1350" s="29">
        <v>0.30599999999999999</v>
      </c>
      <c r="F1350" s="19">
        <f>F1346*E1350</f>
        <v>41.31</v>
      </c>
      <c r="G1350" s="17"/>
      <c r="H1350" s="18">
        <f>F1350*G1350</f>
        <v>0</v>
      </c>
    </row>
    <row r="1351" spans="1:8" ht="60">
      <c r="A1351" s="68" t="s">
        <v>1052</v>
      </c>
      <c r="B1351" s="9" t="s">
        <v>1053</v>
      </c>
      <c r="C1351" s="20" t="s">
        <v>1054</v>
      </c>
      <c r="D1351" s="20" t="s">
        <v>678</v>
      </c>
      <c r="E1351" s="20"/>
      <c r="F1351" s="69">
        <v>20</v>
      </c>
      <c r="G1351" s="10"/>
      <c r="H1351" s="39">
        <f>SUM(H1352:H1355)</f>
        <v>0</v>
      </c>
    </row>
    <row r="1352" spans="1:8">
      <c r="A1352" s="61"/>
      <c r="B1352" s="15" t="s">
        <v>17</v>
      </c>
      <c r="C1352" s="28" t="s">
        <v>28</v>
      </c>
      <c r="D1352" s="28" t="s">
        <v>19</v>
      </c>
      <c r="E1352" s="28">
        <v>1.65</v>
      </c>
      <c r="F1352" s="19">
        <f>F1351*E1352</f>
        <v>33</v>
      </c>
      <c r="G1352" s="16"/>
      <c r="H1352" s="19">
        <f>F1352*G1352</f>
        <v>0</v>
      </c>
    </row>
    <row r="1353" spans="1:8">
      <c r="A1353" s="61"/>
      <c r="B1353" s="15" t="s">
        <v>17</v>
      </c>
      <c r="C1353" s="28" t="s">
        <v>233</v>
      </c>
      <c r="D1353" s="28" t="s">
        <v>326</v>
      </c>
      <c r="E1353" s="277">
        <v>2.1999999999999999E-2</v>
      </c>
      <c r="F1353" s="44">
        <f>F1351*E1353</f>
        <v>0.43999999999999995</v>
      </c>
      <c r="G1353" s="16"/>
      <c r="H1353" s="44">
        <f>G1353*F1353</f>
        <v>0</v>
      </c>
    </row>
    <row r="1354" spans="1:8" ht="27">
      <c r="A1354" s="61"/>
      <c r="B1354" s="15" t="s">
        <v>52</v>
      </c>
      <c r="C1354" s="28" t="s">
        <v>1055</v>
      </c>
      <c r="D1354" s="28" t="s">
        <v>756</v>
      </c>
      <c r="E1354" s="29">
        <v>1</v>
      </c>
      <c r="F1354" s="178">
        <f>E1354*F1351</f>
        <v>20</v>
      </c>
      <c r="G1354" s="29"/>
      <c r="H1354" s="18">
        <f>F1354*G1354</f>
        <v>0</v>
      </c>
    </row>
    <row r="1355" spans="1:8">
      <c r="A1355" s="61"/>
      <c r="B1355" s="15" t="s">
        <v>17</v>
      </c>
      <c r="C1355" s="28" t="s">
        <v>100</v>
      </c>
      <c r="D1355" s="28" t="s">
        <v>3</v>
      </c>
      <c r="E1355" s="29">
        <v>0.30599999999999999</v>
      </c>
      <c r="F1355" s="19">
        <f>F1351*E1355</f>
        <v>6.12</v>
      </c>
      <c r="G1355" s="17"/>
      <c r="H1355" s="18">
        <f>F1355*G1355</f>
        <v>0</v>
      </c>
    </row>
    <row r="1356" spans="1:8" ht="60">
      <c r="A1356" s="68" t="s">
        <v>428</v>
      </c>
      <c r="B1356" s="9" t="s">
        <v>1053</v>
      </c>
      <c r="C1356" s="20" t="s">
        <v>1056</v>
      </c>
      <c r="D1356" s="20" t="s">
        <v>678</v>
      </c>
      <c r="E1356" s="20"/>
      <c r="F1356" s="69">
        <v>35</v>
      </c>
      <c r="G1356" s="10"/>
      <c r="H1356" s="39">
        <f>SUM(H1357:H1360)</f>
        <v>0</v>
      </c>
    </row>
    <row r="1357" spans="1:8">
      <c r="A1357" s="61"/>
      <c r="B1357" s="15" t="s">
        <v>17</v>
      </c>
      <c r="C1357" s="28" t="s">
        <v>28</v>
      </c>
      <c r="D1357" s="28" t="s">
        <v>19</v>
      </c>
      <c r="E1357" s="28">
        <v>1.65</v>
      </c>
      <c r="F1357" s="19">
        <f>F1356*E1357</f>
        <v>57.75</v>
      </c>
      <c r="G1357" s="16"/>
      <c r="H1357" s="19">
        <f>F1357*G1357</f>
        <v>0</v>
      </c>
    </row>
    <row r="1358" spans="1:8">
      <c r="A1358" s="61"/>
      <c r="B1358" s="15" t="s">
        <v>17</v>
      </c>
      <c r="C1358" s="28" t="s">
        <v>233</v>
      </c>
      <c r="D1358" s="28" t="s">
        <v>326</v>
      </c>
      <c r="E1358" s="277">
        <v>2.1999999999999999E-2</v>
      </c>
      <c r="F1358" s="44">
        <f>F1356*E1358</f>
        <v>0.76999999999999991</v>
      </c>
      <c r="G1358" s="16"/>
      <c r="H1358" s="44">
        <f>G1358*F1358</f>
        <v>0</v>
      </c>
    </row>
    <row r="1359" spans="1:8" ht="40.5">
      <c r="A1359" s="61"/>
      <c r="B1359" s="15" t="s">
        <v>1057</v>
      </c>
      <c r="C1359" s="28" t="s">
        <v>1058</v>
      </c>
      <c r="D1359" s="28" t="s">
        <v>756</v>
      </c>
      <c r="E1359" s="29">
        <v>1</v>
      </c>
      <c r="F1359" s="178">
        <f>E1359*F1356</f>
        <v>35</v>
      </c>
      <c r="G1359" s="29"/>
      <c r="H1359" s="18">
        <f>F1359*G1359</f>
        <v>0</v>
      </c>
    </row>
    <row r="1360" spans="1:8">
      <c r="A1360" s="61"/>
      <c r="B1360" s="15" t="s">
        <v>17</v>
      </c>
      <c r="C1360" s="28" t="s">
        <v>100</v>
      </c>
      <c r="D1360" s="28" t="s">
        <v>3</v>
      </c>
      <c r="E1360" s="29">
        <v>0.30599999999999999</v>
      </c>
      <c r="F1360" s="19">
        <f>F1356*E1360</f>
        <v>10.709999999999999</v>
      </c>
      <c r="G1360" s="17"/>
      <c r="H1360" s="18">
        <f>F1360*G1360</f>
        <v>0</v>
      </c>
    </row>
    <row r="1361" spans="1:8" ht="54">
      <c r="A1361" s="68" t="s">
        <v>435</v>
      </c>
      <c r="B1361" s="9" t="s">
        <v>1039</v>
      </c>
      <c r="C1361" s="20" t="s">
        <v>1059</v>
      </c>
      <c r="D1361" s="20" t="s">
        <v>678</v>
      </c>
      <c r="E1361" s="278"/>
      <c r="F1361" s="69">
        <v>139</v>
      </c>
      <c r="G1361" s="10"/>
      <c r="H1361" s="39">
        <f>SUM(H1362:H1365)</f>
        <v>0</v>
      </c>
    </row>
    <row r="1362" spans="1:8">
      <c r="A1362" s="61"/>
      <c r="B1362" s="15" t="s">
        <v>17</v>
      </c>
      <c r="C1362" s="28" t="s">
        <v>28</v>
      </c>
      <c r="D1362" s="28" t="s">
        <v>19</v>
      </c>
      <c r="E1362" s="28">
        <v>1.65</v>
      </c>
      <c r="F1362" s="19">
        <f>F1361*E1362</f>
        <v>229.35</v>
      </c>
      <c r="G1362" s="16"/>
      <c r="H1362" s="19">
        <f>F1362*G1362</f>
        <v>0</v>
      </c>
    </row>
    <row r="1363" spans="1:8">
      <c r="A1363" s="61"/>
      <c r="B1363" s="15" t="s">
        <v>17</v>
      </c>
      <c r="C1363" s="28" t="s">
        <v>233</v>
      </c>
      <c r="D1363" s="28" t="s">
        <v>326</v>
      </c>
      <c r="E1363" s="277">
        <v>2.1999999999999999E-2</v>
      </c>
      <c r="F1363" s="44">
        <f>F1361*E1363</f>
        <v>3.0579999999999998</v>
      </c>
      <c r="G1363" s="16"/>
      <c r="H1363" s="44">
        <f>G1363*F1363</f>
        <v>0</v>
      </c>
    </row>
    <row r="1364" spans="1:8" ht="54">
      <c r="A1364" s="61"/>
      <c r="B1364" s="15" t="s">
        <v>52</v>
      </c>
      <c r="C1364" s="28" t="s">
        <v>1060</v>
      </c>
      <c r="D1364" s="28" t="s">
        <v>756</v>
      </c>
      <c r="E1364" s="72">
        <v>1</v>
      </c>
      <c r="F1364" s="44">
        <f>E1364*F1361</f>
        <v>139</v>
      </c>
      <c r="G1364" s="28"/>
      <c r="H1364" s="44">
        <f>G1364*F1364</f>
        <v>0</v>
      </c>
    </row>
    <row r="1365" spans="1:8">
      <c r="A1365" s="61"/>
      <c r="B1365" s="15" t="s">
        <v>17</v>
      </c>
      <c r="C1365" s="28" t="s">
        <v>100</v>
      </c>
      <c r="D1365" s="28" t="s">
        <v>3</v>
      </c>
      <c r="E1365" s="29">
        <v>0.30599999999999999</v>
      </c>
      <c r="F1365" s="19">
        <f>F1361*E1365</f>
        <v>42.533999999999999</v>
      </c>
      <c r="G1365" s="17"/>
      <c r="H1365" s="18">
        <f>F1365*G1365</f>
        <v>0</v>
      </c>
    </row>
    <row r="1366" spans="1:8" ht="48">
      <c r="A1366" s="68" t="s">
        <v>450</v>
      </c>
      <c r="B1366" s="9" t="s">
        <v>1061</v>
      </c>
      <c r="C1366" s="20" t="s">
        <v>1062</v>
      </c>
      <c r="D1366" s="20" t="s">
        <v>45</v>
      </c>
      <c r="E1366" s="20"/>
      <c r="F1366" s="60">
        <v>60</v>
      </c>
      <c r="G1366" s="10"/>
      <c r="H1366" s="39">
        <f>SUM(H1367:H1372)</f>
        <v>0</v>
      </c>
    </row>
    <row r="1367" spans="1:8">
      <c r="A1367" s="61"/>
      <c r="B1367" s="61" t="s">
        <v>17</v>
      </c>
      <c r="C1367" s="28" t="s">
        <v>28</v>
      </c>
      <c r="D1367" s="28" t="s">
        <v>19</v>
      </c>
      <c r="E1367" s="72">
        <v>0.32900000000000001</v>
      </c>
      <c r="F1367" s="19">
        <f>F1366*E1367</f>
        <v>19.740000000000002</v>
      </c>
      <c r="G1367" s="28"/>
      <c r="H1367" s="19">
        <f>F1367*G1367</f>
        <v>0</v>
      </c>
    </row>
    <row r="1368" spans="1:8">
      <c r="A1368" s="61"/>
      <c r="B1368" s="15" t="s">
        <v>17</v>
      </c>
      <c r="C1368" s="28" t="s">
        <v>233</v>
      </c>
      <c r="D1368" s="28" t="s">
        <v>326</v>
      </c>
      <c r="E1368" s="277">
        <v>1.0999999999999999E-2</v>
      </c>
      <c r="F1368" s="44">
        <f>F1366*E1368</f>
        <v>0.65999999999999992</v>
      </c>
      <c r="G1368" s="28"/>
      <c r="H1368" s="44">
        <f>G1368*F1368</f>
        <v>0</v>
      </c>
    </row>
    <row r="1369" spans="1:8" ht="27">
      <c r="A1369" s="61"/>
      <c r="B1369" s="61" t="s">
        <v>1063</v>
      </c>
      <c r="C1369" s="28" t="s">
        <v>1064</v>
      </c>
      <c r="D1369" s="28" t="s">
        <v>45</v>
      </c>
      <c r="E1369" s="44">
        <v>1.01</v>
      </c>
      <c r="F1369" s="19">
        <f>F1366*E1369</f>
        <v>60.6</v>
      </c>
      <c r="G1369" s="29"/>
      <c r="H1369" s="19">
        <f>F1369*G1369</f>
        <v>0</v>
      </c>
    </row>
    <row r="1370" spans="1:8" ht="27">
      <c r="A1370" s="61"/>
      <c r="B1370" s="61" t="s">
        <v>1065</v>
      </c>
      <c r="C1370" s="28" t="s">
        <v>1066</v>
      </c>
      <c r="D1370" s="28" t="s">
        <v>209</v>
      </c>
      <c r="E1370" s="44">
        <v>1</v>
      </c>
      <c r="F1370" s="19">
        <f>F1366*E1370</f>
        <v>60</v>
      </c>
      <c r="G1370" s="29"/>
      <c r="H1370" s="19">
        <f>F1370*G1370</f>
        <v>0</v>
      </c>
    </row>
    <row r="1371" spans="1:8">
      <c r="A1371" s="61"/>
      <c r="B1371" s="61" t="s">
        <v>1067</v>
      </c>
      <c r="C1371" s="28" t="s">
        <v>1068</v>
      </c>
      <c r="D1371" s="28" t="s">
        <v>209</v>
      </c>
      <c r="E1371" s="44">
        <v>2</v>
      </c>
      <c r="F1371" s="19">
        <f>E1371*F1366</f>
        <v>120</v>
      </c>
      <c r="G1371" s="29"/>
      <c r="H1371" s="19">
        <f>F1371*G1371</f>
        <v>0</v>
      </c>
    </row>
    <row r="1372" spans="1:8">
      <c r="A1372" s="61"/>
      <c r="B1372" s="29" t="s">
        <v>17</v>
      </c>
      <c r="C1372" s="28" t="s">
        <v>100</v>
      </c>
      <c r="D1372" s="28" t="s">
        <v>3</v>
      </c>
      <c r="E1372" s="79">
        <v>0.38879999999999998</v>
      </c>
      <c r="F1372" s="19">
        <f>F1366*E1372</f>
        <v>23.327999999999999</v>
      </c>
      <c r="G1372" s="29"/>
      <c r="H1372" s="19">
        <f>F1372*G1372</f>
        <v>0</v>
      </c>
    </row>
    <row r="1373" spans="1:8" ht="48">
      <c r="A1373" s="68" t="s">
        <v>456</v>
      </c>
      <c r="B1373" s="9" t="s">
        <v>1069</v>
      </c>
      <c r="C1373" s="20" t="s">
        <v>1070</v>
      </c>
      <c r="D1373" s="20" t="s">
        <v>45</v>
      </c>
      <c r="E1373" s="20"/>
      <c r="F1373" s="60">
        <v>10</v>
      </c>
      <c r="G1373" s="10"/>
      <c r="H1373" s="39">
        <f>SUM(H1374:H1377)</f>
        <v>0</v>
      </c>
    </row>
    <row r="1374" spans="1:8">
      <c r="A1374" s="61"/>
      <c r="B1374" s="61" t="s">
        <v>17</v>
      </c>
      <c r="C1374" s="28" t="s">
        <v>28</v>
      </c>
      <c r="D1374" s="28" t="s">
        <v>19</v>
      </c>
      <c r="E1374" s="72">
        <v>0.56299999999999994</v>
      </c>
      <c r="F1374" s="19">
        <f>F1373*E1374</f>
        <v>5.629999999999999</v>
      </c>
      <c r="G1374" s="16"/>
      <c r="H1374" s="19">
        <f>F1374*G1374</f>
        <v>0</v>
      </c>
    </row>
    <row r="1375" spans="1:8">
      <c r="A1375" s="61"/>
      <c r="B1375" s="61" t="s">
        <v>17</v>
      </c>
      <c r="C1375" s="28" t="s">
        <v>20</v>
      </c>
      <c r="D1375" s="28" t="s">
        <v>3</v>
      </c>
      <c r="E1375" s="72">
        <v>1.23E-2</v>
      </c>
      <c r="F1375" s="19">
        <f>F1373*E1375</f>
        <v>0.123</v>
      </c>
      <c r="G1375" s="17"/>
      <c r="H1375" s="19">
        <f>F1375*G1375</f>
        <v>0</v>
      </c>
    </row>
    <row r="1376" spans="1:8">
      <c r="A1376" s="61"/>
      <c r="B1376" s="61" t="s">
        <v>1071</v>
      </c>
      <c r="C1376" s="28" t="s">
        <v>1072</v>
      </c>
      <c r="D1376" s="28" t="s">
        <v>45</v>
      </c>
      <c r="E1376" s="44">
        <v>1.02</v>
      </c>
      <c r="F1376" s="19">
        <f>E1376*F1373</f>
        <v>10.199999999999999</v>
      </c>
      <c r="G1376" s="17"/>
      <c r="H1376" s="19">
        <f>F1376*G1376</f>
        <v>0</v>
      </c>
    </row>
    <row r="1377" spans="1:8">
      <c r="A1377" s="61"/>
      <c r="B1377" s="29" t="s">
        <v>17</v>
      </c>
      <c r="C1377" s="28" t="s">
        <v>100</v>
      </c>
      <c r="D1377" s="28" t="s">
        <v>3</v>
      </c>
      <c r="E1377" s="29">
        <v>3.1899999999999998E-2</v>
      </c>
      <c r="F1377" s="19">
        <f>F1373*E1377</f>
        <v>0.31899999999999995</v>
      </c>
      <c r="G1377" s="17"/>
      <c r="H1377" s="18">
        <f>F1377*G1377</f>
        <v>0</v>
      </c>
    </row>
    <row r="1378" spans="1:8" ht="48">
      <c r="A1378" s="68" t="s">
        <v>458</v>
      </c>
      <c r="B1378" s="9" t="s">
        <v>1073</v>
      </c>
      <c r="C1378" s="20" t="s">
        <v>1074</v>
      </c>
      <c r="D1378" s="20" t="s">
        <v>45</v>
      </c>
      <c r="E1378" s="20"/>
      <c r="F1378" s="69">
        <v>900</v>
      </c>
      <c r="G1378" s="10"/>
      <c r="H1378" s="39">
        <f>SUM(H1379:H1381)</f>
        <v>0</v>
      </c>
    </row>
    <row r="1379" spans="1:8">
      <c r="A1379" s="61"/>
      <c r="B1379" s="15" t="s">
        <v>17</v>
      </c>
      <c r="C1379" s="28" t="s">
        <v>28</v>
      </c>
      <c r="D1379" s="28" t="s">
        <v>19</v>
      </c>
      <c r="E1379" s="28">
        <v>0.13900000000000001</v>
      </c>
      <c r="F1379" s="44">
        <f>F1378*E1379</f>
        <v>125.10000000000001</v>
      </c>
      <c r="G1379" s="16"/>
      <c r="H1379" s="44">
        <f>G1379*F1379</f>
        <v>0</v>
      </c>
    </row>
    <row r="1380" spans="1:8" ht="28.5">
      <c r="A1380" s="61"/>
      <c r="B1380" s="15" t="s">
        <v>1075</v>
      </c>
      <c r="C1380" s="28" t="s">
        <v>1076</v>
      </c>
      <c r="D1380" s="28" t="s">
        <v>45</v>
      </c>
      <c r="E1380" s="29">
        <v>1.02</v>
      </c>
      <c r="F1380" s="178">
        <f>E1380*F1378</f>
        <v>918</v>
      </c>
      <c r="G1380" s="29"/>
      <c r="H1380" s="18">
        <f>F1380*G1380</f>
        <v>0</v>
      </c>
    </row>
    <row r="1381" spans="1:8">
      <c r="A1381" s="61"/>
      <c r="B1381" s="15" t="s">
        <v>17</v>
      </c>
      <c r="C1381" s="28" t="s">
        <v>100</v>
      </c>
      <c r="D1381" s="28" t="s">
        <v>3</v>
      </c>
      <c r="E1381" s="72">
        <v>9.7000000000000003E-3</v>
      </c>
      <c r="F1381" s="44">
        <f>F1378*E1381</f>
        <v>8.73</v>
      </c>
      <c r="G1381" s="28"/>
      <c r="H1381" s="43">
        <f>F1381*G1381</f>
        <v>0</v>
      </c>
    </row>
    <row r="1382" spans="1:8" ht="55.5">
      <c r="A1382" s="68" t="s">
        <v>460</v>
      </c>
      <c r="B1382" s="9" t="s">
        <v>1073</v>
      </c>
      <c r="C1382" s="20" t="s">
        <v>1077</v>
      </c>
      <c r="D1382" s="20" t="s">
        <v>45</v>
      </c>
      <c r="E1382" s="20"/>
      <c r="F1382" s="69">
        <v>1500</v>
      </c>
      <c r="G1382" s="20"/>
      <c r="H1382" s="39">
        <f>SUM(H1383:H1385)</f>
        <v>0</v>
      </c>
    </row>
    <row r="1383" spans="1:8">
      <c r="A1383" s="61"/>
      <c r="B1383" s="15" t="s">
        <v>17</v>
      </c>
      <c r="C1383" s="28" t="s">
        <v>28</v>
      </c>
      <c r="D1383" s="28" t="s">
        <v>19</v>
      </c>
      <c r="E1383" s="28">
        <v>0.13900000000000001</v>
      </c>
      <c r="F1383" s="44">
        <f>F1382*E1383</f>
        <v>208.50000000000003</v>
      </c>
      <c r="G1383" s="28"/>
      <c r="H1383" s="44">
        <f>G1383*F1383</f>
        <v>0</v>
      </c>
    </row>
    <row r="1384" spans="1:8" ht="28.5">
      <c r="A1384" s="61"/>
      <c r="B1384" s="15" t="s">
        <v>1078</v>
      </c>
      <c r="C1384" s="28" t="s">
        <v>1079</v>
      </c>
      <c r="D1384" s="28" t="s">
        <v>45</v>
      </c>
      <c r="E1384" s="29">
        <v>1.02</v>
      </c>
      <c r="F1384" s="178">
        <f>E1384*F1382</f>
        <v>1530</v>
      </c>
      <c r="G1384" s="29"/>
      <c r="H1384" s="18">
        <f>F1384*G1384</f>
        <v>0</v>
      </c>
    </row>
    <row r="1385" spans="1:8">
      <c r="A1385" s="61"/>
      <c r="B1385" s="15" t="s">
        <v>17</v>
      </c>
      <c r="C1385" s="28" t="s">
        <v>100</v>
      </c>
      <c r="D1385" s="28" t="s">
        <v>3</v>
      </c>
      <c r="E1385" s="72">
        <v>9.7000000000000003E-3</v>
      </c>
      <c r="F1385" s="44">
        <f>F1382*E1385</f>
        <v>14.55</v>
      </c>
      <c r="G1385" s="28"/>
      <c r="H1385" s="43">
        <f>F1385*G1385</f>
        <v>0</v>
      </c>
    </row>
    <row r="1386" spans="1:8" ht="55.5">
      <c r="A1386" s="68" t="s">
        <v>464</v>
      </c>
      <c r="B1386" s="9" t="s">
        <v>1073</v>
      </c>
      <c r="C1386" s="20" t="s">
        <v>1080</v>
      </c>
      <c r="D1386" s="20" t="s">
        <v>45</v>
      </c>
      <c r="E1386" s="20"/>
      <c r="F1386" s="69">
        <v>1335</v>
      </c>
      <c r="G1386" s="20"/>
      <c r="H1386" s="39">
        <f>SUM(H1387:H1389)</f>
        <v>0</v>
      </c>
    </row>
    <row r="1387" spans="1:8">
      <c r="A1387" s="61"/>
      <c r="B1387" s="15" t="s">
        <v>17</v>
      </c>
      <c r="C1387" s="28" t="s">
        <v>28</v>
      </c>
      <c r="D1387" s="28" t="s">
        <v>19</v>
      </c>
      <c r="E1387" s="28">
        <v>0.13900000000000001</v>
      </c>
      <c r="F1387" s="44">
        <f>F1386*E1387</f>
        <v>185.56500000000003</v>
      </c>
      <c r="G1387" s="28"/>
      <c r="H1387" s="44">
        <f>G1387*F1387</f>
        <v>0</v>
      </c>
    </row>
    <row r="1388" spans="1:8" ht="28.5">
      <c r="A1388" s="61"/>
      <c r="B1388" s="15" t="s">
        <v>1081</v>
      </c>
      <c r="C1388" s="28" t="s">
        <v>1082</v>
      </c>
      <c r="D1388" s="28" t="s">
        <v>45</v>
      </c>
      <c r="E1388" s="29">
        <v>1.02</v>
      </c>
      <c r="F1388" s="178">
        <f>E1388*F1386</f>
        <v>1361.7</v>
      </c>
      <c r="G1388" s="29"/>
      <c r="H1388" s="18">
        <f>F1388*G1388</f>
        <v>0</v>
      </c>
    </row>
    <row r="1389" spans="1:8">
      <c r="A1389" s="61"/>
      <c r="B1389" s="15" t="s">
        <v>17</v>
      </c>
      <c r="C1389" s="28" t="s">
        <v>100</v>
      </c>
      <c r="D1389" s="28" t="s">
        <v>3</v>
      </c>
      <c r="E1389" s="72">
        <v>9.7000000000000003E-3</v>
      </c>
      <c r="F1389" s="44">
        <f>F1386*E1389</f>
        <v>12.9495</v>
      </c>
      <c r="G1389" s="16"/>
      <c r="H1389" s="43">
        <f>F1389*G1389</f>
        <v>0</v>
      </c>
    </row>
    <row r="1390" spans="1:8" ht="55.5">
      <c r="A1390" s="68" t="s">
        <v>1083</v>
      </c>
      <c r="B1390" s="9" t="s">
        <v>1073</v>
      </c>
      <c r="C1390" s="20" t="s">
        <v>1084</v>
      </c>
      <c r="D1390" s="20" t="s">
        <v>45</v>
      </c>
      <c r="E1390" s="20"/>
      <c r="F1390" s="69">
        <v>75</v>
      </c>
      <c r="G1390" s="20"/>
      <c r="H1390" s="39">
        <f>SUM(H1391:H1393)</f>
        <v>0</v>
      </c>
    </row>
    <row r="1391" spans="1:8">
      <c r="A1391" s="61"/>
      <c r="B1391" s="15" t="s">
        <v>17</v>
      </c>
      <c r="C1391" s="28" t="s">
        <v>28</v>
      </c>
      <c r="D1391" s="28" t="s">
        <v>19</v>
      </c>
      <c r="E1391" s="28">
        <v>0.13900000000000001</v>
      </c>
      <c r="F1391" s="44">
        <f>F1390*E1391</f>
        <v>10.425000000000001</v>
      </c>
      <c r="G1391" s="28"/>
      <c r="H1391" s="44">
        <f>G1391*F1391</f>
        <v>0</v>
      </c>
    </row>
    <row r="1392" spans="1:8" ht="28.5">
      <c r="A1392" s="61"/>
      <c r="B1392" s="15" t="s">
        <v>1085</v>
      </c>
      <c r="C1392" s="28" t="s">
        <v>1086</v>
      </c>
      <c r="D1392" s="28" t="s">
        <v>45</v>
      </c>
      <c r="E1392" s="29">
        <v>1.02</v>
      </c>
      <c r="F1392" s="178">
        <f>E1392*F1390</f>
        <v>76.5</v>
      </c>
      <c r="G1392" s="29"/>
      <c r="H1392" s="18">
        <f>F1392*G1392</f>
        <v>0</v>
      </c>
    </row>
    <row r="1393" spans="1:8">
      <c r="A1393" s="61"/>
      <c r="B1393" s="15" t="s">
        <v>17</v>
      </c>
      <c r="C1393" s="28" t="s">
        <v>100</v>
      </c>
      <c r="D1393" s="28" t="s">
        <v>3</v>
      </c>
      <c r="E1393" s="72">
        <v>9.7000000000000003E-3</v>
      </c>
      <c r="F1393" s="44">
        <f>F1390*E1393</f>
        <v>0.72750000000000004</v>
      </c>
      <c r="G1393" s="16"/>
      <c r="H1393" s="43">
        <f>F1393*G1393</f>
        <v>0</v>
      </c>
    </row>
    <row r="1394" spans="1:8" ht="55.5">
      <c r="A1394" s="68" t="s">
        <v>1087</v>
      </c>
      <c r="B1394" s="9" t="s">
        <v>1073</v>
      </c>
      <c r="C1394" s="20" t="s">
        <v>1088</v>
      </c>
      <c r="D1394" s="20" t="s">
        <v>45</v>
      </c>
      <c r="E1394" s="20"/>
      <c r="F1394" s="69">
        <v>35</v>
      </c>
      <c r="G1394" s="20"/>
      <c r="H1394" s="39">
        <f>SUM(H1395:H1397)</f>
        <v>0</v>
      </c>
    </row>
    <row r="1395" spans="1:8">
      <c r="A1395" s="61"/>
      <c r="B1395" s="15" t="s">
        <v>17</v>
      </c>
      <c r="C1395" s="28" t="s">
        <v>28</v>
      </c>
      <c r="D1395" s="28" t="s">
        <v>19</v>
      </c>
      <c r="E1395" s="28">
        <v>0.13900000000000001</v>
      </c>
      <c r="F1395" s="44">
        <f>F1394*E1395</f>
        <v>4.8650000000000002</v>
      </c>
      <c r="G1395" s="28"/>
      <c r="H1395" s="44">
        <f>G1395*F1395</f>
        <v>0</v>
      </c>
    </row>
    <row r="1396" spans="1:8" ht="28.5">
      <c r="A1396" s="61"/>
      <c r="B1396" s="15" t="s">
        <v>1089</v>
      </c>
      <c r="C1396" s="28" t="s">
        <v>1086</v>
      </c>
      <c r="D1396" s="28" t="s">
        <v>45</v>
      </c>
      <c r="E1396" s="29">
        <v>1.02</v>
      </c>
      <c r="F1396" s="178">
        <f>E1396*F1394</f>
        <v>35.700000000000003</v>
      </c>
      <c r="G1396" s="29"/>
      <c r="H1396" s="18">
        <f>F1396*G1396</f>
        <v>0</v>
      </c>
    </row>
    <row r="1397" spans="1:8">
      <c r="A1397" s="61"/>
      <c r="B1397" s="15" t="s">
        <v>17</v>
      </c>
      <c r="C1397" s="28" t="s">
        <v>100</v>
      </c>
      <c r="D1397" s="28" t="s">
        <v>3</v>
      </c>
      <c r="E1397" s="72">
        <v>9.7000000000000003E-3</v>
      </c>
      <c r="F1397" s="44">
        <f>F1394*E1397</f>
        <v>0.33950000000000002</v>
      </c>
      <c r="G1397" s="16"/>
      <c r="H1397" s="43">
        <f>F1397*G1397</f>
        <v>0</v>
      </c>
    </row>
    <row r="1398" spans="1:8" ht="48">
      <c r="A1398" s="25">
        <v>37</v>
      </c>
      <c r="B1398" s="9" t="s">
        <v>1090</v>
      </c>
      <c r="C1398" s="20" t="s">
        <v>1091</v>
      </c>
      <c r="D1398" s="20" t="s">
        <v>209</v>
      </c>
      <c r="E1398" s="20"/>
      <c r="F1398" s="69">
        <v>4</v>
      </c>
      <c r="G1398" s="10"/>
      <c r="H1398" s="39">
        <f>SUM(H1399:H1402)</f>
        <v>0</v>
      </c>
    </row>
    <row r="1399" spans="1:8">
      <c r="A1399" s="61"/>
      <c r="B1399" s="15" t="s">
        <v>17</v>
      </c>
      <c r="C1399" s="28" t="s">
        <v>28</v>
      </c>
      <c r="D1399" s="28" t="s">
        <v>19</v>
      </c>
      <c r="E1399" s="28">
        <v>0.6</v>
      </c>
      <c r="F1399" s="44">
        <f>F1398*E1399</f>
        <v>2.4</v>
      </c>
      <c r="G1399" s="28"/>
      <c r="H1399" s="44">
        <f>G1399*F1399</f>
        <v>0</v>
      </c>
    </row>
    <row r="1400" spans="1:8">
      <c r="A1400" s="61"/>
      <c r="B1400" s="61" t="s">
        <v>17</v>
      </c>
      <c r="C1400" s="28" t="s">
        <v>20</v>
      </c>
      <c r="D1400" s="28" t="s">
        <v>3</v>
      </c>
      <c r="E1400" s="72">
        <v>0.05</v>
      </c>
      <c r="F1400" s="19">
        <f>F1398*E1400</f>
        <v>0.2</v>
      </c>
      <c r="G1400" s="29"/>
      <c r="H1400" s="19">
        <f>F1400*G1400</f>
        <v>0</v>
      </c>
    </row>
    <row r="1401" spans="1:8">
      <c r="A1401" s="61"/>
      <c r="B1401" s="15" t="s">
        <v>1092</v>
      </c>
      <c r="C1401" s="28" t="s">
        <v>1093</v>
      </c>
      <c r="D1401" s="28" t="s">
        <v>45</v>
      </c>
      <c r="E1401" s="237">
        <v>3</v>
      </c>
      <c r="F1401" s="238">
        <f>E1401*F1398</f>
        <v>12</v>
      </c>
      <c r="G1401" s="28"/>
      <c r="H1401" s="44">
        <f>G1401*F1401</f>
        <v>0</v>
      </c>
    </row>
    <row r="1402" spans="1:8">
      <c r="A1402" s="61"/>
      <c r="B1402" s="24" t="s">
        <v>17</v>
      </c>
      <c r="C1402" s="28" t="s">
        <v>100</v>
      </c>
      <c r="D1402" s="28" t="s">
        <v>3</v>
      </c>
      <c r="E1402" s="28">
        <v>1.08</v>
      </c>
      <c r="F1402" s="44">
        <f>F1389*E1402</f>
        <v>13.985460000000002</v>
      </c>
      <c r="G1402" s="28"/>
      <c r="H1402" s="44">
        <f>G1402*F1402</f>
        <v>0</v>
      </c>
    </row>
    <row r="1403" spans="1:8" ht="60">
      <c r="A1403" s="25">
        <v>38</v>
      </c>
      <c r="B1403" s="9" t="s">
        <v>1094</v>
      </c>
      <c r="C1403" s="20" t="s">
        <v>1095</v>
      </c>
      <c r="D1403" s="20" t="s">
        <v>45</v>
      </c>
      <c r="E1403" s="20"/>
      <c r="F1403" s="69">
        <v>24</v>
      </c>
      <c r="G1403" s="10"/>
      <c r="H1403" s="39">
        <f>SUM(H1404:H1407)</f>
        <v>0</v>
      </c>
    </row>
    <row r="1404" spans="1:8">
      <c r="A1404" s="61"/>
      <c r="B1404" s="15" t="s">
        <v>17</v>
      </c>
      <c r="C1404" s="28" t="s">
        <v>28</v>
      </c>
      <c r="D1404" s="28" t="s">
        <v>19</v>
      </c>
      <c r="E1404" s="28">
        <v>0.12</v>
      </c>
      <c r="F1404" s="44">
        <f>F1403*E1404</f>
        <v>2.88</v>
      </c>
      <c r="G1404" s="28"/>
      <c r="H1404" s="44">
        <f>G1404*F1404</f>
        <v>0</v>
      </c>
    </row>
    <row r="1405" spans="1:8">
      <c r="A1405" s="61"/>
      <c r="B1405" s="61" t="s">
        <v>17</v>
      </c>
      <c r="C1405" s="28" t="s">
        <v>20</v>
      </c>
      <c r="D1405" s="28" t="s">
        <v>3</v>
      </c>
      <c r="E1405" s="72">
        <v>8.9999999999999993E-3</v>
      </c>
      <c r="F1405" s="19">
        <f>F1403*E1405</f>
        <v>0.21599999999999997</v>
      </c>
      <c r="G1405" s="29"/>
      <c r="H1405" s="19">
        <f>F1405*G1405</f>
        <v>0</v>
      </c>
    </row>
    <row r="1406" spans="1:8">
      <c r="A1406" s="61"/>
      <c r="B1406" s="15" t="s">
        <v>1096</v>
      </c>
      <c r="C1406" s="28" t="s">
        <v>1097</v>
      </c>
      <c r="D1406" s="28" t="s">
        <v>45</v>
      </c>
      <c r="E1406" s="28">
        <v>1</v>
      </c>
      <c r="F1406" s="238">
        <f>E1406*F1403</f>
        <v>24</v>
      </c>
      <c r="G1406" s="28"/>
      <c r="H1406" s="44">
        <f>G1406*F1406</f>
        <v>0</v>
      </c>
    </row>
    <row r="1407" spans="1:8">
      <c r="A1407" s="61"/>
      <c r="B1407" s="24" t="s">
        <v>17</v>
      </c>
      <c r="C1407" s="28" t="s">
        <v>100</v>
      </c>
      <c r="D1407" s="28" t="s">
        <v>3</v>
      </c>
      <c r="E1407" s="28">
        <v>0.193</v>
      </c>
      <c r="F1407" s="44">
        <f>F1403*E1407</f>
        <v>4.6319999999999997</v>
      </c>
      <c r="G1407" s="28"/>
      <c r="H1407" s="44">
        <f>G1407*F1407</f>
        <v>0</v>
      </c>
    </row>
    <row r="1408" spans="1:8" ht="48">
      <c r="A1408" s="68" t="s">
        <v>1098</v>
      </c>
      <c r="B1408" s="9" t="s">
        <v>1073</v>
      </c>
      <c r="C1408" s="20" t="s">
        <v>1099</v>
      </c>
      <c r="D1408" s="20" t="s">
        <v>45</v>
      </c>
      <c r="E1408" s="20"/>
      <c r="F1408" s="69">
        <v>20</v>
      </c>
      <c r="G1408" s="20"/>
      <c r="H1408" s="39">
        <f>SUM(H1409:H1413)</f>
        <v>0</v>
      </c>
    </row>
    <row r="1409" spans="1:8">
      <c r="A1409" s="61"/>
      <c r="B1409" s="15" t="s">
        <v>17</v>
      </c>
      <c r="C1409" s="28" t="s">
        <v>28</v>
      </c>
      <c r="D1409" s="28" t="s">
        <v>19</v>
      </c>
      <c r="E1409" s="28">
        <v>0.13900000000000001</v>
      </c>
      <c r="F1409" s="44">
        <f>F1408*E1409</f>
        <v>2.7800000000000002</v>
      </c>
      <c r="G1409" s="28"/>
      <c r="H1409" s="44">
        <f>G1409*F1409</f>
        <v>0</v>
      </c>
    </row>
    <row r="1410" spans="1:8" ht="28.5">
      <c r="A1410" s="61"/>
      <c r="B1410" s="15" t="s">
        <v>1100</v>
      </c>
      <c r="C1410" s="28" t="s">
        <v>1101</v>
      </c>
      <c r="D1410" s="28" t="s">
        <v>45</v>
      </c>
      <c r="E1410" s="29">
        <v>1.02</v>
      </c>
      <c r="F1410" s="178">
        <f>E1410*F1408</f>
        <v>20.399999999999999</v>
      </c>
      <c r="G1410" s="29"/>
      <c r="H1410" s="18">
        <f>F1410*G1410</f>
        <v>0</v>
      </c>
    </row>
    <row r="1411" spans="1:8">
      <c r="A1411" s="61"/>
      <c r="B1411" s="15" t="s">
        <v>1102</v>
      </c>
      <c r="C1411" s="28" t="s">
        <v>1103</v>
      </c>
      <c r="D1411" s="28" t="s">
        <v>209</v>
      </c>
      <c r="E1411" s="29" t="s">
        <v>1104</v>
      </c>
      <c r="F1411" s="178">
        <v>2</v>
      </c>
      <c r="G1411" s="29"/>
      <c r="H1411" s="18">
        <f>F1411*G1411</f>
        <v>0</v>
      </c>
    </row>
    <row r="1412" spans="1:8">
      <c r="A1412" s="61"/>
      <c r="B1412" s="15" t="s">
        <v>1105</v>
      </c>
      <c r="C1412" s="28" t="s">
        <v>1106</v>
      </c>
      <c r="D1412" s="28" t="s">
        <v>209</v>
      </c>
      <c r="E1412" s="29" t="s">
        <v>1104</v>
      </c>
      <c r="F1412" s="178">
        <v>4</v>
      </c>
      <c r="G1412" s="29"/>
      <c r="H1412" s="18">
        <f>F1412*G1412</f>
        <v>0</v>
      </c>
    </row>
    <row r="1413" spans="1:8">
      <c r="A1413" s="61"/>
      <c r="B1413" s="15" t="s">
        <v>17</v>
      </c>
      <c r="C1413" s="28" t="s">
        <v>100</v>
      </c>
      <c r="D1413" s="28" t="s">
        <v>3</v>
      </c>
      <c r="E1413" s="72">
        <v>9.7000000000000003E-3</v>
      </c>
      <c r="F1413" s="44">
        <f>F1408*E1413</f>
        <v>0.19400000000000001</v>
      </c>
      <c r="G1413" s="16"/>
      <c r="H1413" s="43">
        <f>F1413*G1413</f>
        <v>0</v>
      </c>
    </row>
    <row r="1414" spans="1:8">
      <c r="A1414" s="238"/>
      <c r="B1414" s="15"/>
      <c r="C1414" s="26" t="s">
        <v>1107</v>
      </c>
      <c r="D1414" s="28" t="s">
        <v>3</v>
      </c>
      <c r="E1414" s="28"/>
      <c r="F1414" s="44"/>
      <c r="G1414" s="16"/>
      <c r="H1414" s="13">
        <f>H1243+H1308+H1312+H1317+H1322+H1327+H1366+H1373+H1378+H1382+H1386+H1398+H1403+H1408+H1248+H1256+H1260+H1268+H1331+H1341+H1346+H1351+H1336+H1356+H1361+H1252+H1264+H1272+H1275+H1279+H1282+H1289+H1292+H1300+H1304+H1390+H1296+H1286+H1394</f>
        <v>0</v>
      </c>
    </row>
    <row r="1415" spans="1:8">
      <c r="A1415" s="238"/>
      <c r="B1415" s="15"/>
      <c r="C1415" s="28" t="s">
        <v>1108</v>
      </c>
      <c r="D1415" s="28" t="s">
        <v>3</v>
      </c>
      <c r="E1415" s="28"/>
      <c r="F1415" s="44"/>
      <c r="G1415" s="16"/>
      <c r="H1415" s="19">
        <f>H1244+H1309+H1313+H1318+H1323+H1328+H1367+H1374+H1379+H1383+H1387+H1399+H1404+H1409+H1257+H1249+H1261+H1269+H1362+H1357+H1337+H1352+H1347+H1342+H1332+H1253+H1265+H1273+H1276+H1280+H1283+H1290+H1293+H1301+H1305+H1391+H1395+H1297+H1287</f>
        <v>0</v>
      </c>
    </row>
    <row r="1416" spans="1:8">
      <c r="A1416" s="238"/>
      <c r="B1416" s="15"/>
      <c r="C1416" s="28" t="s">
        <v>1109</v>
      </c>
      <c r="D1416" s="28" t="s">
        <v>3</v>
      </c>
      <c r="E1416" s="28"/>
      <c r="F1416" s="250">
        <v>0.75</v>
      </c>
      <c r="G1416" s="16"/>
      <c r="H1416" s="18">
        <f>F1416*H1415</f>
        <v>0</v>
      </c>
    </row>
    <row r="1417" spans="1:8">
      <c r="A1417" s="25"/>
      <c r="B1417" s="9"/>
      <c r="C1417" s="20" t="s">
        <v>1110</v>
      </c>
      <c r="D1417" s="20" t="s">
        <v>3</v>
      </c>
      <c r="E1417" s="20"/>
      <c r="F1417" s="20"/>
      <c r="G1417" s="10"/>
      <c r="H1417" s="57">
        <f>H1416+H1414</f>
        <v>0</v>
      </c>
    </row>
    <row r="1418" spans="1:8">
      <c r="A1418" s="238"/>
      <c r="B1418" s="15"/>
      <c r="C1418" s="28" t="s">
        <v>689</v>
      </c>
      <c r="D1418" s="28" t="s">
        <v>3</v>
      </c>
      <c r="E1418" s="28"/>
      <c r="F1418" s="250">
        <v>0.08</v>
      </c>
      <c r="G1418" s="16"/>
      <c r="H1418" s="18">
        <f>H1417*F1418</f>
        <v>0</v>
      </c>
    </row>
    <row r="1419" spans="1:8">
      <c r="A1419" s="238"/>
      <c r="B1419" s="15"/>
      <c r="C1419" s="20" t="s">
        <v>690</v>
      </c>
      <c r="D1419" s="20" t="s">
        <v>3</v>
      </c>
      <c r="E1419" s="28"/>
      <c r="F1419" s="250"/>
      <c r="G1419" s="474"/>
      <c r="H1419" s="462">
        <f>SUM(H1417:H1418)</f>
        <v>0</v>
      </c>
    </row>
    <row r="1421" spans="1:8">
      <c r="A1421" s="487" t="s">
        <v>1647</v>
      </c>
      <c r="B1421" s="487"/>
      <c r="C1421" s="487"/>
      <c r="D1421" s="487"/>
      <c r="E1421" s="487"/>
      <c r="F1421" s="487"/>
      <c r="G1421" s="487"/>
      <c r="H1421" s="487"/>
    </row>
    <row r="1422" spans="1:8" ht="24.75" customHeight="1">
      <c r="A1422" s="488" t="s">
        <v>1111</v>
      </c>
      <c r="B1422" s="488"/>
      <c r="C1422" s="488"/>
      <c r="D1422" s="488"/>
      <c r="E1422" s="488"/>
      <c r="F1422" s="488"/>
      <c r="G1422" s="488"/>
      <c r="H1422" s="488"/>
    </row>
    <row r="1423" spans="1:8" ht="30.75" customHeight="1">
      <c r="A1423" s="506" t="s">
        <v>5</v>
      </c>
      <c r="B1423" s="507" t="s">
        <v>6</v>
      </c>
      <c r="C1423" s="494" t="s">
        <v>7</v>
      </c>
      <c r="D1423" s="495" t="s">
        <v>8</v>
      </c>
      <c r="E1423" s="496" t="s">
        <v>9</v>
      </c>
      <c r="F1423" s="496"/>
      <c r="G1423" s="496" t="s">
        <v>10</v>
      </c>
      <c r="H1423" s="496"/>
    </row>
    <row r="1424" spans="1:8" ht="84" customHeight="1">
      <c r="A1424" s="506"/>
      <c r="B1424" s="507"/>
      <c r="C1424" s="494"/>
      <c r="D1424" s="495"/>
      <c r="E1424" s="226" t="s">
        <v>11</v>
      </c>
      <c r="F1424" s="226" t="s">
        <v>12</v>
      </c>
      <c r="G1424" s="226" t="s">
        <v>11</v>
      </c>
      <c r="H1424" s="281" t="s">
        <v>12</v>
      </c>
    </row>
    <row r="1425" spans="1:8">
      <c r="A1425" s="230" t="s">
        <v>13</v>
      </c>
      <c r="B1425" s="46">
        <v>2</v>
      </c>
      <c r="C1425" s="232">
        <v>3</v>
      </c>
      <c r="D1425" s="232">
        <v>4</v>
      </c>
      <c r="E1425" s="232">
        <v>5</v>
      </c>
      <c r="F1425" s="232">
        <v>6</v>
      </c>
      <c r="G1425" s="232">
        <v>7</v>
      </c>
      <c r="H1425" s="8">
        <v>8</v>
      </c>
    </row>
    <row r="1426" spans="1:8" ht="48">
      <c r="A1426" s="8">
        <v>1</v>
      </c>
      <c r="B1426" s="46" t="s">
        <v>1112</v>
      </c>
      <c r="C1426" s="10" t="s">
        <v>1683</v>
      </c>
      <c r="D1426" s="10" t="s">
        <v>769</v>
      </c>
      <c r="E1426" s="10"/>
      <c r="F1426" s="76">
        <v>1</v>
      </c>
      <c r="G1426" s="10"/>
      <c r="H1426" s="39">
        <f>H1427+H1429+H1428</f>
        <v>0</v>
      </c>
    </row>
    <row r="1427" spans="1:8">
      <c r="A1427" s="64"/>
      <c r="B1427" s="14" t="s">
        <v>17</v>
      </c>
      <c r="C1427" s="16" t="s">
        <v>28</v>
      </c>
      <c r="D1427" s="16" t="s">
        <v>19</v>
      </c>
      <c r="E1427" s="16">
        <v>31</v>
      </c>
      <c r="F1427" s="43">
        <f>F1426*E1427</f>
        <v>31</v>
      </c>
      <c r="G1427" s="43"/>
      <c r="H1427" s="44">
        <f>G1427*F1427</f>
        <v>0</v>
      </c>
    </row>
    <row r="1428" spans="1:8">
      <c r="A1428" s="282"/>
      <c r="B1428" s="23" t="s">
        <v>1113</v>
      </c>
      <c r="C1428" s="28" t="s">
        <v>1114</v>
      </c>
      <c r="D1428" s="28" t="s">
        <v>209</v>
      </c>
      <c r="E1428" s="28">
        <v>1</v>
      </c>
      <c r="F1428" s="44">
        <f>E1428</f>
        <v>1</v>
      </c>
      <c r="G1428" s="44"/>
      <c r="H1428" s="44">
        <f>F1428*G1428</f>
        <v>0</v>
      </c>
    </row>
    <row r="1429" spans="1:8">
      <c r="A1429" s="64"/>
      <c r="B1429" s="14" t="s">
        <v>17</v>
      </c>
      <c r="C1429" s="16" t="s">
        <v>653</v>
      </c>
      <c r="D1429" s="16" t="s">
        <v>3</v>
      </c>
      <c r="E1429" s="77">
        <v>2.88</v>
      </c>
      <c r="F1429" s="43">
        <f>F1426*E1429</f>
        <v>2.88</v>
      </c>
      <c r="G1429" s="43"/>
      <c r="H1429" s="44">
        <f>F1429*G1429</f>
        <v>0</v>
      </c>
    </row>
    <row r="1430" spans="1:8" ht="48">
      <c r="A1430" s="8">
        <v>2</v>
      </c>
      <c r="B1430" s="46" t="s">
        <v>1115</v>
      </c>
      <c r="C1430" s="10" t="s">
        <v>1116</v>
      </c>
      <c r="D1430" s="10" t="s">
        <v>209</v>
      </c>
      <c r="E1430" s="10"/>
      <c r="F1430" s="76">
        <v>1</v>
      </c>
      <c r="G1430" s="10"/>
      <c r="H1430" s="283">
        <f>H1431+H1432+H1433</f>
        <v>0</v>
      </c>
    </row>
    <row r="1431" spans="1:8">
      <c r="A1431" s="64"/>
      <c r="B1431" s="14" t="s">
        <v>17</v>
      </c>
      <c r="C1431" s="16" t="s">
        <v>28</v>
      </c>
      <c r="D1431" s="16" t="s">
        <v>19</v>
      </c>
      <c r="E1431" s="16">
        <v>1</v>
      </c>
      <c r="F1431" s="43">
        <f>F1430*E1431</f>
        <v>1</v>
      </c>
      <c r="G1431" s="16"/>
      <c r="H1431" s="44">
        <f>G1431*F1431</f>
        <v>0</v>
      </c>
    </row>
    <row r="1432" spans="1:8">
      <c r="A1432" s="64"/>
      <c r="B1432" s="28" t="s">
        <v>1117</v>
      </c>
      <c r="C1432" s="284" t="s">
        <v>1118</v>
      </c>
      <c r="D1432" s="16" t="s">
        <v>209</v>
      </c>
      <c r="E1432" s="74">
        <v>1</v>
      </c>
      <c r="F1432" s="43">
        <f>E1432*F1430</f>
        <v>1</v>
      </c>
      <c r="G1432" s="192"/>
      <c r="H1432" s="19">
        <f>F1432*G1432</f>
        <v>0</v>
      </c>
    </row>
    <row r="1433" spans="1:8">
      <c r="A1433" s="64"/>
      <c r="B1433" s="14" t="s">
        <v>17</v>
      </c>
      <c r="C1433" s="16" t="s">
        <v>653</v>
      </c>
      <c r="D1433" s="16" t="s">
        <v>3</v>
      </c>
      <c r="E1433" s="77">
        <v>0.23</v>
      </c>
      <c r="F1433" s="43">
        <f>F1430*E1433</f>
        <v>0.23</v>
      </c>
      <c r="G1433" s="16"/>
      <c r="H1433" s="44">
        <f>F1433*G1433</f>
        <v>0</v>
      </c>
    </row>
    <row r="1434" spans="1:8" ht="48">
      <c r="A1434" s="8">
        <v>3</v>
      </c>
      <c r="B1434" s="46" t="s">
        <v>1119</v>
      </c>
      <c r="C1434" s="10" t="s">
        <v>1120</v>
      </c>
      <c r="D1434" s="10" t="s">
        <v>769</v>
      </c>
      <c r="E1434" s="10"/>
      <c r="F1434" s="76">
        <v>125</v>
      </c>
      <c r="G1434" s="10"/>
      <c r="H1434" s="39">
        <f>H1435+H1436+H1438+H1437</f>
        <v>0</v>
      </c>
    </row>
    <row r="1435" spans="1:8">
      <c r="A1435" s="64"/>
      <c r="B1435" s="14" t="s">
        <v>17</v>
      </c>
      <c r="C1435" s="16" t="s">
        <v>28</v>
      </c>
      <c r="D1435" s="16" t="s">
        <v>19</v>
      </c>
      <c r="E1435" s="16">
        <v>1</v>
      </c>
      <c r="F1435" s="43">
        <f>F1434*E1435</f>
        <v>125</v>
      </c>
      <c r="G1435" s="16"/>
      <c r="H1435" s="44">
        <f>G1435*F1435</f>
        <v>0</v>
      </c>
    </row>
    <row r="1436" spans="1:8">
      <c r="A1436" s="61"/>
      <c r="B1436" s="23" t="s">
        <v>1121</v>
      </c>
      <c r="C1436" s="28" t="s">
        <v>1122</v>
      </c>
      <c r="D1436" s="28" t="s">
        <v>209</v>
      </c>
      <c r="E1436" s="30">
        <v>1</v>
      </c>
      <c r="F1436" s="19">
        <f>E1436*F1434</f>
        <v>125</v>
      </c>
      <c r="G1436" s="30"/>
      <c r="H1436" s="19">
        <f>F1436*G1436</f>
        <v>0</v>
      </c>
    </row>
    <row r="1437" spans="1:8">
      <c r="A1437" s="64"/>
      <c r="B1437" s="23" t="s">
        <v>1123</v>
      </c>
      <c r="C1437" s="16" t="s">
        <v>1124</v>
      </c>
      <c r="D1437" s="16" t="s">
        <v>209</v>
      </c>
      <c r="E1437" s="31">
        <v>1</v>
      </c>
      <c r="F1437" s="18">
        <f>E1437*F1435</f>
        <v>125</v>
      </c>
      <c r="G1437" s="30"/>
      <c r="H1437" s="19">
        <f>F1437*G1437</f>
        <v>0</v>
      </c>
    </row>
    <row r="1438" spans="1:8">
      <c r="A1438" s="64"/>
      <c r="B1438" s="14" t="s">
        <v>17</v>
      </c>
      <c r="C1438" s="16" t="s">
        <v>653</v>
      </c>
      <c r="D1438" s="16" t="s">
        <v>3</v>
      </c>
      <c r="E1438" s="70">
        <v>0.09</v>
      </c>
      <c r="F1438" s="43">
        <f>F1434*E1438</f>
        <v>11.25</v>
      </c>
      <c r="G1438" s="16"/>
      <c r="H1438" s="44">
        <f>F1438*G1438</f>
        <v>0</v>
      </c>
    </row>
    <row r="1439" spans="1:8" ht="48">
      <c r="A1439" s="8">
        <v>4</v>
      </c>
      <c r="B1439" s="46" t="s">
        <v>1125</v>
      </c>
      <c r="C1439" s="10" t="s">
        <v>1126</v>
      </c>
      <c r="D1439" s="10" t="s">
        <v>209</v>
      </c>
      <c r="E1439" s="10"/>
      <c r="F1439" s="76">
        <v>9</v>
      </c>
      <c r="G1439" s="10"/>
      <c r="H1439" s="39">
        <f>H1440+H1442+H1441</f>
        <v>0</v>
      </c>
    </row>
    <row r="1440" spans="1:8">
      <c r="A1440" s="64"/>
      <c r="B1440" s="14" t="s">
        <v>17</v>
      </c>
      <c r="C1440" s="16" t="s">
        <v>28</v>
      </c>
      <c r="D1440" s="16" t="s">
        <v>19</v>
      </c>
      <c r="E1440" s="77">
        <v>2</v>
      </c>
      <c r="F1440" s="43">
        <f>F1439*E1440</f>
        <v>18</v>
      </c>
      <c r="G1440" s="16"/>
      <c r="H1440" s="44">
        <f>G1440*F1440</f>
        <v>0</v>
      </c>
    </row>
    <row r="1441" spans="1:8">
      <c r="A1441" s="61"/>
      <c r="B1441" s="23" t="s">
        <v>1127</v>
      </c>
      <c r="C1441" s="28" t="s">
        <v>1128</v>
      </c>
      <c r="D1441" s="28" t="s">
        <v>209</v>
      </c>
      <c r="E1441" s="142">
        <v>1</v>
      </c>
      <c r="F1441" s="19">
        <f>F1439*E1441</f>
        <v>9</v>
      </c>
      <c r="G1441" s="30"/>
      <c r="H1441" s="19">
        <f>F1441*G1441</f>
        <v>0</v>
      </c>
    </row>
    <row r="1442" spans="1:8">
      <c r="A1442" s="64"/>
      <c r="B1442" s="14" t="s">
        <v>17</v>
      </c>
      <c r="C1442" s="16" t="s">
        <v>653</v>
      </c>
      <c r="D1442" s="16" t="s">
        <v>3</v>
      </c>
      <c r="E1442" s="77">
        <v>0.14000000000000001</v>
      </c>
      <c r="F1442" s="43">
        <f>F1439*E1442</f>
        <v>1.2600000000000002</v>
      </c>
      <c r="G1442" s="16"/>
      <c r="H1442" s="44">
        <f>F1442*G1442</f>
        <v>0</v>
      </c>
    </row>
    <row r="1443" spans="1:8" ht="48">
      <c r="A1443" s="8">
        <v>5</v>
      </c>
      <c r="B1443" s="46" t="s">
        <v>1129</v>
      </c>
      <c r="C1443" s="10" t="s">
        <v>1130</v>
      </c>
      <c r="D1443" s="10" t="s">
        <v>209</v>
      </c>
      <c r="E1443" s="285"/>
      <c r="F1443" s="76">
        <v>24</v>
      </c>
      <c r="G1443" s="10"/>
      <c r="H1443" s="39">
        <f>H1444+H1446+H1445</f>
        <v>0</v>
      </c>
    </row>
    <row r="1444" spans="1:8">
      <c r="A1444" s="64"/>
      <c r="B1444" s="14" t="s">
        <v>17</v>
      </c>
      <c r="C1444" s="16" t="s">
        <v>28</v>
      </c>
      <c r="D1444" s="16" t="s">
        <v>19</v>
      </c>
      <c r="E1444" s="77">
        <v>3</v>
      </c>
      <c r="F1444" s="43">
        <f>F1443*E1444</f>
        <v>72</v>
      </c>
      <c r="G1444" s="16"/>
      <c r="H1444" s="44">
        <f>G1444*F1444</f>
        <v>0</v>
      </c>
    </row>
    <row r="1445" spans="1:8">
      <c r="A1445" s="64"/>
      <c r="B1445" s="23" t="s">
        <v>1131</v>
      </c>
      <c r="C1445" s="16" t="s">
        <v>1132</v>
      </c>
      <c r="D1445" s="16" t="s">
        <v>209</v>
      </c>
      <c r="E1445" s="33">
        <v>1</v>
      </c>
      <c r="F1445" s="18">
        <f>E1445*F1443</f>
        <v>24</v>
      </c>
      <c r="G1445" s="30"/>
      <c r="H1445" s="19">
        <f>F1445*G1445</f>
        <v>0</v>
      </c>
    </row>
    <row r="1446" spans="1:8">
      <c r="A1446" s="64"/>
      <c r="B1446" s="14" t="s">
        <v>17</v>
      </c>
      <c r="C1446" s="16" t="s">
        <v>653</v>
      </c>
      <c r="D1446" s="16" t="s">
        <v>3</v>
      </c>
      <c r="E1446" s="77">
        <v>0.14000000000000001</v>
      </c>
      <c r="F1446" s="43">
        <f>F1443*E1446</f>
        <v>3.3600000000000003</v>
      </c>
      <c r="G1446" s="16"/>
      <c r="H1446" s="44">
        <f>F1446*G1446</f>
        <v>0</v>
      </c>
    </row>
    <row r="1447" spans="1:8" ht="54">
      <c r="A1447" s="62" t="s">
        <v>88</v>
      </c>
      <c r="B1447" s="9" t="s">
        <v>1133</v>
      </c>
      <c r="C1447" s="20" t="s">
        <v>1134</v>
      </c>
      <c r="D1447" s="10" t="s">
        <v>678</v>
      </c>
      <c r="E1447" s="10"/>
      <c r="F1447" s="76">
        <v>22</v>
      </c>
      <c r="G1447" s="20"/>
      <c r="H1447" s="39">
        <f>SUM(H1448:H1451)</f>
        <v>0</v>
      </c>
    </row>
    <row r="1448" spans="1:8">
      <c r="A1448" s="64"/>
      <c r="B1448" s="14" t="s">
        <v>17</v>
      </c>
      <c r="C1448" s="28" t="s">
        <v>28</v>
      </c>
      <c r="D1448" s="16" t="s">
        <v>19</v>
      </c>
      <c r="E1448" s="16">
        <v>0.97</v>
      </c>
      <c r="F1448" s="18">
        <f>F1447*E1448</f>
        <v>21.34</v>
      </c>
      <c r="G1448" s="28"/>
      <c r="H1448" s="19">
        <f>F1448*G1448</f>
        <v>0</v>
      </c>
    </row>
    <row r="1449" spans="1:8">
      <c r="A1449" s="64"/>
      <c r="B1449" s="14" t="s">
        <v>17</v>
      </c>
      <c r="C1449" s="28" t="s">
        <v>233</v>
      </c>
      <c r="D1449" s="16" t="s">
        <v>326</v>
      </c>
      <c r="E1449" s="286">
        <v>0.34899999999999998</v>
      </c>
      <c r="F1449" s="43">
        <f>F1447*E1449</f>
        <v>7.677999999999999</v>
      </c>
      <c r="G1449" s="28"/>
      <c r="H1449" s="44">
        <f>G1449*F1449</f>
        <v>0</v>
      </c>
    </row>
    <row r="1450" spans="1:8" ht="54">
      <c r="A1450" s="64"/>
      <c r="B1450" s="14" t="s">
        <v>1135</v>
      </c>
      <c r="C1450" s="28" t="s">
        <v>1136</v>
      </c>
      <c r="D1450" s="16" t="s">
        <v>756</v>
      </c>
      <c r="E1450" s="17">
        <v>1</v>
      </c>
      <c r="F1450" s="18">
        <f>E1450*F1447</f>
        <v>22</v>
      </c>
      <c r="G1450" s="29"/>
      <c r="H1450" s="19">
        <f>F1450*G1450</f>
        <v>0</v>
      </c>
    </row>
    <row r="1451" spans="1:8">
      <c r="A1451" s="64"/>
      <c r="B1451" s="14" t="s">
        <v>17</v>
      </c>
      <c r="C1451" s="28" t="s">
        <v>100</v>
      </c>
      <c r="D1451" s="16" t="s">
        <v>3</v>
      </c>
      <c r="E1451" s="17">
        <v>0.38200000000000001</v>
      </c>
      <c r="F1451" s="18">
        <f>F1447*E1451</f>
        <v>8.4039999999999999</v>
      </c>
      <c r="G1451" s="29"/>
      <c r="H1451" s="19">
        <f>F1451*G1451</f>
        <v>0</v>
      </c>
    </row>
    <row r="1452" spans="1:8" ht="48">
      <c r="A1452" s="8">
        <v>7</v>
      </c>
      <c r="B1452" s="46" t="s">
        <v>1137</v>
      </c>
      <c r="C1452" s="20" t="s">
        <v>1138</v>
      </c>
      <c r="D1452" s="153" t="s">
        <v>1139</v>
      </c>
      <c r="E1452" s="285"/>
      <c r="F1452" s="76">
        <v>1600</v>
      </c>
      <c r="G1452" s="10"/>
      <c r="H1452" s="39">
        <f>H1453+H1455+H1454</f>
        <v>0</v>
      </c>
    </row>
    <row r="1453" spans="1:8">
      <c r="A1453" s="64"/>
      <c r="B1453" s="14" t="s">
        <v>17</v>
      </c>
      <c r="C1453" s="16" t="s">
        <v>28</v>
      </c>
      <c r="D1453" s="16" t="s">
        <v>19</v>
      </c>
      <c r="E1453" s="77">
        <v>0.13</v>
      </c>
      <c r="F1453" s="43">
        <f>F1452*E1453</f>
        <v>208</v>
      </c>
      <c r="G1453" s="16"/>
      <c r="H1453" s="44">
        <f>G1453*F1453</f>
        <v>0</v>
      </c>
    </row>
    <row r="1454" spans="1:8" ht="43.5">
      <c r="A1454" s="61"/>
      <c r="B1454" s="23" t="s">
        <v>1140</v>
      </c>
      <c r="C1454" s="28" t="s">
        <v>1141</v>
      </c>
      <c r="D1454" s="28" t="s">
        <v>384</v>
      </c>
      <c r="E1454" s="135">
        <v>1.02</v>
      </c>
      <c r="F1454" s="44">
        <f>F1452*E1454</f>
        <v>1632</v>
      </c>
      <c r="G1454" s="192"/>
      <c r="H1454" s="19">
        <f>F1454*G1454</f>
        <v>0</v>
      </c>
    </row>
    <row r="1455" spans="1:8">
      <c r="A1455" s="64"/>
      <c r="B1455" s="14" t="s">
        <v>17</v>
      </c>
      <c r="C1455" s="16" t="s">
        <v>653</v>
      </c>
      <c r="D1455" s="16" t="s">
        <v>3</v>
      </c>
      <c r="E1455" s="70">
        <v>4.1000000000000003E-3</v>
      </c>
      <c r="F1455" s="43">
        <f>F1452*E1455</f>
        <v>6.5600000000000005</v>
      </c>
      <c r="G1455" s="16"/>
      <c r="H1455" s="44">
        <f>F1455*G1455</f>
        <v>0</v>
      </c>
    </row>
    <row r="1456" spans="1:8" ht="48">
      <c r="A1456" s="62" t="s">
        <v>101</v>
      </c>
      <c r="B1456" s="46" t="s">
        <v>1073</v>
      </c>
      <c r="C1456" s="10" t="s">
        <v>1142</v>
      </c>
      <c r="D1456" s="10" t="s">
        <v>45</v>
      </c>
      <c r="E1456" s="10"/>
      <c r="F1456" s="76">
        <v>400</v>
      </c>
      <c r="G1456" s="10"/>
      <c r="H1456" s="39">
        <f>SUM(H1457:H1459)</f>
        <v>0</v>
      </c>
    </row>
    <row r="1457" spans="1:8">
      <c r="A1457" s="64"/>
      <c r="B1457" s="14" t="s">
        <v>17</v>
      </c>
      <c r="C1457" s="16" t="s">
        <v>28</v>
      </c>
      <c r="D1457" s="16" t="s">
        <v>19</v>
      </c>
      <c r="E1457" s="16">
        <v>0.13900000000000001</v>
      </c>
      <c r="F1457" s="43">
        <f>F1456*E1457</f>
        <v>55.600000000000009</v>
      </c>
      <c r="G1457" s="16"/>
      <c r="H1457" s="44">
        <f>G1457*F1457</f>
        <v>0</v>
      </c>
    </row>
    <row r="1458" spans="1:8" ht="28.5">
      <c r="A1458" s="64"/>
      <c r="B1458" s="23" t="s">
        <v>1143</v>
      </c>
      <c r="C1458" s="28" t="s">
        <v>1144</v>
      </c>
      <c r="D1458" s="28" t="s">
        <v>45</v>
      </c>
      <c r="E1458" s="29">
        <v>1.02</v>
      </c>
      <c r="F1458" s="178">
        <f>E1458*F1456</f>
        <v>408</v>
      </c>
      <c r="G1458" s="29"/>
      <c r="H1458" s="19">
        <f>F1458*G1458</f>
        <v>0</v>
      </c>
    </row>
    <row r="1459" spans="1:8">
      <c r="A1459" s="64"/>
      <c r="B1459" s="14" t="s">
        <v>17</v>
      </c>
      <c r="C1459" s="16" t="s">
        <v>100</v>
      </c>
      <c r="D1459" s="16" t="s">
        <v>3</v>
      </c>
      <c r="E1459" s="70">
        <v>9.7000000000000003E-3</v>
      </c>
      <c r="F1459" s="43">
        <f>F1456*E1459</f>
        <v>3.88</v>
      </c>
      <c r="G1459" s="28"/>
      <c r="H1459" s="43">
        <f>F1459*G1459</f>
        <v>0</v>
      </c>
    </row>
    <row r="1460" spans="1:8">
      <c r="A1460" s="8">
        <v>9</v>
      </c>
      <c r="B1460" s="46" t="s">
        <v>52</v>
      </c>
      <c r="C1460" s="10" t="s">
        <v>1145</v>
      </c>
      <c r="D1460" s="11" t="s">
        <v>209</v>
      </c>
      <c r="E1460" s="11"/>
      <c r="F1460" s="57">
        <v>9</v>
      </c>
      <c r="G1460" s="11"/>
      <c r="H1460" s="13">
        <f>H1461+H1462</f>
        <v>0</v>
      </c>
    </row>
    <row r="1461" spans="1:8">
      <c r="A1461" s="64"/>
      <c r="B1461" s="14" t="s">
        <v>52</v>
      </c>
      <c r="C1461" s="16" t="s">
        <v>28</v>
      </c>
      <c r="D1461" s="16" t="s">
        <v>209</v>
      </c>
      <c r="E1461" s="16">
        <v>1</v>
      </c>
      <c r="F1461" s="43">
        <f>E1461*F1460</f>
        <v>9</v>
      </c>
      <c r="G1461" s="16"/>
      <c r="H1461" s="44">
        <f>G1461*F1461</f>
        <v>0</v>
      </c>
    </row>
    <row r="1462" spans="1:8">
      <c r="A1462" s="64"/>
      <c r="B1462" s="14" t="s">
        <v>1146</v>
      </c>
      <c r="C1462" s="16" t="s">
        <v>467</v>
      </c>
      <c r="D1462" s="16" t="s">
        <v>209</v>
      </c>
      <c r="E1462" s="83">
        <v>1</v>
      </c>
      <c r="F1462" s="83">
        <f>F1460*E1462</f>
        <v>9</v>
      </c>
      <c r="G1462" s="16"/>
      <c r="H1462" s="44">
        <f>G1462*F1462</f>
        <v>0</v>
      </c>
    </row>
    <row r="1463" spans="1:8">
      <c r="A1463" s="61"/>
      <c r="B1463" s="14"/>
      <c r="C1463" s="10" t="s">
        <v>1147</v>
      </c>
      <c r="D1463" s="10" t="s">
        <v>3</v>
      </c>
      <c r="E1463" s="16"/>
      <c r="F1463" s="43"/>
      <c r="G1463" s="16"/>
      <c r="H1463" s="69">
        <f>H1426+H1434+H1439+H1443+H1447+H1452+H1456+H1460+H1430</f>
        <v>0</v>
      </c>
    </row>
    <row r="1464" spans="1:8">
      <c r="A1464" s="61"/>
      <c r="B1464" s="14"/>
      <c r="C1464" s="16" t="s">
        <v>794</v>
      </c>
      <c r="D1464" s="16" t="s">
        <v>3</v>
      </c>
      <c r="E1464" s="16"/>
      <c r="F1464" s="43"/>
      <c r="G1464" s="16"/>
      <c r="H1464" s="19">
        <f>H1457+H1453+H1448+H1444+H1440+H1435+H1427+H1461+H1431</f>
        <v>0</v>
      </c>
    </row>
    <row r="1465" spans="1:8" ht="27">
      <c r="A1465" s="61"/>
      <c r="B1465" s="14"/>
      <c r="C1465" s="16" t="s">
        <v>1148</v>
      </c>
      <c r="D1465" s="16" t="s">
        <v>3</v>
      </c>
      <c r="E1465" s="16"/>
      <c r="F1465" s="224">
        <v>0.65</v>
      </c>
      <c r="G1465" s="16"/>
      <c r="H1465" s="44">
        <f>H1464*F1465</f>
        <v>0</v>
      </c>
    </row>
    <row r="1466" spans="1:8">
      <c r="A1466" s="68"/>
      <c r="B1466" s="46"/>
      <c r="C1466" s="10" t="s">
        <v>1110</v>
      </c>
      <c r="D1466" s="10" t="s">
        <v>3</v>
      </c>
      <c r="E1466" s="10"/>
      <c r="F1466" s="10"/>
      <c r="G1466" s="10"/>
      <c r="H1466" s="76">
        <f>H1465+H1463</f>
        <v>0</v>
      </c>
    </row>
    <row r="1467" spans="1:8">
      <c r="A1467" s="61"/>
      <c r="B1467" s="14"/>
      <c r="C1467" s="16" t="s">
        <v>797</v>
      </c>
      <c r="D1467" s="16" t="s">
        <v>3</v>
      </c>
      <c r="E1467" s="16"/>
      <c r="F1467" s="224">
        <v>0.08</v>
      </c>
      <c r="G1467" s="16"/>
      <c r="H1467" s="43">
        <f>H1466*F1467</f>
        <v>0</v>
      </c>
    </row>
    <row r="1468" spans="1:8" ht="27">
      <c r="A1468" s="61"/>
      <c r="B1468" s="14"/>
      <c r="C1468" s="10" t="s">
        <v>1149</v>
      </c>
      <c r="D1468" s="10" t="s">
        <v>3</v>
      </c>
      <c r="E1468" s="16"/>
      <c r="F1468" s="475"/>
      <c r="G1468" s="474"/>
      <c r="H1468" s="463">
        <f>SUM(H1466:H1467)</f>
        <v>0</v>
      </c>
    </row>
    <row r="1471" spans="1:8">
      <c r="A1471" s="487" t="s">
        <v>1150</v>
      </c>
      <c r="B1471" s="487"/>
      <c r="C1471" s="487"/>
      <c r="D1471" s="487"/>
      <c r="E1471" s="487"/>
      <c r="F1471" s="487"/>
      <c r="G1471" s="487"/>
      <c r="H1471" s="487"/>
    </row>
    <row r="1472" spans="1:8" ht="25.5" customHeight="1">
      <c r="A1472" s="488" t="s">
        <v>1151</v>
      </c>
      <c r="B1472" s="488"/>
      <c r="C1472" s="488"/>
      <c r="D1472" s="488"/>
      <c r="E1472" s="488"/>
      <c r="F1472" s="488"/>
      <c r="G1472" s="488"/>
      <c r="H1472" s="488"/>
    </row>
    <row r="1473" spans="1:8" ht="29.25" customHeight="1">
      <c r="A1473" s="506" t="s">
        <v>5</v>
      </c>
      <c r="B1473" s="507" t="s">
        <v>6</v>
      </c>
      <c r="C1473" s="494" t="s">
        <v>7</v>
      </c>
      <c r="D1473" s="495" t="s">
        <v>8</v>
      </c>
      <c r="E1473" s="496" t="s">
        <v>9</v>
      </c>
      <c r="F1473" s="496"/>
      <c r="G1473" s="496" t="s">
        <v>10</v>
      </c>
      <c r="H1473" s="496"/>
    </row>
    <row r="1474" spans="1:8" ht="66.75" customHeight="1">
      <c r="A1474" s="506"/>
      <c r="B1474" s="507"/>
      <c r="C1474" s="494"/>
      <c r="D1474" s="495"/>
      <c r="E1474" s="226" t="s">
        <v>11</v>
      </c>
      <c r="F1474" s="226" t="s">
        <v>12</v>
      </c>
      <c r="G1474" s="226" t="s">
        <v>11</v>
      </c>
      <c r="H1474" s="281" t="s">
        <v>12</v>
      </c>
    </row>
    <row r="1475" spans="1:8">
      <c r="A1475" s="230" t="s">
        <v>13</v>
      </c>
      <c r="B1475" s="46">
        <v>2</v>
      </c>
      <c r="C1475" s="232">
        <v>3</v>
      </c>
      <c r="D1475" s="232">
        <v>4</v>
      </c>
      <c r="E1475" s="232">
        <v>5</v>
      </c>
      <c r="F1475" s="232">
        <v>6</v>
      </c>
      <c r="G1475" s="232">
        <v>7</v>
      </c>
      <c r="H1475" s="8">
        <v>8</v>
      </c>
    </row>
    <row r="1476" spans="1:8" ht="48">
      <c r="A1476" s="287">
        <v>1</v>
      </c>
      <c r="B1476" s="46" t="s">
        <v>1152</v>
      </c>
      <c r="C1476" s="232" t="s">
        <v>1153</v>
      </c>
      <c r="D1476" s="287" t="s">
        <v>1154</v>
      </c>
      <c r="E1476" s="287"/>
      <c r="F1476" s="288">
        <v>26</v>
      </c>
      <c r="G1476" s="287"/>
      <c r="H1476" s="13">
        <f>H1477+H1478+H1479</f>
        <v>0</v>
      </c>
    </row>
    <row r="1477" spans="1:8">
      <c r="A1477" s="287"/>
      <c r="B1477" s="14" t="s">
        <v>17</v>
      </c>
      <c r="C1477" s="16" t="s">
        <v>28</v>
      </c>
      <c r="D1477" s="16" t="s">
        <v>19</v>
      </c>
      <c r="E1477" s="77">
        <v>0.253</v>
      </c>
      <c r="F1477" s="43">
        <f>F1476*E1477</f>
        <v>6.5780000000000003</v>
      </c>
      <c r="G1477" s="16"/>
      <c r="H1477" s="44">
        <f>G1477*F1477</f>
        <v>0</v>
      </c>
    </row>
    <row r="1478" spans="1:8">
      <c r="A1478" s="26"/>
      <c r="B1478" s="23" t="s">
        <v>1155</v>
      </c>
      <c r="C1478" s="28" t="s">
        <v>1156</v>
      </c>
      <c r="D1478" s="28" t="s">
        <v>209</v>
      </c>
      <c r="E1478" s="135">
        <v>1</v>
      </c>
      <c r="F1478" s="44">
        <f>E1478*F1476</f>
        <v>26</v>
      </c>
      <c r="G1478" s="28"/>
      <c r="H1478" s="44">
        <f>G1478*F1478</f>
        <v>0</v>
      </c>
    </row>
    <row r="1479" spans="1:8">
      <c r="A1479" s="289"/>
      <c r="B1479" s="163" t="s">
        <v>17</v>
      </c>
      <c r="C1479" s="290" t="s">
        <v>653</v>
      </c>
      <c r="D1479" s="290" t="s">
        <v>209</v>
      </c>
      <c r="E1479" s="291">
        <v>8.2799999999999999E-2</v>
      </c>
      <c r="F1479" s="169">
        <f>E1479*F1476</f>
        <v>2.1528</v>
      </c>
      <c r="G1479" s="290"/>
      <c r="H1479" s="292">
        <f>G1479*F1479</f>
        <v>0</v>
      </c>
    </row>
    <row r="1480" spans="1:8">
      <c r="A1480" s="8">
        <v>2</v>
      </c>
      <c r="B1480" s="46" t="s">
        <v>52</v>
      </c>
      <c r="C1480" s="10" t="s">
        <v>1157</v>
      </c>
      <c r="D1480" s="11" t="s">
        <v>209</v>
      </c>
      <c r="E1480" s="11"/>
      <c r="F1480" s="57">
        <v>1</v>
      </c>
      <c r="G1480" s="11"/>
      <c r="H1480" s="13">
        <f>H1481+H1482</f>
        <v>0</v>
      </c>
    </row>
    <row r="1481" spans="1:8">
      <c r="A1481" s="64"/>
      <c r="B1481" s="14" t="s">
        <v>52</v>
      </c>
      <c r="C1481" s="16" t="s">
        <v>28</v>
      </c>
      <c r="D1481" s="16" t="s">
        <v>209</v>
      </c>
      <c r="E1481" s="16">
        <v>1</v>
      </c>
      <c r="F1481" s="43">
        <f>E1481*F1480</f>
        <v>1</v>
      </c>
      <c r="G1481" s="16"/>
      <c r="H1481" s="44">
        <f>G1481*F1481</f>
        <v>0</v>
      </c>
    </row>
    <row r="1482" spans="1:8">
      <c r="A1482" s="64"/>
      <c r="B1482" s="15" t="s">
        <v>52</v>
      </c>
      <c r="C1482" s="28" t="s">
        <v>467</v>
      </c>
      <c r="D1482" s="28" t="s">
        <v>209</v>
      </c>
      <c r="E1482" s="238">
        <v>1</v>
      </c>
      <c r="F1482" s="44">
        <f>F1480*E1482</f>
        <v>1</v>
      </c>
      <c r="G1482" s="28"/>
      <c r="H1482" s="44">
        <f>G1482*F1482</f>
        <v>0</v>
      </c>
    </row>
    <row r="1483" spans="1:8" ht="27">
      <c r="A1483" s="8">
        <v>3</v>
      </c>
      <c r="B1483" s="46" t="s">
        <v>52</v>
      </c>
      <c r="C1483" s="10" t="s">
        <v>1158</v>
      </c>
      <c r="D1483" s="11" t="s">
        <v>209</v>
      </c>
      <c r="E1483" s="11"/>
      <c r="F1483" s="57">
        <v>1</v>
      </c>
      <c r="G1483" s="11"/>
      <c r="H1483" s="13">
        <f>H1484+H1485</f>
        <v>0</v>
      </c>
    </row>
    <row r="1484" spans="1:8">
      <c r="A1484" s="64"/>
      <c r="B1484" s="14" t="s">
        <v>52</v>
      </c>
      <c r="C1484" s="16" t="s">
        <v>28</v>
      </c>
      <c r="D1484" s="16" t="s">
        <v>209</v>
      </c>
      <c r="E1484" s="16">
        <v>1</v>
      </c>
      <c r="F1484" s="43">
        <f>E1484*F1483</f>
        <v>1</v>
      </c>
      <c r="G1484" s="28"/>
      <c r="H1484" s="44">
        <f>G1484*F1484</f>
        <v>0</v>
      </c>
    </row>
    <row r="1485" spans="1:8">
      <c r="A1485" s="64"/>
      <c r="B1485" s="15" t="s">
        <v>52</v>
      </c>
      <c r="C1485" s="16" t="s">
        <v>467</v>
      </c>
      <c r="D1485" s="16" t="s">
        <v>209</v>
      </c>
      <c r="E1485" s="83">
        <v>1</v>
      </c>
      <c r="F1485" s="43">
        <f>F1483*E1485</f>
        <v>1</v>
      </c>
      <c r="G1485" s="28"/>
      <c r="H1485" s="44">
        <f>G1485*F1485</f>
        <v>0</v>
      </c>
    </row>
    <row r="1486" spans="1:8" ht="27">
      <c r="A1486" s="8">
        <v>4</v>
      </c>
      <c r="B1486" s="46" t="s">
        <v>52</v>
      </c>
      <c r="C1486" s="10" t="s">
        <v>1159</v>
      </c>
      <c r="D1486" s="11" t="s">
        <v>209</v>
      </c>
      <c r="E1486" s="11"/>
      <c r="F1486" s="57">
        <v>1</v>
      </c>
      <c r="G1486" s="11"/>
      <c r="H1486" s="13">
        <f>H1487+H1488</f>
        <v>0</v>
      </c>
    </row>
    <row r="1487" spans="1:8">
      <c r="A1487" s="64"/>
      <c r="B1487" s="14" t="s">
        <v>52</v>
      </c>
      <c r="C1487" s="16" t="s">
        <v>28</v>
      </c>
      <c r="D1487" s="16" t="s">
        <v>209</v>
      </c>
      <c r="E1487" s="16">
        <v>1</v>
      </c>
      <c r="F1487" s="43">
        <f>E1487*F1486</f>
        <v>1</v>
      </c>
      <c r="G1487" s="28"/>
      <c r="H1487" s="44">
        <f>G1487*F1487</f>
        <v>0</v>
      </c>
    </row>
    <row r="1488" spans="1:8">
      <c r="A1488" s="64"/>
      <c r="B1488" s="15" t="s">
        <v>52</v>
      </c>
      <c r="C1488" s="16" t="s">
        <v>467</v>
      </c>
      <c r="D1488" s="16" t="s">
        <v>209</v>
      </c>
      <c r="E1488" s="83">
        <v>1</v>
      </c>
      <c r="F1488" s="43">
        <f>F1486*E1488</f>
        <v>1</v>
      </c>
      <c r="G1488" s="28"/>
      <c r="H1488" s="44">
        <f>G1488*F1488</f>
        <v>0</v>
      </c>
    </row>
    <row r="1489" spans="1:8" ht="72">
      <c r="A1489" s="62" t="s">
        <v>82</v>
      </c>
      <c r="B1489" s="9" t="s">
        <v>1160</v>
      </c>
      <c r="C1489" s="10" t="s">
        <v>1161</v>
      </c>
      <c r="D1489" s="10" t="s">
        <v>678</v>
      </c>
      <c r="E1489" s="10"/>
      <c r="F1489" s="76">
        <v>15</v>
      </c>
      <c r="G1489" s="10"/>
      <c r="H1489" s="39">
        <f>SUM(H1490:H1493)</f>
        <v>0</v>
      </c>
    </row>
    <row r="1490" spans="1:8">
      <c r="A1490" s="64"/>
      <c r="B1490" s="14" t="s">
        <v>17</v>
      </c>
      <c r="C1490" s="16" t="s">
        <v>28</v>
      </c>
      <c r="D1490" s="16" t="s">
        <v>19</v>
      </c>
      <c r="E1490" s="16">
        <v>19</v>
      </c>
      <c r="F1490" s="18">
        <f>F1489*E1490</f>
        <v>285</v>
      </c>
      <c r="G1490" s="16"/>
      <c r="H1490" s="19">
        <f>F1490*G1490</f>
        <v>0</v>
      </c>
    </row>
    <row r="1491" spans="1:8">
      <c r="A1491" s="64"/>
      <c r="B1491" s="64" t="s">
        <v>17</v>
      </c>
      <c r="C1491" s="16" t="s">
        <v>20</v>
      </c>
      <c r="D1491" s="16" t="s">
        <v>3</v>
      </c>
      <c r="E1491" s="70">
        <v>0.16</v>
      </c>
      <c r="F1491" s="18">
        <f>E1491*F1489</f>
        <v>2.4</v>
      </c>
      <c r="G1491" s="16"/>
      <c r="H1491" s="19">
        <f>F1491*G1491</f>
        <v>0</v>
      </c>
    </row>
    <row r="1492" spans="1:8">
      <c r="A1492" s="64"/>
      <c r="B1492" s="22" t="s">
        <v>1162</v>
      </c>
      <c r="C1492" s="16" t="s">
        <v>1163</v>
      </c>
      <c r="D1492" s="16" t="s">
        <v>756</v>
      </c>
      <c r="E1492" s="17">
        <v>1</v>
      </c>
      <c r="F1492" s="18">
        <f>E1492*F1489</f>
        <v>15</v>
      </c>
      <c r="G1492" s="29"/>
      <c r="H1492" s="18">
        <f>F1492*G1492</f>
        <v>0</v>
      </c>
    </row>
    <row r="1493" spans="1:8">
      <c r="A1493" s="64"/>
      <c r="B1493" s="14" t="s">
        <v>17</v>
      </c>
      <c r="C1493" s="16" t="s">
        <v>100</v>
      </c>
      <c r="D1493" s="16" t="s">
        <v>3</v>
      </c>
      <c r="E1493" s="17">
        <v>2.64</v>
      </c>
      <c r="F1493" s="18">
        <f>F1489*E1493</f>
        <v>39.6</v>
      </c>
      <c r="G1493" s="17"/>
      <c r="H1493" s="18">
        <f>F1493*G1493</f>
        <v>0</v>
      </c>
    </row>
    <row r="1494" spans="1:8" ht="48">
      <c r="A1494" s="62" t="s">
        <v>88</v>
      </c>
      <c r="B1494" s="46" t="s">
        <v>1164</v>
      </c>
      <c r="C1494" s="10" t="s">
        <v>1165</v>
      </c>
      <c r="D1494" s="10" t="s">
        <v>678</v>
      </c>
      <c r="E1494" s="10"/>
      <c r="F1494" s="76">
        <v>16</v>
      </c>
      <c r="G1494" s="10"/>
      <c r="H1494" s="39">
        <f>SUM(H1495:H1498)</f>
        <v>0</v>
      </c>
    </row>
    <row r="1495" spans="1:8">
      <c r="A1495" s="64"/>
      <c r="B1495" s="14" t="s">
        <v>17</v>
      </c>
      <c r="C1495" s="16" t="s">
        <v>28</v>
      </c>
      <c r="D1495" s="16" t="s">
        <v>19</v>
      </c>
      <c r="E1495" s="16">
        <v>19</v>
      </c>
      <c r="F1495" s="18">
        <f>F1494*E1495</f>
        <v>304</v>
      </c>
      <c r="G1495" s="16"/>
      <c r="H1495" s="19">
        <f>F1495*G1495</f>
        <v>0</v>
      </c>
    </row>
    <row r="1496" spans="1:8">
      <c r="A1496" s="64"/>
      <c r="B1496" s="64" t="s">
        <v>17</v>
      </c>
      <c r="C1496" s="16" t="s">
        <v>20</v>
      </c>
      <c r="D1496" s="16" t="s">
        <v>3</v>
      </c>
      <c r="E1496" s="70">
        <v>0.16</v>
      </c>
      <c r="F1496" s="18">
        <f>E1496*F1494</f>
        <v>2.56</v>
      </c>
      <c r="G1496" s="16"/>
      <c r="H1496" s="19">
        <f>F1496*G1496</f>
        <v>0</v>
      </c>
    </row>
    <row r="1497" spans="1:8">
      <c r="A1497" s="64"/>
      <c r="B1497" s="22" t="s">
        <v>1166</v>
      </c>
      <c r="C1497" s="16" t="s">
        <v>1167</v>
      </c>
      <c r="D1497" s="16" t="s">
        <v>756</v>
      </c>
      <c r="E1497" s="17">
        <v>1</v>
      </c>
      <c r="F1497" s="18">
        <f>E1497*F1494</f>
        <v>16</v>
      </c>
      <c r="G1497" s="29"/>
      <c r="H1497" s="18">
        <f>F1497*G1497</f>
        <v>0</v>
      </c>
    </row>
    <row r="1498" spans="1:8">
      <c r="A1498" s="64"/>
      <c r="B1498" s="14" t="s">
        <v>17</v>
      </c>
      <c r="C1498" s="16" t="s">
        <v>100</v>
      </c>
      <c r="D1498" s="16" t="s">
        <v>3</v>
      </c>
      <c r="E1498" s="17">
        <v>0.52400000000000002</v>
      </c>
      <c r="F1498" s="18">
        <f>F1494*E1498</f>
        <v>8.3840000000000003</v>
      </c>
      <c r="G1498" s="17"/>
      <c r="H1498" s="18">
        <f>F1498*G1498</f>
        <v>0</v>
      </c>
    </row>
    <row r="1499" spans="1:8" ht="48">
      <c r="A1499" s="8">
        <v>7</v>
      </c>
      <c r="B1499" s="9" t="s">
        <v>1168</v>
      </c>
      <c r="C1499" s="10" t="s">
        <v>1169</v>
      </c>
      <c r="D1499" s="11" t="s">
        <v>209</v>
      </c>
      <c r="E1499" s="11"/>
      <c r="F1499" s="57">
        <v>3</v>
      </c>
      <c r="G1499" s="11"/>
      <c r="H1499" s="13">
        <f>H1500+H1501+H1502</f>
        <v>0</v>
      </c>
    </row>
    <row r="1500" spans="1:8">
      <c r="A1500" s="64"/>
      <c r="B1500" s="233" t="s">
        <v>17</v>
      </c>
      <c r="C1500" s="16" t="s">
        <v>28</v>
      </c>
      <c r="D1500" s="16" t="s">
        <v>209</v>
      </c>
      <c r="E1500" s="43">
        <v>9</v>
      </c>
      <c r="F1500" s="43">
        <f>E1500*F1499</f>
        <v>27</v>
      </c>
      <c r="G1500" s="43"/>
      <c r="H1500" s="44">
        <f>G1500*F1500</f>
        <v>0</v>
      </c>
    </row>
    <row r="1501" spans="1:8">
      <c r="A1501" s="64"/>
      <c r="B1501" s="293" t="s">
        <v>1170</v>
      </c>
      <c r="C1501" s="16" t="s">
        <v>1171</v>
      </c>
      <c r="D1501" s="16" t="s">
        <v>209</v>
      </c>
      <c r="E1501" s="43">
        <v>1</v>
      </c>
      <c r="F1501" s="43">
        <f>E1501*F1499</f>
        <v>3</v>
      </c>
      <c r="G1501" s="43"/>
      <c r="H1501" s="44">
        <f>F1501*G1501</f>
        <v>0</v>
      </c>
    </row>
    <row r="1502" spans="1:8">
      <c r="A1502" s="64"/>
      <c r="B1502" s="233" t="s">
        <v>17</v>
      </c>
      <c r="C1502" s="16" t="s">
        <v>100</v>
      </c>
      <c r="D1502" s="16" t="s">
        <v>209</v>
      </c>
      <c r="E1502" s="43">
        <v>0.73</v>
      </c>
      <c r="F1502" s="43">
        <f>F1499*E1502</f>
        <v>2.19</v>
      </c>
      <c r="G1502" s="43"/>
      <c r="H1502" s="44">
        <f>G1502*F1502</f>
        <v>0</v>
      </c>
    </row>
    <row r="1503" spans="1:8" ht="27">
      <c r="A1503" s="8">
        <v>8</v>
      </c>
      <c r="B1503" s="46" t="s">
        <v>52</v>
      </c>
      <c r="C1503" s="10" t="s">
        <v>1172</v>
      </c>
      <c r="D1503" s="11" t="s">
        <v>209</v>
      </c>
      <c r="E1503" s="11"/>
      <c r="F1503" s="57">
        <v>1</v>
      </c>
      <c r="G1503" s="11"/>
      <c r="H1503" s="13">
        <f>H1504+H1505</f>
        <v>0</v>
      </c>
    </row>
    <row r="1504" spans="1:8">
      <c r="A1504" s="64"/>
      <c r="B1504" s="14" t="s">
        <v>52</v>
      </c>
      <c r="C1504" s="16" t="s">
        <v>28</v>
      </c>
      <c r="D1504" s="16" t="s">
        <v>209</v>
      </c>
      <c r="E1504" s="16">
        <v>1</v>
      </c>
      <c r="F1504" s="43">
        <f>E1504*F1503</f>
        <v>1</v>
      </c>
      <c r="G1504" s="16"/>
      <c r="H1504" s="44">
        <f>G1504*F1504</f>
        <v>0</v>
      </c>
    </row>
    <row r="1505" spans="1:8">
      <c r="A1505" s="64"/>
      <c r="B1505" s="14" t="s">
        <v>52</v>
      </c>
      <c r="C1505" s="16" t="s">
        <v>467</v>
      </c>
      <c r="D1505" s="16" t="s">
        <v>209</v>
      </c>
      <c r="E1505" s="83">
        <v>1</v>
      </c>
      <c r="F1505" s="43">
        <f>F1503*E1505</f>
        <v>1</v>
      </c>
      <c r="G1505" s="16"/>
      <c r="H1505" s="44">
        <f>G1505*F1505</f>
        <v>0</v>
      </c>
    </row>
    <row r="1506" spans="1:8" ht="27">
      <c r="A1506" s="8">
        <v>9</v>
      </c>
      <c r="B1506" s="46" t="s">
        <v>52</v>
      </c>
      <c r="C1506" s="10" t="s">
        <v>1173</v>
      </c>
      <c r="D1506" s="11" t="s">
        <v>209</v>
      </c>
      <c r="E1506" s="11"/>
      <c r="F1506" s="57">
        <v>1</v>
      </c>
      <c r="G1506" s="11"/>
      <c r="H1506" s="13">
        <f>H1507+H1508</f>
        <v>0</v>
      </c>
    </row>
    <row r="1507" spans="1:8">
      <c r="A1507" s="64"/>
      <c r="B1507" s="14" t="s">
        <v>52</v>
      </c>
      <c r="C1507" s="16" t="s">
        <v>28</v>
      </c>
      <c r="D1507" s="16" t="s">
        <v>209</v>
      </c>
      <c r="E1507" s="16">
        <v>1</v>
      </c>
      <c r="F1507" s="43">
        <f>E1507*F1506</f>
        <v>1</v>
      </c>
      <c r="G1507" s="16"/>
      <c r="H1507" s="44">
        <f>G1507*F1507</f>
        <v>0</v>
      </c>
    </row>
    <row r="1508" spans="1:8">
      <c r="A1508" s="64"/>
      <c r="B1508" s="14" t="s">
        <v>52</v>
      </c>
      <c r="C1508" s="16" t="s">
        <v>467</v>
      </c>
      <c r="D1508" s="16" t="s">
        <v>209</v>
      </c>
      <c r="E1508" s="83">
        <v>1</v>
      </c>
      <c r="F1508" s="43">
        <f>F1506*E1508</f>
        <v>1</v>
      </c>
      <c r="G1508" s="16"/>
      <c r="H1508" s="44">
        <f>G1508*F1508</f>
        <v>0</v>
      </c>
    </row>
    <row r="1509" spans="1:8" ht="48">
      <c r="A1509" s="62" t="s">
        <v>124</v>
      </c>
      <c r="B1509" s="9" t="s">
        <v>1174</v>
      </c>
      <c r="C1509" s="20" t="s">
        <v>1175</v>
      </c>
      <c r="D1509" s="10" t="s">
        <v>45</v>
      </c>
      <c r="E1509" s="10"/>
      <c r="F1509" s="60">
        <v>40</v>
      </c>
      <c r="G1509" s="20"/>
      <c r="H1509" s="39">
        <f>SUM(H1510:H1515)</f>
        <v>0</v>
      </c>
    </row>
    <row r="1510" spans="1:8">
      <c r="A1510" s="64"/>
      <c r="B1510" s="64" t="s">
        <v>17</v>
      </c>
      <c r="C1510" s="28" t="s">
        <v>28</v>
      </c>
      <c r="D1510" s="16" t="s">
        <v>19</v>
      </c>
      <c r="E1510" s="70">
        <v>0.32900000000000001</v>
      </c>
      <c r="F1510" s="18">
        <f>F1509*E1510</f>
        <v>13.16</v>
      </c>
      <c r="G1510" s="28"/>
      <c r="H1510" s="19">
        <f t="shared" ref="H1510:H1515" si="44">F1510*G1510</f>
        <v>0</v>
      </c>
    </row>
    <row r="1511" spans="1:8">
      <c r="A1511" s="64"/>
      <c r="B1511" s="14" t="s">
        <v>17</v>
      </c>
      <c r="C1511" s="28" t="s">
        <v>233</v>
      </c>
      <c r="D1511" s="16" t="s">
        <v>326</v>
      </c>
      <c r="E1511" s="286">
        <v>1.0999999999999999E-2</v>
      </c>
      <c r="F1511" s="43">
        <f>F1509*E1511</f>
        <v>0.43999999999999995</v>
      </c>
      <c r="G1511" s="28"/>
      <c r="H1511" s="44">
        <f>G1511*F1511</f>
        <v>0</v>
      </c>
    </row>
    <row r="1512" spans="1:8" ht="27">
      <c r="A1512" s="64"/>
      <c r="B1512" s="61" t="s">
        <v>1063</v>
      </c>
      <c r="C1512" s="28" t="s">
        <v>1064</v>
      </c>
      <c r="D1512" s="28" t="s">
        <v>45</v>
      </c>
      <c r="E1512" s="44">
        <v>1.01</v>
      </c>
      <c r="F1512" s="19">
        <f>F1509*E1512</f>
        <v>40.4</v>
      </c>
      <c r="G1512" s="29"/>
      <c r="H1512" s="19">
        <f t="shared" si="44"/>
        <v>0</v>
      </c>
    </row>
    <row r="1513" spans="1:8" ht="27">
      <c r="A1513" s="64"/>
      <c r="B1513" s="61" t="s">
        <v>1065</v>
      </c>
      <c r="C1513" s="28" t="s">
        <v>1066</v>
      </c>
      <c r="D1513" s="28" t="s">
        <v>209</v>
      </c>
      <c r="E1513" s="44" t="s">
        <v>1104</v>
      </c>
      <c r="F1513" s="19">
        <v>40</v>
      </c>
      <c r="G1513" s="29"/>
      <c r="H1513" s="19">
        <f t="shared" si="44"/>
        <v>0</v>
      </c>
    </row>
    <row r="1514" spans="1:8">
      <c r="A1514" s="64"/>
      <c r="B1514" s="61" t="s">
        <v>1067</v>
      </c>
      <c r="C1514" s="28" t="s">
        <v>1068</v>
      </c>
      <c r="D1514" s="28" t="s">
        <v>209</v>
      </c>
      <c r="E1514" s="44" t="s">
        <v>1104</v>
      </c>
      <c r="F1514" s="19">
        <v>80</v>
      </c>
      <c r="G1514" s="29"/>
      <c r="H1514" s="19">
        <f t="shared" si="44"/>
        <v>0</v>
      </c>
    </row>
    <row r="1515" spans="1:8">
      <c r="A1515" s="64"/>
      <c r="B1515" s="17" t="s">
        <v>17</v>
      </c>
      <c r="C1515" s="28" t="s">
        <v>100</v>
      </c>
      <c r="D1515" s="16" t="s">
        <v>3</v>
      </c>
      <c r="E1515" s="134">
        <v>0.38879999999999998</v>
      </c>
      <c r="F1515" s="18">
        <f>F1509*E1515</f>
        <v>15.552</v>
      </c>
      <c r="G1515" s="29"/>
      <c r="H1515" s="19">
        <f t="shared" si="44"/>
        <v>0</v>
      </c>
    </row>
    <row r="1516" spans="1:8" ht="48">
      <c r="A1516" s="287">
        <v>11</v>
      </c>
      <c r="B1516" s="46" t="s">
        <v>1137</v>
      </c>
      <c r="C1516" s="232" t="s">
        <v>1176</v>
      </c>
      <c r="D1516" s="10" t="s">
        <v>358</v>
      </c>
      <c r="E1516" s="287"/>
      <c r="F1516" s="288">
        <v>1600</v>
      </c>
      <c r="G1516" s="287"/>
      <c r="H1516" s="13">
        <f>H1517+H1518+H1519</f>
        <v>0</v>
      </c>
    </row>
    <row r="1517" spans="1:8">
      <c r="A1517" s="287"/>
      <c r="B1517" s="14" t="s">
        <v>17</v>
      </c>
      <c r="C1517" s="16" t="s">
        <v>28</v>
      </c>
      <c r="D1517" s="16">
        <v>0.13</v>
      </c>
      <c r="E1517" s="77">
        <v>0.15</v>
      </c>
      <c r="F1517" s="43">
        <f>F1516*E1517</f>
        <v>240</v>
      </c>
      <c r="G1517" s="16"/>
      <c r="H1517" s="44">
        <f>G1517*F1517</f>
        <v>0</v>
      </c>
    </row>
    <row r="1518" spans="1:8">
      <c r="A1518" s="294"/>
      <c r="B1518" s="23" t="s">
        <v>1177</v>
      </c>
      <c r="C1518" s="295" t="s">
        <v>1178</v>
      </c>
      <c r="D1518" s="16" t="s">
        <v>384</v>
      </c>
      <c r="E1518" s="77">
        <v>1</v>
      </c>
      <c r="F1518" s="43">
        <f>E1518*F1516</f>
        <v>1600</v>
      </c>
      <c r="G1518" s="192"/>
      <c r="H1518" s="18">
        <f>F1518*G1518</f>
        <v>0</v>
      </c>
    </row>
    <row r="1519" spans="1:8">
      <c r="A1519" s="294"/>
      <c r="B1519" s="14" t="s">
        <v>17</v>
      </c>
      <c r="C1519" s="16" t="s">
        <v>653</v>
      </c>
      <c r="D1519" s="16" t="s">
        <v>3</v>
      </c>
      <c r="E1519" s="70">
        <v>4.1000000000000003E-3</v>
      </c>
      <c r="F1519" s="43">
        <f>F1516*E1519</f>
        <v>6.5600000000000005</v>
      </c>
      <c r="G1519" s="16"/>
      <c r="H1519" s="43">
        <f>F1519*G1519</f>
        <v>0</v>
      </c>
    </row>
    <row r="1520" spans="1:8">
      <c r="A1520" s="83"/>
      <c r="B1520" s="14"/>
      <c r="C1520" s="10" t="s">
        <v>1179</v>
      </c>
      <c r="D1520" s="10" t="s">
        <v>3</v>
      </c>
      <c r="E1520" s="16"/>
      <c r="F1520" s="43"/>
      <c r="G1520" s="16"/>
      <c r="H1520" s="21">
        <f>H1476+H1480+H1483+H1489+H1494+H1499+H1503+H1506+H1516+H1509+H1486</f>
        <v>0</v>
      </c>
    </row>
    <row r="1521" spans="1:8">
      <c r="A1521" s="83"/>
      <c r="B1521" s="14"/>
      <c r="C1521" s="16" t="s">
        <v>68</v>
      </c>
      <c r="D1521" s="16" t="s">
        <v>3</v>
      </c>
      <c r="E1521" s="16"/>
      <c r="F1521" s="43"/>
      <c r="G1521" s="16"/>
      <c r="H1521" s="19">
        <f>H1517+H1507+H1504+H1500+H1495+H1490+H1484+H1481+H1477+H1487+H1510</f>
        <v>0</v>
      </c>
    </row>
    <row r="1522" spans="1:8" ht="27">
      <c r="A1522" s="61"/>
      <c r="B1522" s="14"/>
      <c r="C1522" s="16" t="s">
        <v>1148</v>
      </c>
      <c r="D1522" s="16" t="s">
        <v>3</v>
      </c>
      <c r="E1522" s="16"/>
      <c r="F1522" s="224">
        <v>0.65</v>
      </c>
      <c r="G1522" s="16"/>
      <c r="H1522" s="43">
        <f>H1521*F1522</f>
        <v>0</v>
      </c>
    </row>
    <row r="1523" spans="1:8">
      <c r="A1523" s="68"/>
      <c r="B1523" s="46"/>
      <c r="C1523" s="10" t="s">
        <v>1110</v>
      </c>
      <c r="D1523" s="10" t="s">
        <v>3</v>
      </c>
      <c r="E1523" s="10"/>
      <c r="F1523" s="10"/>
      <c r="G1523" s="10"/>
      <c r="H1523" s="76">
        <f>H1522+H1520</f>
        <v>0</v>
      </c>
    </row>
    <row r="1524" spans="1:8">
      <c r="A1524" s="61"/>
      <c r="B1524" s="14"/>
      <c r="C1524" s="16" t="s">
        <v>797</v>
      </c>
      <c r="D1524" s="16" t="s">
        <v>3</v>
      </c>
      <c r="E1524" s="16"/>
      <c r="F1524" s="224">
        <v>0.08</v>
      </c>
      <c r="G1524" s="16"/>
      <c r="H1524" s="43">
        <f>H1523*F1524</f>
        <v>0</v>
      </c>
    </row>
    <row r="1525" spans="1:8" ht="27">
      <c r="A1525" s="61"/>
      <c r="B1525" s="14"/>
      <c r="C1525" s="10" t="s">
        <v>1149</v>
      </c>
      <c r="D1525" s="10" t="s">
        <v>3</v>
      </c>
      <c r="E1525" s="16"/>
      <c r="F1525" s="475"/>
      <c r="G1525" s="474"/>
      <c r="H1525" s="463">
        <f>SUM(H1523:H1524)</f>
        <v>0</v>
      </c>
    </row>
    <row r="1528" spans="1:8">
      <c r="A1528" s="487" t="s">
        <v>1180</v>
      </c>
      <c r="B1528" s="487"/>
      <c r="C1528" s="487"/>
      <c r="D1528" s="487"/>
      <c r="E1528" s="487"/>
      <c r="F1528" s="487"/>
      <c r="G1528" s="487"/>
      <c r="H1528" s="487"/>
    </row>
    <row r="1529" spans="1:8" ht="35.25" customHeight="1">
      <c r="A1529" s="488" t="s">
        <v>1181</v>
      </c>
      <c r="B1529" s="488"/>
      <c r="C1529" s="488"/>
      <c r="D1529" s="488"/>
      <c r="E1529" s="488"/>
      <c r="F1529" s="488"/>
      <c r="G1529" s="488"/>
      <c r="H1529" s="488"/>
    </row>
    <row r="1530" spans="1:8" ht="23.25" customHeight="1">
      <c r="A1530" s="502" t="s">
        <v>5</v>
      </c>
      <c r="B1530" s="493" t="s">
        <v>6</v>
      </c>
      <c r="C1530" s="503" t="s">
        <v>7</v>
      </c>
      <c r="D1530" s="504" t="s">
        <v>8</v>
      </c>
      <c r="E1530" s="505" t="s">
        <v>9</v>
      </c>
      <c r="F1530" s="505"/>
      <c r="G1530" s="505" t="s">
        <v>10</v>
      </c>
      <c r="H1530" s="505"/>
    </row>
    <row r="1531" spans="1:8" ht="68.25" customHeight="1">
      <c r="A1531" s="502"/>
      <c r="B1531" s="493"/>
      <c r="C1531" s="503"/>
      <c r="D1531" s="504"/>
      <c r="E1531" s="280" t="s">
        <v>11</v>
      </c>
      <c r="F1531" s="280" t="s">
        <v>12</v>
      </c>
      <c r="G1531" s="280" t="s">
        <v>11</v>
      </c>
      <c r="H1531" s="321" t="s">
        <v>12</v>
      </c>
    </row>
    <row r="1532" spans="1:8">
      <c r="A1532" s="68" t="s">
        <v>13</v>
      </c>
      <c r="B1532" s="68">
        <v>2</v>
      </c>
      <c r="C1532" s="20">
        <v>3</v>
      </c>
      <c r="D1532" s="20">
        <v>4</v>
      </c>
      <c r="E1532" s="20">
        <v>5</v>
      </c>
      <c r="F1532" s="20">
        <v>6</v>
      </c>
      <c r="G1532" s="20">
        <v>7</v>
      </c>
      <c r="H1532" s="25">
        <v>8</v>
      </c>
    </row>
    <row r="1533" spans="1:8">
      <c r="A1533" s="296"/>
      <c r="B1533" s="296"/>
      <c r="C1533" s="297" t="s">
        <v>1182</v>
      </c>
      <c r="D1533" s="296"/>
      <c r="E1533" s="296"/>
      <c r="F1533" s="296"/>
      <c r="G1533" s="296"/>
      <c r="H1533" s="296"/>
    </row>
    <row r="1534" spans="1:8" ht="67.5">
      <c r="A1534" s="298">
        <v>1</v>
      </c>
      <c r="B1534" s="62" t="s">
        <v>1183</v>
      </c>
      <c r="C1534" s="299" t="s">
        <v>1184</v>
      </c>
      <c r="D1534" s="300" t="s">
        <v>769</v>
      </c>
      <c r="E1534" s="298"/>
      <c r="F1534" s="301">
        <v>1</v>
      </c>
      <c r="G1534" s="302"/>
      <c r="H1534" s="303">
        <f>SUM(H1535:H1537)</f>
        <v>0</v>
      </c>
    </row>
    <row r="1535" spans="1:8">
      <c r="A1535" s="304"/>
      <c r="B1535" s="304" t="s">
        <v>17</v>
      </c>
      <c r="C1535" s="305" t="s">
        <v>1185</v>
      </c>
      <c r="D1535" s="304" t="s">
        <v>243</v>
      </c>
      <c r="E1535" s="234">
        <f>(802-6*73-18*11)</f>
        <v>166</v>
      </c>
      <c r="F1535" s="304">
        <f>E1535*F1534</f>
        <v>166</v>
      </c>
      <c r="G1535" s="306"/>
      <c r="H1535" s="44">
        <f>ROUND(F1535*G1535,2)</f>
        <v>0</v>
      </c>
    </row>
    <row r="1536" spans="1:8">
      <c r="A1536" s="304"/>
      <c r="B1536" s="304" t="s">
        <v>17</v>
      </c>
      <c r="C1536" s="305" t="s">
        <v>1186</v>
      </c>
      <c r="D1536" s="304" t="s">
        <v>3</v>
      </c>
      <c r="E1536" s="234">
        <f>(186-6*17.4-18*2.78)</f>
        <v>31.560000000000009</v>
      </c>
      <c r="F1536" s="304">
        <f>E1536*F1534</f>
        <v>31.560000000000009</v>
      </c>
      <c r="G1536" s="306"/>
      <c r="H1536" s="44">
        <f>ROUND(F1536*G1536,2)</f>
        <v>0</v>
      </c>
    </row>
    <row r="1537" spans="1:8">
      <c r="A1537" s="304"/>
      <c r="B1537" s="304" t="s">
        <v>17</v>
      </c>
      <c r="C1537" s="305" t="s">
        <v>1187</v>
      </c>
      <c r="D1537" s="304" t="s">
        <v>3</v>
      </c>
      <c r="E1537" s="234">
        <f>(71-6*3.2-18*0.33)</f>
        <v>45.86</v>
      </c>
      <c r="F1537" s="304">
        <f>E1537*F1534</f>
        <v>45.86</v>
      </c>
      <c r="G1537" s="306"/>
      <c r="H1537" s="44">
        <f>ROUND(F1537*G1537,2)</f>
        <v>0</v>
      </c>
    </row>
    <row r="1538" spans="1:8">
      <c r="A1538" s="307"/>
      <c r="B1538" s="307"/>
      <c r="C1538" s="298" t="s">
        <v>686</v>
      </c>
      <c r="D1538" s="307" t="s">
        <v>3</v>
      </c>
      <c r="E1538" s="307"/>
      <c r="F1538" s="307"/>
      <c r="G1538" s="307"/>
      <c r="H1538" s="308">
        <f>H1534</f>
        <v>0</v>
      </c>
    </row>
    <row r="1539" spans="1:8">
      <c r="A1539" s="309"/>
      <c r="B1539" s="310"/>
      <c r="C1539" s="310" t="s">
        <v>4</v>
      </c>
      <c r="D1539" s="304" t="s">
        <v>3</v>
      </c>
      <c r="E1539" s="310"/>
      <c r="F1539" s="310"/>
      <c r="G1539" s="310"/>
      <c r="H1539" s="311">
        <f>H1535</f>
        <v>0</v>
      </c>
    </row>
    <row r="1540" spans="1:8">
      <c r="A1540" s="310"/>
      <c r="B1540" s="310"/>
      <c r="C1540" s="310" t="s">
        <v>1188</v>
      </c>
      <c r="D1540" s="304" t="s">
        <v>3</v>
      </c>
      <c r="E1540" s="310"/>
      <c r="F1540" s="312">
        <v>0.68</v>
      </c>
      <c r="G1540" s="310"/>
      <c r="H1540" s="313">
        <f>H1539*F1540</f>
        <v>0</v>
      </c>
    </row>
    <row r="1541" spans="1:8">
      <c r="A1541" s="304"/>
      <c r="B1541" s="304"/>
      <c r="C1541" s="307" t="s">
        <v>686</v>
      </c>
      <c r="D1541" s="307" t="s">
        <v>3</v>
      </c>
      <c r="E1541" s="307"/>
      <c r="F1541" s="307"/>
      <c r="G1541" s="308"/>
      <c r="H1541" s="314">
        <f>SUM(H1540,H1538)</f>
        <v>0</v>
      </c>
    </row>
    <row r="1542" spans="1:8">
      <c r="A1542" s="304"/>
      <c r="B1542" s="304"/>
      <c r="C1542" s="304" t="s">
        <v>797</v>
      </c>
      <c r="D1542" s="304" t="s">
        <v>3</v>
      </c>
      <c r="E1542" s="304"/>
      <c r="F1542" s="315">
        <v>0.08</v>
      </c>
      <c r="G1542" s="316"/>
      <c r="H1542" s="317">
        <f>H1541*F1542</f>
        <v>0</v>
      </c>
    </row>
    <row r="1543" spans="1:8">
      <c r="A1543" s="304"/>
      <c r="B1543" s="304"/>
      <c r="C1543" s="307" t="s">
        <v>1189</v>
      </c>
      <c r="D1543" s="307" t="s">
        <v>3</v>
      </c>
      <c r="E1543" s="307"/>
      <c r="F1543" s="307"/>
      <c r="G1543" s="308"/>
      <c r="H1543" s="314">
        <f>SUM(H1541:H1542)</f>
        <v>0</v>
      </c>
    </row>
    <row r="1544" spans="1:8">
      <c r="A1544" s="296"/>
      <c r="B1544" s="296"/>
      <c r="C1544" s="297" t="s">
        <v>1190</v>
      </c>
      <c r="D1544" s="307"/>
      <c r="E1544" s="296"/>
      <c r="F1544" s="296"/>
      <c r="G1544" s="296"/>
      <c r="H1544" s="296"/>
    </row>
    <row r="1545" spans="1:8" ht="54">
      <c r="A1545" s="299">
        <v>1</v>
      </c>
      <c r="B1545" s="299" t="s">
        <v>1191</v>
      </c>
      <c r="C1545" s="299" t="s">
        <v>1192</v>
      </c>
      <c r="D1545" s="304" t="s">
        <v>3</v>
      </c>
      <c r="E1545" s="318"/>
      <c r="F1545" s="319">
        <v>1</v>
      </c>
      <c r="G1545" s="320"/>
      <c r="H1545" s="44">
        <f>ROUND(F1545*G1545,2)</f>
        <v>0</v>
      </c>
    </row>
    <row r="1546" spans="1:8">
      <c r="A1546" s="304"/>
      <c r="B1546" s="304"/>
      <c r="C1546" s="307" t="s">
        <v>1193</v>
      </c>
      <c r="D1546" s="307" t="s">
        <v>3</v>
      </c>
      <c r="E1546" s="307"/>
      <c r="F1546" s="301"/>
      <c r="G1546" s="314"/>
      <c r="H1546" s="314">
        <f>SUM(H1545:H1545)</f>
        <v>0</v>
      </c>
    </row>
    <row r="1547" spans="1:8" ht="40.5">
      <c r="A1547" s="309"/>
      <c r="B1547" s="309"/>
      <c r="C1547" s="309" t="s">
        <v>1194</v>
      </c>
      <c r="D1547" s="307" t="s">
        <v>3</v>
      </c>
      <c r="E1547" s="310"/>
      <c r="F1547" s="310"/>
      <c r="G1547" s="310"/>
      <c r="H1547" s="464">
        <f>H1546+H1543</f>
        <v>0</v>
      </c>
    </row>
    <row r="1551" spans="1:8">
      <c r="A1551" s="487" t="s">
        <v>1648</v>
      </c>
      <c r="B1551" s="487"/>
      <c r="C1551" s="487"/>
      <c r="D1551" s="487"/>
      <c r="E1551" s="487"/>
      <c r="F1551" s="487"/>
      <c r="G1551" s="487"/>
      <c r="H1551" s="487"/>
    </row>
    <row r="1552" spans="1:8" ht="25.5" customHeight="1">
      <c r="A1552" s="488" t="s">
        <v>1196</v>
      </c>
      <c r="B1552" s="488"/>
      <c r="C1552" s="488"/>
      <c r="D1552" s="488"/>
      <c r="E1552" s="488"/>
      <c r="F1552" s="488"/>
      <c r="G1552" s="488"/>
      <c r="H1552" s="488"/>
    </row>
    <row r="1553" spans="1:8" ht="26.25" customHeight="1">
      <c r="A1553" s="492" t="s">
        <v>5</v>
      </c>
      <c r="B1553" s="508" t="s">
        <v>6</v>
      </c>
      <c r="C1553" s="494" t="s">
        <v>7</v>
      </c>
      <c r="D1553" s="495" t="s">
        <v>8</v>
      </c>
      <c r="E1553" s="496" t="s">
        <v>9</v>
      </c>
      <c r="F1553" s="496"/>
      <c r="G1553" s="496" t="s">
        <v>10</v>
      </c>
      <c r="H1553" s="496"/>
    </row>
    <row r="1554" spans="1:8" ht="74.25" customHeight="1">
      <c r="A1554" s="492"/>
      <c r="B1554" s="508"/>
      <c r="C1554" s="494"/>
      <c r="D1554" s="495"/>
      <c r="E1554" s="226" t="s">
        <v>11</v>
      </c>
      <c r="F1554" s="226" t="s">
        <v>12</v>
      </c>
      <c r="G1554" s="226" t="s">
        <v>11</v>
      </c>
      <c r="H1554" s="228" t="s">
        <v>12</v>
      </c>
    </row>
    <row r="1555" spans="1:8">
      <c r="A1555" s="62" t="s">
        <v>13</v>
      </c>
      <c r="B1555" s="46">
        <v>2</v>
      </c>
      <c r="C1555" s="232">
        <v>3</v>
      </c>
      <c r="D1555" s="232">
        <v>4</v>
      </c>
      <c r="E1555" s="232">
        <v>5</v>
      </c>
      <c r="F1555" s="232">
        <v>6</v>
      </c>
      <c r="G1555" s="232">
        <v>7</v>
      </c>
      <c r="H1555" s="8">
        <v>8</v>
      </c>
    </row>
    <row r="1556" spans="1:8" ht="48">
      <c r="A1556" s="322">
        <v>1</v>
      </c>
      <c r="B1556" s="46" t="s">
        <v>1197</v>
      </c>
      <c r="C1556" s="10" t="s">
        <v>1198</v>
      </c>
      <c r="D1556" s="11" t="s">
        <v>23</v>
      </c>
      <c r="E1556" s="323"/>
      <c r="F1556" s="47">
        <v>40</v>
      </c>
      <c r="G1556" s="57"/>
      <c r="H1556" s="13">
        <f>H1557</f>
        <v>0</v>
      </c>
    </row>
    <row r="1557" spans="1:8">
      <c r="A1557" s="324"/>
      <c r="B1557" s="14" t="s">
        <v>17</v>
      </c>
      <c r="C1557" s="16" t="s">
        <v>28</v>
      </c>
      <c r="D1557" s="17" t="s">
        <v>19</v>
      </c>
      <c r="E1557" s="17">
        <v>2.78</v>
      </c>
      <c r="F1557" s="18">
        <f>F1556*E1557</f>
        <v>111.19999999999999</v>
      </c>
      <c r="G1557" s="18"/>
      <c r="H1557" s="19">
        <f>G1557*F1557</f>
        <v>0</v>
      </c>
    </row>
    <row r="1558" spans="1:8" ht="54">
      <c r="A1558" s="322">
        <v>2</v>
      </c>
      <c r="B1558" s="46" t="s">
        <v>1199</v>
      </c>
      <c r="C1558" s="10" t="s">
        <v>1200</v>
      </c>
      <c r="D1558" s="10" t="s">
        <v>45</v>
      </c>
      <c r="E1558" s="10"/>
      <c r="F1558" s="190">
        <v>32</v>
      </c>
      <c r="G1558" s="76"/>
      <c r="H1558" s="39">
        <f>SUM(H1559:H1562)</f>
        <v>0</v>
      </c>
    </row>
    <row r="1559" spans="1:8">
      <c r="A1559" s="324"/>
      <c r="B1559" s="67" t="s">
        <v>17</v>
      </c>
      <c r="C1559" s="16" t="s">
        <v>28</v>
      </c>
      <c r="D1559" s="16" t="s">
        <v>19</v>
      </c>
      <c r="E1559" s="16">
        <v>9.5899999999999999E-2</v>
      </c>
      <c r="F1559" s="43">
        <f>E1559*F1558</f>
        <v>3.0688</v>
      </c>
      <c r="G1559" s="43"/>
      <c r="H1559" s="44">
        <f>G1559*F1559</f>
        <v>0</v>
      </c>
    </row>
    <row r="1560" spans="1:8">
      <c r="A1560" s="324"/>
      <c r="B1560" s="67" t="s">
        <v>17</v>
      </c>
      <c r="C1560" s="16" t="s">
        <v>20</v>
      </c>
      <c r="D1560" s="16" t="s">
        <v>3</v>
      </c>
      <c r="E1560" s="16">
        <v>4.5199999999999997E-2</v>
      </c>
      <c r="F1560" s="43">
        <f>F1558*E1560</f>
        <v>1.4463999999999999</v>
      </c>
      <c r="G1560" s="43"/>
      <c r="H1560" s="44">
        <f>G1560*F1560</f>
        <v>0</v>
      </c>
    </row>
    <row r="1561" spans="1:8" ht="27">
      <c r="A1561" s="324"/>
      <c r="B1561" s="22" t="s">
        <v>1201</v>
      </c>
      <c r="C1561" s="16" t="s">
        <v>1202</v>
      </c>
      <c r="D1561" s="17" t="s">
        <v>45</v>
      </c>
      <c r="E1561" s="17">
        <v>1.01</v>
      </c>
      <c r="F1561" s="222">
        <f>F1558*E1561</f>
        <v>32.32</v>
      </c>
      <c r="G1561" s="18"/>
      <c r="H1561" s="18">
        <f>F1561*G1561</f>
        <v>0</v>
      </c>
    </row>
    <row r="1562" spans="1:8">
      <c r="A1562" s="324"/>
      <c r="B1562" s="67" t="s">
        <v>17</v>
      </c>
      <c r="C1562" s="16" t="s">
        <v>87</v>
      </c>
      <c r="D1562" s="16" t="s">
        <v>3</v>
      </c>
      <c r="E1562" s="66">
        <v>5.9999999999999995E-4</v>
      </c>
      <c r="F1562" s="43">
        <f>E1562*F1558</f>
        <v>1.9199999999999998E-2</v>
      </c>
      <c r="G1562" s="43"/>
      <c r="H1562" s="43">
        <f>G1562*F1562</f>
        <v>0</v>
      </c>
    </row>
    <row r="1563" spans="1:8" ht="54">
      <c r="A1563" s="322">
        <v>3</v>
      </c>
      <c r="B1563" s="46" t="s">
        <v>1199</v>
      </c>
      <c r="C1563" s="10" t="s">
        <v>1203</v>
      </c>
      <c r="D1563" s="10" t="s">
        <v>45</v>
      </c>
      <c r="E1563" s="10"/>
      <c r="F1563" s="190">
        <v>112</v>
      </c>
      <c r="G1563" s="76"/>
      <c r="H1563" s="39">
        <f>SUM(H1564:H1567)</f>
        <v>0</v>
      </c>
    </row>
    <row r="1564" spans="1:8">
      <c r="A1564" s="324"/>
      <c r="B1564" s="67" t="s">
        <v>17</v>
      </c>
      <c r="C1564" s="16" t="s">
        <v>28</v>
      </c>
      <c r="D1564" s="16" t="s">
        <v>19</v>
      </c>
      <c r="E1564" s="16">
        <v>9.5899999999999999E-2</v>
      </c>
      <c r="F1564" s="43">
        <f>E1564*F1563</f>
        <v>10.7408</v>
      </c>
      <c r="G1564" s="43"/>
      <c r="H1564" s="44">
        <f>G1564*F1564</f>
        <v>0</v>
      </c>
    </row>
    <row r="1565" spans="1:8">
      <c r="A1565" s="324"/>
      <c r="B1565" s="67" t="s">
        <v>17</v>
      </c>
      <c r="C1565" s="16" t="s">
        <v>20</v>
      </c>
      <c r="D1565" s="16" t="s">
        <v>3</v>
      </c>
      <c r="E1565" s="16">
        <v>4.5199999999999997E-2</v>
      </c>
      <c r="F1565" s="43">
        <f>F1563*E1565</f>
        <v>5.0623999999999993</v>
      </c>
      <c r="G1565" s="43"/>
      <c r="H1565" s="44">
        <f>G1565*F1565</f>
        <v>0</v>
      </c>
    </row>
    <row r="1566" spans="1:8" ht="27">
      <c r="A1566" s="324"/>
      <c r="B1566" s="22" t="s">
        <v>1204</v>
      </c>
      <c r="C1566" s="16" t="s">
        <v>1205</v>
      </c>
      <c r="D1566" s="17" t="s">
        <v>45</v>
      </c>
      <c r="E1566" s="17">
        <v>1.01</v>
      </c>
      <c r="F1566" s="222">
        <f>F1563*E1566</f>
        <v>113.12</v>
      </c>
      <c r="G1566" s="18"/>
      <c r="H1566" s="18">
        <f>F1566*G1566</f>
        <v>0</v>
      </c>
    </row>
    <row r="1567" spans="1:8">
      <c r="A1567" s="324"/>
      <c r="B1567" s="67" t="s">
        <v>17</v>
      </c>
      <c r="C1567" s="16" t="s">
        <v>87</v>
      </c>
      <c r="D1567" s="16" t="s">
        <v>3</v>
      </c>
      <c r="E1567" s="66">
        <v>5.9999999999999995E-4</v>
      </c>
      <c r="F1567" s="43">
        <f>E1567*F1563</f>
        <v>6.7199999999999996E-2</v>
      </c>
      <c r="G1567" s="43"/>
      <c r="H1567" s="43">
        <f>G1567*F1567</f>
        <v>0</v>
      </c>
    </row>
    <row r="1568" spans="1:8" ht="54">
      <c r="A1568" s="20">
        <v>4</v>
      </c>
      <c r="B1568" s="20" t="s">
        <v>1206</v>
      </c>
      <c r="C1568" s="20" t="s">
        <v>1207</v>
      </c>
      <c r="D1568" s="20" t="s">
        <v>358</v>
      </c>
      <c r="E1568" s="20"/>
      <c r="F1568" s="60">
        <v>32</v>
      </c>
      <c r="G1568" s="69"/>
      <c r="H1568" s="39">
        <f>H1569+H1570+H1571</f>
        <v>0</v>
      </c>
    </row>
    <row r="1569" spans="1:8">
      <c r="A1569" s="28"/>
      <c r="B1569" s="28" t="s">
        <v>17</v>
      </c>
      <c r="C1569" s="28" t="s">
        <v>936</v>
      </c>
      <c r="D1569" s="28" t="s">
        <v>243</v>
      </c>
      <c r="E1569" s="28">
        <v>5.67E-2</v>
      </c>
      <c r="F1569" s="28">
        <f>E1569*F1568</f>
        <v>1.8144</v>
      </c>
      <c r="G1569" s="44"/>
      <c r="H1569" s="44">
        <f>F1569*G1569</f>
        <v>0</v>
      </c>
    </row>
    <row r="1570" spans="1:8">
      <c r="A1570" s="28"/>
      <c r="B1570" s="28" t="s">
        <v>1208</v>
      </c>
      <c r="C1570" s="28" t="s">
        <v>1209</v>
      </c>
      <c r="D1570" s="28" t="s">
        <v>557</v>
      </c>
      <c r="E1570" s="28">
        <v>3.1099999999999999E-2</v>
      </c>
      <c r="F1570" s="28">
        <f>E1570*F1568</f>
        <v>0.99519999999999997</v>
      </c>
      <c r="G1570" s="44"/>
      <c r="H1570" s="44">
        <f>F1570*G1570</f>
        <v>0</v>
      </c>
    </row>
    <row r="1571" spans="1:8">
      <c r="A1571" s="28"/>
      <c r="B1571" s="28" t="s">
        <v>17</v>
      </c>
      <c r="C1571" s="28" t="s">
        <v>87</v>
      </c>
      <c r="D1571" s="28" t="s">
        <v>3</v>
      </c>
      <c r="E1571" s="24">
        <v>6.0000000000000002E-5</v>
      </c>
      <c r="F1571" s="28">
        <f>E1571*F1568</f>
        <v>1.92E-3</v>
      </c>
      <c r="G1571" s="44"/>
      <c r="H1571" s="44">
        <f>F1571*G1571</f>
        <v>0</v>
      </c>
    </row>
    <row r="1572" spans="1:8" ht="54">
      <c r="A1572" s="20">
        <v>5</v>
      </c>
      <c r="B1572" s="20" t="s">
        <v>1206</v>
      </c>
      <c r="C1572" s="20" t="s">
        <v>1210</v>
      </c>
      <c r="D1572" s="20" t="s">
        <v>358</v>
      </c>
      <c r="E1572" s="20"/>
      <c r="F1572" s="60">
        <v>112</v>
      </c>
      <c r="G1572" s="69"/>
      <c r="H1572" s="39">
        <f>H1573+H1574+H1575</f>
        <v>0</v>
      </c>
    </row>
    <row r="1573" spans="1:8">
      <c r="A1573" s="28"/>
      <c r="B1573" s="28" t="s">
        <v>17</v>
      </c>
      <c r="C1573" s="28" t="s">
        <v>936</v>
      </c>
      <c r="D1573" s="28" t="s">
        <v>243</v>
      </c>
      <c r="E1573" s="28">
        <v>5.67E-2</v>
      </c>
      <c r="F1573" s="28">
        <f>E1573*F1572</f>
        <v>6.3504000000000005</v>
      </c>
      <c r="G1573" s="44"/>
      <c r="H1573" s="44">
        <f>F1573*G1573</f>
        <v>0</v>
      </c>
    </row>
    <row r="1574" spans="1:8">
      <c r="A1574" s="28"/>
      <c r="B1574" s="28" t="s">
        <v>1208</v>
      </c>
      <c r="C1574" s="28" t="s">
        <v>1209</v>
      </c>
      <c r="D1574" s="28" t="s">
        <v>557</v>
      </c>
      <c r="E1574" s="28">
        <v>3.1099999999999999E-2</v>
      </c>
      <c r="F1574" s="28">
        <f>E1574*F1572</f>
        <v>3.4832000000000001</v>
      </c>
      <c r="G1574" s="44"/>
      <c r="H1574" s="44">
        <f>F1574*G1574</f>
        <v>0</v>
      </c>
    </row>
    <row r="1575" spans="1:8">
      <c r="A1575" s="28"/>
      <c r="B1575" s="28" t="s">
        <v>17</v>
      </c>
      <c r="C1575" s="28" t="s">
        <v>87</v>
      </c>
      <c r="D1575" s="28" t="s">
        <v>3</v>
      </c>
      <c r="E1575" s="24">
        <v>6.0000000000000002E-5</v>
      </c>
      <c r="F1575" s="28">
        <f>E1575*F1572</f>
        <v>6.7200000000000003E-3</v>
      </c>
      <c r="G1575" s="44"/>
      <c r="H1575" s="44">
        <f>F1575*G1575</f>
        <v>0</v>
      </c>
    </row>
    <row r="1576" spans="1:8" ht="48">
      <c r="A1576" s="48">
        <v>6</v>
      </c>
      <c r="B1576" s="46" t="s">
        <v>1211</v>
      </c>
      <c r="C1576" s="10" t="s">
        <v>1212</v>
      </c>
      <c r="D1576" s="11" t="s">
        <v>209</v>
      </c>
      <c r="E1576" s="11"/>
      <c r="F1576" s="57">
        <v>1</v>
      </c>
      <c r="G1576" s="57"/>
      <c r="H1576" s="13">
        <f>SUM(H1577:H1580)</f>
        <v>0</v>
      </c>
    </row>
    <row r="1577" spans="1:8">
      <c r="A1577" s="325"/>
      <c r="B1577" s="67" t="s">
        <v>17</v>
      </c>
      <c r="C1577" s="16" t="s">
        <v>18</v>
      </c>
      <c r="D1577" s="17" t="s">
        <v>19</v>
      </c>
      <c r="E1577" s="17">
        <v>1.38</v>
      </c>
      <c r="F1577" s="33">
        <f>E1577*F1576</f>
        <v>1.38</v>
      </c>
      <c r="G1577" s="18"/>
      <c r="H1577" s="19">
        <f>G1577*F1577</f>
        <v>0</v>
      </c>
    </row>
    <row r="1578" spans="1:8">
      <c r="A1578" s="325"/>
      <c r="B1578" s="67" t="s">
        <v>17</v>
      </c>
      <c r="C1578" s="16" t="s">
        <v>233</v>
      </c>
      <c r="D1578" s="17" t="s">
        <v>3</v>
      </c>
      <c r="E1578" s="17">
        <v>0.06</v>
      </c>
      <c r="F1578" s="33">
        <f>E1578*F1576</f>
        <v>0.06</v>
      </c>
      <c r="G1578" s="18"/>
      <c r="H1578" s="18">
        <f>G1578*F1578</f>
        <v>0</v>
      </c>
    </row>
    <row r="1579" spans="1:8">
      <c r="A1579" s="325"/>
      <c r="B1579" s="61" t="s">
        <v>857</v>
      </c>
      <c r="C1579" s="28" t="s">
        <v>1213</v>
      </c>
      <c r="D1579" s="17" t="s">
        <v>209</v>
      </c>
      <c r="E1579" s="17">
        <v>1</v>
      </c>
      <c r="F1579" s="33">
        <f>F1576*E1579</f>
        <v>1</v>
      </c>
      <c r="G1579" s="18"/>
      <c r="H1579" s="18">
        <f>F1579*G1579</f>
        <v>0</v>
      </c>
    </row>
    <row r="1580" spans="1:8">
      <c r="A1580" s="325"/>
      <c r="B1580" s="67" t="s">
        <v>17</v>
      </c>
      <c r="C1580" s="16" t="s">
        <v>87</v>
      </c>
      <c r="D1580" s="17" t="s">
        <v>3</v>
      </c>
      <c r="E1580" s="17">
        <v>0.38</v>
      </c>
      <c r="F1580" s="33">
        <f>E1580*F1576</f>
        <v>0.38</v>
      </c>
      <c r="G1580" s="18"/>
      <c r="H1580" s="18">
        <f>G1580*F1580</f>
        <v>0</v>
      </c>
    </row>
    <row r="1581" spans="1:8" ht="48">
      <c r="A1581" s="62" t="s">
        <v>95</v>
      </c>
      <c r="B1581" s="46" t="s">
        <v>125</v>
      </c>
      <c r="C1581" s="10" t="s">
        <v>1214</v>
      </c>
      <c r="D1581" s="10" t="s">
        <v>23</v>
      </c>
      <c r="E1581" s="63"/>
      <c r="F1581" s="60">
        <f>F1556</f>
        <v>40</v>
      </c>
      <c r="G1581" s="76"/>
      <c r="H1581" s="39">
        <f>H1582</f>
        <v>0</v>
      </c>
    </row>
    <row r="1582" spans="1:8">
      <c r="A1582" s="64"/>
      <c r="B1582" s="14" t="s">
        <v>17</v>
      </c>
      <c r="C1582" s="16" t="s">
        <v>28</v>
      </c>
      <c r="D1582" s="16" t="s">
        <v>19</v>
      </c>
      <c r="E1582" s="16">
        <v>1.21</v>
      </c>
      <c r="F1582" s="43">
        <f>F1581*E1582</f>
        <v>48.4</v>
      </c>
      <c r="G1582" s="43"/>
      <c r="H1582" s="44">
        <f>G1582*F1582</f>
        <v>0</v>
      </c>
    </row>
    <row r="1583" spans="1:8" ht="48">
      <c r="A1583" s="144">
        <v>8</v>
      </c>
      <c r="B1583" s="9" t="s">
        <v>322</v>
      </c>
      <c r="C1583" s="145" t="s">
        <v>1215</v>
      </c>
      <c r="D1583" s="145" t="s">
        <v>23</v>
      </c>
      <c r="E1583" s="145"/>
      <c r="F1583" s="145">
        <f>F1581</f>
        <v>40</v>
      </c>
      <c r="G1583" s="145"/>
      <c r="H1583" s="146">
        <f>H1584+H1585</f>
        <v>0</v>
      </c>
    </row>
    <row r="1584" spans="1:8" ht="21" customHeight="1">
      <c r="A1584" s="64"/>
      <c r="B1584" s="14" t="s">
        <v>17</v>
      </c>
      <c r="C1584" s="16" t="s">
        <v>28</v>
      </c>
      <c r="D1584" s="16" t="s">
        <v>19</v>
      </c>
      <c r="E1584" s="16">
        <v>0.13400000000000001</v>
      </c>
      <c r="F1584" s="43">
        <f>F1583*E1584</f>
        <v>5.36</v>
      </c>
      <c r="G1584" s="16"/>
      <c r="H1584" s="44">
        <f>G1584*F1584</f>
        <v>0</v>
      </c>
    </row>
    <row r="1585" spans="1:8" ht="22.5" customHeight="1">
      <c r="A1585" s="147"/>
      <c r="B1585" s="147" t="s">
        <v>324</v>
      </c>
      <c r="C1585" s="147" t="s">
        <v>325</v>
      </c>
      <c r="D1585" s="147" t="s">
        <v>326</v>
      </c>
      <c r="E1585" s="147">
        <v>0.13</v>
      </c>
      <c r="F1585" s="147">
        <f>E1585*F1583</f>
        <v>5.2</v>
      </c>
      <c r="G1585" s="147"/>
      <c r="H1585" s="147">
        <f>F1585*G1585</f>
        <v>0</v>
      </c>
    </row>
    <row r="1586" spans="1:8" ht="21.75" customHeight="1">
      <c r="A1586" s="238"/>
      <c r="B1586" s="15"/>
      <c r="C1586" s="20" t="s">
        <v>1147</v>
      </c>
      <c r="D1586" s="20" t="s">
        <v>3</v>
      </c>
      <c r="E1586" s="28"/>
      <c r="F1586" s="44"/>
      <c r="G1586" s="44"/>
      <c r="H1586" s="69">
        <f>H1556+H1558+H1581+H1583+H1576+H1572+H1568+H1563</f>
        <v>0</v>
      </c>
    </row>
    <row r="1587" spans="1:8" ht="21.75" customHeight="1">
      <c r="A1587" s="61"/>
      <c r="B1587" s="15"/>
      <c r="C1587" s="28" t="s">
        <v>687</v>
      </c>
      <c r="D1587" s="28" t="s">
        <v>3</v>
      </c>
      <c r="E1587" s="28"/>
      <c r="F1587" s="250">
        <v>0.1</v>
      </c>
      <c r="G1587" s="44"/>
      <c r="H1587" s="19">
        <f>H1586*F1587</f>
        <v>0</v>
      </c>
    </row>
    <row r="1588" spans="1:8" ht="28.5" customHeight="1">
      <c r="A1588" s="61"/>
      <c r="B1588" s="9"/>
      <c r="C1588" s="20" t="s">
        <v>688</v>
      </c>
      <c r="D1588" s="20" t="s">
        <v>3</v>
      </c>
      <c r="E1588" s="20"/>
      <c r="F1588" s="20"/>
      <c r="G1588" s="69"/>
      <c r="H1588" s="21">
        <f>H1587+H1586</f>
        <v>0</v>
      </c>
    </row>
    <row r="1589" spans="1:8" ht="28.5" customHeight="1">
      <c r="A1589" s="64"/>
      <c r="B1589" s="14"/>
      <c r="C1589" s="16" t="s">
        <v>689</v>
      </c>
      <c r="D1589" s="16" t="s">
        <v>3</v>
      </c>
      <c r="E1589" s="16"/>
      <c r="F1589" s="224">
        <v>0.08</v>
      </c>
      <c r="G1589" s="43"/>
      <c r="H1589" s="18">
        <f>H1588*F1589</f>
        <v>0</v>
      </c>
    </row>
    <row r="1590" spans="1:8" ht="29.25" customHeight="1">
      <c r="A1590" s="83"/>
      <c r="B1590" s="46"/>
      <c r="C1590" s="10" t="s">
        <v>690</v>
      </c>
      <c r="D1590" s="10" t="s">
        <v>3</v>
      </c>
      <c r="E1590" s="10"/>
      <c r="F1590" s="476"/>
      <c r="G1590" s="463"/>
      <c r="H1590" s="462">
        <f>SUM(H1588:H1589)</f>
        <v>0</v>
      </c>
    </row>
    <row r="1592" spans="1:8">
      <c r="A1592" s="487" t="s">
        <v>1195</v>
      </c>
      <c r="B1592" s="487"/>
      <c r="C1592" s="487"/>
      <c r="D1592" s="487"/>
      <c r="E1592" s="487"/>
      <c r="F1592" s="487"/>
      <c r="G1592" s="487"/>
      <c r="H1592" s="487"/>
    </row>
    <row r="1593" spans="1:8" ht="24" customHeight="1">
      <c r="A1593" s="488" t="s">
        <v>1217</v>
      </c>
      <c r="B1593" s="488"/>
      <c r="C1593" s="488"/>
      <c r="D1593" s="488"/>
      <c r="E1593" s="488"/>
      <c r="F1593" s="488"/>
      <c r="G1593" s="488"/>
      <c r="H1593" s="488"/>
    </row>
    <row r="1594" spans="1:8" ht="29.25" customHeight="1">
      <c r="A1594" s="492" t="s">
        <v>5</v>
      </c>
      <c r="B1594" s="508" t="s">
        <v>6</v>
      </c>
      <c r="C1594" s="494" t="s">
        <v>7</v>
      </c>
      <c r="D1594" s="495" t="s">
        <v>8</v>
      </c>
      <c r="E1594" s="496" t="s">
        <v>9</v>
      </c>
      <c r="F1594" s="496"/>
      <c r="G1594" s="496" t="s">
        <v>10</v>
      </c>
      <c r="H1594" s="496"/>
    </row>
    <row r="1595" spans="1:8" ht="89.25" customHeight="1">
      <c r="A1595" s="492"/>
      <c r="B1595" s="508"/>
      <c r="C1595" s="494"/>
      <c r="D1595" s="495"/>
      <c r="E1595" s="226" t="s">
        <v>11</v>
      </c>
      <c r="F1595" s="226" t="s">
        <v>12</v>
      </c>
      <c r="G1595" s="226" t="s">
        <v>11</v>
      </c>
      <c r="H1595" s="228" t="s">
        <v>12</v>
      </c>
    </row>
    <row r="1596" spans="1:8">
      <c r="A1596" s="62" t="s">
        <v>13</v>
      </c>
      <c r="B1596" s="46">
        <v>2</v>
      </c>
      <c r="C1596" s="232">
        <v>3</v>
      </c>
      <c r="D1596" s="232">
        <v>4</v>
      </c>
      <c r="E1596" s="232">
        <v>5</v>
      </c>
      <c r="F1596" s="232">
        <v>6</v>
      </c>
      <c r="G1596" s="232">
        <v>7</v>
      </c>
      <c r="H1596" s="8">
        <v>8</v>
      </c>
    </row>
    <row r="1597" spans="1:8" ht="48">
      <c r="A1597" s="322">
        <v>1</v>
      </c>
      <c r="B1597" s="46" t="s">
        <v>1197</v>
      </c>
      <c r="C1597" s="10" t="s">
        <v>1198</v>
      </c>
      <c r="D1597" s="11" t="s">
        <v>23</v>
      </c>
      <c r="E1597" s="323"/>
      <c r="F1597" s="47">
        <v>35</v>
      </c>
      <c r="G1597" s="57"/>
      <c r="H1597" s="13">
        <f>H1598</f>
        <v>0</v>
      </c>
    </row>
    <row r="1598" spans="1:8">
      <c r="A1598" s="324"/>
      <c r="B1598" s="14" t="s">
        <v>17</v>
      </c>
      <c r="C1598" s="16" t="s">
        <v>28</v>
      </c>
      <c r="D1598" s="17" t="s">
        <v>19</v>
      </c>
      <c r="E1598" s="17">
        <v>2.78</v>
      </c>
      <c r="F1598" s="18">
        <f>F1597*E1598</f>
        <v>97.3</v>
      </c>
      <c r="G1598" s="18"/>
      <c r="H1598" s="19">
        <f>G1598*F1598</f>
        <v>0</v>
      </c>
    </row>
    <row r="1599" spans="1:8" ht="48">
      <c r="A1599" s="8">
        <v>2</v>
      </c>
      <c r="B1599" s="9" t="s">
        <v>1218</v>
      </c>
      <c r="C1599" s="10" t="s">
        <v>1219</v>
      </c>
      <c r="D1599" s="10" t="s">
        <v>45</v>
      </c>
      <c r="E1599" s="10"/>
      <c r="F1599" s="60">
        <v>100</v>
      </c>
      <c r="G1599" s="10"/>
      <c r="H1599" s="39">
        <f>SUM(H1600:H1603)</f>
        <v>0</v>
      </c>
    </row>
    <row r="1600" spans="1:8">
      <c r="A1600" s="61"/>
      <c r="B1600" s="14" t="s">
        <v>17</v>
      </c>
      <c r="C1600" s="16" t="s">
        <v>28</v>
      </c>
      <c r="D1600" s="16" t="s">
        <v>19</v>
      </c>
      <c r="E1600" s="70">
        <v>0.18099999999999999</v>
      </c>
      <c r="F1600" s="43">
        <f>E1600*F1599</f>
        <v>18.099999999999998</v>
      </c>
      <c r="G1600" s="16"/>
      <c r="H1600" s="44">
        <f>G1600*F1600</f>
        <v>0</v>
      </c>
    </row>
    <row r="1601" spans="1:8">
      <c r="A1601" s="61"/>
      <c r="B1601" s="14" t="s">
        <v>17</v>
      </c>
      <c r="C1601" s="16" t="s">
        <v>20</v>
      </c>
      <c r="D1601" s="16" t="s">
        <v>3</v>
      </c>
      <c r="E1601" s="326">
        <v>9.2100000000000001E-2</v>
      </c>
      <c r="F1601" s="33">
        <f>F1599*E1601</f>
        <v>9.2100000000000009</v>
      </c>
      <c r="G1601" s="17"/>
      <c r="H1601" s="19">
        <f>G1601*F1601</f>
        <v>0</v>
      </c>
    </row>
    <row r="1602" spans="1:8" ht="27">
      <c r="A1602" s="61"/>
      <c r="B1602" s="24" t="s">
        <v>1220</v>
      </c>
      <c r="C1602" s="16" t="s">
        <v>1221</v>
      </c>
      <c r="D1602" s="16" t="s">
        <v>45</v>
      </c>
      <c r="E1602" s="16">
        <v>1.01</v>
      </c>
      <c r="F1602" s="43">
        <f>F1599*E1602</f>
        <v>101</v>
      </c>
      <c r="G1602" s="16"/>
      <c r="H1602" s="44">
        <f>G1602*F1602</f>
        <v>0</v>
      </c>
    </row>
    <row r="1603" spans="1:8">
      <c r="A1603" s="61"/>
      <c r="B1603" s="14" t="s">
        <v>17</v>
      </c>
      <c r="C1603" s="16" t="s">
        <v>87</v>
      </c>
      <c r="D1603" s="16" t="s">
        <v>3</v>
      </c>
      <c r="E1603" s="66">
        <v>5.1599999999999997E-3</v>
      </c>
      <c r="F1603" s="43">
        <f>E1603*F1599</f>
        <v>0.51600000000000001</v>
      </c>
      <c r="G1603" s="16"/>
      <c r="H1603" s="44">
        <f>G1603*F1603</f>
        <v>0</v>
      </c>
    </row>
    <row r="1604" spans="1:8" ht="54">
      <c r="A1604" s="8">
        <v>3</v>
      </c>
      <c r="B1604" s="46" t="s">
        <v>1222</v>
      </c>
      <c r="C1604" s="10" t="s">
        <v>1223</v>
      </c>
      <c r="D1604" s="10" t="s">
        <v>75</v>
      </c>
      <c r="E1604" s="11"/>
      <c r="F1604" s="47">
        <v>3</v>
      </c>
      <c r="G1604" s="11"/>
      <c r="H1604" s="13">
        <f>SUM(H1605:H1612)</f>
        <v>0</v>
      </c>
    </row>
    <row r="1605" spans="1:8">
      <c r="A1605" s="64"/>
      <c r="B1605" s="14" t="s">
        <v>17</v>
      </c>
      <c r="C1605" s="16" t="s">
        <v>18</v>
      </c>
      <c r="D1605" s="16" t="s">
        <v>19</v>
      </c>
      <c r="E1605" s="17">
        <v>25.2</v>
      </c>
      <c r="F1605" s="33">
        <f>F1604*E1605</f>
        <v>75.599999999999994</v>
      </c>
      <c r="G1605" s="16"/>
      <c r="H1605" s="19">
        <f>G1605*F1605</f>
        <v>0</v>
      </c>
    </row>
    <row r="1606" spans="1:8">
      <c r="A1606" s="64"/>
      <c r="B1606" s="14" t="s">
        <v>17</v>
      </c>
      <c r="C1606" s="16" t="s">
        <v>20</v>
      </c>
      <c r="D1606" s="16" t="s">
        <v>3</v>
      </c>
      <c r="E1606" s="17">
        <v>0.23</v>
      </c>
      <c r="F1606" s="33">
        <f>F1604*E1606</f>
        <v>0.69000000000000006</v>
      </c>
      <c r="G1606" s="17"/>
      <c r="H1606" s="19">
        <f>G1606*F1606</f>
        <v>0</v>
      </c>
    </row>
    <row r="1607" spans="1:8">
      <c r="A1607" s="64"/>
      <c r="B1607" s="327" t="s">
        <v>585</v>
      </c>
      <c r="C1607" s="16" t="s">
        <v>1224</v>
      </c>
      <c r="D1607" s="16" t="s">
        <v>75</v>
      </c>
      <c r="E1607" s="17">
        <v>1.02</v>
      </c>
      <c r="F1607" s="33">
        <f>F1604*E1607</f>
        <v>3.06</v>
      </c>
      <c r="G1607" s="16"/>
      <c r="H1607" s="19">
        <f t="shared" ref="H1607:H1612" si="45">F1607*G1607</f>
        <v>0</v>
      </c>
    </row>
    <row r="1608" spans="1:8">
      <c r="A1608" s="64"/>
      <c r="B1608" s="327" t="s">
        <v>1225</v>
      </c>
      <c r="C1608" s="16" t="s">
        <v>1226</v>
      </c>
      <c r="D1608" s="16" t="s">
        <v>59</v>
      </c>
      <c r="E1608" s="17">
        <v>4.0000000000000001E-3</v>
      </c>
      <c r="F1608" s="33">
        <f>F1604*E1608</f>
        <v>1.2E-2</v>
      </c>
      <c r="G1608" s="19"/>
      <c r="H1608" s="19">
        <f t="shared" si="45"/>
        <v>0</v>
      </c>
    </row>
    <row r="1609" spans="1:8">
      <c r="A1609" s="64"/>
      <c r="B1609" s="327" t="s">
        <v>308</v>
      </c>
      <c r="C1609" s="16" t="s">
        <v>1227</v>
      </c>
      <c r="D1609" s="16" t="s">
        <v>75</v>
      </c>
      <c r="E1609" s="17">
        <v>0.05</v>
      </c>
      <c r="F1609" s="33">
        <f>F1604*E1609</f>
        <v>0.15000000000000002</v>
      </c>
      <c r="G1609" s="17"/>
      <c r="H1609" s="19">
        <f t="shared" si="45"/>
        <v>0</v>
      </c>
    </row>
    <row r="1610" spans="1:8">
      <c r="A1610" s="64"/>
      <c r="B1610" s="15" t="s">
        <v>1228</v>
      </c>
      <c r="C1610" s="16" t="s">
        <v>1229</v>
      </c>
      <c r="D1610" s="16" t="s">
        <v>75</v>
      </c>
      <c r="E1610" s="17">
        <v>0.13800000000000001</v>
      </c>
      <c r="F1610" s="33">
        <f>F1604*E1610</f>
        <v>0.41400000000000003</v>
      </c>
      <c r="G1610" s="17"/>
      <c r="H1610" s="19">
        <f t="shared" si="45"/>
        <v>0</v>
      </c>
    </row>
    <row r="1611" spans="1:8">
      <c r="A1611" s="64"/>
      <c r="B1611" s="24">
        <v>4.1219999999999999</v>
      </c>
      <c r="C1611" s="16" t="s">
        <v>1230</v>
      </c>
      <c r="D1611" s="17" t="s">
        <v>209</v>
      </c>
      <c r="E1611" s="17">
        <v>2</v>
      </c>
      <c r="F1611" s="33">
        <f>E1611*F1604</f>
        <v>6</v>
      </c>
      <c r="G1611" s="17"/>
      <c r="H1611" s="19">
        <f t="shared" si="45"/>
        <v>0</v>
      </c>
    </row>
    <row r="1612" spans="1:8">
      <c r="A1612" s="64"/>
      <c r="B1612" s="327" t="s">
        <v>17</v>
      </c>
      <c r="C1612" s="16" t="s">
        <v>87</v>
      </c>
      <c r="D1612" s="16" t="s">
        <v>3</v>
      </c>
      <c r="E1612" s="17">
        <v>2.54</v>
      </c>
      <c r="F1612" s="33">
        <f>F1604*E1612</f>
        <v>7.62</v>
      </c>
      <c r="G1612" s="17"/>
      <c r="H1612" s="19">
        <f t="shared" si="45"/>
        <v>0</v>
      </c>
    </row>
    <row r="1613" spans="1:8" ht="48">
      <c r="A1613" s="8">
        <v>4</v>
      </c>
      <c r="B1613" s="46" t="s">
        <v>1231</v>
      </c>
      <c r="C1613" s="10" t="s">
        <v>1232</v>
      </c>
      <c r="D1613" s="10" t="s">
        <v>1233</v>
      </c>
      <c r="E1613" s="10"/>
      <c r="F1613" s="190">
        <v>1</v>
      </c>
      <c r="G1613" s="76"/>
      <c r="H1613" s="39">
        <f>SUM(H1614:H1617)</f>
        <v>0</v>
      </c>
    </row>
    <row r="1614" spans="1:8">
      <c r="A1614" s="64"/>
      <c r="B1614" s="67" t="s">
        <v>17</v>
      </c>
      <c r="C1614" s="16" t="s">
        <v>28</v>
      </c>
      <c r="D1614" s="16" t="s">
        <v>19</v>
      </c>
      <c r="E1614" s="16">
        <v>17</v>
      </c>
      <c r="F1614" s="43">
        <f>E1614*F1613</f>
        <v>17</v>
      </c>
      <c r="G1614" s="43"/>
      <c r="H1614" s="44">
        <f>G1614*F1614</f>
        <v>0</v>
      </c>
    </row>
    <row r="1615" spans="1:8">
      <c r="A1615" s="64"/>
      <c r="B1615" s="14" t="s">
        <v>98</v>
      </c>
      <c r="C1615" s="16" t="s">
        <v>1234</v>
      </c>
      <c r="D1615" s="16" t="s">
        <v>75</v>
      </c>
      <c r="E1615" s="16">
        <v>0.05</v>
      </c>
      <c r="F1615" s="16">
        <f>F1613*E1615</f>
        <v>0.05</v>
      </c>
      <c r="G1615" s="43"/>
      <c r="H1615" s="44">
        <f>G1615*F1615</f>
        <v>0</v>
      </c>
    </row>
    <row r="1616" spans="1:8">
      <c r="A1616" s="64"/>
      <c r="B1616" s="14" t="s">
        <v>1235</v>
      </c>
      <c r="C1616" s="16" t="s">
        <v>1236</v>
      </c>
      <c r="D1616" s="16" t="s">
        <v>75</v>
      </c>
      <c r="E1616" s="16">
        <v>0.2</v>
      </c>
      <c r="F1616" s="43">
        <f>F1613*E1616</f>
        <v>0.2</v>
      </c>
      <c r="G1616" s="43"/>
      <c r="H1616" s="44">
        <f>G1616*F1616</f>
        <v>0</v>
      </c>
    </row>
    <row r="1617" spans="1:8">
      <c r="A1617" s="64"/>
      <c r="B1617" s="67" t="s">
        <v>17</v>
      </c>
      <c r="C1617" s="16" t="s">
        <v>87</v>
      </c>
      <c r="D1617" s="16" t="s">
        <v>3</v>
      </c>
      <c r="E1617" s="16">
        <v>1.08</v>
      </c>
      <c r="F1617" s="43">
        <f>E1617*F1613</f>
        <v>1.08</v>
      </c>
      <c r="G1617" s="43"/>
      <c r="H1617" s="44">
        <f>G1617*F1617</f>
        <v>0</v>
      </c>
    </row>
    <row r="1618" spans="1:8" ht="48">
      <c r="A1618" s="62" t="s">
        <v>82</v>
      </c>
      <c r="B1618" s="46" t="s">
        <v>125</v>
      </c>
      <c r="C1618" s="10" t="s">
        <v>1214</v>
      </c>
      <c r="D1618" s="10" t="s">
        <v>23</v>
      </c>
      <c r="E1618" s="63"/>
      <c r="F1618" s="60">
        <f>F1597</f>
        <v>35</v>
      </c>
      <c r="G1618" s="76"/>
      <c r="H1618" s="39">
        <f>H1619</f>
        <v>0</v>
      </c>
    </row>
    <row r="1619" spans="1:8">
      <c r="A1619" s="64"/>
      <c r="B1619" s="14" t="s">
        <v>17</v>
      </c>
      <c r="C1619" s="16" t="s">
        <v>28</v>
      </c>
      <c r="D1619" s="16" t="s">
        <v>19</v>
      </c>
      <c r="E1619" s="16">
        <v>1.21</v>
      </c>
      <c r="F1619" s="43">
        <f>F1618*E1619</f>
        <v>42.35</v>
      </c>
      <c r="G1619" s="43"/>
      <c r="H1619" s="44">
        <f>G1619*F1619</f>
        <v>0</v>
      </c>
    </row>
    <row r="1620" spans="1:8" ht="48">
      <c r="A1620" s="144">
        <v>6</v>
      </c>
      <c r="B1620" s="9" t="s">
        <v>322</v>
      </c>
      <c r="C1620" s="145" t="s">
        <v>1215</v>
      </c>
      <c r="D1620" s="145" t="s">
        <v>23</v>
      </c>
      <c r="E1620" s="145"/>
      <c r="F1620" s="145">
        <f>F1618</f>
        <v>35</v>
      </c>
      <c r="G1620" s="145"/>
      <c r="H1620" s="146">
        <f>H1621+H1622</f>
        <v>0</v>
      </c>
    </row>
    <row r="1621" spans="1:8">
      <c r="A1621" s="64"/>
      <c r="B1621" s="14" t="s">
        <v>17</v>
      </c>
      <c r="C1621" s="16" t="s">
        <v>28</v>
      </c>
      <c r="D1621" s="16" t="s">
        <v>19</v>
      </c>
      <c r="E1621" s="16">
        <v>0.13400000000000001</v>
      </c>
      <c r="F1621" s="43">
        <f>F1620*E1621</f>
        <v>4.6900000000000004</v>
      </c>
      <c r="G1621" s="16"/>
      <c r="H1621" s="44">
        <f>G1621*F1621</f>
        <v>0</v>
      </c>
    </row>
    <row r="1622" spans="1:8">
      <c r="A1622" s="147"/>
      <c r="B1622" s="147" t="s">
        <v>324</v>
      </c>
      <c r="C1622" s="147" t="s">
        <v>325</v>
      </c>
      <c r="D1622" s="147" t="s">
        <v>326</v>
      </c>
      <c r="E1622" s="147">
        <v>0.13</v>
      </c>
      <c r="F1622" s="147">
        <f>E1622*F1620</f>
        <v>4.55</v>
      </c>
      <c r="G1622" s="147"/>
      <c r="H1622" s="147">
        <f>F1622*G1622</f>
        <v>0</v>
      </c>
    </row>
    <row r="1623" spans="1:8">
      <c r="A1623" s="83"/>
      <c r="B1623" s="14"/>
      <c r="C1623" s="10" t="s">
        <v>1147</v>
      </c>
      <c r="D1623" s="10" t="s">
        <v>3</v>
      </c>
      <c r="E1623" s="16"/>
      <c r="F1623" s="43"/>
      <c r="G1623" s="16"/>
      <c r="H1623" s="76">
        <f>H1597+H1599+H1613+H1618+H1604+H1620</f>
        <v>0</v>
      </c>
    </row>
    <row r="1624" spans="1:8">
      <c r="A1624" s="64"/>
      <c r="B1624" s="14"/>
      <c r="C1624" s="16" t="s">
        <v>687</v>
      </c>
      <c r="D1624" s="16" t="s">
        <v>3</v>
      </c>
      <c r="E1624" s="16"/>
      <c r="F1624" s="224">
        <v>0.1</v>
      </c>
      <c r="G1624" s="16"/>
      <c r="H1624" s="18">
        <f>H1623*F1624</f>
        <v>0</v>
      </c>
    </row>
    <row r="1625" spans="1:8">
      <c r="A1625" s="64"/>
      <c r="B1625" s="46"/>
      <c r="C1625" s="10" t="s">
        <v>688</v>
      </c>
      <c r="D1625" s="10" t="s">
        <v>3</v>
      </c>
      <c r="E1625" s="10"/>
      <c r="F1625" s="10"/>
      <c r="G1625" s="10"/>
      <c r="H1625" s="57">
        <f>H1624+H1623</f>
        <v>0</v>
      </c>
    </row>
    <row r="1626" spans="1:8">
      <c r="A1626" s="64"/>
      <c r="B1626" s="14"/>
      <c r="C1626" s="16" t="s">
        <v>689</v>
      </c>
      <c r="D1626" s="16" t="s">
        <v>3</v>
      </c>
      <c r="E1626" s="16"/>
      <c r="F1626" s="224">
        <v>0.08</v>
      </c>
      <c r="G1626" s="16"/>
      <c r="H1626" s="18">
        <f>H1625*F1626</f>
        <v>0</v>
      </c>
    </row>
    <row r="1627" spans="1:8">
      <c r="A1627" s="83"/>
      <c r="B1627" s="46"/>
      <c r="C1627" s="10" t="s">
        <v>690</v>
      </c>
      <c r="D1627" s="10" t="s">
        <v>3</v>
      </c>
      <c r="E1627" s="10"/>
      <c r="F1627" s="225"/>
      <c r="G1627" s="206"/>
      <c r="H1627" s="462">
        <f>SUM(H1625:H1626)</f>
        <v>0</v>
      </c>
    </row>
    <row r="1630" spans="1:8">
      <c r="A1630" s="487" t="s">
        <v>1216</v>
      </c>
      <c r="B1630" s="487"/>
      <c r="C1630" s="487"/>
      <c r="D1630" s="487"/>
      <c r="E1630" s="487"/>
      <c r="F1630" s="487"/>
      <c r="G1630" s="487"/>
      <c r="H1630" s="487"/>
    </row>
    <row r="1631" spans="1:8" ht="30.75" customHeight="1">
      <c r="A1631" s="488" t="s">
        <v>1237</v>
      </c>
      <c r="B1631" s="488"/>
      <c r="C1631" s="488"/>
      <c r="D1631" s="488"/>
      <c r="E1631" s="488"/>
      <c r="F1631" s="488"/>
      <c r="G1631" s="488"/>
      <c r="H1631" s="488"/>
    </row>
    <row r="1632" spans="1:8" ht="29.25" customHeight="1">
      <c r="A1632" s="492" t="s">
        <v>5</v>
      </c>
      <c r="B1632" s="508" t="s">
        <v>6</v>
      </c>
      <c r="C1632" s="494" t="s">
        <v>7</v>
      </c>
      <c r="D1632" s="495" t="s">
        <v>8</v>
      </c>
      <c r="E1632" s="496" t="s">
        <v>9</v>
      </c>
      <c r="F1632" s="496"/>
      <c r="G1632" s="496" t="s">
        <v>10</v>
      </c>
      <c r="H1632" s="496"/>
    </row>
    <row r="1633" spans="1:8" ht="76.5" customHeight="1">
      <c r="A1633" s="492"/>
      <c r="B1633" s="508"/>
      <c r="C1633" s="494"/>
      <c r="D1633" s="495"/>
      <c r="E1633" s="226" t="s">
        <v>11</v>
      </c>
      <c r="F1633" s="226" t="s">
        <v>12</v>
      </c>
      <c r="G1633" s="226" t="s">
        <v>11</v>
      </c>
      <c r="H1633" s="228" t="s">
        <v>12</v>
      </c>
    </row>
    <row r="1634" spans="1:8">
      <c r="A1634" s="62" t="s">
        <v>13</v>
      </c>
      <c r="B1634" s="46">
        <v>2</v>
      </c>
      <c r="C1634" s="232">
        <v>3</v>
      </c>
      <c r="D1634" s="232">
        <v>4</v>
      </c>
      <c r="E1634" s="232">
        <v>5</v>
      </c>
      <c r="F1634" s="232">
        <v>6</v>
      </c>
      <c r="G1634" s="232">
        <v>7</v>
      </c>
      <c r="H1634" s="8">
        <v>8</v>
      </c>
    </row>
    <row r="1635" spans="1:8" ht="51">
      <c r="A1635" s="328" t="s">
        <v>13</v>
      </c>
      <c r="B1635" s="329" t="s">
        <v>1238</v>
      </c>
      <c r="C1635" s="20" t="s">
        <v>1239</v>
      </c>
      <c r="D1635" s="330" t="s">
        <v>16</v>
      </c>
      <c r="E1635" s="330"/>
      <c r="F1635" s="331">
        <v>12</v>
      </c>
      <c r="G1635" s="330"/>
      <c r="H1635" s="332">
        <f>H1636+H1637</f>
        <v>0</v>
      </c>
    </row>
    <row r="1636" spans="1:8">
      <c r="A1636" s="14"/>
      <c r="B1636" s="67" t="s">
        <v>17</v>
      </c>
      <c r="C1636" s="16" t="s">
        <v>297</v>
      </c>
      <c r="D1636" s="16" t="s">
        <v>19</v>
      </c>
      <c r="E1636" s="16">
        <v>0.16</v>
      </c>
      <c r="F1636" s="43">
        <f>E1636*F1635</f>
        <v>1.92</v>
      </c>
      <c r="G1636" s="16"/>
      <c r="H1636" s="44">
        <f>G1636*F1636</f>
        <v>0</v>
      </c>
    </row>
    <row r="1637" spans="1:8">
      <c r="A1637" s="14"/>
      <c r="B1637" s="28" t="s">
        <v>1240</v>
      </c>
      <c r="C1637" s="16" t="s">
        <v>1241</v>
      </c>
      <c r="D1637" s="16" t="s">
        <v>326</v>
      </c>
      <c r="E1637" s="16">
        <v>7.7499999999999999E-2</v>
      </c>
      <c r="F1637" s="43">
        <f>E1637*F1635</f>
        <v>0.92999999999999994</v>
      </c>
      <c r="G1637" s="16"/>
      <c r="H1637" s="44">
        <f>G1637*F1637</f>
        <v>0</v>
      </c>
    </row>
    <row r="1638" spans="1:8" ht="80.25" customHeight="1">
      <c r="A1638" s="328" t="s">
        <v>72</v>
      </c>
      <c r="B1638" s="329" t="s">
        <v>1242</v>
      </c>
      <c r="C1638" s="20" t="s">
        <v>1243</v>
      </c>
      <c r="D1638" s="330" t="s">
        <v>75</v>
      </c>
      <c r="E1638" s="330"/>
      <c r="F1638" s="331">
        <v>165</v>
      </c>
      <c r="G1638" s="330"/>
      <c r="H1638" s="332">
        <f>SUM(H1639:H1640)</f>
        <v>0</v>
      </c>
    </row>
    <row r="1639" spans="1:8">
      <c r="A1639" s="333"/>
      <c r="B1639" s="334" t="s">
        <v>17</v>
      </c>
      <c r="C1639" s="50" t="s">
        <v>1244</v>
      </c>
      <c r="D1639" s="50" t="s">
        <v>19</v>
      </c>
      <c r="E1639" s="50">
        <f>1.1*0.0114</f>
        <v>1.2540000000000001E-2</v>
      </c>
      <c r="F1639" s="335">
        <f>E1639*F1638</f>
        <v>2.0691000000000002</v>
      </c>
      <c r="G1639" s="50"/>
      <c r="H1639" s="336">
        <f>G1639*F1639</f>
        <v>0</v>
      </c>
    </row>
    <row r="1640" spans="1:8">
      <c r="A1640" s="333"/>
      <c r="B1640" s="28" t="s">
        <v>1240</v>
      </c>
      <c r="C1640" s="28" t="s">
        <v>1245</v>
      </c>
      <c r="D1640" s="28" t="s">
        <v>1246</v>
      </c>
      <c r="E1640" s="72">
        <f>0.0509*1.1</f>
        <v>5.5990000000000005E-2</v>
      </c>
      <c r="F1640" s="44">
        <f>E1640*F1638</f>
        <v>9.2383500000000005</v>
      </c>
      <c r="G1640" s="237"/>
      <c r="H1640" s="44">
        <f>F1640*G1640</f>
        <v>0</v>
      </c>
    </row>
    <row r="1641" spans="1:8" ht="27.75" customHeight="1">
      <c r="A1641" s="8">
        <v>3</v>
      </c>
      <c r="B1641" s="55" t="s">
        <v>64</v>
      </c>
      <c r="C1641" s="20" t="s">
        <v>1247</v>
      </c>
      <c r="D1641" s="11" t="s">
        <v>59</v>
      </c>
      <c r="E1641" s="11"/>
      <c r="F1641" s="21">
        <f>F1638*1.85</f>
        <v>305.25</v>
      </c>
      <c r="G1641" s="11"/>
      <c r="H1641" s="13">
        <f>SUM(H1642:H1642)</f>
        <v>0</v>
      </c>
    </row>
    <row r="1642" spans="1:8">
      <c r="A1642" s="14"/>
      <c r="B1642" s="15" t="s">
        <v>66</v>
      </c>
      <c r="C1642" s="16" t="s">
        <v>67</v>
      </c>
      <c r="D1642" s="17" t="s">
        <v>59</v>
      </c>
      <c r="E1642" s="17">
        <v>1</v>
      </c>
      <c r="F1642" s="18">
        <f>F1641*E1642</f>
        <v>305.25</v>
      </c>
      <c r="G1642" s="18"/>
      <c r="H1642" s="19">
        <f>F1642*G1642</f>
        <v>0</v>
      </c>
    </row>
    <row r="1643" spans="1:8" ht="60">
      <c r="A1643" s="25">
        <v>4</v>
      </c>
      <c r="B1643" s="9" t="s">
        <v>1248</v>
      </c>
      <c r="C1643" s="20" t="s">
        <v>1249</v>
      </c>
      <c r="D1643" s="26" t="s">
        <v>23</v>
      </c>
      <c r="E1643" s="26"/>
      <c r="F1643" s="69">
        <v>24.75</v>
      </c>
      <c r="G1643" s="26"/>
      <c r="H1643" s="13">
        <f>SUM(H1644:H1644)</f>
        <v>0</v>
      </c>
    </row>
    <row r="1644" spans="1:8">
      <c r="A1644" s="61"/>
      <c r="B1644" s="15" t="s">
        <v>17</v>
      </c>
      <c r="C1644" s="28" t="s">
        <v>1250</v>
      </c>
      <c r="D1644" s="29" t="s">
        <v>19</v>
      </c>
      <c r="E1644" s="29">
        <f>1.2*2.06</f>
        <v>2.472</v>
      </c>
      <c r="F1644" s="44">
        <f>F1643*E1644</f>
        <v>61.182000000000002</v>
      </c>
      <c r="G1644" s="29"/>
      <c r="H1644" s="19">
        <f>G1644*F1644</f>
        <v>0</v>
      </c>
    </row>
    <row r="1645" spans="1:8" ht="40.5">
      <c r="A1645" s="20">
        <v>5</v>
      </c>
      <c r="B1645" s="20" t="s">
        <v>1251</v>
      </c>
      <c r="C1645" s="20" t="s">
        <v>1252</v>
      </c>
      <c r="D1645" s="20" t="s">
        <v>1253</v>
      </c>
      <c r="E1645" s="28"/>
      <c r="F1645" s="69">
        <v>10</v>
      </c>
      <c r="G1645" s="28"/>
      <c r="H1645" s="39">
        <f>H1646+H1647</f>
        <v>0</v>
      </c>
    </row>
    <row r="1646" spans="1:8">
      <c r="A1646" s="28"/>
      <c r="B1646" s="28" t="s">
        <v>17</v>
      </c>
      <c r="C1646" s="28" t="s">
        <v>1254</v>
      </c>
      <c r="D1646" s="28" t="s">
        <v>1255</v>
      </c>
      <c r="E1646" s="44">
        <v>1.8</v>
      </c>
      <c r="F1646" s="44">
        <f>E1646*F1645</f>
        <v>18</v>
      </c>
      <c r="G1646" s="28"/>
      <c r="H1646" s="44">
        <f>F1646*G1646</f>
        <v>0</v>
      </c>
    </row>
    <row r="1647" spans="1:8">
      <c r="A1647" s="64"/>
      <c r="B1647" s="14" t="s">
        <v>1235</v>
      </c>
      <c r="C1647" s="295" t="s">
        <v>1236</v>
      </c>
      <c r="D1647" s="295" t="s">
        <v>23</v>
      </c>
      <c r="E1647" s="295">
        <v>1.1000000000000001</v>
      </c>
      <c r="F1647" s="295">
        <f>E1647*F1645</f>
        <v>11</v>
      </c>
      <c r="G1647" s="295"/>
      <c r="H1647" s="44">
        <f>F1647*G1647</f>
        <v>0</v>
      </c>
    </row>
    <row r="1648" spans="1:8" ht="54">
      <c r="A1648" s="20">
        <v>6</v>
      </c>
      <c r="B1648" s="20" t="s">
        <v>1256</v>
      </c>
      <c r="C1648" s="20" t="s">
        <v>1257</v>
      </c>
      <c r="D1648" s="20" t="s">
        <v>1258</v>
      </c>
      <c r="E1648" s="28"/>
      <c r="F1648" s="69">
        <v>90</v>
      </c>
      <c r="G1648" s="28"/>
      <c r="H1648" s="39">
        <f>SUM(H1649:H1652)</f>
        <v>0</v>
      </c>
    </row>
    <row r="1649" spans="1:8">
      <c r="A1649" s="28"/>
      <c r="B1649" s="28" t="s">
        <v>17</v>
      </c>
      <c r="C1649" s="28" t="s">
        <v>936</v>
      </c>
      <c r="D1649" s="28" t="s">
        <v>243</v>
      </c>
      <c r="E1649" s="28">
        <v>0.17</v>
      </c>
      <c r="F1649" s="238">
        <f>E1649*F1648</f>
        <v>15.3</v>
      </c>
      <c r="G1649" s="28"/>
      <c r="H1649" s="44">
        <f>F1649*G1649</f>
        <v>0</v>
      </c>
    </row>
    <row r="1650" spans="1:8">
      <c r="A1650" s="28"/>
      <c r="B1650" s="28" t="s">
        <v>17</v>
      </c>
      <c r="C1650" s="28" t="s">
        <v>244</v>
      </c>
      <c r="D1650" s="28" t="s">
        <v>3</v>
      </c>
      <c r="E1650" s="28">
        <v>8.1500000000000003E-2</v>
      </c>
      <c r="F1650" s="238">
        <f>E1650*F1648</f>
        <v>7.335</v>
      </c>
      <c r="G1650" s="28"/>
      <c r="H1650" s="44">
        <f>F1650*G1650</f>
        <v>0</v>
      </c>
    </row>
    <row r="1651" spans="1:8" ht="27">
      <c r="A1651" s="28"/>
      <c r="B1651" s="186" t="s">
        <v>1259</v>
      </c>
      <c r="C1651" s="28" t="s">
        <v>1260</v>
      </c>
      <c r="D1651" s="28" t="s">
        <v>1258</v>
      </c>
      <c r="E1651" s="28">
        <v>1.01</v>
      </c>
      <c r="F1651" s="238">
        <f>E1651*F1648</f>
        <v>90.9</v>
      </c>
      <c r="G1651" s="44"/>
      <c r="H1651" s="44">
        <f>F1651*G1651</f>
        <v>0</v>
      </c>
    </row>
    <row r="1652" spans="1:8">
      <c r="A1652" s="28"/>
      <c r="B1652" s="28" t="s">
        <v>17</v>
      </c>
      <c r="C1652" s="28" t="s">
        <v>87</v>
      </c>
      <c r="D1652" s="28" t="s">
        <v>3</v>
      </c>
      <c r="E1652" s="71">
        <v>3.48E-3</v>
      </c>
      <c r="F1652" s="238">
        <f>E1652*F1648</f>
        <v>0.31319999999999998</v>
      </c>
      <c r="G1652" s="28"/>
      <c r="H1652" s="44">
        <f>F1652*G1652</f>
        <v>0</v>
      </c>
    </row>
    <row r="1653" spans="1:8" ht="61.5" customHeight="1">
      <c r="A1653" s="20">
        <v>7</v>
      </c>
      <c r="B1653" s="20" t="s">
        <v>1256</v>
      </c>
      <c r="C1653" s="20" t="s">
        <v>1261</v>
      </c>
      <c r="D1653" s="20" t="s">
        <v>1258</v>
      </c>
      <c r="E1653" s="28"/>
      <c r="F1653" s="69">
        <v>160</v>
      </c>
      <c r="G1653" s="28"/>
      <c r="H1653" s="39">
        <f>SUM(H1654:H1657)</f>
        <v>0</v>
      </c>
    </row>
    <row r="1654" spans="1:8">
      <c r="A1654" s="28"/>
      <c r="B1654" s="28" t="s">
        <v>17</v>
      </c>
      <c r="C1654" s="28" t="s">
        <v>936</v>
      </c>
      <c r="D1654" s="28" t="s">
        <v>243</v>
      </c>
      <c r="E1654" s="28">
        <v>0.17</v>
      </c>
      <c r="F1654" s="238">
        <f>E1654*F1653</f>
        <v>27.200000000000003</v>
      </c>
      <c r="G1654" s="28"/>
      <c r="H1654" s="44">
        <f>F1654*G1654</f>
        <v>0</v>
      </c>
    </row>
    <row r="1655" spans="1:8">
      <c r="A1655" s="28"/>
      <c r="B1655" s="28" t="s">
        <v>17</v>
      </c>
      <c r="C1655" s="28" t="s">
        <v>244</v>
      </c>
      <c r="D1655" s="28" t="s">
        <v>3</v>
      </c>
      <c r="E1655" s="28">
        <v>8.1500000000000003E-2</v>
      </c>
      <c r="F1655" s="238">
        <f>E1655*F1653</f>
        <v>13.040000000000001</v>
      </c>
      <c r="G1655" s="28"/>
      <c r="H1655" s="44">
        <f>F1655*G1655</f>
        <v>0</v>
      </c>
    </row>
    <row r="1656" spans="1:8" ht="27">
      <c r="A1656" s="28"/>
      <c r="B1656" s="186" t="s">
        <v>1262</v>
      </c>
      <c r="C1656" s="28" t="s">
        <v>1263</v>
      </c>
      <c r="D1656" s="28" t="s">
        <v>1258</v>
      </c>
      <c r="E1656" s="28">
        <v>1.01</v>
      </c>
      <c r="F1656" s="238">
        <f>E1656*F1653</f>
        <v>161.6</v>
      </c>
      <c r="G1656" s="44"/>
      <c r="H1656" s="44">
        <f>F1656*G1656</f>
        <v>0</v>
      </c>
    </row>
    <row r="1657" spans="1:8">
      <c r="A1657" s="28"/>
      <c r="B1657" s="28" t="s">
        <v>17</v>
      </c>
      <c r="C1657" s="28" t="s">
        <v>87</v>
      </c>
      <c r="D1657" s="28" t="s">
        <v>3</v>
      </c>
      <c r="E1657" s="71">
        <v>3.48E-3</v>
      </c>
      <c r="F1657" s="238">
        <f>E1657*F1653</f>
        <v>0.55679999999999996</v>
      </c>
      <c r="G1657" s="28"/>
      <c r="H1657" s="44">
        <f>F1657*G1657</f>
        <v>0</v>
      </c>
    </row>
    <row r="1658" spans="1:8" ht="54">
      <c r="A1658" s="20">
        <v>8</v>
      </c>
      <c r="B1658" s="20" t="s">
        <v>1251</v>
      </c>
      <c r="C1658" s="20" t="s">
        <v>1264</v>
      </c>
      <c r="D1658" s="20" t="s">
        <v>1253</v>
      </c>
      <c r="E1658" s="28"/>
      <c r="F1658" s="69">
        <v>27.5</v>
      </c>
      <c r="G1658" s="28"/>
      <c r="H1658" s="39">
        <f>H1659+H1660</f>
        <v>0</v>
      </c>
    </row>
    <row r="1659" spans="1:8">
      <c r="A1659" s="28"/>
      <c r="B1659" s="28" t="s">
        <v>17</v>
      </c>
      <c r="C1659" s="28" t="s">
        <v>1254</v>
      </c>
      <c r="D1659" s="28" t="s">
        <v>1255</v>
      </c>
      <c r="E1659" s="44">
        <v>1.8</v>
      </c>
      <c r="F1659" s="44">
        <f>E1659*F1658</f>
        <v>49.5</v>
      </c>
      <c r="G1659" s="28"/>
      <c r="H1659" s="44">
        <f>F1659*G1659</f>
        <v>0</v>
      </c>
    </row>
    <row r="1660" spans="1:8">
      <c r="A1660" s="64"/>
      <c r="B1660" s="14" t="s">
        <v>1235</v>
      </c>
      <c r="C1660" s="295" t="s">
        <v>1236</v>
      </c>
      <c r="D1660" s="295" t="s">
        <v>23</v>
      </c>
      <c r="E1660" s="295">
        <v>1.1000000000000001</v>
      </c>
      <c r="F1660" s="295">
        <f>E1660*F1658</f>
        <v>30.250000000000004</v>
      </c>
      <c r="G1660" s="295"/>
      <c r="H1660" s="44">
        <f>F1660*G1660</f>
        <v>0</v>
      </c>
    </row>
    <row r="1661" spans="1:8" ht="81">
      <c r="A1661" s="25">
        <v>9</v>
      </c>
      <c r="B1661" s="20" t="s">
        <v>1265</v>
      </c>
      <c r="C1661" s="20" t="s">
        <v>1266</v>
      </c>
      <c r="D1661" s="20" t="s">
        <v>678</v>
      </c>
      <c r="E1661" s="28"/>
      <c r="F1661" s="69">
        <v>1</v>
      </c>
      <c r="G1661" s="28"/>
      <c r="H1661" s="39">
        <f>H1662+H1663+H1664+H1665</f>
        <v>0</v>
      </c>
    </row>
    <row r="1662" spans="1:8">
      <c r="A1662" s="28"/>
      <c r="B1662" s="28" t="s">
        <v>17</v>
      </c>
      <c r="C1662" s="28" t="s">
        <v>936</v>
      </c>
      <c r="D1662" s="28" t="s">
        <v>243</v>
      </c>
      <c r="E1662" s="28">
        <v>2.73</v>
      </c>
      <c r="F1662" s="28">
        <f>E1662*F1661</f>
        <v>2.73</v>
      </c>
      <c r="G1662" s="44"/>
      <c r="H1662" s="44">
        <f>F1662*G1662</f>
        <v>0</v>
      </c>
    </row>
    <row r="1663" spans="1:8">
      <c r="A1663" s="28"/>
      <c r="B1663" s="28" t="s">
        <v>17</v>
      </c>
      <c r="C1663" s="28" t="s">
        <v>244</v>
      </c>
      <c r="D1663" s="28" t="s">
        <v>3</v>
      </c>
      <c r="E1663" s="28">
        <v>1.05</v>
      </c>
      <c r="F1663" s="28">
        <f>E1663*F1661</f>
        <v>1.05</v>
      </c>
      <c r="G1663" s="28"/>
      <c r="H1663" s="44">
        <f>F1663*G1663</f>
        <v>0</v>
      </c>
    </row>
    <row r="1664" spans="1:8">
      <c r="A1664" s="28"/>
      <c r="B1664" s="28" t="s">
        <v>52</v>
      </c>
      <c r="C1664" s="28" t="s">
        <v>1267</v>
      </c>
      <c r="D1664" s="28" t="s">
        <v>209</v>
      </c>
      <c r="E1664" s="28">
        <v>1</v>
      </c>
      <c r="F1664" s="28">
        <f>E1664*F1661</f>
        <v>1</v>
      </c>
      <c r="G1664" s="28"/>
      <c r="H1664" s="44">
        <f>F1664*G1664</f>
        <v>0</v>
      </c>
    </row>
    <row r="1665" spans="1:8">
      <c r="A1665" s="28"/>
      <c r="B1665" s="28" t="s">
        <v>17</v>
      </c>
      <c r="C1665" s="28" t="s">
        <v>87</v>
      </c>
      <c r="D1665" s="28" t="s">
        <v>3</v>
      </c>
      <c r="E1665" s="28">
        <v>0.67</v>
      </c>
      <c r="F1665" s="28">
        <f>E1665*F1661</f>
        <v>0.67</v>
      </c>
      <c r="G1665" s="28"/>
      <c r="H1665" s="44">
        <f>F1665*G1665</f>
        <v>0</v>
      </c>
    </row>
    <row r="1666" spans="1:8" ht="48">
      <c r="A1666" s="68" t="s">
        <v>124</v>
      </c>
      <c r="B1666" s="55" t="s">
        <v>133</v>
      </c>
      <c r="C1666" s="20" t="s">
        <v>1268</v>
      </c>
      <c r="D1666" s="20" t="s">
        <v>75</v>
      </c>
      <c r="E1666" s="20"/>
      <c r="F1666" s="69">
        <v>120</v>
      </c>
      <c r="G1666" s="10"/>
      <c r="H1666" s="39">
        <f>SUM(H1667:H1669)</f>
        <v>0</v>
      </c>
    </row>
    <row r="1667" spans="1:8">
      <c r="A1667" s="64"/>
      <c r="B1667" s="14" t="s">
        <v>17</v>
      </c>
      <c r="C1667" s="16" t="s">
        <v>28</v>
      </c>
      <c r="D1667" s="28" t="s">
        <v>19</v>
      </c>
      <c r="E1667" s="16">
        <v>3.16</v>
      </c>
      <c r="F1667" s="43">
        <f>E1667*F1666</f>
        <v>379.20000000000005</v>
      </c>
      <c r="G1667" s="17"/>
      <c r="H1667" s="44">
        <f>G1667*F1667</f>
        <v>0</v>
      </c>
    </row>
    <row r="1668" spans="1:8">
      <c r="A1668" s="64"/>
      <c r="B1668" s="67" t="s">
        <v>1269</v>
      </c>
      <c r="C1668" s="16" t="s">
        <v>1270</v>
      </c>
      <c r="D1668" s="16" t="s">
        <v>75</v>
      </c>
      <c r="E1668" s="16">
        <v>1.25</v>
      </c>
      <c r="F1668" s="43">
        <f>E1668*F1666</f>
        <v>150</v>
      </c>
      <c r="G1668" s="16"/>
      <c r="H1668" s="43">
        <f>G1668*F1668</f>
        <v>0</v>
      </c>
    </row>
    <row r="1669" spans="1:8">
      <c r="A1669" s="64"/>
      <c r="B1669" s="14" t="s">
        <v>17</v>
      </c>
      <c r="C1669" s="28" t="s">
        <v>87</v>
      </c>
      <c r="D1669" s="16" t="s">
        <v>3</v>
      </c>
      <c r="E1669" s="16">
        <v>0.01</v>
      </c>
      <c r="F1669" s="43">
        <f>E1669*F1666</f>
        <v>1.2</v>
      </c>
      <c r="G1669" s="16"/>
      <c r="H1669" s="43">
        <f>G1669*F1669</f>
        <v>0</v>
      </c>
    </row>
    <row r="1670" spans="1:8" ht="48">
      <c r="A1670" s="9" t="s">
        <v>127</v>
      </c>
      <c r="B1670" s="9" t="s">
        <v>89</v>
      </c>
      <c r="C1670" s="20" t="s">
        <v>1271</v>
      </c>
      <c r="D1670" s="20" t="s">
        <v>23</v>
      </c>
      <c r="E1670" s="20"/>
      <c r="F1670" s="69">
        <f>F1666</f>
        <v>120</v>
      </c>
      <c r="G1670" s="20"/>
      <c r="H1670" s="39">
        <f>H1671+H1672</f>
        <v>0</v>
      </c>
    </row>
    <row r="1671" spans="1:8" ht="27">
      <c r="A1671" s="15"/>
      <c r="B1671" s="23" t="s">
        <v>91</v>
      </c>
      <c r="C1671" s="28" t="s">
        <v>92</v>
      </c>
      <c r="D1671" s="28" t="s">
        <v>19</v>
      </c>
      <c r="E1671" s="71">
        <f>(12.9-2*1.27)/1000</f>
        <v>1.0359999999999999E-2</v>
      </c>
      <c r="F1671" s="72">
        <f>E1671*F1670</f>
        <v>1.2431999999999999</v>
      </c>
      <c r="G1671" s="28"/>
      <c r="H1671" s="44">
        <f>G1671*F1671</f>
        <v>0</v>
      </c>
    </row>
    <row r="1672" spans="1:8" ht="27">
      <c r="A1672" s="15"/>
      <c r="B1672" s="23" t="s">
        <v>93</v>
      </c>
      <c r="C1672" s="28" t="s">
        <v>94</v>
      </c>
      <c r="D1672" s="28" t="s">
        <v>19</v>
      </c>
      <c r="E1672" s="71">
        <f>(3.18-2*0.32)/1000</f>
        <v>2.5400000000000002E-3</v>
      </c>
      <c r="F1672" s="71">
        <f>E1672*F1670</f>
        <v>0.30480000000000002</v>
      </c>
      <c r="G1672" s="28"/>
      <c r="H1672" s="44">
        <f>G1672*F1672</f>
        <v>0</v>
      </c>
    </row>
    <row r="1673" spans="1:8" ht="81">
      <c r="A1673" s="328" t="s">
        <v>132</v>
      </c>
      <c r="B1673" s="329" t="s">
        <v>1242</v>
      </c>
      <c r="C1673" s="20" t="s">
        <v>1272</v>
      </c>
      <c r="D1673" s="330" t="s">
        <v>75</v>
      </c>
      <c r="E1673" s="330"/>
      <c r="F1673" s="331">
        <v>15.92</v>
      </c>
      <c r="G1673" s="330"/>
      <c r="H1673" s="332">
        <f>SUM(H1674:H1675)</f>
        <v>0</v>
      </c>
    </row>
    <row r="1674" spans="1:8">
      <c r="A1674" s="333"/>
      <c r="B1674" s="334" t="s">
        <v>17</v>
      </c>
      <c r="C1674" s="50" t="s">
        <v>1244</v>
      </c>
      <c r="D1674" s="50" t="s">
        <v>19</v>
      </c>
      <c r="E1674" s="50">
        <f>1.1*0.0114</f>
        <v>1.2540000000000001E-2</v>
      </c>
      <c r="F1674" s="335">
        <f>E1674*F1673</f>
        <v>0.1996368</v>
      </c>
      <c r="G1674" s="50"/>
      <c r="H1674" s="336">
        <f>G1674*F1674</f>
        <v>0</v>
      </c>
    </row>
    <row r="1675" spans="1:8">
      <c r="A1675" s="333"/>
      <c r="B1675" s="28" t="s">
        <v>1273</v>
      </c>
      <c r="C1675" s="28" t="s">
        <v>1245</v>
      </c>
      <c r="D1675" s="28" t="s">
        <v>1246</v>
      </c>
      <c r="E1675" s="72">
        <f>0.0509*1.1</f>
        <v>5.5990000000000005E-2</v>
      </c>
      <c r="F1675" s="44">
        <f>E1675*F1673</f>
        <v>0.89136080000000006</v>
      </c>
      <c r="G1675" s="237"/>
      <c r="H1675" s="44">
        <f>F1675*G1675</f>
        <v>0</v>
      </c>
    </row>
    <row r="1676" spans="1:8" ht="30.75" customHeight="1">
      <c r="A1676" s="8">
        <v>13</v>
      </c>
      <c r="B1676" s="55" t="s">
        <v>64</v>
      </c>
      <c r="C1676" s="20" t="s">
        <v>1247</v>
      </c>
      <c r="D1676" s="11" t="s">
        <v>59</v>
      </c>
      <c r="E1676" s="11"/>
      <c r="F1676" s="21">
        <f>F1673*1.85</f>
        <v>29.452000000000002</v>
      </c>
      <c r="G1676" s="11"/>
      <c r="H1676" s="13">
        <f>SUM(H1677:H1677)</f>
        <v>0</v>
      </c>
    </row>
    <row r="1677" spans="1:8">
      <c r="A1677" s="14"/>
      <c r="B1677" s="15" t="s">
        <v>66</v>
      </c>
      <c r="C1677" s="16" t="s">
        <v>67</v>
      </c>
      <c r="D1677" s="17" t="s">
        <v>59</v>
      </c>
      <c r="E1677" s="17">
        <v>1</v>
      </c>
      <c r="F1677" s="18">
        <f>F1676*E1677</f>
        <v>29.452000000000002</v>
      </c>
      <c r="G1677" s="18"/>
      <c r="H1677" s="19">
        <f>F1677*G1677</f>
        <v>0</v>
      </c>
    </row>
    <row r="1678" spans="1:8" ht="67.5">
      <c r="A1678" s="25">
        <v>14</v>
      </c>
      <c r="B1678" s="68" t="s">
        <v>1274</v>
      </c>
      <c r="C1678" s="145" t="s">
        <v>1275</v>
      </c>
      <c r="D1678" s="145" t="s">
        <v>23</v>
      </c>
      <c r="E1678" s="145"/>
      <c r="F1678" s="145">
        <v>2</v>
      </c>
      <c r="G1678" s="145"/>
      <c r="H1678" s="146">
        <f>H1679+H1680+H1681+H1682+H1683+H1684+H1685+H1686</f>
        <v>0</v>
      </c>
    </row>
    <row r="1679" spans="1:8">
      <c r="A1679" s="64"/>
      <c r="B1679" s="64" t="s">
        <v>17</v>
      </c>
      <c r="C1679" s="16" t="s">
        <v>28</v>
      </c>
      <c r="D1679" s="17" t="s">
        <v>19</v>
      </c>
      <c r="E1679" s="17">
        <v>10.6</v>
      </c>
      <c r="F1679" s="18">
        <f>E1679*F1678</f>
        <v>21.2</v>
      </c>
      <c r="G1679" s="18"/>
      <c r="H1679" s="19">
        <f t="shared" ref="H1679:H1686" si="46">G1679*F1679</f>
        <v>0</v>
      </c>
    </row>
    <row r="1680" spans="1:8">
      <c r="A1680" s="64"/>
      <c r="B1680" s="64" t="s">
        <v>17</v>
      </c>
      <c r="C1680" s="16" t="s">
        <v>233</v>
      </c>
      <c r="D1680" s="17" t="s">
        <v>3</v>
      </c>
      <c r="E1680" s="17">
        <v>7.14</v>
      </c>
      <c r="F1680" s="18">
        <f>E1680*F1678</f>
        <v>14.28</v>
      </c>
      <c r="G1680" s="18"/>
      <c r="H1680" s="19">
        <f t="shared" si="46"/>
        <v>0</v>
      </c>
    </row>
    <row r="1681" spans="1:8" ht="27">
      <c r="A1681" s="64"/>
      <c r="B1681" s="64" t="s">
        <v>1276</v>
      </c>
      <c r="C1681" s="16" t="s">
        <v>1277</v>
      </c>
      <c r="D1681" s="17" t="s">
        <v>209</v>
      </c>
      <c r="E1681" s="17"/>
      <c r="F1681" s="18">
        <v>2</v>
      </c>
      <c r="G1681" s="18"/>
      <c r="H1681" s="19">
        <f t="shared" si="46"/>
        <v>0</v>
      </c>
    </row>
    <row r="1682" spans="1:8" ht="27">
      <c r="A1682" s="64"/>
      <c r="B1682" s="64" t="s">
        <v>1278</v>
      </c>
      <c r="C1682" s="16" t="s">
        <v>1279</v>
      </c>
      <c r="D1682" s="17" t="s">
        <v>209</v>
      </c>
      <c r="E1682" s="17"/>
      <c r="F1682" s="18">
        <v>2</v>
      </c>
      <c r="G1682" s="18"/>
      <c r="H1682" s="19">
        <f t="shared" si="46"/>
        <v>0</v>
      </c>
    </row>
    <row r="1683" spans="1:8" ht="27">
      <c r="A1683" s="64"/>
      <c r="B1683" s="64" t="s">
        <v>1280</v>
      </c>
      <c r="C1683" s="16" t="s">
        <v>1281</v>
      </c>
      <c r="D1683" s="17" t="s">
        <v>209</v>
      </c>
      <c r="E1683" s="17"/>
      <c r="F1683" s="18">
        <v>2</v>
      </c>
      <c r="G1683" s="18"/>
      <c r="H1683" s="19">
        <f t="shared" si="46"/>
        <v>0</v>
      </c>
    </row>
    <row r="1684" spans="1:8">
      <c r="A1684" s="325"/>
      <c r="B1684" s="28" t="s">
        <v>119</v>
      </c>
      <c r="C1684" s="269" t="s">
        <v>526</v>
      </c>
      <c r="D1684" s="51" t="s">
        <v>508</v>
      </c>
      <c r="E1684" s="52">
        <v>6.13E-2</v>
      </c>
      <c r="F1684" s="133">
        <f>E1684*F1678</f>
        <v>0.1226</v>
      </c>
      <c r="G1684" s="52"/>
      <c r="H1684" s="19">
        <f t="shared" si="46"/>
        <v>0</v>
      </c>
    </row>
    <row r="1685" spans="1:8">
      <c r="A1685" s="325"/>
      <c r="B1685" s="28" t="s">
        <v>1282</v>
      </c>
      <c r="C1685" s="51" t="s">
        <v>1283</v>
      </c>
      <c r="D1685" s="51" t="s">
        <v>75</v>
      </c>
      <c r="E1685" s="52">
        <v>7.0000000000000007E-2</v>
      </c>
      <c r="F1685" s="53">
        <f>E1685*F1678</f>
        <v>0.14000000000000001</v>
      </c>
      <c r="G1685" s="53"/>
      <c r="H1685" s="54">
        <f t="shared" si="46"/>
        <v>0</v>
      </c>
    </row>
    <row r="1686" spans="1:8">
      <c r="A1686" s="64"/>
      <c r="B1686" s="64" t="s">
        <v>17</v>
      </c>
      <c r="C1686" s="16" t="s">
        <v>87</v>
      </c>
      <c r="D1686" s="17" t="s">
        <v>3</v>
      </c>
      <c r="E1686" s="17">
        <v>6.61</v>
      </c>
      <c r="F1686" s="18">
        <f>E1686*F1678</f>
        <v>13.22</v>
      </c>
      <c r="G1686" s="18"/>
      <c r="H1686" s="19">
        <f t="shared" si="46"/>
        <v>0</v>
      </c>
    </row>
    <row r="1687" spans="1:8" ht="67.5">
      <c r="A1687" s="25">
        <v>15</v>
      </c>
      <c r="B1687" s="68" t="s">
        <v>1274</v>
      </c>
      <c r="C1687" s="145" t="s">
        <v>1284</v>
      </c>
      <c r="D1687" s="145" t="s">
        <v>23</v>
      </c>
      <c r="E1687" s="145"/>
      <c r="F1687" s="145">
        <v>2</v>
      </c>
      <c r="G1687" s="145"/>
      <c r="H1687" s="146">
        <f>H1688+H1689+H1690+H1691+H1692+H1693+H1694+H1695</f>
        <v>0</v>
      </c>
    </row>
    <row r="1688" spans="1:8">
      <c r="A1688" s="64"/>
      <c r="B1688" s="64" t="s">
        <v>17</v>
      </c>
      <c r="C1688" s="16" t="s">
        <v>28</v>
      </c>
      <c r="D1688" s="17" t="s">
        <v>19</v>
      </c>
      <c r="E1688" s="17">
        <v>10.6</v>
      </c>
      <c r="F1688" s="18">
        <f>E1688*F1687</f>
        <v>21.2</v>
      </c>
      <c r="G1688" s="18"/>
      <c r="H1688" s="19">
        <f t="shared" ref="H1688:H1695" si="47">G1688*F1688</f>
        <v>0</v>
      </c>
    </row>
    <row r="1689" spans="1:8">
      <c r="A1689" s="64"/>
      <c r="B1689" s="64" t="s">
        <v>17</v>
      </c>
      <c r="C1689" s="16" t="s">
        <v>233</v>
      </c>
      <c r="D1689" s="17" t="s">
        <v>3</v>
      </c>
      <c r="E1689" s="17">
        <v>7.14</v>
      </c>
      <c r="F1689" s="18">
        <f>E1689*F1687</f>
        <v>14.28</v>
      </c>
      <c r="G1689" s="18"/>
      <c r="H1689" s="19">
        <f t="shared" si="47"/>
        <v>0</v>
      </c>
    </row>
    <row r="1690" spans="1:8" ht="27">
      <c r="A1690" s="64"/>
      <c r="B1690" s="64" t="s">
        <v>1276</v>
      </c>
      <c r="C1690" s="16" t="s">
        <v>1277</v>
      </c>
      <c r="D1690" s="17" t="s">
        <v>209</v>
      </c>
      <c r="E1690" s="17"/>
      <c r="F1690" s="18">
        <v>2</v>
      </c>
      <c r="G1690" s="18"/>
      <c r="H1690" s="19">
        <f t="shared" si="47"/>
        <v>0</v>
      </c>
    </row>
    <row r="1691" spans="1:8" ht="27">
      <c r="A1691" s="64"/>
      <c r="B1691" s="64" t="s">
        <v>1285</v>
      </c>
      <c r="C1691" s="16" t="s">
        <v>1286</v>
      </c>
      <c r="D1691" s="17" t="s">
        <v>209</v>
      </c>
      <c r="E1691" s="17"/>
      <c r="F1691" s="18">
        <v>2</v>
      </c>
      <c r="G1691" s="18"/>
      <c r="H1691" s="19">
        <f t="shared" si="47"/>
        <v>0</v>
      </c>
    </row>
    <row r="1692" spans="1:8" ht="27">
      <c r="A1692" s="64"/>
      <c r="B1692" s="64" t="s">
        <v>1280</v>
      </c>
      <c r="C1692" s="16" t="s">
        <v>1281</v>
      </c>
      <c r="D1692" s="17" t="s">
        <v>209</v>
      </c>
      <c r="E1692" s="17"/>
      <c r="F1692" s="18">
        <v>2</v>
      </c>
      <c r="G1692" s="18"/>
      <c r="H1692" s="19">
        <f t="shared" si="47"/>
        <v>0</v>
      </c>
    </row>
    <row r="1693" spans="1:8">
      <c r="A1693" s="325"/>
      <c r="B1693" s="28" t="s">
        <v>119</v>
      </c>
      <c r="C1693" s="269" t="s">
        <v>526</v>
      </c>
      <c r="D1693" s="51" t="s">
        <v>508</v>
      </c>
      <c r="E1693" s="52">
        <v>6.13E-2</v>
      </c>
      <c r="F1693" s="133">
        <f>E1693*F1687</f>
        <v>0.1226</v>
      </c>
      <c r="G1693" s="52"/>
      <c r="H1693" s="19">
        <f t="shared" si="47"/>
        <v>0</v>
      </c>
    </row>
    <row r="1694" spans="1:8">
      <c r="A1694" s="325"/>
      <c r="B1694" s="28" t="s">
        <v>1282</v>
      </c>
      <c r="C1694" s="51" t="s">
        <v>1283</v>
      </c>
      <c r="D1694" s="51" t="s">
        <v>75</v>
      </c>
      <c r="E1694" s="52">
        <v>7.0000000000000007E-2</v>
      </c>
      <c r="F1694" s="53">
        <f>E1694*F1687</f>
        <v>0.14000000000000001</v>
      </c>
      <c r="G1694" s="53"/>
      <c r="H1694" s="54">
        <f t="shared" si="47"/>
        <v>0</v>
      </c>
    </row>
    <row r="1695" spans="1:8">
      <c r="A1695" s="64"/>
      <c r="B1695" s="64" t="s">
        <v>17</v>
      </c>
      <c r="C1695" s="16" t="s">
        <v>87</v>
      </c>
      <c r="D1695" s="17" t="s">
        <v>3</v>
      </c>
      <c r="E1695" s="17">
        <v>6.61</v>
      </c>
      <c r="F1695" s="18">
        <f>E1695*F1687</f>
        <v>13.22</v>
      </c>
      <c r="G1695" s="18"/>
      <c r="H1695" s="19">
        <f t="shared" si="47"/>
        <v>0</v>
      </c>
    </row>
    <row r="1696" spans="1:8" ht="48">
      <c r="A1696" s="68" t="s">
        <v>147</v>
      </c>
      <c r="B1696" s="55" t="s">
        <v>133</v>
      </c>
      <c r="C1696" s="20" t="s">
        <v>1287</v>
      </c>
      <c r="D1696" s="20" t="s">
        <v>75</v>
      </c>
      <c r="E1696" s="20"/>
      <c r="F1696" s="69">
        <v>10</v>
      </c>
      <c r="G1696" s="10"/>
      <c r="H1696" s="39">
        <f>SUM(H1697:H1699)</f>
        <v>0</v>
      </c>
    </row>
    <row r="1697" spans="1:8">
      <c r="A1697" s="64"/>
      <c r="B1697" s="14" t="s">
        <v>17</v>
      </c>
      <c r="C1697" s="16" t="s">
        <v>28</v>
      </c>
      <c r="D1697" s="28" t="s">
        <v>19</v>
      </c>
      <c r="E1697" s="16">
        <v>3.16</v>
      </c>
      <c r="F1697" s="43">
        <f>E1697*F1696</f>
        <v>31.6</v>
      </c>
      <c r="G1697" s="17"/>
      <c r="H1697" s="44">
        <f>G1697*F1697</f>
        <v>0</v>
      </c>
    </row>
    <row r="1698" spans="1:8">
      <c r="A1698" s="64"/>
      <c r="B1698" s="67" t="s">
        <v>580</v>
      </c>
      <c r="C1698" s="16" t="s">
        <v>136</v>
      </c>
      <c r="D1698" s="16" t="s">
        <v>75</v>
      </c>
      <c r="E1698" s="16">
        <v>1.25</v>
      </c>
      <c r="F1698" s="43">
        <f>E1698*F1696</f>
        <v>12.5</v>
      </c>
      <c r="G1698" s="16"/>
      <c r="H1698" s="43">
        <f>G1698*F1698</f>
        <v>0</v>
      </c>
    </row>
    <row r="1699" spans="1:8">
      <c r="A1699" s="64"/>
      <c r="B1699" s="14" t="s">
        <v>17</v>
      </c>
      <c r="C1699" s="28" t="s">
        <v>87</v>
      </c>
      <c r="D1699" s="16" t="s">
        <v>3</v>
      </c>
      <c r="E1699" s="16">
        <v>0.01</v>
      </c>
      <c r="F1699" s="43">
        <f>E1699*F1696</f>
        <v>0.1</v>
      </c>
      <c r="G1699" s="16"/>
      <c r="H1699" s="43">
        <f>G1699*F1699</f>
        <v>0</v>
      </c>
    </row>
    <row r="1700" spans="1:8" ht="48">
      <c r="A1700" s="144">
        <v>17</v>
      </c>
      <c r="B1700" s="9" t="s">
        <v>322</v>
      </c>
      <c r="C1700" s="145" t="s">
        <v>323</v>
      </c>
      <c r="D1700" s="145" t="s">
        <v>23</v>
      </c>
      <c r="E1700" s="145"/>
      <c r="F1700" s="145">
        <f>F1696</f>
        <v>10</v>
      </c>
      <c r="G1700" s="145"/>
      <c r="H1700" s="146">
        <f>H1701+H1702</f>
        <v>0</v>
      </c>
    </row>
    <row r="1701" spans="1:8">
      <c r="A1701" s="64"/>
      <c r="B1701" s="14" t="s">
        <v>17</v>
      </c>
      <c r="C1701" s="16" t="s">
        <v>28</v>
      </c>
      <c r="D1701" s="16" t="s">
        <v>19</v>
      </c>
      <c r="E1701" s="16">
        <v>0.13400000000000001</v>
      </c>
      <c r="F1701" s="43">
        <f>F1700*E1701</f>
        <v>1.34</v>
      </c>
      <c r="G1701" s="16"/>
      <c r="H1701" s="44">
        <f>G1701*F1701</f>
        <v>0</v>
      </c>
    </row>
    <row r="1702" spans="1:8">
      <c r="A1702" s="147"/>
      <c r="B1702" s="147" t="s">
        <v>324</v>
      </c>
      <c r="C1702" s="147" t="s">
        <v>325</v>
      </c>
      <c r="D1702" s="147" t="s">
        <v>326</v>
      </c>
      <c r="E1702" s="147">
        <v>0.13</v>
      </c>
      <c r="F1702" s="147">
        <f>E1702*F1700</f>
        <v>1.3</v>
      </c>
      <c r="G1702" s="147"/>
      <c r="H1702" s="147">
        <f>F1702*G1702</f>
        <v>0</v>
      </c>
    </row>
    <row r="1703" spans="1:8" ht="48">
      <c r="A1703" s="8">
        <v>18</v>
      </c>
      <c r="B1703" s="46" t="s">
        <v>1288</v>
      </c>
      <c r="C1703" s="10" t="s">
        <v>1289</v>
      </c>
      <c r="D1703" s="10" t="s">
        <v>75</v>
      </c>
      <c r="E1703" s="11"/>
      <c r="F1703" s="57">
        <v>0.24</v>
      </c>
      <c r="G1703" s="11"/>
      <c r="H1703" s="13">
        <f>SUM(H1704:H1709)</f>
        <v>0</v>
      </c>
    </row>
    <row r="1704" spans="1:8">
      <c r="A1704" s="64"/>
      <c r="B1704" s="14" t="s">
        <v>17</v>
      </c>
      <c r="C1704" s="16" t="s">
        <v>18</v>
      </c>
      <c r="D1704" s="16" t="s">
        <v>19</v>
      </c>
      <c r="E1704" s="17">
        <v>5.07</v>
      </c>
      <c r="F1704" s="33">
        <f>F1703*E1704</f>
        <v>1.2168000000000001</v>
      </c>
      <c r="G1704" s="16"/>
      <c r="H1704" s="19">
        <f>G1704*F1704</f>
        <v>0</v>
      </c>
    </row>
    <row r="1705" spans="1:8">
      <c r="A1705" s="64"/>
      <c r="B1705" s="14" t="s">
        <v>17</v>
      </c>
      <c r="C1705" s="16" t="s">
        <v>20</v>
      </c>
      <c r="D1705" s="16" t="s">
        <v>3</v>
      </c>
      <c r="E1705" s="17">
        <v>0.34</v>
      </c>
      <c r="F1705" s="33">
        <f>F1703*E1705</f>
        <v>8.1600000000000006E-2</v>
      </c>
      <c r="G1705" s="17"/>
      <c r="H1705" s="19">
        <f>G1705*F1705</f>
        <v>0</v>
      </c>
    </row>
    <row r="1706" spans="1:8">
      <c r="A1706" s="64"/>
      <c r="B1706" s="14" t="s">
        <v>1290</v>
      </c>
      <c r="C1706" s="16" t="s">
        <v>1291</v>
      </c>
      <c r="D1706" s="16" t="s">
        <v>75</v>
      </c>
      <c r="E1706" s="17">
        <v>1.02</v>
      </c>
      <c r="F1706" s="33">
        <f>F1703*E1706</f>
        <v>0.24479999999999999</v>
      </c>
      <c r="G1706" s="16"/>
      <c r="H1706" s="19">
        <f>F1706*G1706</f>
        <v>0</v>
      </c>
    </row>
    <row r="1707" spans="1:8">
      <c r="A1707" s="14"/>
      <c r="B1707" s="14" t="s">
        <v>150</v>
      </c>
      <c r="C1707" s="16" t="s">
        <v>1292</v>
      </c>
      <c r="D1707" s="16" t="s">
        <v>112</v>
      </c>
      <c r="E1707" s="16">
        <v>1.17</v>
      </c>
      <c r="F1707" s="70">
        <f>E1707*F1703</f>
        <v>0.28079999999999999</v>
      </c>
      <c r="G1707" s="16"/>
      <c r="H1707" s="30">
        <f>G1707*F1707</f>
        <v>0</v>
      </c>
    </row>
    <row r="1708" spans="1:8" ht="27">
      <c r="A1708" s="64"/>
      <c r="B1708" s="14" t="s">
        <v>113</v>
      </c>
      <c r="C1708" s="16" t="s">
        <v>1293</v>
      </c>
      <c r="D1708" s="16" t="s">
        <v>75</v>
      </c>
      <c r="E1708" s="17">
        <v>1.2500000000000001E-2</v>
      </c>
      <c r="F1708" s="33">
        <f>F1703*E1708</f>
        <v>3.0000000000000001E-3</v>
      </c>
      <c r="G1708" s="17"/>
      <c r="H1708" s="19">
        <f>F1708*G1708</f>
        <v>0</v>
      </c>
    </row>
    <row r="1709" spans="1:8">
      <c r="A1709" s="64"/>
      <c r="B1709" s="14" t="s">
        <v>52</v>
      </c>
      <c r="C1709" s="16" t="s">
        <v>87</v>
      </c>
      <c r="D1709" s="16" t="s">
        <v>3</v>
      </c>
      <c r="E1709" s="17">
        <v>0.25</v>
      </c>
      <c r="F1709" s="33">
        <f>F1703*E1709</f>
        <v>0.06</v>
      </c>
      <c r="G1709" s="17"/>
      <c r="H1709" s="19">
        <f>F1709*G1709</f>
        <v>0</v>
      </c>
    </row>
    <row r="1710" spans="1:8" ht="40.5">
      <c r="A1710" s="20">
        <v>19</v>
      </c>
      <c r="B1710" s="20" t="s">
        <v>1294</v>
      </c>
      <c r="C1710" s="20" t="s">
        <v>1295</v>
      </c>
      <c r="D1710" s="20" t="s">
        <v>678</v>
      </c>
      <c r="E1710" s="20"/>
      <c r="F1710" s="69">
        <v>2</v>
      </c>
      <c r="G1710" s="20"/>
      <c r="H1710" s="39">
        <f>SUM(H1711:H1717)</f>
        <v>0</v>
      </c>
    </row>
    <row r="1711" spans="1:8">
      <c r="A1711" s="28"/>
      <c r="B1711" s="28" t="s">
        <v>17</v>
      </c>
      <c r="C1711" s="28" t="s">
        <v>1254</v>
      </c>
      <c r="D1711" s="28" t="s">
        <v>243</v>
      </c>
      <c r="E1711" s="135">
        <v>2.29</v>
      </c>
      <c r="F1711" s="44">
        <f>E1711*F1710</f>
        <v>4.58</v>
      </c>
      <c r="G1711" s="28"/>
      <c r="H1711" s="44">
        <f t="shared" ref="H1711:H1717" si="48">F1711*G1711</f>
        <v>0</v>
      </c>
    </row>
    <row r="1712" spans="1:8">
      <c r="A1712" s="28"/>
      <c r="B1712" s="28" t="s">
        <v>17</v>
      </c>
      <c r="C1712" s="28" t="s">
        <v>233</v>
      </c>
      <c r="D1712" s="28" t="s">
        <v>3</v>
      </c>
      <c r="E1712" s="135">
        <v>0.09</v>
      </c>
      <c r="F1712" s="44">
        <f>E1712*F1710</f>
        <v>0.18</v>
      </c>
      <c r="G1712" s="28"/>
      <c r="H1712" s="44">
        <f t="shared" si="48"/>
        <v>0</v>
      </c>
    </row>
    <row r="1713" spans="1:8">
      <c r="A1713" s="28"/>
      <c r="B1713" s="28" t="s">
        <v>1296</v>
      </c>
      <c r="C1713" s="28" t="s">
        <v>1297</v>
      </c>
      <c r="D1713" s="28" t="s">
        <v>209</v>
      </c>
      <c r="E1713" s="28">
        <v>1</v>
      </c>
      <c r="F1713" s="44">
        <f>E1713*F1710</f>
        <v>2</v>
      </c>
      <c r="G1713" s="28"/>
      <c r="H1713" s="44">
        <f t="shared" si="48"/>
        <v>0</v>
      </c>
    </row>
    <row r="1714" spans="1:8" ht="27">
      <c r="A1714" s="28"/>
      <c r="B1714" s="28" t="s">
        <v>1298</v>
      </c>
      <c r="C1714" s="28" t="s">
        <v>1299</v>
      </c>
      <c r="D1714" s="28" t="s">
        <v>209</v>
      </c>
      <c r="E1714" s="28">
        <v>2</v>
      </c>
      <c r="F1714" s="44">
        <f>F1710*E1714</f>
        <v>4</v>
      </c>
      <c r="G1714" s="28"/>
      <c r="H1714" s="44">
        <f t="shared" si="48"/>
        <v>0</v>
      </c>
    </row>
    <row r="1715" spans="1:8">
      <c r="A1715" s="28"/>
      <c r="B1715" s="61" t="s">
        <v>52</v>
      </c>
      <c r="C1715" s="28" t="s">
        <v>1300</v>
      </c>
      <c r="D1715" s="28" t="s">
        <v>209</v>
      </c>
      <c r="E1715" s="237">
        <v>2</v>
      </c>
      <c r="F1715" s="19">
        <f>E1715*F1710</f>
        <v>4</v>
      </c>
      <c r="G1715" s="19"/>
      <c r="H1715" s="19">
        <f t="shared" si="48"/>
        <v>0</v>
      </c>
    </row>
    <row r="1716" spans="1:8">
      <c r="A1716" s="28"/>
      <c r="B1716" s="28" t="s">
        <v>1301</v>
      </c>
      <c r="C1716" s="28" t="s">
        <v>1302</v>
      </c>
      <c r="D1716" s="28" t="s">
        <v>678</v>
      </c>
      <c r="E1716" s="28">
        <v>2</v>
      </c>
      <c r="F1716" s="44">
        <f>F1710*E1716</f>
        <v>4</v>
      </c>
      <c r="G1716" s="28"/>
      <c r="H1716" s="44">
        <f t="shared" si="48"/>
        <v>0</v>
      </c>
    </row>
    <row r="1717" spans="1:8">
      <c r="A1717" s="28"/>
      <c r="B1717" s="28" t="s">
        <v>17</v>
      </c>
      <c r="C1717" s="28" t="s">
        <v>1303</v>
      </c>
      <c r="D1717" s="28" t="s">
        <v>3</v>
      </c>
      <c r="E1717" s="135">
        <v>0.68</v>
      </c>
      <c r="F1717" s="44">
        <f>E1717*F1710</f>
        <v>1.36</v>
      </c>
      <c r="G1717" s="28"/>
      <c r="H1717" s="44">
        <f t="shared" si="48"/>
        <v>0</v>
      </c>
    </row>
    <row r="1718" spans="1:8" ht="40.5">
      <c r="A1718" s="20">
        <v>20</v>
      </c>
      <c r="B1718" s="20" t="s">
        <v>1294</v>
      </c>
      <c r="C1718" s="20" t="s">
        <v>1304</v>
      </c>
      <c r="D1718" s="20" t="s">
        <v>678</v>
      </c>
      <c r="E1718" s="20"/>
      <c r="F1718" s="69">
        <v>3</v>
      </c>
      <c r="G1718" s="20"/>
      <c r="H1718" s="39">
        <f>H1719+H1720+H1721+H1726+H1723+H1722+H1725+H1724</f>
        <v>0</v>
      </c>
    </row>
    <row r="1719" spans="1:8">
      <c r="A1719" s="28"/>
      <c r="B1719" s="28" t="s">
        <v>17</v>
      </c>
      <c r="C1719" s="28" t="s">
        <v>1254</v>
      </c>
      <c r="D1719" s="28" t="s">
        <v>243</v>
      </c>
      <c r="E1719" s="135">
        <v>2.29</v>
      </c>
      <c r="F1719" s="44">
        <f>E1719*F1718</f>
        <v>6.87</v>
      </c>
      <c r="G1719" s="28"/>
      <c r="H1719" s="44">
        <f t="shared" ref="H1719:H1726" si="49">F1719*G1719</f>
        <v>0</v>
      </c>
    </row>
    <row r="1720" spans="1:8">
      <c r="A1720" s="28"/>
      <c r="B1720" s="28" t="s">
        <v>17</v>
      </c>
      <c r="C1720" s="28" t="s">
        <v>233</v>
      </c>
      <c r="D1720" s="28" t="s">
        <v>3</v>
      </c>
      <c r="E1720" s="135">
        <v>0.09</v>
      </c>
      <c r="F1720" s="44">
        <f>E1720*F1718</f>
        <v>0.27</v>
      </c>
      <c r="G1720" s="28"/>
      <c r="H1720" s="44">
        <f t="shared" si="49"/>
        <v>0</v>
      </c>
    </row>
    <row r="1721" spans="1:8">
      <c r="A1721" s="28"/>
      <c r="B1721" s="28" t="s">
        <v>1305</v>
      </c>
      <c r="C1721" s="28" t="s">
        <v>1306</v>
      </c>
      <c r="D1721" s="28" t="s">
        <v>209</v>
      </c>
      <c r="E1721" s="28">
        <v>1</v>
      </c>
      <c r="F1721" s="44">
        <f>E1721*F1718</f>
        <v>3</v>
      </c>
      <c r="G1721" s="28"/>
      <c r="H1721" s="44">
        <f t="shared" si="49"/>
        <v>0</v>
      </c>
    </row>
    <row r="1722" spans="1:8">
      <c r="A1722" s="28"/>
      <c r="B1722" s="28" t="s">
        <v>896</v>
      </c>
      <c r="C1722" s="28" t="s">
        <v>897</v>
      </c>
      <c r="D1722" s="28" t="s">
        <v>678</v>
      </c>
      <c r="E1722" s="28">
        <v>2</v>
      </c>
      <c r="F1722" s="44">
        <f>F1718*E1722</f>
        <v>6</v>
      </c>
      <c r="G1722" s="28"/>
      <c r="H1722" s="44">
        <f t="shared" si="49"/>
        <v>0</v>
      </c>
    </row>
    <row r="1723" spans="1:8">
      <c r="A1723" s="28"/>
      <c r="B1723" s="28" t="s">
        <v>898</v>
      </c>
      <c r="C1723" s="28" t="s">
        <v>899</v>
      </c>
      <c r="D1723" s="28" t="s">
        <v>209</v>
      </c>
      <c r="E1723" s="28">
        <v>2</v>
      </c>
      <c r="F1723" s="44">
        <f>F1718*E1723</f>
        <v>6</v>
      </c>
      <c r="G1723" s="28"/>
      <c r="H1723" s="44">
        <f t="shared" si="49"/>
        <v>0</v>
      </c>
    </row>
    <row r="1724" spans="1:8">
      <c r="A1724" s="28"/>
      <c r="B1724" s="61" t="s">
        <v>52</v>
      </c>
      <c r="C1724" s="28" t="s">
        <v>1307</v>
      </c>
      <c r="D1724" s="28" t="s">
        <v>209</v>
      </c>
      <c r="E1724" s="237">
        <v>2</v>
      </c>
      <c r="F1724" s="19">
        <f>E1724*F1718</f>
        <v>6</v>
      </c>
      <c r="G1724" s="19"/>
      <c r="H1724" s="19">
        <f t="shared" si="49"/>
        <v>0</v>
      </c>
    </row>
    <row r="1725" spans="1:8">
      <c r="A1725" s="28"/>
      <c r="B1725" s="28" t="s">
        <v>894</v>
      </c>
      <c r="C1725" s="28" t="s">
        <v>1308</v>
      </c>
      <c r="D1725" s="28" t="s">
        <v>209</v>
      </c>
      <c r="E1725" s="28">
        <v>1</v>
      </c>
      <c r="F1725" s="44">
        <f>E1725*F1718</f>
        <v>3</v>
      </c>
      <c r="G1725" s="28"/>
      <c r="H1725" s="44">
        <f t="shared" si="49"/>
        <v>0</v>
      </c>
    </row>
    <row r="1726" spans="1:8">
      <c r="A1726" s="28"/>
      <c r="B1726" s="28" t="s">
        <v>17</v>
      </c>
      <c r="C1726" s="28" t="s">
        <v>1303</v>
      </c>
      <c r="D1726" s="28" t="s">
        <v>3</v>
      </c>
      <c r="E1726" s="135">
        <v>0.68</v>
      </c>
      <c r="F1726" s="44">
        <f>E1726*F1718</f>
        <v>2.04</v>
      </c>
      <c r="G1726" s="28"/>
      <c r="H1726" s="44">
        <f t="shared" si="49"/>
        <v>0</v>
      </c>
    </row>
    <row r="1727" spans="1:8" ht="40.5">
      <c r="A1727" s="25">
        <v>21</v>
      </c>
      <c r="B1727" s="20" t="s">
        <v>1309</v>
      </c>
      <c r="C1727" s="129" t="s">
        <v>1310</v>
      </c>
      <c r="D1727" s="129" t="s">
        <v>1311</v>
      </c>
      <c r="E1727" s="69"/>
      <c r="F1727" s="69">
        <v>2</v>
      </c>
      <c r="G1727" s="57"/>
      <c r="H1727" s="13">
        <f>SUM(H1728:H1732)</f>
        <v>0</v>
      </c>
    </row>
    <row r="1728" spans="1:8">
      <c r="A1728" s="28"/>
      <c r="B1728" s="28" t="s">
        <v>17</v>
      </c>
      <c r="C1728" s="28" t="s">
        <v>1254</v>
      </c>
      <c r="D1728" s="28" t="s">
        <v>243</v>
      </c>
      <c r="E1728" s="19">
        <v>1.78</v>
      </c>
      <c r="F1728" s="19">
        <f>E1728*F1727</f>
        <v>3.56</v>
      </c>
      <c r="G1728" s="18"/>
      <c r="H1728" s="19">
        <f>G1728*F1728</f>
        <v>0</v>
      </c>
    </row>
    <row r="1729" spans="1:8">
      <c r="A1729" s="28"/>
      <c r="B1729" s="28" t="s">
        <v>17</v>
      </c>
      <c r="C1729" s="28" t="s">
        <v>233</v>
      </c>
      <c r="D1729" s="28" t="s">
        <v>3</v>
      </c>
      <c r="E1729" s="19">
        <v>0.12</v>
      </c>
      <c r="F1729" s="19">
        <f>E1729*F1727</f>
        <v>0.24</v>
      </c>
      <c r="G1729" s="18"/>
      <c r="H1729" s="19">
        <f>G1729*F1729</f>
        <v>0</v>
      </c>
    </row>
    <row r="1730" spans="1:8">
      <c r="A1730" s="61"/>
      <c r="B1730" s="337" t="s">
        <v>1312</v>
      </c>
      <c r="C1730" s="149" t="s">
        <v>1313</v>
      </c>
      <c r="D1730" s="28" t="s">
        <v>209</v>
      </c>
      <c r="E1730" s="44">
        <v>1</v>
      </c>
      <c r="F1730" s="44">
        <f>E1730*F1727</f>
        <v>2</v>
      </c>
      <c r="G1730" s="18"/>
      <c r="H1730" s="19">
        <f>G1730*F1730</f>
        <v>0</v>
      </c>
    </row>
    <row r="1731" spans="1:8">
      <c r="A1731" s="28"/>
      <c r="B1731" s="61" t="s">
        <v>52</v>
      </c>
      <c r="C1731" s="28" t="s">
        <v>1307</v>
      </c>
      <c r="D1731" s="28" t="s">
        <v>209</v>
      </c>
      <c r="E1731" s="237">
        <v>1</v>
      </c>
      <c r="F1731" s="19">
        <f>E1731*F1725</f>
        <v>3</v>
      </c>
      <c r="G1731" s="19"/>
      <c r="H1731" s="19">
        <f>F1731*G1731</f>
        <v>0</v>
      </c>
    </row>
    <row r="1732" spans="1:8">
      <c r="A1732" s="61"/>
      <c r="B1732" s="28" t="s">
        <v>17</v>
      </c>
      <c r="C1732" s="28" t="s">
        <v>1303</v>
      </c>
      <c r="D1732" s="28" t="s">
        <v>3</v>
      </c>
      <c r="E1732" s="44">
        <v>1.1299999999999999</v>
      </c>
      <c r="F1732" s="44">
        <f>E1732*F1727</f>
        <v>2.2599999999999998</v>
      </c>
      <c r="G1732" s="18"/>
      <c r="H1732" s="19">
        <f>F1732*G1732</f>
        <v>0</v>
      </c>
    </row>
    <row r="1733" spans="1:8" ht="54">
      <c r="A1733" s="20">
        <v>22</v>
      </c>
      <c r="B1733" s="20" t="s">
        <v>1314</v>
      </c>
      <c r="C1733" s="20" t="s">
        <v>1315</v>
      </c>
      <c r="D1733" s="20" t="s">
        <v>358</v>
      </c>
      <c r="E1733" s="20"/>
      <c r="F1733" s="60">
        <v>160</v>
      </c>
      <c r="G1733" s="20"/>
      <c r="H1733" s="39">
        <f>H1734+H1735+H1736</f>
        <v>0</v>
      </c>
    </row>
    <row r="1734" spans="1:8">
      <c r="A1734" s="28"/>
      <c r="B1734" s="28" t="s">
        <v>17</v>
      </c>
      <c r="C1734" s="28" t="s">
        <v>936</v>
      </c>
      <c r="D1734" s="28" t="s">
        <v>243</v>
      </c>
      <c r="E1734" s="28">
        <v>5.67E-2</v>
      </c>
      <c r="F1734" s="28">
        <f>E1734*F1733</f>
        <v>9.0719999999999992</v>
      </c>
      <c r="G1734" s="28"/>
      <c r="H1734" s="44">
        <f>F1734*G1734</f>
        <v>0</v>
      </c>
    </row>
    <row r="1735" spans="1:8">
      <c r="A1735" s="28"/>
      <c r="B1735" s="28" t="s">
        <v>937</v>
      </c>
      <c r="C1735" s="28" t="s">
        <v>1209</v>
      </c>
      <c r="D1735" s="28" t="s">
        <v>557</v>
      </c>
      <c r="E1735" s="28">
        <v>5.7000000000000002E-2</v>
      </c>
      <c r="F1735" s="28">
        <f>E1735*F1733</f>
        <v>9.120000000000001</v>
      </c>
      <c r="G1735" s="28"/>
      <c r="H1735" s="44">
        <f>F1735*G1735</f>
        <v>0</v>
      </c>
    </row>
    <row r="1736" spans="1:8">
      <c r="A1736" s="28"/>
      <c r="B1736" s="28" t="s">
        <v>17</v>
      </c>
      <c r="C1736" s="28" t="s">
        <v>87</v>
      </c>
      <c r="D1736" s="28" t="s">
        <v>3</v>
      </c>
      <c r="E1736" s="24">
        <v>1E-4</v>
      </c>
      <c r="F1736" s="28">
        <f>E1736*F1733</f>
        <v>1.6E-2</v>
      </c>
      <c r="G1736" s="28"/>
      <c r="H1736" s="44">
        <f>F1736*G1736</f>
        <v>0</v>
      </c>
    </row>
    <row r="1737" spans="1:8" ht="54">
      <c r="A1737" s="20">
        <v>23</v>
      </c>
      <c r="B1737" s="20" t="s">
        <v>934</v>
      </c>
      <c r="C1737" s="20" t="s">
        <v>1316</v>
      </c>
      <c r="D1737" s="20" t="s">
        <v>358</v>
      </c>
      <c r="E1737" s="20"/>
      <c r="F1737" s="60">
        <v>90</v>
      </c>
      <c r="G1737" s="20"/>
      <c r="H1737" s="39">
        <f>H1738+H1739+H1740</f>
        <v>0</v>
      </c>
    </row>
    <row r="1738" spans="1:8">
      <c r="A1738" s="28"/>
      <c r="B1738" s="28" t="s">
        <v>17</v>
      </c>
      <c r="C1738" s="28" t="s">
        <v>936</v>
      </c>
      <c r="D1738" s="28" t="s">
        <v>243</v>
      </c>
      <c r="E1738" s="28">
        <v>6.4899999999999999E-2</v>
      </c>
      <c r="F1738" s="28">
        <f>E1738*F1737</f>
        <v>5.8410000000000002</v>
      </c>
      <c r="G1738" s="28"/>
      <c r="H1738" s="44">
        <f>F1738*G1738</f>
        <v>0</v>
      </c>
    </row>
    <row r="1739" spans="1:8">
      <c r="A1739" s="28"/>
      <c r="B1739" s="28" t="s">
        <v>937</v>
      </c>
      <c r="C1739" s="28" t="s">
        <v>1209</v>
      </c>
      <c r="D1739" s="28" t="s">
        <v>557</v>
      </c>
      <c r="E1739" s="28">
        <v>0.14799999999999999</v>
      </c>
      <c r="F1739" s="28">
        <f>E1739*F1737</f>
        <v>13.319999999999999</v>
      </c>
      <c r="G1739" s="28"/>
      <c r="H1739" s="44">
        <f>F1739*G1739</f>
        <v>0</v>
      </c>
    </row>
    <row r="1740" spans="1:8">
      <c r="A1740" s="28"/>
      <c r="B1740" s="28" t="s">
        <v>17</v>
      </c>
      <c r="C1740" s="28" t="s">
        <v>87</v>
      </c>
      <c r="D1740" s="28" t="s">
        <v>3</v>
      </c>
      <c r="E1740" s="24">
        <v>2.5000000000000001E-4</v>
      </c>
      <c r="F1740" s="28">
        <f>E1740*F1737</f>
        <v>2.2499999999999999E-2</v>
      </c>
      <c r="G1740" s="28"/>
      <c r="H1740" s="44">
        <f>F1740*G1740</f>
        <v>0</v>
      </c>
    </row>
    <row r="1741" spans="1:8" ht="48">
      <c r="A1741" s="68" t="s">
        <v>1041</v>
      </c>
      <c r="B1741" s="55" t="s">
        <v>133</v>
      </c>
      <c r="C1741" s="20" t="s">
        <v>1317</v>
      </c>
      <c r="D1741" s="20" t="s">
        <v>75</v>
      </c>
      <c r="E1741" s="20"/>
      <c r="F1741" s="69">
        <v>0.6</v>
      </c>
      <c r="G1741" s="10"/>
      <c r="H1741" s="39">
        <f>SUM(H1742:H1744)</f>
        <v>0</v>
      </c>
    </row>
    <row r="1742" spans="1:8">
      <c r="A1742" s="64"/>
      <c r="B1742" s="14" t="s">
        <v>17</v>
      </c>
      <c r="C1742" s="16" t="s">
        <v>28</v>
      </c>
      <c r="D1742" s="28" t="s">
        <v>19</v>
      </c>
      <c r="E1742" s="16">
        <v>3.16</v>
      </c>
      <c r="F1742" s="43">
        <f>E1742*F1741</f>
        <v>1.8959999999999999</v>
      </c>
      <c r="G1742" s="17"/>
      <c r="H1742" s="44">
        <f>G1742*F1742</f>
        <v>0</v>
      </c>
    </row>
    <row r="1743" spans="1:8">
      <c r="A1743" s="64"/>
      <c r="B1743" s="67" t="s">
        <v>135</v>
      </c>
      <c r="C1743" s="16" t="s">
        <v>136</v>
      </c>
      <c r="D1743" s="16" t="s">
        <v>75</v>
      </c>
      <c r="E1743" s="16">
        <v>1.25</v>
      </c>
      <c r="F1743" s="43">
        <f>E1743*F1741</f>
        <v>0.75</v>
      </c>
      <c r="G1743" s="16"/>
      <c r="H1743" s="43">
        <f>G1743*F1743</f>
        <v>0</v>
      </c>
    </row>
    <row r="1744" spans="1:8">
      <c r="A1744" s="64"/>
      <c r="B1744" s="14" t="s">
        <v>17</v>
      </c>
      <c r="C1744" s="28" t="s">
        <v>87</v>
      </c>
      <c r="D1744" s="16" t="s">
        <v>3</v>
      </c>
      <c r="E1744" s="16">
        <v>0.01</v>
      </c>
      <c r="F1744" s="43">
        <f>E1744*F1741</f>
        <v>6.0000000000000001E-3</v>
      </c>
      <c r="G1744" s="16"/>
      <c r="H1744" s="43">
        <f>G1744*F1744</f>
        <v>0</v>
      </c>
    </row>
    <row r="1745" spans="1:8" ht="48">
      <c r="A1745" s="144">
        <v>25</v>
      </c>
      <c r="B1745" s="9" t="s">
        <v>322</v>
      </c>
      <c r="C1745" s="145" t="s">
        <v>1318</v>
      </c>
      <c r="D1745" s="145" t="s">
        <v>23</v>
      </c>
      <c r="E1745" s="145"/>
      <c r="F1745" s="145">
        <f>F1741</f>
        <v>0.6</v>
      </c>
      <c r="G1745" s="145"/>
      <c r="H1745" s="146">
        <f>H1746+H1747</f>
        <v>0</v>
      </c>
    </row>
    <row r="1746" spans="1:8">
      <c r="A1746" s="64"/>
      <c r="B1746" s="14" t="s">
        <v>17</v>
      </c>
      <c r="C1746" s="16" t="s">
        <v>28</v>
      </c>
      <c r="D1746" s="16" t="s">
        <v>19</v>
      </c>
      <c r="E1746" s="16">
        <v>0.13400000000000001</v>
      </c>
      <c r="F1746" s="43">
        <f>F1745*E1746</f>
        <v>8.0399999999999999E-2</v>
      </c>
      <c r="G1746" s="16"/>
      <c r="H1746" s="44">
        <f>G1746*F1746</f>
        <v>0</v>
      </c>
    </row>
    <row r="1747" spans="1:8">
      <c r="A1747" s="147"/>
      <c r="B1747" s="147" t="s">
        <v>324</v>
      </c>
      <c r="C1747" s="147" t="s">
        <v>325</v>
      </c>
      <c r="D1747" s="147" t="s">
        <v>326</v>
      </c>
      <c r="E1747" s="147">
        <v>0.13</v>
      </c>
      <c r="F1747" s="147">
        <f>E1747*F1745</f>
        <v>7.8E-2</v>
      </c>
      <c r="G1747" s="147"/>
      <c r="H1747" s="147">
        <f>F1747*G1747</f>
        <v>0</v>
      </c>
    </row>
    <row r="1748" spans="1:8" ht="36">
      <c r="A1748" s="338">
        <v>26</v>
      </c>
      <c r="B1748" s="339" t="s">
        <v>1319</v>
      </c>
      <c r="C1748" s="340" t="s">
        <v>1320</v>
      </c>
      <c r="D1748" s="341" t="s">
        <v>1321</v>
      </c>
      <c r="E1748" s="340"/>
      <c r="F1748" s="342">
        <v>6.0000000000000001E-3</v>
      </c>
      <c r="G1748" s="340"/>
      <c r="H1748" s="343">
        <f>H1749+H1750</f>
        <v>0</v>
      </c>
    </row>
    <row r="1749" spans="1:8">
      <c r="A1749" s="344"/>
      <c r="B1749" s="24" t="s">
        <v>1322</v>
      </c>
      <c r="C1749" s="345" t="s">
        <v>1323</v>
      </c>
      <c r="D1749" s="346" t="s">
        <v>1324</v>
      </c>
      <c r="E1749" s="347">
        <v>0.3</v>
      </c>
      <c r="F1749" s="135">
        <f>F1748*E1749</f>
        <v>1.8E-3</v>
      </c>
      <c r="G1749" s="345"/>
      <c r="H1749" s="44">
        <f>F1749*G1749</f>
        <v>0</v>
      </c>
    </row>
    <row r="1750" spans="1:8">
      <c r="A1750" s="344"/>
      <c r="B1750" s="327" t="s">
        <v>1325</v>
      </c>
      <c r="C1750" s="345" t="s">
        <v>1326</v>
      </c>
      <c r="D1750" s="346" t="s">
        <v>1321</v>
      </c>
      <c r="E1750" s="347">
        <v>1.03</v>
      </c>
      <c r="F1750" s="135">
        <f>F1748*E1750</f>
        <v>6.1800000000000006E-3</v>
      </c>
      <c r="G1750" s="345"/>
      <c r="H1750" s="44">
        <f>F1750*G1750</f>
        <v>0</v>
      </c>
    </row>
    <row r="1751" spans="1:8" ht="60">
      <c r="A1751" s="338">
        <v>27</v>
      </c>
      <c r="B1751" s="339" t="s">
        <v>1327</v>
      </c>
      <c r="C1751" s="340" t="s">
        <v>1328</v>
      </c>
      <c r="D1751" s="348" t="s">
        <v>1329</v>
      </c>
      <c r="E1751" s="348"/>
      <c r="F1751" s="349">
        <v>12</v>
      </c>
      <c r="G1751" s="348"/>
      <c r="H1751" s="350">
        <f>H1752+H1753+H1754+H1755+H1756+H1757+H1758</f>
        <v>0</v>
      </c>
    </row>
    <row r="1752" spans="1:8">
      <c r="A1752" s="351"/>
      <c r="B1752" s="352" t="s">
        <v>1330</v>
      </c>
      <c r="C1752" s="352" t="s">
        <v>1331</v>
      </c>
      <c r="D1752" s="352" t="s">
        <v>1332</v>
      </c>
      <c r="E1752" s="353">
        <f>0.0375+2*0.00007</f>
        <v>3.764E-2</v>
      </c>
      <c r="F1752" s="44">
        <f>E1752*F1751</f>
        <v>0.45167999999999997</v>
      </c>
      <c r="G1752" s="352"/>
      <c r="H1752" s="354">
        <f>F1752*G1752</f>
        <v>0</v>
      </c>
    </row>
    <row r="1753" spans="1:8">
      <c r="A1753" s="351"/>
      <c r="B1753" s="24" t="s">
        <v>1333</v>
      </c>
      <c r="C1753" s="352" t="s">
        <v>1334</v>
      </c>
      <c r="D1753" s="352" t="s">
        <v>1335</v>
      </c>
      <c r="E1753" s="355">
        <v>3.0200000000000001E-3</v>
      </c>
      <c r="F1753" s="44">
        <f>F1751*E1753</f>
        <v>3.6240000000000001E-2</v>
      </c>
      <c r="G1753" s="352"/>
      <c r="H1753" s="354">
        <f t="shared" ref="H1753:H1758" si="50">F1753*G1753</f>
        <v>0</v>
      </c>
    </row>
    <row r="1754" spans="1:8">
      <c r="A1754" s="351"/>
      <c r="B1754" s="24" t="s">
        <v>91</v>
      </c>
      <c r="C1754" s="352" t="s">
        <v>1336</v>
      </c>
      <c r="D1754" s="352" t="s">
        <v>1335</v>
      </c>
      <c r="E1754" s="355">
        <v>3.7000000000000002E-3</v>
      </c>
      <c r="F1754" s="237">
        <f>F1751*E1754</f>
        <v>4.4400000000000002E-2</v>
      </c>
      <c r="G1754" s="352"/>
      <c r="H1754" s="354">
        <f t="shared" si="50"/>
        <v>0</v>
      </c>
    </row>
    <row r="1755" spans="1:8">
      <c r="A1755" s="351"/>
      <c r="B1755" s="24" t="s">
        <v>1337</v>
      </c>
      <c r="C1755" s="352" t="s">
        <v>1338</v>
      </c>
      <c r="D1755" s="352" t="s">
        <v>1335</v>
      </c>
      <c r="E1755" s="355">
        <v>1.11E-2</v>
      </c>
      <c r="F1755" s="43">
        <f>F1751*E1755</f>
        <v>0.13320000000000001</v>
      </c>
      <c r="G1755" s="352"/>
      <c r="H1755" s="354">
        <f t="shared" si="50"/>
        <v>0</v>
      </c>
    </row>
    <row r="1756" spans="1:8">
      <c r="A1756" s="351"/>
      <c r="B1756" s="345" t="s">
        <v>1330</v>
      </c>
      <c r="C1756" s="352" t="s">
        <v>1339</v>
      </c>
      <c r="D1756" s="352" t="s">
        <v>1340</v>
      </c>
      <c r="E1756" s="355">
        <v>2.3E-3</v>
      </c>
      <c r="F1756" s="44">
        <f>F1751*E1756</f>
        <v>2.76E-2</v>
      </c>
      <c r="G1756" s="352"/>
      <c r="H1756" s="354">
        <f t="shared" si="50"/>
        <v>0</v>
      </c>
    </row>
    <row r="1757" spans="1:8" ht="24">
      <c r="A1757" s="351"/>
      <c r="B1757" s="24" t="s">
        <v>1341</v>
      </c>
      <c r="C1757" s="352" t="s">
        <v>1342</v>
      </c>
      <c r="D1757" s="352" t="s">
        <v>1321</v>
      </c>
      <c r="E1757" s="355">
        <f>0.0974+2*0.0121</f>
        <v>0.1216</v>
      </c>
      <c r="F1757" s="44">
        <f>F1751*E1757</f>
        <v>1.4592000000000001</v>
      </c>
      <c r="G1757" s="352"/>
      <c r="H1757" s="354">
        <f>F1757*G1757</f>
        <v>0</v>
      </c>
    </row>
    <row r="1758" spans="1:8">
      <c r="A1758" s="344"/>
      <c r="B1758" s="344" t="s">
        <v>1330</v>
      </c>
      <c r="C1758" s="345" t="s">
        <v>1343</v>
      </c>
      <c r="D1758" s="345" t="s">
        <v>1340</v>
      </c>
      <c r="E1758" s="356">
        <f>0.0145+2*0.00002</f>
        <v>1.4540000000000001E-2</v>
      </c>
      <c r="F1758" s="354">
        <f>E1758*F1751</f>
        <v>0.17448000000000002</v>
      </c>
      <c r="G1758" s="354"/>
      <c r="H1758" s="354">
        <f t="shared" si="50"/>
        <v>0</v>
      </c>
    </row>
    <row r="1759" spans="1:8">
      <c r="A1759" s="238"/>
      <c r="B1759" s="15"/>
      <c r="C1759" s="20" t="s">
        <v>1147</v>
      </c>
      <c r="D1759" s="20" t="s">
        <v>3</v>
      </c>
      <c r="E1759" s="28"/>
      <c r="F1759" s="44"/>
      <c r="G1759" s="44"/>
      <c r="H1759" s="39">
        <f>H1751+H1748+H1745+H1741+H1737+H1733+H1727+H1718+H1710+H1703+H1700+H1696+H1687+H1678+H1676+H1673+H1670+H1666+H1661+H1658+H1653+H1648+H1645+H1643+H1641+H1638+H1635</f>
        <v>0</v>
      </c>
    </row>
    <row r="1760" spans="1:8">
      <c r="A1760" s="61"/>
      <c r="B1760" s="15"/>
      <c r="C1760" s="28" t="s">
        <v>687</v>
      </c>
      <c r="D1760" s="28" t="s">
        <v>3</v>
      </c>
      <c r="E1760" s="28"/>
      <c r="F1760" s="250">
        <v>0.1</v>
      </c>
      <c r="G1760" s="44"/>
      <c r="H1760" s="19">
        <f>H1759*F1760</f>
        <v>0</v>
      </c>
    </row>
    <row r="1761" spans="1:8">
      <c r="A1761" s="61"/>
      <c r="B1761" s="9"/>
      <c r="C1761" s="20" t="s">
        <v>688</v>
      </c>
      <c r="D1761" s="20" t="s">
        <v>3</v>
      </c>
      <c r="E1761" s="20"/>
      <c r="F1761" s="20"/>
      <c r="G1761" s="69"/>
      <c r="H1761" s="21">
        <f>H1760+H1759</f>
        <v>0</v>
      </c>
    </row>
    <row r="1762" spans="1:8">
      <c r="A1762" s="64"/>
      <c r="B1762" s="14"/>
      <c r="C1762" s="16" t="s">
        <v>689</v>
      </c>
      <c r="D1762" s="16" t="s">
        <v>3</v>
      </c>
      <c r="E1762" s="16"/>
      <c r="F1762" s="224">
        <v>0.08</v>
      </c>
      <c r="G1762" s="43"/>
      <c r="H1762" s="18">
        <f>H1761*F1762</f>
        <v>0</v>
      </c>
    </row>
    <row r="1763" spans="1:8">
      <c r="A1763" s="83"/>
      <c r="B1763" s="46"/>
      <c r="C1763" s="10" t="s">
        <v>690</v>
      </c>
      <c r="D1763" s="10" t="s">
        <v>3</v>
      </c>
      <c r="E1763" s="10"/>
      <c r="F1763" s="225"/>
      <c r="G1763" s="463"/>
      <c r="H1763" s="462">
        <f>SUM(H1761:H1762)</f>
        <v>0</v>
      </c>
    </row>
    <row r="1767" spans="1:8">
      <c r="A1767" s="509" t="s">
        <v>1344</v>
      </c>
      <c r="B1767" s="509"/>
      <c r="C1767" s="509"/>
      <c r="D1767" s="509"/>
      <c r="E1767" s="509"/>
      <c r="F1767" s="509"/>
      <c r="G1767" s="509"/>
      <c r="H1767" s="509"/>
    </row>
    <row r="1768" spans="1:8" ht="25.5" customHeight="1">
      <c r="A1768" s="487" t="s">
        <v>1345</v>
      </c>
      <c r="B1768" s="487"/>
      <c r="C1768" s="487"/>
      <c r="D1768" s="487"/>
      <c r="E1768" s="487"/>
      <c r="F1768" s="487"/>
      <c r="G1768" s="487"/>
      <c r="H1768" s="487"/>
    </row>
    <row r="1769" spans="1:8" ht="30" customHeight="1">
      <c r="A1769" s="510" t="s">
        <v>5</v>
      </c>
      <c r="B1769" s="511" t="s">
        <v>6</v>
      </c>
      <c r="C1769" s="503" t="s">
        <v>7</v>
      </c>
      <c r="D1769" s="512" t="s">
        <v>8</v>
      </c>
      <c r="E1769" s="513" t="s">
        <v>9</v>
      </c>
      <c r="F1769" s="513"/>
      <c r="G1769" s="513" t="s">
        <v>10</v>
      </c>
      <c r="H1769" s="513"/>
    </row>
    <row r="1770" spans="1:8" ht="85.5" customHeight="1">
      <c r="A1770" s="510"/>
      <c r="B1770" s="511"/>
      <c r="C1770" s="503"/>
      <c r="D1770" s="512"/>
      <c r="E1770" s="280" t="s">
        <v>11</v>
      </c>
      <c r="F1770" s="280" t="s">
        <v>12</v>
      </c>
      <c r="G1770" s="280" t="s">
        <v>11</v>
      </c>
      <c r="H1770" s="321" t="s">
        <v>12</v>
      </c>
    </row>
    <row r="1771" spans="1:8">
      <c r="A1771" s="69" t="s">
        <v>13</v>
      </c>
      <c r="B1771" s="9">
        <v>2</v>
      </c>
      <c r="C1771" s="20">
        <v>3</v>
      </c>
      <c r="D1771" s="20">
        <v>4</v>
      </c>
      <c r="E1771" s="20">
        <v>5</v>
      </c>
      <c r="F1771" s="20">
        <v>6</v>
      </c>
      <c r="G1771" s="20">
        <v>7</v>
      </c>
      <c r="H1771" s="25">
        <v>8</v>
      </c>
    </row>
    <row r="1772" spans="1:8">
      <c r="A1772" s="69"/>
      <c r="B1772" s="9"/>
      <c r="C1772" s="20" t="s">
        <v>1347</v>
      </c>
      <c r="D1772" s="20"/>
      <c r="E1772" s="20"/>
      <c r="F1772" s="20"/>
      <c r="G1772" s="20"/>
      <c r="H1772" s="25"/>
    </row>
    <row r="1773" spans="1:8" ht="48">
      <c r="A1773" s="25">
        <v>1</v>
      </c>
      <c r="B1773" s="9" t="s">
        <v>1197</v>
      </c>
      <c r="C1773" s="20" t="s">
        <v>1198</v>
      </c>
      <c r="D1773" s="20" t="s">
        <v>23</v>
      </c>
      <c r="E1773" s="59"/>
      <c r="F1773" s="60">
        <v>9.5</v>
      </c>
      <c r="G1773" s="20"/>
      <c r="H1773" s="39">
        <f>H1774</f>
        <v>0</v>
      </c>
    </row>
    <row r="1774" spans="1:8">
      <c r="A1774" s="61"/>
      <c r="B1774" s="15" t="s">
        <v>17</v>
      </c>
      <c r="C1774" s="28" t="s">
        <v>28</v>
      </c>
      <c r="D1774" s="28" t="s">
        <v>19</v>
      </c>
      <c r="E1774" s="28">
        <v>2.78</v>
      </c>
      <c r="F1774" s="44">
        <f>F1773*E1774</f>
        <v>26.409999999999997</v>
      </c>
      <c r="G1774" s="28"/>
      <c r="H1774" s="44">
        <f>G1774*F1774</f>
        <v>0</v>
      </c>
    </row>
    <row r="1775" spans="1:8" ht="54">
      <c r="A1775" s="25">
        <v>2</v>
      </c>
      <c r="B1775" s="9" t="s">
        <v>1348</v>
      </c>
      <c r="C1775" s="20" t="s">
        <v>1349</v>
      </c>
      <c r="D1775" s="20" t="s">
        <v>45</v>
      </c>
      <c r="E1775" s="20"/>
      <c r="F1775" s="60">
        <v>32</v>
      </c>
      <c r="G1775" s="20"/>
      <c r="H1775" s="39">
        <f>SUM(H1776:H1778)</f>
        <v>0</v>
      </c>
    </row>
    <row r="1776" spans="1:8">
      <c r="A1776" s="61"/>
      <c r="B1776" s="15" t="s">
        <v>17</v>
      </c>
      <c r="C1776" s="28" t="s">
        <v>28</v>
      </c>
      <c r="D1776" s="28" t="s">
        <v>19</v>
      </c>
      <c r="E1776" s="72">
        <v>0.38100000000000001</v>
      </c>
      <c r="F1776" s="44">
        <f>E1776*F1775</f>
        <v>12.192</v>
      </c>
      <c r="G1776" s="28"/>
      <c r="H1776" s="44">
        <f>G1776*F1776</f>
        <v>0</v>
      </c>
    </row>
    <row r="1777" spans="1:8" ht="27">
      <c r="A1777" s="61"/>
      <c r="B1777" s="24" t="s">
        <v>1220</v>
      </c>
      <c r="C1777" s="28" t="s">
        <v>1221</v>
      </c>
      <c r="D1777" s="28" t="s">
        <v>45</v>
      </c>
      <c r="E1777" s="28">
        <v>1.01</v>
      </c>
      <c r="F1777" s="44">
        <f>F1775*E1777</f>
        <v>32.32</v>
      </c>
      <c r="G1777" s="28"/>
      <c r="H1777" s="44">
        <f>G1777*F1777</f>
        <v>0</v>
      </c>
    </row>
    <row r="1778" spans="1:8">
      <c r="A1778" s="61"/>
      <c r="B1778" s="15" t="s">
        <v>17</v>
      </c>
      <c r="C1778" s="28" t="s">
        <v>87</v>
      </c>
      <c r="D1778" s="28" t="s">
        <v>3</v>
      </c>
      <c r="E1778" s="71">
        <v>1.12E-2</v>
      </c>
      <c r="F1778" s="44">
        <f>E1778*F1775</f>
        <v>0.3584</v>
      </c>
      <c r="G1778" s="28"/>
      <c r="H1778" s="44">
        <f>G1778*F1778</f>
        <v>0</v>
      </c>
    </row>
    <row r="1779" spans="1:8" ht="54">
      <c r="A1779" s="25">
        <v>3</v>
      </c>
      <c r="B1779" s="9" t="s">
        <v>1199</v>
      </c>
      <c r="C1779" s="20" t="s">
        <v>1350</v>
      </c>
      <c r="D1779" s="20" t="s">
        <v>45</v>
      </c>
      <c r="E1779" s="20"/>
      <c r="F1779" s="60">
        <v>32</v>
      </c>
      <c r="G1779" s="20"/>
      <c r="H1779" s="39">
        <f>SUM(H1780:H1783)</f>
        <v>0</v>
      </c>
    </row>
    <row r="1780" spans="1:8">
      <c r="A1780" s="61"/>
      <c r="B1780" s="24" t="s">
        <v>17</v>
      </c>
      <c r="C1780" s="28" t="s">
        <v>28</v>
      </c>
      <c r="D1780" s="28" t="s">
        <v>19</v>
      </c>
      <c r="E1780" s="28">
        <v>9.5899999999999999E-2</v>
      </c>
      <c r="F1780" s="44">
        <f>E1780*F1779</f>
        <v>3.0688</v>
      </c>
      <c r="G1780" s="28"/>
      <c r="H1780" s="44">
        <f>G1780*F1780</f>
        <v>0</v>
      </c>
    </row>
    <row r="1781" spans="1:8">
      <c r="A1781" s="61"/>
      <c r="B1781" s="24" t="s">
        <v>17</v>
      </c>
      <c r="C1781" s="28" t="s">
        <v>20</v>
      </c>
      <c r="D1781" s="28" t="s">
        <v>3</v>
      </c>
      <c r="E1781" s="71">
        <v>4.5199999999999997E-2</v>
      </c>
      <c r="F1781" s="44">
        <f>F1779*E1781</f>
        <v>1.4463999999999999</v>
      </c>
      <c r="G1781" s="28"/>
      <c r="H1781" s="44">
        <f>G1781*F1781</f>
        <v>0</v>
      </c>
    </row>
    <row r="1782" spans="1:8" ht="27">
      <c r="A1782" s="61"/>
      <c r="B1782" s="61" t="s">
        <v>1351</v>
      </c>
      <c r="C1782" s="28" t="s">
        <v>1352</v>
      </c>
      <c r="D1782" s="29" t="s">
        <v>384</v>
      </c>
      <c r="E1782" s="29">
        <v>1.01</v>
      </c>
      <c r="F1782" s="178">
        <f>F1779*E1782</f>
        <v>32.32</v>
      </c>
      <c r="G1782" s="29"/>
      <c r="H1782" s="19">
        <f>F1782*G1782</f>
        <v>0</v>
      </c>
    </row>
    <row r="1783" spans="1:8">
      <c r="A1783" s="64"/>
      <c r="B1783" s="67" t="s">
        <v>17</v>
      </c>
      <c r="C1783" s="16" t="s">
        <v>87</v>
      </c>
      <c r="D1783" s="16" t="s">
        <v>3</v>
      </c>
      <c r="E1783" s="16">
        <v>5.9999999999999995E-4</v>
      </c>
      <c r="F1783" s="43">
        <f>E1783*F1779</f>
        <v>1.9199999999999998E-2</v>
      </c>
      <c r="G1783" s="16"/>
      <c r="H1783" s="43">
        <f>G1783*F1783</f>
        <v>0</v>
      </c>
    </row>
    <row r="1784" spans="1:8" ht="54">
      <c r="A1784" s="8">
        <v>4</v>
      </c>
      <c r="B1784" s="46" t="s">
        <v>1199</v>
      </c>
      <c r="C1784" s="10" t="s">
        <v>1353</v>
      </c>
      <c r="D1784" s="10" t="s">
        <v>45</v>
      </c>
      <c r="E1784" s="10"/>
      <c r="F1784" s="190">
        <v>32</v>
      </c>
      <c r="G1784" s="10"/>
      <c r="H1784" s="39">
        <f>SUM(H1785:H1788)</f>
        <v>0</v>
      </c>
    </row>
    <row r="1785" spans="1:8">
      <c r="A1785" s="64"/>
      <c r="B1785" s="67" t="s">
        <v>17</v>
      </c>
      <c r="C1785" s="16" t="s">
        <v>28</v>
      </c>
      <c r="D1785" s="16" t="s">
        <v>19</v>
      </c>
      <c r="E1785" s="16">
        <v>9.5899999999999999E-2</v>
      </c>
      <c r="F1785" s="43">
        <f>E1785*F1784</f>
        <v>3.0688</v>
      </c>
      <c r="G1785" s="16"/>
      <c r="H1785" s="44">
        <f>G1785*F1785</f>
        <v>0</v>
      </c>
    </row>
    <row r="1786" spans="1:8">
      <c r="A1786" s="64"/>
      <c r="B1786" s="67" t="s">
        <v>17</v>
      </c>
      <c r="C1786" s="16" t="s">
        <v>20</v>
      </c>
      <c r="D1786" s="16" t="s">
        <v>3</v>
      </c>
      <c r="E1786" s="66">
        <v>4.5199999999999997E-2</v>
      </c>
      <c r="F1786" s="43">
        <f>F1784*E1786</f>
        <v>1.4463999999999999</v>
      </c>
      <c r="G1786" s="16"/>
      <c r="H1786" s="180">
        <f>G1786*F1786</f>
        <v>0</v>
      </c>
    </row>
    <row r="1787" spans="1:8" ht="27">
      <c r="A1787" s="61"/>
      <c r="B1787" s="64" t="s">
        <v>1354</v>
      </c>
      <c r="C1787" s="28" t="s">
        <v>1355</v>
      </c>
      <c r="D1787" s="29" t="s">
        <v>384</v>
      </c>
      <c r="E1787" s="29">
        <v>1.01</v>
      </c>
      <c r="F1787" s="178">
        <f>F1784*E1787</f>
        <v>32.32</v>
      </c>
      <c r="G1787" s="29"/>
      <c r="H1787" s="19">
        <f>F1787*G1787</f>
        <v>0</v>
      </c>
    </row>
    <row r="1788" spans="1:8">
      <c r="A1788" s="64"/>
      <c r="B1788" s="67" t="s">
        <v>17</v>
      </c>
      <c r="C1788" s="16" t="s">
        <v>87</v>
      </c>
      <c r="D1788" s="16" t="s">
        <v>3</v>
      </c>
      <c r="E1788" s="16">
        <v>5.9999999999999995E-4</v>
      </c>
      <c r="F1788" s="43">
        <f>E1788*F1784</f>
        <v>1.9199999999999998E-2</v>
      </c>
      <c r="G1788" s="16"/>
      <c r="H1788" s="43">
        <f>G1788*F1788</f>
        <v>0</v>
      </c>
    </row>
    <row r="1789" spans="1:8" ht="48">
      <c r="A1789" s="128">
        <v>5</v>
      </c>
      <c r="B1789" s="46" t="s">
        <v>1356</v>
      </c>
      <c r="C1789" s="10" t="s">
        <v>1357</v>
      </c>
      <c r="D1789" s="10" t="s">
        <v>23</v>
      </c>
      <c r="E1789" s="16"/>
      <c r="F1789" s="190">
        <v>1.6</v>
      </c>
      <c r="G1789" s="16"/>
      <c r="H1789" s="39">
        <f>SUM(H1790:H1795)</f>
        <v>0</v>
      </c>
    </row>
    <row r="1790" spans="1:8">
      <c r="A1790" s="64"/>
      <c r="B1790" s="67" t="s">
        <v>17</v>
      </c>
      <c r="C1790" s="16" t="s">
        <v>28</v>
      </c>
      <c r="D1790" s="16" t="s">
        <v>19</v>
      </c>
      <c r="E1790" s="16">
        <v>13.8</v>
      </c>
      <c r="F1790" s="43">
        <f>E1790*F1789</f>
        <v>22.080000000000002</v>
      </c>
      <c r="G1790" s="16"/>
      <c r="H1790" s="44">
        <f t="shared" ref="H1790:H1795" si="51">F1790*G1790</f>
        <v>0</v>
      </c>
    </row>
    <row r="1791" spans="1:8">
      <c r="A1791" s="64"/>
      <c r="B1791" s="67" t="s">
        <v>17</v>
      </c>
      <c r="C1791" s="16" t="s">
        <v>20</v>
      </c>
      <c r="D1791" s="16" t="s">
        <v>3</v>
      </c>
      <c r="E1791" s="16">
        <v>0.17</v>
      </c>
      <c r="F1791" s="43">
        <f>E1791*F1789</f>
        <v>0.27200000000000002</v>
      </c>
      <c r="G1791" s="16"/>
      <c r="H1791" s="43">
        <f t="shared" si="51"/>
        <v>0</v>
      </c>
    </row>
    <row r="1792" spans="1:8">
      <c r="A1792" s="64"/>
      <c r="B1792" s="22" t="s">
        <v>1358</v>
      </c>
      <c r="C1792" s="16" t="s">
        <v>1359</v>
      </c>
      <c r="D1792" s="17" t="s">
        <v>1360</v>
      </c>
      <c r="E1792" s="17">
        <v>1.25</v>
      </c>
      <c r="F1792" s="18">
        <f>F1789*E1792</f>
        <v>2</v>
      </c>
      <c r="G1792" s="17"/>
      <c r="H1792" s="18">
        <f t="shared" si="51"/>
        <v>0</v>
      </c>
    </row>
    <row r="1793" spans="1:8">
      <c r="A1793" s="64"/>
      <c r="B1793" s="22" t="s">
        <v>1361</v>
      </c>
      <c r="C1793" s="16" t="s">
        <v>1362</v>
      </c>
      <c r="D1793" s="16" t="s">
        <v>209</v>
      </c>
      <c r="E1793" s="17" t="s">
        <v>109</v>
      </c>
      <c r="F1793" s="18">
        <v>2</v>
      </c>
      <c r="G1793" s="17"/>
      <c r="H1793" s="18">
        <f t="shared" si="51"/>
        <v>0</v>
      </c>
    </row>
    <row r="1794" spans="1:8">
      <c r="A1794" s="64"/>
      <c r="B1794" s="22" t="s">
        <v>1363</v>
      </c>
      <c r="C1794" s="16" t="s">
        <v>146</v>
      </c>
      <c r="D1794" s="16" t="s">
        <v>123</v>
      </c>
      <c r="E1794" s="17" t="s">
        <v>109</v>
      </c>
      <c r="F1794" s="18">
        <v>3</v>
      </c>
      <c r="G1794" s="17"/>
      <c r="H1794" s="18">
        <f t="shared" si="51"/>
        <v>0</v>
      </c>
    </row>
    <row r="1795" spans="1:8">
      <c r="A1795" s="64"/>
      <c r="B1795" s="67" t="s">
        <v>17</v>
      </c>
      <c r="C1795" s="16" t="s">
        <v>87</v>
      </c>
      <c r="D1795" s="16" t="s">
        <v>3</v>
      </c>
      <c r="E1795" s="16">
        <v>0.9</v>
      </c>
      <c r="F1795" s="43">
        <f>E1795*F1789</f>
        <v>1.4400000000000002</v>
      </c>
      <c r="G1795" s="16"/>
      <c r="H1795" s="43">
        <f t="shared" si="51"/>
        <v>0</v>
      </c>
    </row>
    <row r="1796" spans="1:8" ht="48">
      <c r="A1796" s="8">
        <v>6</v>
      </c>
      <c r="B1796" s="46" t="s">
        <v>1364</v>
      </c>
      <c r="C1796" s="10" t="s">
        <v>1365</v>
      </c>
      <c r="D1796" s="11" t="s">
        <v>1233</v>
      </c>
      <c r="E1796" s="11"/>
      <c r="F1796" s="221">
        <v>1</v>
      </c>
      <c r="G1796" s="11"/>
      <c r="H1796" s="13">
        <f>SUM(H1797:H1799)</f>
        <v>0</v>
      </c>
    </row>
    <row r="1797" spans="1:8">
      <c r="A1797" s="64"/>
      <c r="B1797" s="14" t="s">
        <v>17</v>
      </c>
      <c r="C1797" s="16" t="s">
        <v>28</v>
      </c>
      <c r="D1797" s="17" t="s">
        <v>19</v>
      </c>
      <c r="E1797" s="17">
        <v>1.24</v>
      </c>
      <c r="F1797" s="18">
        <f>E1797*F1796</f>
        <v>1.24</v>
      </c>
      <c r="G1797" s="17"/>
      <c r="H1797" s="19">
        <f>G1797*F1797</f>
        <v>0</v>
      </c>
    </row>
    <row r="1798" spans="1:8">
      <c r="A1798" s="64"/>
      <c r="B1798" s="14" t="s">
        <v>17</v>
      </c>
      <c r="C1798" s="16" t="s">
        <v>233</v>
      </c>
      <c r="D1798" s="17" t="s">
        <v>3</v>
      </c>
      <c r="E1798" s="17">
        <v>26</v>
      </c>
      <c r="F1798" s="18">
        <f>E1798*F1796</f>
        <v>26</v>
      </c>
      <c r="G1798" s="17"/>
      <c r="H1798" s="19">
        <f>G1798*F1798</f>
        <v>0</v>
      </c>
    </row>
    <row r="1799" spans="1:8">
      <c r="A1799" s="64"/>
      <c r="B1799" s="14" t="s">
        <v>17</v>
      </c>
      <c r="C1799" s="16" t="s">
        <v>87</v>
      </c>
      <c r="D1799" s="17" t="s">
        <v>3</v>
      </c>
      <c r="E1799" s="17">
        <v>0.14000000000000001</v>
      </c>
      <c r="F1799" s="18">
        <f>E1799*F1796</f>
        <v>0.14000000000000001</v>
      </c>
      <c r="G1799" s="17"/>
      <c r="H1799" s="19">
        <f>G1799*F1799</f>
        <v>0</v>
      </c>
    </row>
    <row r="1800" spans="1:8" ht="48">
      <c r="A1800" s="62" t="s">
        <v>95</v>
      </c>
      <c r="B1800" s="46" t="s">
        <v>125</v>
      </c>
      <c r="C1800" s="10" t="s">
        <v>1366</v>
      </c>
      <c r="D1800" s="11" t="s">
        <v>23</v>
      </c>
      <c r="E1800" s="11"/>
      <c r="F1800" s="47">
        <v>9.5</v>
      </c>
      <c r="G1800" s="11"/>
      <c r="H1800" s="13">
        <f>H1801</f>
        <v>0</v>
      </c>
    </row>
    <row r="1801" spans="1:8">
      <c r="A1801" s="64"/>
      <c r="B1801" s="14" t="s">
        <v>17</v>
      </c>
      <c r="C1801" s="16" t="s">
        <v>28</v>
      </c>
      <c r="D1801" s="17" t="s">
        <v>19</v>
      </c>
      <c r="E1801" s="17">
        <v>1.21</v>
      </c>
      <c r="F1801" s="18">
        <f>F1800*E1801</f>
        <v>11.494999999999999</v>
      </c>
      <c r="G1801" s="17"/>
      <c r="H1801" s="19">
        <f>G1801*F1801</f>
        <v>0</v>
      </c>
    </row>
    <row r="1802" spans="1:8" ht="48">
      <c r="A1802" s="62" t="s">
        <v>101</v>
      </c>
      <c r="B1802" s="9" t="s">
        <v>322</v>
      </c>
      <c r="C1802" s="145" t="s">
        <v>1215</v>
      </c>
      <c r="D1802" s="145" t="s">
        <v>23</v>
      </c>
      <c r="E1802" s="145"/>
      <c r="F1802" s="145">
        <f>F1800</f>
        <v>9.5</v>
      </c>
      <c r="G1802" s="145"/>
      <c r="H1802" s="146">
        <f>H1803+H1804</f>
        <v>0</v>
      </c>
    </row>
    <row r="1803" spans="1:8">
      <c r="A1803" s="64"/>
      <c r="B1803" s="14" t="s">
        <v>17</v>
      </c>
      <c r="C1803" s="16" t="s">
        <v>28</v>
      </c>
      <c r="D1803" s="16" t="s">
        <v>19</v>
      </c>
      <c r="E1803" s="16">
        <v>0.13400000000000001</v>
      </c>
      <c r="F1803" s="43">
        <f>F1802*E1803</f>
        <v>1.2730000000000001</v>
      </c>
      <c r="G1803" s="16"/>
      <c r="H1803" s="44">
        <f>G1803*F1803</f>
        <v>0</v>
      </c>
    </row>
    <row r="1804" spans="1:8">
      <c r="A1804" s="64"/>
      <c r="B1804" s="147" t="s">
        <v>324</v>
      </c>
      <c r="C1804" s="147" t="s">
        <v>325</v>
      </c>
      <c r="D1804" s="147" t="s">
        <v>326</v>
      </c>
      <c r="E1804" s="147">
        <v>0.13</v>
      </c>
      <c r="F1804" s="147">
        <f>E1804*F1802</f>
        <v>1.2350000000000001</v>
      </c>
      <c r="G1804" s="147"/>
      <c r="H1804" s="147">
        <f>F1804*G1804</f>
        <v>0</v>
      </c>
    </row>
    <row r="1805" spans="1:8">
      <c r="A1805" s="61"/>
      <c r="B1805" s="61"/>
      <c r="C1805" s="239" t="s">
        <v>757</v>
      </c>
      <c r="D1805" s="20" t="s">
        <v>3</v>
      </c>
      <c r="E1805" s="20"/>
      <c r="F1805" s="20"/>
      <c r="G1805" s="467"/>
      <c r="H1805" s="468">
        <f>H1773+H1775+H1779+H1784+H1789+H1796+H1800+H1802</f>
        <v>0</v>
      </c>
    </row>
    <row r="1806" spans="1:8" ht="31.5" customHeight="1">
      <c r="A1806" s="240"/>
      <c r="B1806" s="240"/>
      <c r="C1806" s="219" t="s">
        <v>1367</v>
      </c>
      <c r="D1806" s="241"/>
      <c r="E1806" s="241"/>
      <c r="F1806" s="241"/>
      <c r="G1806" s="241"/>
      <c r="H1806" s="242"/>
    </row>
    <row r="1807" spans="1:8" ht="48">
      <c r="A1807" s="25">
        <v>1</v>
      </c>
      <c r="B1807" s="9" t="s">
        <v>1197</v>
      </c>
      <c r="C1807" s="20" t="s">
        <v>1198</v>
      </c>
      <c r="D1807" s="20" t="s">
        <v>23</v>
      </c>
      <c r="E1807" s="59"/>
      <c r="F1807" s="60">
        <v>3</v>
      </c>
      <c r="G1807" s="20"/>
      <c r="H1807" s="39">
        <f>H1808</f>
        <v>0</v>
      </c>
    </row>
    <row r="1808" spans="1:8">
      <c r="A1808" s="61"/>
      <c r="B1808" s="15" t="s">
        <v>17</v>
      </c>
      <c r="C1808" s="28" t="s">
        <v>28</v>
      </c>
      <c r="D1808" s="28" t="s">
        <v>19</v>
      </c>
      <c r="E1808" s="28">
        <v>2.78</v>
      </c>
      <c r="F1808" s="44">
        <f>F1807*E1808</f>
        <v>8.34</v>
      </c>
      <c r="G1808" s="28"/>
      <c r="H1808" s="44">
        <f>G1808*F1808</f>
        <v>0</v>
      </c>
    </row>
    <row r="1809" spans="1:8" ht="54">
      <c r="A1809" s="8">
        <v>2</v>
      </c>
      <c r="B1809" s="9" t="s">
        <v>1368</v>
      </c>
      <c r="C1809" s="10" t="s">
        <v>1369</v>
      </c>
      <c r="D1809" s="10" t="s">
        <v>45</v>
      </c>
      <c r="E1809" s="10"/>
      <c r="F1809" s="190">
        <v>10</v>
      </c>
      <c r="G1809" s="10"/>
      <c r="H1809" s="39">
        <f>SUM(H1810:H1813)</f>
        <v>0</v>
      </c>
    </row>
    <row r="1810" spans="1:8">
      <c r="A1810" s="64"/>
      <c r="B1810" s="14" t="s">
        <v>17</v>
      </c>
      <c r="C1810" s="16" t="s">
        <v>28</v>
      </c>
      <c r="D1810" s="16" t="s">
        <v>19</v>
      </c>
      <c r="E1810" s="77">
        <v>0.505</v>
      </c>
      <c r="F1810" s="43">
        <f>E1810*F1809</f>
        <v>5.05</v>
      </c>
      <c r="G1810" s="16"/>
      <c r="H1810" s="44">
        <f>G1810*F1810</f>
        <v>0</v>
      </c>
    </row>
    <row r="1811" spans="1:8">
      <c r="A1811" s="64"/>
      <c r="B1811" s="14" t="s">
        <v>17</v>
      </c>
      <c r="C1811" s="16" t="s">
        <v>20</v>
      </c>
      <c r="D1811" s="16" t="s">
        <v>3</v>
      </c>
      <c r="E1811" s="16">
        <v>4.9299999999999997E-2</v>
      </c>
      <c r="F1811" s="43">
        <f>F1809*E1811</f>
        <v>0.49299999999999999</v>
      </c>
      <c r="G1811" s="16"/>
      <c r="H1811" s="44">
        <f>G1811*F1811</f>
        <v>0</v>
      </c>
    </row>
    <row r="1812" spans="1:8">
      <c r="A1812" s="61"/>
      <c r="B1812" s="17" t="s">
        <v>1370</v>
      </c>
      <c r="C1812" s="28" t="s">
        <v>1371</v>
      </c>
      <c r="D1812" s="28" t="s">
        <v>384</v>
      </c>
      <c r="E1812" s="28">
        <v>1</v>
      </c>
      <c r="F1812" s="44">
        <f>F1809*E1812</f>
        <v>10</v>
      </c>
      <c r="G1812" s="28"/>
      <c r="H1812" s="44">
        <f>G1812*F1812</f>
        <v>0</v>
      </c>
    </row>
    <row r="1813" spans="1:8">
      <c r="A1813" s="64"/>
      <c r="B1813" s="14" t="s">
        <v>17</v>
      </c>
      <c r="C1813" s="16" t="s">
        <v>87</v>
      </c>
      <c r="D1813" s="16" t="s">
        <v>3</v>
      </c>
      <c r="E1813" s="16">
        <v>2.7699999999999999E-2</v>
      </c>
      <c r="F1813" s="43">
        <f>E1813*F1809</f>
        <v>0.27699999999999997</v>
      </c>
      <c r="G1813" s="16"/>
      <c r="H1813" s="44">
        <f>G1813*F1813</f>
        <v>0</v>
      </c>
    </row>
    <row r="1814" spans="1:8" ht="54">
      <c r="A1814" s="8">
        <v>3</v>
      </c>
      <c r="B1814" s="46" t="s">
        <v>1199</v>
      </c>
      <c r="C1814" s="10" t="s">
        <v>1372</v>
      </c>
      <c r="D1814" s="10" t="s">
        <v>45</v>
      </c>
      <c r="E1814" s="10"/>
      <c r="F1814" s="190">
        <v>20</v>
      </c>
      <c r="G1814" s="10"/>
      <c r="H1814" s="39">
        <f>SUM(H1815:H1818)</f>
        <v>0</v>
      </c>
    </row>
    <row r="1815" spans="1:8">
      <c r="A1815" s="64"/>
      <c r="B1815" s="67" t="s">
        <v>17</v>
      </c>
      <c r="C1815" s="16" t="s">
        <v>28</v>
      </c>
      <c r="D1815" s="16" t="s">
        <v>19</v>
      </c>
      <c r="E1815" s="16">
        <v>9.5899999999999999E-2</v>
      </c>
      <c r="F1815" s="43">
        <f>E1815*F1814</f>
        <v>1.9179999999999999</v>
      </c>
      <c r="G1815" s="16"/>
      <c r="H1815" s="44">
        <f>G1815*F1815</f>
        <v>0</v>
      </c>
    </row>
    <row r="1816" spans="1:8">
      <c r="A1816" s="64"/>
      <c r="B1816" s="67" t="s">
        <v>17</v>
      </c>
      <c r="C1816" s="16" t="s">
        <v>20</v>
      </c>
      <c r="D1816" s="16" t="s">
        <v>3</v>
      </c>
      <c r="E1816" s="66">
        <v>4.5199999999999997E-2</v>
      </c>
      <c r="F1816" s="43">
        <f>F1814*E1816</f>
        <v>0.90399999999999991</v>
      </c>
      <c r="G1816" s="16"/>
      <c r="H1816" s="180">
        <f>G1816*F1816</f>
        <v>0</v>
      </c>
    </row>
    <row r="1817" spans="1:8" ht="27">
      <c r="A1817" s="61"/>
      <c r="B1817" s="64" t="s">
        <v>840</v>
      </c>
      <c r="C1817" s="28" t="s">
        <v>1373</v>
      </c>
      <c r="D1817" s="29" t="s">
        <v>384</v>
      </c>
      <c r="E1817" s="29">
        <v>1.01</v>
      </c>
      <c r="F1817" s="178">
        <f>F1814*E1817</f>
        <v>20.2</v>
      </c>
      <c r="G1817" s="29"/>
      <c r="H1817" s="19">
        <f>F1817*G1817</f>
        <v>0</v>
      </c>
    </row>
    <row r="1818" spans="1:8">
      <c r="A1818" s="64"/>
      <c r="B1818" s="67" t="s">
        <v>17</v>
      </c>
      <c r="C1818" s="16" t="s">
        <v>87</v>
      </c>
      <c r="D1818" s="16" t="s">
        <v>3</v>
      </c>
      <c r="E1818" s="16">
        <v>5.9999999999999995E-4</v>
      </c>
      <c r="F1818" s="43">
        <f>E1818*F1814</f>
        <v>1.1999999999999999E-2</v>
      </c>
      <c r="G1818" s="16"/>
      <c r="H1818" s="43">
        <f>G1818*F1818</f>
        <v>0</v>
      </c>
    </row>
    <row r="1819" spans="1:8" ht="48">
      <c r="A1819" s="48">
        <v>5</v>
      </c>
      <c r="B1819" s="46" t="s">
        <v>1211</v>
      </c>
      <c r="C1819" s="10" t="s">
        <v>1374</v>
      </c>
      <c r="D1819" s="11" t="s">
        <v>209</v>
      </c>
      <c r="E1819" s="11"/>
      <c r="F1819" s="57">
        <v>2</v>
      </c>
      <c r="G1819" s="57"/>
      <c r="H1819" s="13">
        <f>SUM(H1820:H1823)</f>
        <v>0</v>
      </c>
    </row>
    <row r="1820" spans="1:8">
      <c r="A1820" s="325"/>
      <c r="B1820" s="67" t="s">
        <v>17</v>
      </c>
      <c r="C1820" s="16" t="s">
        <v>18</v>
      </c>
      <c r="D1820" s="17" t="s">
        <v>19</v>
      </c>
      <c r="E1820" s="17">
        <v>1.38</v>
      </c>
      <c r="F1820" s="33">
        <f>E1820*F1819</f>
        <v>2.76</v>
      </c>
      <c r="G1820" s="18"/>
      <c r="H1820" s="19">
        <f>G1820*F1820</f>
        <v>0</v>
      </c>
    </row>
    <row r="1821" spans="1:8">
      <c r="A1821" s="325"/>
      <c r="B1821" s="67" t="s">
        <v>17</v>
      </c>
      <c r="C1821" s="16" t="s">
        <v>233</v>
      </c>
      <c r="D1821" s="17" t="s">
        <v>3</v>
      </c>
      <c r="E1821" s="17">
        <v>0.06</v>
      </c>
      <c r="F1821" s="33">
        <f>E1821*F1819</f>
        <v>0.12</v>
      </c>
      <c r="G1821" s="18"/>
      <c r="H1821" s="18">
        <f>G1821*F1821</f>
        <v>0</v>
      </c>
    </row>
    <row r="1822" spans="1:8">
      <c r="A1822" s="325"/>
      <c r="B1822" s="61" t="s">
        <v>861</v>
      </c>
      <c r="C1822" s="28" t="s">
        <v>1375</v>
      </c>
      <c r="D1822" s="17" t="s">
        <v>209</v>
      </c>
      <c r="E1822" s="17">
        <v>1</v>
      </c>
      <c r="F1822" s="33">
        <f>F1819*E1822</f>
        <v>2</v>
      </c>
      <c r="G1822" s="18"/>
      <c r="H1822" s="18">
        <f>F1822*G1822</f>
        <v>0</v>
      </c>
    </row>
    <row r="1823" spans="1:8">
      <c r="A1823" s="325"/>
      <c r="B1823" s="67" t="s">
        <v>17</v>
      </c>
      <c r="C1823" s="16" t="s">
        <v>87</v>
      </c>
      <c r="D1823" s="17" t="s">
        <v>3</v>
      </c>
      <c r="E1823" s="17">
        <v>0.38</v>
      </c>
      <c r="F1823" s="33">
        <f>E1823*F1819</f>
        <v>0.76</v>
      </c>
      <c r="G1823" s="18"/>
      <c r="H1823" s="18">
        <f>G1823*F1823</f>
        <v>0</v>
      </c>
    </row>
    <row r="1824" spans="1:8" ht="48">
      <c r="A1824" s="128">
        <v>7</v>
      </c>
      <c r="B1824" s="46" t="s">
        <v>1356</v>
      </c>
      <c r="C1824" s="10" t="s">
        <v>1357</v>
      </c>
      <c r="D1824" s="10" t="s">
        <v>23</v>
      </c>
      <c r="E1824" s="16"/>
      <c r="F1824" s="190">
        <v>1.5</v>
      </c>
      <c r="G1824" s="16"/>
      <c r="H1824" s="39">
        <f>SUM(H1825:H1830)</f>
        <v>0</v>
      </c>
    </row>
    <row r="1825" spans="1:8">
      <c r="A1825" s="64"/>
      <c r="B1825" s="67" t="s">
        <v>17</v>
      </c>
      <c r="C1825" s="16" t="s">
        <v>28</v>
      </c>
      <c r="D1825" s="16" t="s">
        <v>19</v>
      </c>
      <c r="E1825" s="16">
        <v>13.8</v>
      </c>
      <c r="F1825" s="43">
        <f>E1825*F1824</f>
        <v>20.700000000000003</v>
      </c>
      <c r="G1825" s="16"/>
      <c r="H1825" s="44">
        <f t="shared" ref="H1825:H1830" si="52">F1825*G1825</f>
        <v>0</v>
      </c>
    </row>
    <row r="1826" spans="1:8">
      <c r="A1826" s="64"/>
      <c r="B1826" s="67" t="s">
        <v>17</v>
      </c>
      <c r="C1826" s="16" t="s">
        <v>20</v>
      </c>
      <c r="D1826" s="16" t="s">
        <v>3</v>
      </c>
      <c r="E1826" s="16">
        <v>0.17</v>
      </c>
      <c r="F1826" s="43">
        <f>E1826*F1824</f>
        <v>0.255</v>
      </c>
      <c r="G1826" s="16"/>
      <c r="H1826" s="43">
        <f t="shared" si="52"/>
        <v>0</v>
      </c>
    </row>
    <row r="1827" spans="1:8">
      <c r="A1827" s="64"/>
      <c r="B1827" s="22" t="s">
        <v>1358</v>
      </c>
      <c r="C1827" s="16" t="s">
        <v>1359</v>
      </c>
      <c r="D1827" s="17" t="s">
        <v>1360</v>
      </c>
      <c r="E1827" s="17">
        <v>1.25</v>
      </c>
      <c r="F1827" s="18">
        <f>F1824*E1827</f>
        <v>1.875</v>
      </c>
      <c r="G1827" s="17"/>
      <c r="H1827" s="18">
        <f t="shared" si="52"/>
        <v>0</v>
      </c>
    </row>
    <row r="1828" spans="1:8">
      <c r="A1828" s="64"/>
      <c r="B1828" s="22" t="s">
        <v>1361</v>
      </c>
      <c r="C1828" s="16" t="s">
        <v>1362</v>
      </c>
      <c r="D1828" s="16" t="s">
        <v>209</v>
      </c>
      <c r="E1828" s="17" t="s">
        <v>109</v>
      </c>
      <c r="F1828" s="18">
        <v>3</v>
      </c>
      <c r="G1828" s="17"/>
      <c r="H1828" s="18">
        <f t="shared" si="52"/>
        <v>0</v>
      </c>
    </row>
    <row r="1829" spans="1:8">
      <c r="A1829" s="64"/>
      <c r="B1829" s="22" t="s">
        <v>1363</v>
      </c>
      <c r="C1829" s="16" t="s">
        <v>146</v>
      </c>
      <c r="D1829" s="16" t="s">
        <v>123</v>
      </c>
      <c r="E1829" s="17" t="s">
        <v>109</v>
      </c>
      <c r="F1829" s="18">
        <v>5</v>
      </c>
      <c r="G1829" s="17"/>
      <c r="H1829" s="18">
        <f t="shared" si="52"/>
        <v>0</v>
      </c>
    </row>
    <row r="1830" spans="1:8">
      <c r="A1830" s="64"/>
      <c r="B1830" s="67" t="s">
        <v>17</v>
      </c>
      <c r="C1830" s="16" t="s">
        <v>87</v>
      </c>
      <c r="D1830" s="16" t="s">
        <v>3</v>
      </c>
      <c r="E1830" s="16">
        <v>0.9</v>
      </c>
      <c r="F1830" s="43">
        <f>E1830*F1824</f>
        <v>1.35</v>
      </c>
      <c r="G1830" s="16"/>
      <c r="H1830" s="43">
        <f t="shared" si="52"/>
        <v>0</v>
      </c>
    </row>
    <row r="1831" spans="1:8" ht="48">
      <c r="A1831" s="8">
        <v>8</v>
      </c>
      <c r="B1831" s="46" t="s">
        <v>1364</v>
      </c>
      <c r="C1831" s="10" t="s">
        <v>1365</v>
      </c>
      <c r="D1831" s="11" t="s">
        <v>1233</v>
      </c>
      <c r="E1831" s="11"/>
      <c r="F1831" s="221">
        <v>1</v>
      </c>
      <c r="G1831" s="11"/>
      <c r="H1831" s="13">
        <f>SUM(H1832:H1834)</f>
        <v>0</v>
      </c>
    </row>
    <row r="1832" spans="1:8">
      <c r="A1832" s="64"/>
      <c r="B1832" s="14" t="s">
        <v>17</v>
      </c>
      <c r="C1832" s="16" t="s">
        <v>28</v>
      </c>
      <c r="D1832" s="17" t="s">
        <v>19</v>
      </c>
      <c r="E1832" s="17">
        <v>1.24</v>
      </c>
      <c r="F1832" s="18">
        <f>E1832*F1831</f>
        <v>1.24</v>
      </c>
      <c r="G1832" s="17"/>
      <c r="H1832" s="19">
        <f>G1832*F1832</f>
        <v>0</v>
      </c>
    </row>
    <row r="1833" spans="1:8">
      <c r="A1833" s="64"/>
      <c r="B1833" s="14" t="s">
        <v>17</v>
      </c>
      <c r="C1833" s="16" t="s">
        <v>233</v>
      </c>
      <c r="D1833" s="17" t="s">
        <v>3</v>
      </c>
      <c r="E1833" s="17">
        <v>26</v>
      </c>
      <c r="F1833" s="18">
        <f>E1833*F1831</f>
        <v>26</v>
      </c>
      <c r="G1833" s="17"/>
      <c r="H1833" s="19">
        <f>G1833*F1833</f>
        <v>0</v>
      </c>
    </row>
    <row r="1834" spans="1:8">
      <c r="A1834" s="64"/>
      <c r="B1834" s="14" t="s">
        <v>17</v>
      </c>
      <c r="C1834" s="16" t="s">
        <v>87</v>
      </c>
      <c r="D1834" s="17" t="s">
        <v>3</v>
      </c>
      <c r="E1834" s="17">
        <v>0.14000000000000001</v>
      </c>
      <c r="F1834" s="18">
        <f>E1834*F1831</f>
        <v>0.14000000000000001</v>
      </c>
      <c r="G1834" s="17"/>
      <c r="H1834" s="19">
        <f>G1834*F1834</f>
        <v>0</v>
      </c>
    </row>
    <row r="1835" spans="1:8" ht="48">
      <c r="A1835" s="62" t="s">
        <v>42</v>
      </c>
      <c r="B1835" s="46" t="s">
        <v>125</v>
      </c>
      <c r="C1835" s="10" t="s">
        <v>1366</v>
      </c>
      <c r="D1835" s="11" t="s">
        <v>23</v>
      </c>
      <c r="E1835" s="11"/>
      <c r="F1835" s="47">
        <v>2</v>
      </c>
      <c r="G1835" s="11"/>
      <c r="H1835" s="13">
        <f>H1836</f>
        <v>0</v>
      </c>
    </row>
    <row r="1836" spans="1:8">
      <c r="A1836" s="64"/>
      <c r="B1836" s="14" t="s">
        <v>17</v>
      </c>
      <c r="C1836" s="16" t="s">
        <v>28</v>
      </c>
      <c r="D1836" s="17" t="s">
        <v>19</v>
      </c>
      <c r="E1836" s="17">
        <v>1.21</v>
      </c>
      <c r="F1836" s="18">
        <f>F1835*E1836</f>
        <v>2.42</v>
      </c>
      <c r="G1836" s="17"/>
      <c r="H1836" s="19">
        <f>G1836*F1836</f>
        <v>0</v>
      </c>
    </row>
    <row r="1837" spans="1:8" ht="48">
      <c r="A1837" s="62" t="s">
        <v>124</v>
      </c>
      <c r="B1837" s="9" t="s">
        <v>322</v>
      </c>
      <c r="C1837" s="145" t="s">
        <v>1215</v>
      </c>
      <c r="D1837" s="145" t="s">
        <v>23</v>
      </c>
      <c r="E1837" s="145"/>
      <c r="F1837" s="145">
        <f>F1835</f>
        <v>2</v>
      </c>
      <c r="G1837" s="145"/>
      <c r="H1837" s="146">
        <f>H1838+H1839</f>
        <v>0</v>
      </c>
    </row>
    <row r="1838" spans="1:8">
      <c r="A1838" s="64"/>
      <c r="B1838" s="14" t="s">
        <v>17</v>
      </c>
      <c r="C1838" s="16" t="s">
        <v>28</v>
      </c>
      <c r="D1838" s="16" t="s">
        <v>19</v>
      </c>
      <c r="E1838" s="16">
        <v>0.13400000000000001</v>
      </c>
      <c r="F1838" s="43">
        <f>F1837*E1838</f>
        <v>0.26800000000000002</v>
      </c>
      <c r="G1838" s="16"/>
      <c r="H1838" s="44">
        <f>G1838*F1838</f>
        <v>0</v>
      </c>
    </row>
    <row r="1839" spans="1:8">
      <c r="A1839" s="64"/>
      <c r="B1839" s="147" t="s">
        <v>324</v>
      </c>
      <c r="C1839" s="147" t="s">
        <v>325</v>
      </c>
      <c r="D1839" s="147" t="s">
        <v>326</v>
      </c>
      <c r="E1839" s="147">
        <v>0.13</v>
      </c>
      <c r="F1839" s="147">
        <f>E1839*F1837</f>
        <v>0.26</v>
      </c>
      <c r="G1839" s="147"/>
      <c r="H1839" s="147">
        <f>F1839*G1839</f>
        <v>0</v>
      </c>
    </row>
    <row r="1840" spans="1:8">
      <c r="A1840" s="61"/>
      <c r="B1840" s="61"/>
      <c r="C1840" s="239" t="s">
        <v>792</v>
      </c>
      <c r="D1840" s="20" t="s">
        <v>3</v>
      </c>
      <c r="E1840" s="20"/>
      <c r="F1840" s="20"/>
      <c r="G1840" s="467"/>
      <c r="H1840" s="468">
        <f>H1837+H1835+H1831+H1824+H1819+H1814+H1809+H1807</f>
        <v>0</v>
      </c>
    </row>
    <row r="1841" spans="1:8" ht="27">
      <c r="A1841" s="83"/>
      <c r="B1841" s="14"/>
      <c r="C1841" s="10" t="s">
        <v>793</v>
      </c>
      <c r="D1841" s="10" t="s">
        <v>3</v>
      </c>
      <c r="E1841" s="16"/>
      <c r="F1841" s="43"/>
      <c r="G1841" s="16"/>
      <c r="H1841" s="21">
        <f>H1840+H1805</f>
        <v>0</v>
      </c>
    </row>
    <row r="1842" spans="1:8">
      <c r="A1842" s="64"/>
      <c r="B1842" s="14"/>
      <c r="C1842" s="16" t="s">
        <v>687</v>
      </c>
      <c r="D1842" s="16" t="s">
        <v>3</v>
      </c>
      <c r="E1842" s="16"/>
      <c r="F1842" s="224">
        <v>0.1</v>
      </c>
      <c r="G1842" s="16"/>
      <c r="H1842" s="18">
        <f>H1841*F1842</f>
        <v>0</v>
      </c>
    </row>
    <row r="1843" spans="1:8">
      <c r="A1843" s="64"/>
      <c r="B1843" s="46"/>
      <c r="C1843" s="10" t="s">
        <v>688</v>
      </c>
      <c r="D1843" s="10" t="s">
        <v>3</v>
      </c>
      <c r="E1843" s="10"/>
      <c r="F1843" s="10"/>
      <c r="G1843" s="10"/>
      <c r="H1843" s="57">
        <f>H1842+H1841</f>
        <v>0</v>
      </c>
    </row>
    <row r="1844" spans="1:8">
      <c r="A1844" s="64"/>
      <c r="B1844" s="14"/>
      <c r="C1844" s="16" t="s">
        <v>689</v>
      </c>
      <c r="D1844" s="16" t="s">
        <v>3</v>
      </c>
      <c r="E1844" s="16"/>
      <c r="F1844" s="224">
        <v>0.08</v>
      </c>
      <c r="G1844" s="16"/>
      <c r="H1844" s="18">
        <f>H1843*F1844</f>
        <v>0</v>
      </c>
    </row>
    <row r="1845" spans="1:8">
      <c r="A1845" s="83"/>
      <c r="B1845" s="46"/>
      <c r="C1845" s="10" t="s">
        <v>690</v>
      </c>
      <c r="D1845" s="10" t="s">
        <v>3</v>
      </c>
      <c r="E1845" s="10"/>
      <c r="F1845" s="225"/>
      <c r="G1845" s="206"/>
      <c r="H1845" s="462">
        <f>SUM(H1843:H1844)</f>
        <v>0</v>
      </c>
    </row>
    <row r="1848" spans="1:8">
      <c r="A1848" s="509" t="s">
        <v>1376</v>
      </c>
      <c r="B1848" s="509"/>
      <c r="C1848" s="509"/>
      <c r="D1848" s="509"/>
      <c r="E1848" s="509"/>
      <c r="F1848" s="509"/>
      <c r="G1848" s="509"/>
      <c r="H1848" s="509"/>
    </row>
    <row r="1849" spans="1:8" ht="23.25" customHeight="1">
      <c r="A1849" s="487" t="s">
        <v>1377</v>
      </c>
      <c r="B1849" s="487"/>
      <c r="C1849" s="487"/>
      <c r="D1849" s="487"/>
      <c r="E1849" s="487"/>
      <c r="F1849" s="487"/>
      <c r="G1849" s="487"/>
      <c r="H1849" s="487"/>
    </row>
    <row r="1850" spans="1:8" ht="33.75" customHeight="1">
      <c r="A1850" s="506" t="s">
        <v>5</v>
      </c>
      <c r="B1850" s="507" t="s">
        <v>6</v>
      </c>
      <c r="C1850" s="494" t="s">
        <v>7</v>
      </c>
      <c r="D1850" s="517" t="s">
        <v>8</v>
      </c>
      <c r="E1850" s="518" t="s">
        <v>9</v>
      </c>
      <c r="F1850" s="518"/>
      <c r="G1850" s="518" t="s">
        <v>10</v>
      </c>
      <c r="H1850" s="518"/>
    </row>
    <row r="1851" spans="1:8" ht="84.75" customHeight="1">
      <c r="A1851" s="506"/>
      <c r="B1851" s="507"/>
      <c r="C1851" s="494"/>
      <c r="D1851" s="517"/>
      <c r="E1851" s="226" t="s">
        <v>11</v>
      </c>
      <c r="F1851" s="226" t="s">
        <v>12</v>
      </c>
      <c r="G1851" s="226" t="s">
        <v>11</v>
      </c>
      <c r="H1851" s="281" t="s">
        <v>12</v>
      </c>
    </row>
    <row r="1852" spans="1:8">
      <c r="A1852" s="230" t="s">
        <v>13</v>
      </c>
      <c r="B1852" s="46">
        <v>2</v>
      </c>
      <c r="C1852" s="232">
        <v>3</v>
      </c>
      <c r="D1852" s="232">
        <v>4</v>
      </c>
      <c r="E1852" s="232">
        <v>5</v>
      </c>
      <c r="F1852" s="232">
        <v>6</v>
      </c>
      <c r="G1852" s="232">
        <v>7</v>
      </c>
      <c r="H1852" s="8">
        <v>8</v>
      </c>
    </row>
    <row r="1853" spans="1:8">
      <c r="A1853" s="64"/>
      <c r="B1853" s="14"/>
      <c r="C1853" s="357" t="s">
        <v>1650</v>
      </c>
      <c r="D1853" s="16"/>
      <c r="E1853" s="16"/>
      <c r="F1853" s="16"/>
      <c r="G1853" s="16"/>
      <c r="H1853" s="83"/>
    </row>
    <row r="1854" spans="1:8" ht="48">
      <c r="A1854" s="25">
        <v>1</v>
      </c>
      <c r="B1854" s="9" t="s">
        <v>1197</v>
      </c>
      <c r="C1854" s="20" t="s">
        <v>1198</v>
      </c>
      <c r="D1854" s="20" t="s">
        <v>23</v>
      </c>
      <c r="E1854" s="59"/>
      <c r="F1854" s="69">
        <v>42.5</v>
      </c>
      <c r="G1854" s="20"/>
      <c r="H1854" s="39">
        <f>H1855+0</f>
        <v>0</v>
      </c>
    </row>
    <row r="1855" spans="1:8">
      <c r="A1855" s="61"/>
      <c r="B1855" s="15" t="s">
        <v>17</v>
      </c>
      <c r="C1855" s="28" t="s">
        <v>28</v>
      </c>
      <c r="D1855" s="28" t="s">
        <v>19</v>
      </c>
      <c r="E1855" s="28">
        <v>2.78</v>
      </c>
      <c r="F1855" s="44">
        <f>F1854*E1855</f>
        <v>118.14999999999999</v>
      </c>
      <c r="G1855" s="28"/>
      <c r="H1855" s="44">
        <f>F1855*G1855</f>
        <v>0</v>
      </c>
    </row>
    <row r="1856" spans="1:8" ht="48">
      <c r="A1856" s="62" t="s">
        <v>72</v>
      </c>
      <c r="B1856" s="46" t="s">
        <v>125</v>
      </c>
      <c r="C1856" s="10" t="s">
        <v>1214</v>
      </c>
      <c r="D1856" s="10" t="s">
        <v>23</v>
      </c>
      <c r="E1856" s="63"/>
      <c r="F1856" s="76">
        <f>F1854</f>
        <v>42.5</v>
      </c>
      <c r="G1856" s="10"/>
      <c r="H1856" s="39">
        <f>H1857</f>
        <v>0</v>
      </c>
    </row>
    <row r="1857" spans="1:8">
      <c r="A1857" s="64"/>
      <c r="B1857" s="14" t="s">
        <v>17</v>
      </c>
      <c r="C1857" s="16" t="s">
        <v>18</v>
      </c>
      <c r="D1857" s="16" t="s">
        <v>19</v>
      </c>
      <c r="E1857" s="16">
        <v>1.21</v>
      </c>
      <c r="F1857" s="43">
        <f>F1856*E1857</f>
        <v>51.424999999999997</v>
      </c>
      <c r="G1857" s="16"/>
      <c r="H1857" s="44">
        <f>F1857*G1857</f>
        <v>0</v>
      </c>
    </row>
    <row r="1858" spans="1:8" ht="48">
      <c r="A1858" s="144">
        <v>3</v>
      </c>
      <c r="B1858" s="9" t="s">
        <v>322</v>
      </c>
      <c r="C1858" s="145" t="s">
        <v>1215</v>
      </c>
      <c r="D1858" s="145" t="s">
        <v>23</v>
      </c>
      <c r="E1858" s="145"/>
      <c r="F1858" s="145">
        <f>F1856</f>
        <v>42.5</v>
      </c>
      <c r="G1858" s="145"/>
      <c r="H1858" s="146">
        <f>H1859+H1860</f>
        <v>0</v>
      </c>
    </row>
    <row r="1859" spans="1:8">
      <c r="A1859" s="61"/>
      <c r="B1859" s="15" t="s">
        <v>17</v>
      </c>
      <c r="C1859" s="28" t="s">
        <v>28</v>
      </c>
      <c r="D1859" s="28" t="s">
        <v>19</v>
      </c>
      <c r="E1859" s="28">
        <v>0.13400000000000001</v>
      </c>
      <c r="F1859" s="44">
        <f>F1858*E1859</f>
        <v>5.6950000000000003</v>
      </c>
      <c r="G1859" s="28"/>
      <c r="H1859" s="44">
        <f>G1859*F1859</f>
        <v>0</v>
      </c>
    </row>
    <row r="1860" spans="1:8">
      <c r="A1860" s="147"/>
      <c r="B1860" s="147" t="s">
        <v>324</v>
      </c>
      <c r="C1860" s="147" t="s">
        <v>325</v>
      </c>
      <c r="D1860" s="147" t="s">
        <v>326</v>
      </c>
      <c r="E1860" s="147">
        <v>0.13</v>
      </c>
      <c r="F1860" s="147">
        <f>E1860*F1858</f>
        <v>5.5250000000000004</v>
      </c>
      <c r="G1860" s="147"/>
      <c r="H1860" s="147">
        <f>F1860*G1860</f>
        <v>0</v>
      </c>
    </row>
    <row r="1861" spans="1:8" ht="67.5">
      <c r="A1861" s="8">
        <v>4</v>
      </c>
      <c r="B1861" s="55" t="s">
        <v>1378</v>
      </c>
      <c r="C1861" s="10" t="s">
        <v>1379</v>
      </c>
      <c r="D1861" s="11" t="s">
        <v>209</v>
      </c>
      <c r="E1861" s="11"/>
      <c r="F1861" s="57">
        <v>7</v>
      </c>
      <c r="G1861" s="11"/>
      <c r="H1861" s="13">
        <f>H1862+H1863+H1864+H1865+H1866+H1867:H1867+H1868</f>
        <v>0</v>
      </c>
    </row>
    <row r="1862" spans="1:8">
      <c r="A1862" s="14"/>
      <c r="B1862" s="14" t="s">
        <v>17</v>
      </c>
      <c r="C1862" s="16" t="s">
        <v>28</v>
      </c>
      <c r="D1862" s="17" t="s">
        <v>19</v>
      </c>
      <c r="E1862" s="18">
        <v>2.52</v>
      </c>
      <c r="F1862" s="18">
        <f>F1861*E1862</f>
        <v>17.64</v>
      </c>
      <c r="G1862" s="56"/>
      <c r="H1862" s="19">
        <f t="shared" ref="H1862:H1868" si="53">F1862*G1862</f>
        <v>0</v>
      </c>
    </row>
    <row r="1863" spans="1:8">
      <c r="A1863" s="64"/>
      <c r="B1863" s="24" t="s">
        <v>1380</v>
      </c>
      <c r="C1863" s="16" t="s">
        <v>1381</v>
      </c>
      <c r="D1863" s="248" t="s">
        <v>326</v>
      </c>
      <c r="E1863" s="18">
        <v>1.2</v>
      </c>
      <c r="F1863" s="18">
        <f>E1863*F1861</f>
        <v>8.4</v>
      </c>
      <c r="G1863" s="17"/>
      <c r="H1863" s="19">
        <f t="shared" si="53"/>
        <v>0</v>
      </c>
    </row>
    <row r="1864" spans="1:8">
      <c r="A1864" s="14"/>
      <c r="B1864" s="24" t="s">
        <v>1382</v>
      </c>
      <c r="C1864" s="16" t="s">
        <v>1383</v>
      </c>
      <c r="D1864" s="248" t="s">
        <v>326</v>
      </c>
      <c r="E1864" s="18">
        <v>1.25</v>
      </c>
      <c r="F1864" s="18">
        <f>E1864*F1862</f>
        <v>22.05</v>
      </c>
      <c r="G1864" s="17"/>
      <c r="H1864" s="19">
        <f t="shared" si="53"/>
        <v>0</v>
      </c>
    </row>
    <row r="1865" spans="1:8">
      <c r="A1865" s="14"/>
      <c r="B1865" s="327" t="s">
        <v>585</v>
      </c>
      <c r="C1865" s="16" t="s">
        <v>1384</v>
      </c>
      <c r="D1865" s="17" t="s">
        <v>23</v>
      </c>
      <c r="E1865" s="18">
        <v>0.1</v>
      </c>
      <c r="F1865" s="18">
        <f>F1861*E1865</f>
        <v>0.70000000000000007</v>
      </c>
      <c r="G1865" s="17"/>
      <c r="H1865" s="19">
        <f t="shared" si="53"/>
        <v>0</v>
      </c>
    </row>
    <row r="1866" spans="1:8">
      <c r="A1866" s="14"/>
      <c r="B1866" s="358" t="s">
        <v>1385</v>
      </c>
      <c r="C1866" s="16" t="s">
        <v>1386</v>
      </c>
      <c r="D1866" s="17" t="s">
        <v>45</v>
      </c>
      <c r="E1866" s="18">
        <v>1.6</v>
      </c>
      <c r="F1866" s="18">
        <f>E1866*F1861</f>
        <v>11.200000000000001</v>
      </c>
      <c r="G1866" s="17"/>
      <c r="H1866" s="19">
        <f t="shared" si="53"/>
        <v>0</v>
      </c>
    </row>
    <row r="1867" spans="1:8">
      <c r="A1867" s="14"/>
      <c r="B1867" s="358" t="s">
        <v>1387</v>
      </c>
      <c r="C1867" s="16" t="s">
        <v>1388</v>
      </c>
      <c r="D1867" s="17" t="s">
        <v>45</v>
      </c>
      <c r="E1867" s="18">
        <v>2</v>
      </c>
      <c r="F1867" s="18">
        <f>E1867*F1861</f>
        <v>14</v>
      </c>
      <c r="G1867" s="17"/>
      <c r="H1867" s="19">
        <f t="shared" si="53"/>
        <v>0</v>
      </c>
    </row>
    <row r="1868" spans="1:8" ht="27">
      <c r="A1868" s="14"/>
      <c r="B1868" s="359" t="s">
        <v>52</v>
      </c>
      <c r="C1868" s="16" t="s">
        <v>1389</v>
      </c>
      <c r="D1868" s="17" t="s">
        <v>209</v>
      </c>
      <c r="E1868" s="18">
        <v>1</v>
      </c>
      <c r="F1868" s="222">
        <f>E1868*F1861</f>
        <v>7</v>
      </c>
      <c r="G1868" s="17"/>
      <c r="H1868" s="19">
        <f t="shared" si="53"/>
        <v>0</v>
      </c>
    </row>
    <row r="1869" spans="1:8" ht="48">
      <c r="A1869" s="68" t="s">
        <v>82</v>
      </c>
      <c r="B1869" s="9" t="s">
        <v>247</v>
      </c>
      <c r="C1869" s="20" t="s">
        <v>1390</v>
      </c>
      <c r="D1869" s="20" t="s">
        <v>16</v>
      </c>
      <c r="E1869" s="20"/>
      <c r="F1869" s="69">
        <v>9.8000000000000007</v>
      </c>
      <c r="G1869" s="10"/>
      <c r="H1869" s="39">
        <f>SUM(H1870:H1873)</f>
        <v>0</v>
      </c>
    </row>
    <row r="1870" spans="1:8">
      <c r="A1870" s="114"/>
      <c r="B1870" s="115" t="s">
        <v>17</v>
      </c>
      <c r="C1870" s="16" t="s">
        <v>18</v>
      </c>
      <c r="D1870" s="116" t="s">
        <v>19</v>
      </c>
      <c r="E1870" s="116">
        <v>2.3800000000000002E-2</v>
      </c>
      <c r="F1870" s="70">
        <f>E1870*F1869</f>
        <v>0.23324000000000003</v>
      </c>
      <c r="G1870" s="42"/>
      <c r="H1870" s="44">
        <f>G1870*F1870</f>
        <v>0</v>
      </c>
    </row>
    <row r="1871" spans="1:8">
      <c r="A1871" s="114"/>
      <c r="B1871" s="115" t="s">
        <v>17</v>
      </c>
      <c r="C1871" s="116" t="s">
        <v>20</v>
      </c>
      <c r="D1871" s="116" t="s">
        <v>3</v>
      </c>
      <c r="E1871" s="116">
        <v>2.5999999999999999E-3</v>
      </c>
      <c r="F1871" s="70">
        <f>E1871*F1869</f>
        <v>2.5479999999999999E-2</v>
      </c>
      <c r="G1871" s="42"/>
      <c r="H1871" s="43">
        <f>G1871*F1871</f>
        <v>0</v>
      </c>
    </row>
    <row r="1872" spans="1:8">
      <c r="A1872" s="114"/>
      <c r="B1872" s="360" t="s">
        <v>249</v>
      </c>
      <c r="C1872" s="116" t="s">
        <v>250</v>
      </c>
      <c r="D1872" s="116" t="s">
        <v>123</v>
      </c>
      <c r="E1872" s="116">
        <v>0.14599999999999999</v>
      </c>
      <c r="F1872" s="70">
        <f>E1872*F1869</f>
        <v>1.4308000000000001</v>
      </c>
      <c r="G1872" s="42"/>
      <c r="H1872" s="43">
        <f>G1872*F1872</f>
        <v>0</v>
      </c>
    </row>
    <row r="1873" spans="1:8">
      <c r="A1873" s="114"/>
      <c r="B1873" s="360" t="s">
        <v>251</v>
      </c>
      <c r="C1873" s="116" t="s">
        <v>252</v>
      </c>
      <c r="D1873" s="116" t="s">
        <v>3</v>
      </c>
      <c r="E1873" s="116">
        <v>2.1899999999999999E-2</v>
      </c>
      <c r="F1873" s="70">
        <f>E1873*F1869</f>
        <v>0.21462000000000001</v>
      </c>
      <c r="G1873" s="42"/>
      <c r="H1873" s="43">
        <f>G1873*F1873</f>
        <v>0</v>
      </c>
    </row>
    <row r="1874" spans="1:8" ht="48">
      <c r="A1874" s="68" t="s">
        <v>88</v>
      </c>
      <c r="B1874" s="361" t="s">
        <v>254</v>
      </c>
      <c r="C1874" s="20" t="s">
        <v>1391</v>
      </c>
      <c r="D1874" s="20" t="s">
        <v>16</v>
      </c>
      <c r="E1874" s="20"/>
      <c r="F1874" s="69">
        <f>F1869</f>
        <v>9.8000000000000007</v>
      </c>
      <c r="G1874" s="10"/>
      <c r="H1874" s="39">
        <f>SUM(H1875:H1879)</f>
        <v>0</v>
      </c>
    </row>
    <row r="1875" spans="1:8">
      <c r="A1875" s="114"/>
      <c r="B1875" s="360" t="s">
        <v>17</v>
      </c>
      <c r="C1875" s="16" t="s">
        <v>18</v>
      </c>
      <c r="D1875" s="116" t="s">
        <v>19</v>
      </c>
      <c r="E1875" s="116">
        <v>0.68</v>
      </c>
      <c r="F1875" s="72">
        <f>E1875*F1874</f>
        <v>6.6640000000000006</v>
      </c>
      <c r="G1875" s="42"/>
      <c r="H1875" s="44">
        <f>G1875*F1875</f>
        <v>0</v>
      </c>
    </row>
    <row r="1876" spans="1:8">
      <c r="A1876" s="114"/>
      <c r="B1876" s="360" t="s">
        <v>17</v>
      </c>
      <c r="C1876" s="116" t="s">
        <v>20</v>
      </c>
      <c r="D1876" s="116" t="s">
        <v>3</v>
      </c>
      <c r="E1876" s="116">
        <v>2.9999999999999997E-4</v>
      </c>
      <c r="F1876" s="72">
        <f>E1876*F1874</f>
        <v>2.9399999999999999E-3</v>
      </c>
      <c r="G1876" s="42"/>
      <c r="H1876" s="44">
        <f>G1876*F1876</f>
        <v>0</v>
      </c>
    </row>
    <row r="1877" spans="1:8">
      <c r="A1877" s="114"/>
      <c r="B1877" s="362" t="s">
        <v>256</v>
      </c>
      <c r="C1877" s="116" t="s">
        <v>257</v>
      </c>
      <c r="D1877" s="116" t="s">
        <v>123</v>
      </c>
      <c r="E1877" s="116">
        <v>0.246</v>
      </c>
      <c r="F1877" s="72">
        <f>E1877*F1874</f>
        <v>2.4108000000000001</v>
      </c>
      <c r="G1877" s="42"/>
      <c r="H1877" s="44">
        <f>G1877*F1877</f>
        <v>0</v>
      </c>
    </row>
    <row r="1878" spans="1:8">
      <c r="A1878" s="114"/>
      <c r="B1878" s="363" t="s">
        <v>258</v>
      </c>
      <c r="C1878" s="116" t="s">
        <v>259</v>
      </c>
      <c r="D1878" s="116" t="s">
        <v>123</v>
      </c>
      <c r="E1878" s="116">
        <v>2.7E-2</v>
      </c>
      <c r="F1878" s="72">
        <f>E1878*F1874</f>
        <v>0.2646</v>
      </c>
      <c r="G1878" s="42"/>
      <c r="H1878" s="44">
        <f>G1878*F1878</f>
        <v>0</v>
      </c>
    </row>
    <row r="1879" spans="1:8">
      <c r="A1879" s="114"/>
      <c r="B1879" s="360" t="s">
        <v>17</v>
      </c>
      <c r="C1879" s="42" t="s">
        <v>190</v>
      </c>
      <c r="D1879" s="116" t="s">
        <v>3</v>
      </c>
      <c r="E1879" s="116">
        <v>1.9E-3</v>
      </c>
      <c r="F1879" s="72">
        <f>E1879*F1874</f>
        <v>1.8620000000000001E-2</v>
      </c>
      <c r="G1879" s="42"/>
      <c r="H1879" s="44">
        <f>G1879*F1879</f>
        <v>0</v>
      </c>
    </row>
    <row r="1880" spans="1:8">
      <c r="A1880" s="83"/>
      <c r="B1880" s="14"/>
      <c r="C1880" s="11" t="s">
        <v>1107</v>
      </c>
      <c r="D1880" s="10" t="s">
        <v>3</v>
      </c>
      <c r="E1880" s="16"/>
      <c r="F1880" s="43"/>
      <c r="G1880" s="16"/>
      <c r="H1880" s="57">
        <f>H1854+H1856+H1858+H1869+H1874+H1861</f>
        <v>0</v>
      </c>
    </row>
    <row r="1881" spans="1:8">
      <c r="A1881" s="64"/>
      <c r="B1881" s="14"/>
      <c r="C1881" s="16" t="s">
        <v>687</v>
      </c>
      <c r="D1881" s="16" t="s">
        <v>3</v>
      </c>
      <c r="E1881" s="16"/>
      <c r="F1881" s="224">
        <v>0.1</v>
      </c>
      <c r="G1881" s="16"/>
      <c r="H1881" s="18">
        <f>H1880*F1881</f>
        <v>0</v>
      </c>
    </row>
    <row r="1882" spans="1:8">
      <c r="A1882" s="64"/>
      <c r="B1882" s="46"/>
      <c r="C1882" s="10" t="s">
        <v>688</v>
      </c>
      <c r="D1882" s="10" t="s">
        <v>3</v>
      </c>
      <c r="E1882" s="10"/>
      <c r="F1882" s="10"/>
      <c r="G1882" s="10"/>
      <c r="H1882" s="57">
        <f>H1880+H1881</f>
        <v>0</v>
      </c>
    </row>
    <row r="1883" spans="1:8">
      <c r="A1883" s="64"/>
      <c r="B1883" s="14"/>
      <c r="C1883" s="16" t="s">
        <v>689</v>
      </c>
      <c r="D1883" s="16" t="s">
        <v>3</v>
      </c>
      <c r="E1883" s="16"/>
      <c r="F1883" s="224">
        <v>0.08</v>
      </c>
      <c r="G1883" s="16"/>
      <c r="H1883" s="18">
        <f>H1882*F1883</f>
        <v>0</v>
      </c>
    </row>
    <row r="1884" spans="1:8">
      <c r="A1884" s="83"/>
      <c r="B1884" s="46"/>
      <c r="C1884" s="357" t="s">
        <v>1392</v>
      </c>
      <c r="D1884" s="10" t="s">
        <v>3</v>
      </c>
      <c r="E1884" s="10"/>
      <c r="F1884" s="225"/>
      <c r="G1884" s="467"/>
      <c r="H1884" s="466">
        <f>H1882+H1883</f>
        <v>0</v>
      </c>
    </row>
    <row r="1885" spans="1:8">
      <c r="A1885" s="62"/>
      <c r="B1885" s="46"/>
      <c r="C1885" s="232" t="s">
        <v>1393</v>
      </c>
      <c r="D1885" s="232"/>
      <c r="E1885" s="232"/>
      <c r="F1885" s="232"/>
      <c r="G1885" s="232"/>
      <c r="H1885" s="76"/>
    </row>
    <row r="1886" spans="1:8" ht="48">
      <c r="A1886" s="25">
        <v>1</v>
      </c>
      <c r="B1886" s="9" t="s">
        <v>1394</v>
      </c>
      <c r="C1886" s="279" t="s">
        <v>1395</v>
      </c>
      <c r="D1886" s="279" t="s">
        <v>45</v>
      </c>
      <c r="E1886" s="279"/>
      <c r="F1886" s="60">
        <v>200</v>
      </c>
      <c r="G1886" s="279"/>
      <c r="H1886" s="39">
        <f>H1887+H1888+H1889</f>
        <v>0</v>
      </c>
    </row>
    <row r="1887" spans="1:8">
      <c r="A1887" s="61"/>
      <c r="B1887" s="15" t="s">
        <v>17</v>
      </c>
      <c r="C1887" s="28" t="s">
        <v>28</v>
      </c>
      <c r="D1887" s="28" t="s">
        <v>19</v>
      </c>
      <c r="E1887" s="28">
        <v>0.13900000000000001</v>
      </c>
      <c r="F1887" s="77">
        <f>E1887*F1886</f>
        <v>27.800000000000004</v>
      </c>
      <c r="G1887" s="28"/>
      <c r="H1887" s="44">
        <f>F1887*G1887</f>
        <v>0</v>
      </c>
    </row>
    <row r="1888" spans="1:8">
      <c r="A1888" s="61"/>
      <c r="B1888" s="23" t="s">
        <v>1396</v>
      </c>
      <c r="C1888" s="28" t="s">
        <v>1397</v>
      </c>
      <c r="D1888" s="28" t="s">
        <v>384</v>
      </c>
      <c r="E1888" s="28">
        <v>1.02</v>
      </c>
      <c r="F1888" s="33">
        <f>E1888*F1886</f>
        <v>204</v>
      </c>
      <c r="G1888" s="28"/>
      <c r="H1888" s="44">
        <f>F1888*G1888</f>
        <v>0</v>
      </c>
    </row>
    <row r="1889" spans="1:8">
      <c r="A1889" s="61"/>
      <c r="B1889" s="15" t="s">
        <v>17</v>
      </c>
      <c r="C1889" s="28" t="s">
        <v>190</v>
      </c>
      <c r="D1889" s="28" t="s">
        <v>3</v>
      </c>
      <c r="E1889" s="72">
        <v>3.65E-3</v>
      </c>
      <c r="F1889" s="77">
        <f>F1886*E1889</f>
        <v>0.73</v>
      </c>
      <c r="G1889" s="28"/>
      <c r="H1889" s="44">
        <f>F1889*G1889</f>
        <v>0</v>
      </c>
    </row>
    <row r="1890" spans="1:8" ht="48">
      <c r="A1890" s="8">
        <v>2</v>
      </c>
      <c r="B1890" s="46" t="s">
        <v>1398</v>
      </c>
      <c r="C1890" s="371" t="s">
        <v>1399</v>
      </c>
      <c r="D1890" s="371" t="s">
        <v>1400</v>
      </c>
      <c r="E1890" s="371"/>
      <c r="F1890" s="76">
        <v>200</v>
      </c>
      <c r="G1890" s="371"/>
      <c r="H1890" s="39">
        <f>SUM(H1891:H1894)</f>
        <v>0</v>
      </c>
    </row>
    <row r="1891" spans="1:8">
      <c r="A1891" s="64"/>
      <c r="B1891" s="14" t="s">
        <v>17</v>
      </c>
      <c r="C1891" s="16" t="s">
        <v>1401</v>
      </c>
      <c r="D1891" s="16" t="s">
        <v>19</v>
      </c>
      <c r="E1891" s="16">
        <v>0.1</v>
      </c>
      <c r="F1891" s="43">
        <f>F1890*E1891</f>
        <v>20</v>
      </c>
      <c r="G1891" s="16"/>
      <c r="H1891" s="44">
        <f>G1891*F1891</f>
        <v>0</v>
      </c>
    </row>
    <row r="1892" spans="1:8">
      <c r="A1892" s="64"/>
      <c r="B1892" s="14" t="s">
        <v>17</v>
      </c>
      <c r="C1892" s="16" t="s">
        <v>244</v>
      </c>
      <c r="D1892" s="16" t="s">
        <v>3</v>
      </c>
      <c r="E1892" s="16">
        <v>6.9599999999999995E-2</v>
      </c>
      <c r="F1892" s="43">
        <f>F1890*E1892</f>
        <v>13.919999999999998</v>
      </c>
      <c r="G1892" s="16"/>
      <c r="H1892" s="44">
        <f>G1892*F1892</f>
        <v>0</v>
      </c>
    </row>
    <row r="1893" spans="1:8">
      <c r="A1893" s="64"/>
      <c r="B1893" s="15" t="s">
        <v>1402</v>
      </c>
      <c r="C1893" s="16" t="s">
        <v>1236</v>
      </c>
      <c r="D1893" s="16" t="s">
        <v>75</v>
      </c>
      <c r="E1893" s="16">
        <v>2.1000000000000001E-2</v>
      </c>
      <c r="F1893" s="18">
        <f>E1893*F1890</f>
        <v>4.2</v>
      </c>
      <c r="G1893" s="28"/>
      <c r="H1893" s="18">
        <f>F1893*G1893</f>
        <v>0</v>
      </c>
    </row>
    <row r="1894" spans="1:8">
      <c r="A1894" s="64"/>
      <c r="B1894" s="14" t="s">
        <v>17</v>
      </c>
      <c r="C1894" s="16" t="s">
        <v>190</v>
      </c>
      <c r="D1894" s="16" t="s">
        <v>3</v>
      </c>
      <c r="E1894" s="16">
        <v>5.0000000000000001E-4</v>
      </c>
      <c r="F1894" s="43">
        <f>F1890*E1894</f>
        <v>0.1</v>
      </c>
      <c r="G1894" s="16"/>
      <c r="H1894" s="43">
        <f>F1894*G1894</f>
        <v>0</v>
      </c>
    </row>
    <row r="1895" spans="1:8" ht="60">
      <c r="A1895" s="8">
        <v>3</v>
      </c>
      <c r="B1895" s="9" t="s">
        <v>1403</v>
      </c>
      <c r="C1895" s="279" t="s">
        <v>1404</v>
      </c>
      <c r="D1895" s="279" t="s">
        <v>1400</v>
      </c>
      <c r="E1895" s="279"/>
      <c r="F1895" s="60">
        <v>200</v>
      </c>
      <c r="G1895" s="279"/>
      <c r="H1895" s="39">
        <f>H1896+H1897+H1898+H1899</f>
        <v>0</v>
      </c>
    </row>
    <row r="1896" spans="1:8">
      <c r="A1896" s="64"/>
      <c r="B1896" s="15" t="s">
        <v>17</v>
      </c>
      <c r="C1896" s="28" t="s">
        <v>28</v>
      </c>
      <c r="D1896" s="28" t="s">
        <v>19</v>
      </c>
      <c r="E1896" s="28">
        <v>0.02</v>
      </c>
      <c r="F1896" s="19">
        <f>F1895*E1896</f>
        <v>4</v>
      </c>
      <c r="G1896" s="28"/>
      <c r="H1896" s="19">
        <f>G1896*F1896</f>
        <v>0</v>
      </c>
    </row>
    <row r="1897" spans="1:8">
      <c r="A1897" s="64"/>
      <c r="B1897" s="15" t="s">
        <v>17</v>
      </c>
      <c r="C1897" s="28" t="s">
        <v>244</v>
      </c>
      <c r="D1897" s="28" t="s">
        <v>3</v>
      </c>
      <c r="E1897" s="28">
        <v>1.9900000000000001E-2</v>
      </c>
      <c r="F1897" s="19">
        <f>F1895*E1897</f>
        <v>3.9800000000000004</v>
      </c>
      <c r="G1897" s="28"/>
      <c r="H1897" s="19">
        <f>G1897*F1897</f>
        <v>0</v>
      </c>
    </row>
    <row r="1898" spans="1:8">
      <c r="A1898" s="64"/>
      <c r="B1898" s="15" t="s">
        <v>52</v>
      </c>
      <c r="C1898" s="16" t="s">
        <v>1405</v>
      </c>
      <c r="D1898" s="28" t="s">
        <v>45</v>
      </c>
      <c r="E1898" s="28">
        <v>1</v>
      </c>
      <c r="F1898" s="19">
        <f>F1895*E1898</f>
        <v>200</v>
      </c>
      <c r="G1898" s="28"/>
      <c r="H1898" s="19">
        <f>F1898*G1898</f>
        <v>0</v>
      </c>
    </row>
    <row r="1899" spans="1:8">
      <c r="A1899" s="64"/>
      <c r="B1899" s="15" t="s">
        <v>17</v>
      </c>
      <c r="C1899" s="28" t="s">
        <v>190</v>
      </c>
      <c r="D1899" s="28" t="s">
        <v>3</v>
      </c>
      <c r="E1899" s="28">
        <v>2.0000000000000001E-4</v>
      </c>
      <c r="F1899" s="19">
        <f>F1895*E1899</f>
        <v>0.04</v>
      </c>
      <c r="G1899" s="28"/>
      <c r="H1899" s="19">
        <f>G1899*F1899</f>
        <v>0</v>
      </c>
    </row>
    <row r="1900" spans="1:8" ht="48">
      <c r="A1900" s="8">
        <v>4</v>
      </c>
      <c r="B1900" s="46" t="s">
        <v>986</v>
      </c>
      <c r="C1900" s="10" t="s">
        <v>1406</v>
      </c>
      <c r="D1900" s="10" t="s">
        <v>678</v>
      </c>
      <c r="E1900" s="10"/>
      <c r="F1900" s="69">
        <v>1</v>
      </c>
      <c r="G1900" s="10"/>
      <c r="H1900" s="39">
        <f>H1901+H1902+H1903</f>
        <v>0</v>
      </c>
    </row>
    <row r="1901" spans="1:8">
      <c r="A1901" s="64"/>
      <c r="B1901" s="14" t="s">
        <v>17</v>
      </c>
      <c r="C1901" s="16" t="s">
        <v>28</v>
      </c>
      <c r="D1901" s="16" t="s">
        <v>19</v>
      </c>
      <c r="E1901" s="16">
        <v>1.99</v>
      </c>
      <c r="F1901" s="43">
        <f>E1901*F1900</f>
        <v>1.99</v>
      </c>
      <c r="G1901" s="43"/>
      <c r="H1901" s="44">
        <f>G1901*F1901</f>
        <v>0</v>
      </c>
    </row>
    <row r="1902" spans="1:8" ht="27">
      <c r="A1902" s="64"/>
      <c r="B1902" s="14" t="s">
        <v>1407</v>
      </c>
      <c r="C1902" s="16" t="s">
        <v>1408</v>
      </c>
      <c r="D1902" s="16" t="s">
        <v>209</v>
      </c>
      <c r="E1902" s="17">
        <v>1</v>
      </c>
      <c r="F1902" s="18">
        <f>F1900*E1902</f>
        <v>1</v>
      </c>
      <c r="G1902" s="18"/>
      <c r="H1902" s="18">
        <f>F1902*G1902</f>
        <v>0</v>
      </c>
    </row>
    <row r="1903" spans="1:8">
      <c r="A1903" s="64"/>
      <c r="B1903" s="14" t="s">
        <v>17</v>
      </c>
      <c r="C1903" s="16" t="s">
        <v>100</v>
      </c>
      <c r="D1903" s="16" t="s">
        <v>3</v>
      </c>
      <c r="E1903" s="16">
        <v>1.39</v>
      </c>
      <c r="F1903" s="43">
        <f>E1903*F1900</f>
        <v>1.39</v>
      </c>
      <c r="G1903" s="43"/>
      <c r="H1903" s="44">
        <f>G1903*F1903</f>
        <v>0</v>
      </c>
    </row>
    <row r="1904" spans="1:8" ht="48">
      <c r="A1904" s="8">
        <v>5</v>
      </c>
      <c r="B1904" s="46" t="s">
        <v>1409</v>
      </c>
      <c r="C1904" s="10" t="s">
        <v>1410</v>
      </c>
      <c r="D1904" s="11" t="s">
        <v>45</v>
      </c>
      <c r="E1904" s="11"/>
      <c r="F1904" s="57">
        <v>220</v>
      </c>
      <c r="G1904" s="11"/>
      <c r="H1904" s="39">
        <f>H1905+H1906+H1907+H1908</f>
        <v>0</v>
      </c>
    </row>
    <row r="1905" spans="1:8">
      <c r="A1905" s="64"/>
      <c r="B1905" s="14" t="s">
        <v>17</v>
      </c>
      <c r="C1905" s="16" t="s">
        <v>28</v>
      </c>
      <c r="D1905" s="17" t="s">
        <v>19</v>
      </c>
      <c r="E1905" s="33">
        <v>0.11</v>
      </c>
      <c r="F1905" s="43">
        <f>F1904*E1905</f>
        <v>24.2</v>
      </c>
      <c r="G1905" s="17"/>
      <c r="H1905" s="44">
        <f>F1905*G1905</f>
        <v>0</v>
      </c>
    </row>
    <row r="1906" spans="1:8">
      <c r="A1906" s="64"/>
      <c r="B1906" s="14" t="s">
        <v>17</v>
      </c>
      <c r="C1906" s="16" t="s">
        <v>233</v>
      </c>
      <c r="D1906" s="17" t="s">
        <v>3</v>
      </c>
      <c r="E1906" s="134">
        <v>2.7000000000000001E-3</v>
      </c>
      <c r="F1906" s="43">
        <f>F1904*E1906</f>
        <v>0.59400000000000008</v>
      </c>
      <c r="G1906" s="17"/>
      <c r="H1906" s="44">
        <f>F1906*G1906</f>
        <v>0</v>
      </c>
    </row>
    <row r="1907" spans="1:8" ht="28.5">
      <c r="A1907" s="64"/>
      <c r="B1907" s="14" t="s">
        <v>1411</v>
      </c>
      <c r="C1907" s="16" t="s">
        <v>1412</v>
      </c>
      <c r="D1907" s="17" t="s">
        <v>45</v>
      </c>
      <c r="E1907" s="17">
        <v>1.02</v>
      </c>
      <c r="F1907" s="18">
        <f>E1907*F1904</f>
        <v>224.4</v>
      </c>
      <c r="G1907" s="17"/>
      <c r="H1907" s="44">
        <f>F1907*G1907</f>
        <v>0</v>
      </c>
    </row>
    <row r="1908" spans="1:8">
      <c r="A1908" s="64"/>
      <c r="B1908" s="14" t="s">
        <v>17</v>
      </c>
      <c r="C1908" s="16" t="s">
        <v>100</v>
      </c>
      <c r="D1908" s="17" t="s">
        <v>3</v>
      </c>
      <c r="E1908" s="17">
        <v>3.5299999999999998E-2</v>
      </c>
      <c r="F1908" s="43">
        <f>E1908*F1904</f>
        <v>7.766</v>
      </c>
      <c r="G1908" s="17"/>
      <c r="H1908" s="44">
        <f>F1908*G1908</f>
        <v>0</v>
      </c>
    </row>
    <row r="1909" spans="1:8" ht="48">
      <c r="A1909" s="8">
        <v>6</v>
      </c>
      <c r="B1909" s="46" t="s">
        <v>1413</v>
      </c>
      <c r="C1909" s="10" t="s">
        <v>1414</v>
      </c>
      <c r="D1909" s="11" t="s">
        <v>209</v>
      </c>
      <c r="E1909" s="11"/>
      <c r="F1909" s="57">
        <v>7</v>
      </c>
      <c r="G1909" s="11"/>
      <c r="H1909" s="39">
        <f>H1910+H1911+H1912+H1913</f>
        <v>0</v>
      </c>
    </row>
    <row r="1910" spans="1:8">
      <c r="A1910" s="64"/>
      <c r="B1910" s="14" t="s">
        <v>17</v>
      </c>
      <c r="C1910" s="16" t="s">
        <v>18</v>
      </c>
      <c r="D1910" s="17" t="s">
        <v>19</v>
      </c>
      <c r="E1910" s="17">
        <v>2</v>
      </c>
      <c r="F1910" s="43">
        <f>F1909*E1910</f>
        <v>14</v>
      </c>
      <c r="G1910" s="17"/>
      <c r="H1910" s="44">
        <f>F1910*G1910</f>
        <v>0</v>
      </c>
    </row>
    <row r="1911" spans="1:8">
      <c r="A1911" s="64"/>
      <c r="B1911" s="14" t="s">
        <v>17</v>
      </c>
      <c r="C1911" s="16" t="s">
        <v>244</v>
      </c>
      <c r="D1911" s="17" t="s">
        <v>3</v>
      </c>
      <c r="E1911" s="17">
        <v>2.2000000000000002</v>
      </c>
      <c r="F1911" s="43">
        <f>F1909*E1911</f>
        <v>15.400000000000002</v>
      </c>
      <c r="G1911" s="17"/>
      <c r="H1911" s="44">
        <f>F1911*G1911</f>
        <v>0</v>
      </c>
    </row>
    <row r="1912" spans="1:8" ht="27">
      <c r="A1912" s="64"/>
      <c r="B1912" s="14" t="s">
        <v>52</v>
      </c>
      <c r="C1912" s="16" t="s">
        <v>1415</v>
      </c>
      <c r="D1912" s="248" t="s">
        <v>209</v>
      </c>
      <c r="E1912" s="17">
        <v>1</v>
      </c>
      <c r="F1912" s="18">
        <f>E1912*F1909</f>
        <v>7</v>
      </c>
      <c r="G1912" s="17"/>
      <c r="H1912" s="44">
        <f>F1912*G1912</f>
        <v>0</v>
      </c>
    </row>
    <row r="1913" spans="1:8">
      <c r="A1913" s="64"/>
      <c r="B1913" s="14" t="s">
        <v>17</v>
      </c>
      <c r="C1913" s="16" t="s">
        <v>100</v>
      </c>
      <c r="D1913" s="17" t="s">
        <v>3</v>
      </c>
      <c r="E1913" s="17">
        <v>0.05</v>
      </c>
      <c r="F1913" s="43">
        <f>E1913*F1909</f>
        <v>0.35000000000000003</v>
      </c>
      <c r="G1913" s="17"/>
      <c r="H1913" s="44">
        <f>F1913*G1913</f>
        <v>0</v>
      </c>
    </row>
    <row r="1914" spans="1:8" ht="48">
      <c r="A1914" s="62" t="s">
        <v>95</v>
      </c>
      <c r="B1914" s="46" t="s">
        <v>1416</v>
      </c>
      <c r="C1914" s="10" t="s">
        <v>1417</v>
      </c>
      <c r="D1914" s="11" t="s">
        <v>45</v>
      </c>
      <c r="E1914" s="11"/>
      <c r="F1914" s="57">
        <v>25</v>
      </c>
      <c r="G1914" s="11"/>
      <c r="H1914" s="13">
        <f>SUM(H1915:H1917)</f>
        <v>0</v>
      </c>
    </row>
    <row r="1915" spans="1:8">
      <c r="A1915" s="64"/>
      <c r="B1915" s="14" t="s">
        <v>17</v>
      </c>
      <c r="C1915" s="16" t="s">
        <v>28</v>
      </c>
      <c r="D1915" s="17" t="s">
        <v>19</v>
      </c>
      <c r="E1915" s="134">
        <v>5.0700000000000002E-2</v>
      </c>
      <c r="F1915" s="18">
        <v>1.2675000000000001</v>
      </c>
      <c r="G1915" s="17"/>
      <c r="H1915" s="19">
        <f>F1915*G1915</f>
        <v>0</v>
      </c>
    </row>
    <row r="1916" spans="1:8">
      <c r="A1916" s="64"/>
      <c r="B1916" s="15" t="s">
        <v>1075</v>
      </c>
      <c r="C1916" s="28" t="s">
        <v>1418</v>
      </c>
      <c r="D1916" s="29" t="s">
        <v>45</v>
      </c>
      <c r="E1916" s="29">
        <v>1.03</v>
      </c>
      <c r="F1916" s="19">
        <v>25.75</v>
      </c>
      <c r="G1916" s="29"/>
      <c r="H1916" s="19">
        <f t="shared" ref="H1916:H1917" si="54">F1916*G1916</f>
        <v>0</v>
      </c>
    </row>
    <row r="1917" spans="1:8">
      <c r="A1917" s="64"/>
      <c r="B1917" s="14" t="s">
        <v>17</v>
      </c>
      <c r="C1917" s="16" t="s">
        <v>100</v>
      </c>
      <c r="D1917" s="17" t="s">
        <v>3</v>
      </c>
      <c r="E1917" s="134">
        <v>2.3E-3</v>
      </c>
      <c r="F1917" s="18">
        <v>5.7499999999999996E-2</v>
      </c>
      <c r="G1917" s="17"/>
      <c r="H1917" s="19">
        <f t="shared" si="54"/>
        <v>0</v>
      </c>
    </row>
    <row r="1918" spans="1:8" ht="48">
      <c r="A1918" s="25">
        <v>8</v>
      </c>
      <c r="B1918" s="9" t="s">
        <v>1419</v>
      </c>
      <c r="C1918" s="20" t="s">
        <v>1420</v>
      </c>
      <c r="D1918" s="10" t="s">
        <v>209</v>
      </c>
      <c r="E1918" s="10"/>
      <c r="F1918" s="76">
        <v>7</v>
      </c>
      <c r="G1918" s="10"/>
      <c r="H1918" s="39">
        <f>H1919+H1920+H1921+H1922</f>
        <v>0</v>
      </c>
    </row>
    <row r="1919" spans="1:8">
      <c r="A1919" s="61"/>
      <c r="B1919" s="15" t="s">
        <v>17</v>
      </c>
      <c r="C1919" s="28" t="s">
        <v>28</v>
      </c>
      <c r="D1919" s="16" t="s">
        <v>19</v>
      </c>
      <c r="E1919" s="16">
        <v>0.9</v>
      </c>
      <c r="F1919" s="43">
        <f>F1918*E1919</f>
        <v>6.3</v>
      </c>
      <c r="G1919" s="28"/>
      <c r="H1919" s="44">
        <f>G1919*F1919</f>
        <v>0</v>
      </c>
    </row>
    <row r="1920" spans="1:8">
      <c r="A1920" s="64"/>
      <c r="B1920" s="64" t="s">
        <v>17</v>
      </c>
      <c r="C1920" s="16" t="s">
        <v>20</v>
      </c>
      <c r="D1920" s="16" t="s">
        <v>3</v>
      </c>
      <c r="E1920" s="70">
        <v>7.0000000000000007E-2</v>
      </c>
      <c r="F1920" s="18">
        <f>F1918*E1920</f>
        <v>0.49000000000000005</v>
      </c>
      <c r="G1920" s="29"/>
      <c r="H1920" s="19">
        <f>F1920*G1920</f>
        <v>0</v>
      </c>
    </row>
    <row r="1921" spans="1:8">
      <c r="A1921" s="14"/>
      <c r="B1921" s="24" t="s">
        <v>1421</v>
      </c>
      <c r="C1921" s="16" t="s">
        <v>1422</v>
      </c>
      <c r="D1921" s="17" t="s">
        <v>45</v>
      </c>
      <c r="E1921" s="17">
        <v>1.5</v>
      </c>
      <c r="F1921" s="43">
        <f>F1918*E1921</f>
        <v>10.5</v>
      </c>
      <c r="G1921" s="17"/>
      <c r="H1921" s="44">
        <f>F1921*G1921</f>
        <v>0</v>
      </c>
    </row>
    <row r="1922" spans="1:8">
      <c r="A1922" s="64"/>
      <c r="B1922" s="67" t="s">
        <v>17</v>
      </c>
      <c r="C1922" s="16" t="s">
        <v>100</v>
      </c>
      <c r="D1922" s="16" t="s">
        <v>3</v>
      </c>
      <c r="E1922" s="16">
        <v>1.4</v>
      </c>
      <c r="F1922" s="43">
        <f>E1922*F1918</f>
        <v>9.7999999999999989</v>
      </c>
      <c r="G1922" s="16"/>
      <c r="H1922" s="44">
        <f>F1922*G1922</f>
        <v>0</v>
      </c>
    </row>
    <row r="1923" spans="1:8">
      <c r="A1923" s="61"/>
      <c r="B1923" s="14"/>
      <c r="C1923" s="10" t="s">
        <v>1423</v>
      </c>
      <c r="D1923" s="10" t="s">
        <v>3</v>
      </c>
      <c r="E1923" s="16"/>
      <c r="F1923" s="43"/>
      <c r="G1923" s="16"/>
      <c r="H1923" s="76">
        <f>H1904+H1914+H1909++H1900+H1886+H1890+H1895+H1918</f>
        <v>0</v>
      </c>
    </row>
    <row r="1924" spans="1:8">
      <c r="A1924" s="61"/>
      <c r="B1924" s="14"/>
      <c r="C1924" s="16" t="s">
        <v>794</v>
      </c>
      <c r="D1924" s="16" t="s">
        <v>3</v>
      </c>
      <c r="E1924" s="16"/>
      <c r="F1924" s="43"/>
      <c r="G1924" s="16"/>
      <c r="H1924" s="18">
        <f>H1905+H1915+H1910+H1901+H1887+H1891+H1896+H1919</f>
        <v>0</v>
      </c>
    </row>
    <row r="1925" spans="1:8" ht="27">
      <c r="A1925" s="61"/>
      <c r="B1925" s="14"/>
      <c r="C1925" s="16" t="s">
        <v>1148</v>
      </c>
      <c r="D1925" s="16" t="s">
        <v>3</v>
      </c>
      <c r="E1925" s="16"/>
      <c r="F1925" s="224">
        <v>0.75</v>
      </c>
      <c r="G1925" s="16"/>
      <c r="H1925" s="43">
        <f>H1924*F1925</f>
        <v>0</v>
      </c>
    </row>
    <row r="1926" spans="1:8">
      <c r="A1926" s="68"/>
      <c r="B1926" s="46"/>
      <c r="C1926" s="10" t="s">
        <v>1110</v>
      </c>
      <c r="D1926" s="10" t="s">
        <v>3</v>
      </c>
      <c r="E1926" s="10"/>
      <c r="F1926" s="10"/>
      <c r="G1926" s="10"/>
      <c r="H1926" s="76">
        <f>H1925+H1923</f>
        <v>0</v>
      </c>
    </row>
    <row r="1927" spans="1:8">
      <c r="A1927" s="61"/>
      <c r="B1927" s="14"/>
      <c r="C1927" s="16" t="s">
        <v>689</v>
      </c>
      <c r="D1927" s="16" t="s">
        <v>3</v>
      </c>
      <c r="E1927" s="16"/>
      <c r="F1927" s="224">
        <v>0.08</v>
      </c>
      <c r="G1927" s="16"/>
      <c r="H1927" s="43">
        <f>H1926*F1927</f>
        <v>0</v>
      </c>
    </row>
    <row r="1928" spans="1:8" ht="27">
      <c r="A1928" s="282"/>
      <c r="B1928" s="282"/>
      <c r="C1928" s="364" t="s">
        <v>1424</v>
      </c>
      <c r="D1928" s="365" t="s">
        <v>3</v>
      </c>
      <c r="E1928" s="477"/>
      <c r="F1928" s="477"/>
      <c r="G1928" s="477"/>
      <c r="H1928" s="466">
        <f>SUM(H1926:H1927)</f>
        <v>0</v>
      </c>
    </row>
    <row r="1929" spans="1:8" ht="40.5">
      <c r="A1929" s="83"/>
      <c r="B1929" s="14"/>
      <c r="C1929" s="10" t="s">
        <v>1425</v>
      </c>
      <c r="D1929" s="16" t="s">
        <v>3</v>
      </c>
      <c r="E1929" s="16"/>
      <c r="F1929" s="43"/>
      <c r="G1929" s="16"/>
      <c r="H1929" s="462">
        <f>H1928+H1884</f>
        <v>0</v>
      </c>
    </row>
    <row r="1933" spans="1:8">
      <c r="A1933" s="488" t="s">
        <v>1426</v>
      </c>
      <c r="B1933" s="488"/>
      <c r="C1933" s="488"/>
      <c r="D1933" s="488"/>
      <c r="E1933" s="488"/>
      <c r="F1933" s="488"/>
      <c r="G1933" s="488"/>
      <c r="H1933" s="488"/>
    </row>
    <row r="1934" spans="1:8" ht="24.75" customHeight="1">
      <c r="A1934" s="488" t="s">
        <v>1427</v>
      </c>
      <c r="B1934" s="488"/>
      <c r="C1934" s="488"/>
      <c r="D1934" s="488"/>
      <c r="E1934" s="488"/>
      <c r="F1934" s="488"/>
      <c r="G1934" s="488"/>
      <c r="H1934" s="488"/>
    </row>
    <row r="1935" spans="1:8" ht="28.5" customHeight="1">
      <c r="A1935" s="515" t="s">
        <v>1428</v>
      </c>
      <c r="B1935" s="514" t="s">
        <v>6</v>
      </c>
      <c r="C1935" s="515" t="s">
        <v>1429</v>
      </c>
      <c r="D1935" s="514" t="s">
        <v>8</v>
      </c>
      <c r="E1935" s="515" t="s">
        <v>9</v>
      </c>
      <c r="F1935" s="515"/>
      <c r="G1935" s="516" t="s">
        <v>1346</v>
      </c>
      <c r="H1935" s="516"/>
    </row>
    <row r="1936" spans="1:8" ht="81" customHeight="1">
      <c r="A1936" s="515"/>
      <c r="B1936" s="514"/>
      <c r="C1936" s="515"/>
      <c r="D1936" s="514"/>
      <c r="E1936" s="372" t="s">
        <v>962</v>
      </c>
      <c r="F1936" s="372" t="s">
        <v>963</v>
      </c>
      <c r="G1936" s="372" t="s">
        <v>962</v>
      </c>
      <c r="H1936" s="373" t="s">
        <v>964</v>
      </c>
    </row>
    <row r="1937" spans="1:8">
      <c r="A1937" s="10">
        <v>1</v>
      </c>
      <c r="B1937" s="374">
        <v>2</v>
      </c>
      <c r="C1937" s="374">
        <v>3</v>
      </c>
      <c r="D1937" s="374">
        <v>4</v>
      </c>
      <c r="E1937" s="374">
        <v>5</v>
      </c>
      <c r="F1937" s="374">
        <v>6</v>
      </c>
      <c r="G1937" s="374">
        <v>7</v>
      </c>
      <c r="H1937" s="374">
        <v>8</v>
      </c>
    </row>
    <row r="1938" spans="1:8">
      <c r="A1938" s="210"/>
      <c r="B1938" s="520" t="s">
        <v>1430</v>
      </c>
      <c r="C1938" s="521"/>
      <c r="D1938" s="522"/>
      <c r="E1938" s="126"/>
      <c r="F1938" s="33"/>
      <c r="G1938" s="126"/>
      <c r="H1938" s="218"/>
    </row>
    <row r="1939" spans="1:8" ht="36">
      <c r="A1939" s="25">
        <v>1</v>
      </c>
      <c r="B1939" s="55" t="s">
        <v>1431</v>
      </c>
      <c r="C1939" s="20" t="s">
        <v>1432</v>
      </c>
      <c r="D1939" s="20" t="s">
        <v>45</v>
      </c>
      <c r="E1939" s="366"/>
      <c r="F1939" s="69">
        <v>14</v>
      </c>
      <c r="G1939" s="28"/>
      <c r="H1939" s="39">
        <f>SUM(H1940:H1942)</f>
        <v>0</v>
      </c>
    </row>
    <row r="1940" spans="1:8">
      <c r="A1940" s="237"/>
      <c r="B1940" s="28" t="s">
        <v>17</v>
      </c>
      <c r="C1940" s="28" t="s">
        <v>1433</v>
      </c>
      <c r="D1940" s="192" t="s">
        <v>16</v>
      </c>
      <c r="E1940" s="367">
        <f>1.66*0.5</f>
        <v>0.83</v>
      </c>
      <c r="F1940" s="44">
        <f>F1939*E1940</f>
        <v>11.62</v>
      </c>
      <c r="G1940" s="192"/>
      <c r="H1940" s="44">
        <f>G1940*F1940</f>
        <v>0</v>
      </c>
    </row>
    <row r="1941" spans="1:8">
      <c r="A1941" s="28"/>
      <c r="B1941" s="28" t="s">
        <v>17</v>
      </c>
      <c r="C1941" s="28" t="s">
        <v>1434</v>
      </c>
      <c r="D1941" s="192" t="s">
        <v>1435</v>
      </c>
      <c r="E1941" s="367">
        <f>0.05*0.5</f>
        <v>2.5000000000000001E-2</v>
      </c>
      <c r="F1941" s="44">
        <f>F1939*E1941</f>
        <v>0.35000000000000003</v>
      </c>
      <c r="G1941" s="192"/>
      <c r="H1941" s="44">
        <f>G1941*F1941</f>
        <v>0</v>
      </c>
    </row>
    <row r="1942" spans="1:8">
      <c r="A1942" s="28"/>
      <c r="B1942" s="24" t="s">
        <v>17</v>
      </c>
      <c r="C1942" s="28" t="s">
        <v>1436</v>
      </c>
      <c r="D1942" s="28" t="s">
        <v>3</v>
      </c>
      <c r="E1942" s="192">
        <f>0.06*0.5</f>
        <v>0.03</v>
      </c>
      <c r="F1942" s="44">
        <f>F1939*E1942</f>
        <v>0.42</v>
      </c>
      <c r="G1942" s="192"/>
      <c r="H1942" s="44">
        <f>G1942*F1942</f>
        <v>0</v>
      </c>
    </row>
    <row r="1943" spans="1:8" ht="40.5">
      <c r="A1943" s="25">
        <v>2</v>
      </c>
      <c r="B1943" s="55" t="s">
        <v>1431</v>
      </c>
      <c r="C1943" s="20" t="s">
        <v>1684</v>
      </c>
      <c r="D1943" s="20" t="s">
        <v>45</v>
      </c>
      <c r="E1943" s="366"/>
      <c r="F1943" s="69">
        <v>4.0999999999999996</v>
      </c>
      <c r="G1943" s="28"/>
      <c r="H1943" s="39">
        <f>SUM(H1944:H1946)</f>
        <v>0</v>
      </c>
    </row>
    <row r="1944" spans="1:8">
      <c r="A1944" s="237"/>
      <c r="B1944" s="28" t="s">
        <v>17</v>
      </c>
      <c r="C1944" s="28" t="s">
        <v>1433</v>
      </c>
      <c r="D1944" s="192" t="s">
        <v>16</v>
      </c>
      <c r="E1944" s="367">
        <f>1.66*0.5</f>
        <v>0.83</v>
      </c>
      <c r="F1944" s="44">
        <f>F1943*E1944</f>
        <v>3.4029999999999996</v>
      </c>
      <c r="G1944" s="192"/>
      <c r="H1944" s="44">
        <f>G1944*F1944</f>
        <v>0</v>
      </c>
    </row>
    <row r="1945" spans="1:8">
      <c r="A1945" s="28"/>
      <c r="B1945" s="28" t="s">
        <v>17</v>
      </c>
      <c r="C1945" s="28" t="s">
        <v>1437</v>
      </c>
      <c r="D1945" s="192" t="s">
        <v>1435</v>
      </c>
      <c r="E1945" s="367">
        <f>0.04*0.5</f>
        <v>0.02</v>
      </c>
      <c r="F1945" s="44">
        <f>F1943*E1945</f>
        <v>8.199999999999999E-2</v>
      </c>
      <c r="G1945" s="192"/>
      <c r="H1945" s="44">
        <f>G1945*F1945</f>
        <v>0</v>
      </c>
    </row>
    <row r="1946" spans="1:8">
      <c r="A1946" s="28"/>
      <c r="B1946" s="24" t="s">
        <v>17</v>
      </c>
      <c r="C1946" s="28" t="s">
        <v>1436</v>
      </c>
      <c r="D1946" s="28" t="s">
        <v>3</v>
      </c>
      <c r="E1946" s="192">
        <f>0.06*0.5</f>
        <v>0.03</v>
      </c>
      <c r="F1946" s="44">
        <f>F1943*E1946</f>
        <v>0.12299999999999998</v>
      </c>
      <c r="G1946" s="192"/>
      <c r="H1946" s="44">
        <f>G1946*F1946</f>
        <v>0</v>
      </c>
    </row>
    <row r="1947" spans="1:8" ht="40.5">
      <c r="A1947" s="25">
        <v>3</v>
      </c>
      <c r="B1947" s="55" t="s">
        <v>1438</v>
      </c>
      <c r="C1947" s="20" t="s">
        <v>1439</v>
      </c>
      <c r="D1947" s="20" t="s">
        <v>45</v>
      </c>
      <c r="E1947" s="366"/>
      <c r="F1947" s="69">
        <v>56</v>
      </c>
      <c r="G1947" s="28"/>
      <c r="H1947" s="39">
        <f>SUM(H1948:H1950)</f>
        <v>0</v>
      </c>
    </row>
    <row r="1948" spans="1:8">
      <c r="A1948" s="237"/>
      <c r="B1948" s="28" t="s">
        <v>17</v>
      </c>
      <c r="C1948" s="28" t="s">
        <v>1440</v>
      </c>
      <c r="D1948" s="192" t="s">
        <v>16</v>
      </c>
      <c r="E1948" s="367">
        <f>1.75*0.5</f>
        <v>0.875</v>
      </c>
      <c r="F1948" s="44">
        <f>F1947*E1948</f>
        <v>49</v>
      </c>
      <c r="G1948" s="192"/>
      <c r="H1948" s="44">
        <f>G1948*F1948</f>
        <v>0</v>
      </c>
    </row>
    <row r="1949" spans="1:8">
      <c r="A1949" s="28"/>
      <c r="B1949" s="28" t="s">
        <v>17</v>
      </c>
      <c r="C1949" s="28" t="s">
        <v>1434</v>
      </c>
      <c r="D1949" s="192" t="s">
        <v>1435</v>
      </c>
      <c r="E1949" s="135">
        <f>0.05*0.5</f>
        <v>2.5000000000000001E-2</v>
      </c>
      <c r="F1949" s="44">
        <f>F1947*E1949</f>
        <v>1.4000000000000001</v>
      </c>
      <c r="G1949" s="192"/>
      <c r="H1949" s="44">
        <f>G1949*F1949</f>
        <v>0</v>
      </c>
    </row>
    <row r="1950" spans="1:8">
      <c r="A1950" s="28"/>
      <c r="B1950" s="24" t="s">
        <v>17</v>
      </c>
      <c r="C1950" s="28" t="s">
        <v>1441</v>
      </c>
      <c r="D1950" s="28" t="s">
        <v>3</v>
      </c>
      <c r="E1950" s="135">
        <f>0.11*0.5</f>
        <v>5.5E-2</v>
      </c>
      <c r="F1950" s="44">
        <f>F1947*E1950</f>
        <v>3.08</v>
      </c>
      <c r="G1950" s="192"/>
      <c r="H1950" s="44">
        <f>G1950*F1950</f>
        <v>0</v>
      </c>
    </row>
    <row r="1951" spans="1:8" ht="48">
      <c r="A1951" s="25">
        <v>4</v>
      </c>
      <c r="B1951" s="9" t="s">
        <v>54</v>
      </c>
      <c r="C1951" s="20" t="s">
        <v>1442</v>
      </c>
      <c r="D1951" s="26" t="s">
        <v>23</v>
      </c>
      <c r="E1951" s="26"/>
      <c r="F1951" s="12">
        <v>18</v>
      </c>
      <c r="G1951" s="26"/>
      <c r="H1951" s="27">
        <f>SUM(H1952:H1953)</f>
        <v>0</v>
      </c>
    </row>
    <row r="1952" spans="1:8">
      <c r="A1952" s="15"/>
      <c r="B1952" s="15" t="s">
        <v>17</v>
      </c>
      <c r="C1952" s="28" t="s">
        <v>18</v>
      </c>
      <c r="D1952" s="29" t="s">
        <v>19</v>
      </c>
      <c r="E1952" s="17">
        <v>7.3</v>
      </c>
      <c r="F1952" s="19">
        <f>E1952*F1951</f>
        <v>131.4</v>
      </c>
      <c r="G1952" s="29"/>
      <c r="H1952" s="30">
        <f>F1952*G1952</f>
        <v>0</v>
      </c>
    </row>
    <row r="1953" spans="1:8">
      <c r="A1953" s="15"/>
      <c r="B1953" s="15" t="s">
        <v>17</v>
      </c>
      <c r="C1953" s="28" t="s">
        <v>31</v>
      </c>
      <c r="D1953" s="29" t="s">
        <v>3</v>
      </c>
      <c r="E1953" s="17">
        <v>2.9</v>
      </c>
      <c r="F1953" s="19">
        <f>E1953*F1951</f>
        <v>52.199999999999996</v>
      </c>
      <c r="G1953" s="29"/>
      <c r="H1953" s="31">
        <f>F1953*G1953</f>
        <v>0</v>
      </c>
    </row>
    <row r="1954" spans="1:8" ht="48">
      <c r="A1954" s="8">
        <v>5</v>
      </c>
      <c r="B1954" s="9" t="s">
        <v>32</v>
      </c>
      <c r="C1954" s="10" t="s">
        <v>1443</v>
      </c>
      <c r="D1954" s="32" t="s">
        <v>33</v>
      </c>
      <c r="E1954" s="11"/>
      <c r="F1954" s="12">
        <v>150</v>
      </c>
      <c r="G1954" s="11"/>
      <c r="H1954" s="27">
        <f>SUM(H1955:H1956)</f>
        <v>0</v>
      </c>
    </row>
    <row r="1955" spans="1:8">
      <c r="A1955" s="14"/>
      <c r="B1955" s="15" t="s">
        <v>17</v>
      </c>
      <c r="C1955" s="16" t="s">
        <v>18</v>
      </c>
      <c r="D1955" s="17" t="s">
        <v>19</v>
      </c>
      <c r="E1955" s="17">
        <v>0.186</v>
      </c>
      <c r="F1955" s="18">
        <f>E1955*F1954</f>
        <v>27.9</v>
      </c>
      <c r="G1955" s="17"/>
      <c r="H1955" s="30">
        <f>F1955*G1955</f>
        <v>0</v>
      </c>
    </row>
    <row r="1956" spans="1:8">
      <c r="A1956" s="14"/>
      <c r="B1956" s="15" t="s">
        <v>17</v>
      </c>
      <c r="C1956" s="16" t="s">
        <v>31</v>
      </c>
      <c r="D1956" s="17" t="s">
        <v>3</v>
      </c>
      <c r="E1956" s="17">
        <v>1.6000000000000001E-3</v>
      </c>
      <c r="F1956" s="18">
        <f>F1954*E1956</f>
        <v>0.24000000000000002</v>
      </c>
      <c r="G1956" s="17"/>
      <c r="H1956" s="31">
        <f>F1956*G1956</f>
        <v>0</v>
      </c>
    </row>
    <row r="1957" spans="1:8" ht="48">
      <c r="A1957" s="25">
        <v>6</v>
      </c>
      <c r="B1957" s="9" t="s">
        <v>54</v>
      </c>
      <c r="C1957" s="20" t="s">
        <v>1444</v>
      </c>
      <c r="D1957" s="26" t="s">
        <v>23</v>
      </c>
      <c r="E1957" s="26"/>
      <c r="F1957" s="12">
        <v>1.2</v>
      </c>
      <c r="G1957" s="26"/>
      <c r="H1957" s="27">
        <f>SUM(H1958:H1959)</f>
        <v>0</v>
      </c>
    </row>
    <row r="1958" spans="1:8">
      <c r="A1958" s="15"/>
      <c r="B1958" s="15" t="s">
        <v>17</v>
      </c>
      <c r="C1958" s="28" t="s">
        <v>18</v>
      </c>
      <c r="D1958" s="29" t="s">
        <v>19</v>
      </c>
      <c r="E1958" s="17">
        <v>7.3</v>
      </c>
      <c r="F1958" s="19">
        <f>E1958*F1957</f>
        <v>8.76</v>
      </c>
      <c r="G1958" s="29"/>
      <c r="H1958" s="30">
        <f>F1958*G1958</f>
        <v>0</v>
      </c>
    </row>
    <row r="1959" spans="1:8">
      <c r="A1959" s="15"/>
      <c r="B1959" s="15" t="s">
        <v>17</v>
      </c>
      <c r="C1959" s="28" t="s">
        <v>31</v>
      </c>
      <c r="D1959" s="29" t="s">
        <v>3</v>
      </c>
      <c r="E1959" s="17">
        <v>2.9</v>
      </c>
      <c r="F1959" s="19">
        <f>E1959*F1957</f>
        <v>3.48</v>
      </c>
      <c r="G1959" s="29"/>
      <c r="H1959" s="31">
        <f>F1959*G1959</f>
        <v>0</v>
      </c>
    </row>
    <row r="1960" spans="1:8" ht="27">
      <c r="A1960" s="25">
        <v>7</v>
      </c>
      <c r="B1960" s="55" t="s">
        <v>61</v>
      </c>
      <c r="C1960" s="20" t="s">
        <v>62</v>
      </c>
      <c r="D1960" s="11" t="s">
        <v>59</v>
      </c>
      <c r="E1960" s="11"/>
      <c r="F1960" s="12">
        <v>52</v>
      </c>
      <c r="G1960" s="11"/>
      <c r="H1960" s="13">
        <f>SUM(H1961:H1961)</f>
        <v>0</v>
      </c>
    </row>
    <row r="1961" spans="1:8">
      <c r="A1961" s="15"/>
      <c r="B1961" s="24" t="s">
        <v>17</v>
      </c>
      <c r="C1961" s="28" t="s">
        <v>63</v>
      </c>
      <c r="D1961" s="17" t="s">
        <v>19</v>
      </c>
      <c r="E1961" s="17">
        <v>0.53</v>
      </c>
      <c r="F1961" s="19">
        <f>F1960*E1961</f>
        <v>27.560000000000002</v>
      </c>
      <c r="G1961" s="18"/>
      <c r="H1961" s="19">
        <f>F1961*G1961</f>
        <v>0</v>
      </c>
    </row>
    <row r="1962" spans="1:8" ht="27">
      <c r="A1962" s="8">
        <v>8</v>
      </c>
      <c r="B1962" s="55" t="s">
        <v>64</v>
      </c>
      <c r="C1962" s="20" t="s">
        <v>65</v>
      </c>
      <c r="D1962" s="11" t="s">
        <v>59</v>
      </c>
      <c r="E1962" s="11"/>
      <c r="F1962" s="12">
        <f>F1960</f>
        <v>52</v>
      </c>
      <c r="G1962" s="11"/>
      <c r="H1962" s="13">
        <f>SUM(H1963:H1963)</f>
        <v>0</v>
      </c>
    </row>
    <row r="1963" spans="1:8">
      <c r="A1963" s="14"/>
      <c r="B1963" s="15" t="s">
        <v>66</v>
      </c>
      <c r="C1963" s="16" t="s">
        <v>67</v>
      </c>
      <c r="D1963" s="17" t="s">
        <v>59</v>
      </c>
      <c r="E1963" s="17">
        <v>1</v>
      </c>
      <c r="F1963" s="56">
        <f>F1962*E1963</f>
        <v>52</v>
      </c>
      <c r="G1963" s="18"/>
      <c r="H1963" s="19">
        <f>F1963*G1963</f>
        <v>0</v>
      </c>
    </row>
    <row r="1964" spans="1:8">
      <c r="A1964" s="14"/>
      <c r="B1964" s="520" t="s">
        <v>1445</v>
      </c>
      <c r="C1964" s="521"/>
      <c r="D1964" s="522"/>
      <c r="E1964" s="17"/>
      <c r="F1964" s="56"/>
      <c r="G1964" s="18"/>
      <c r="H1964" s="19"/>
    </row>
    <row r="1965" spans="1:8" ht="54">
      <c r="A1965" s="68" t="s">
        <v>13</v>
      </c>
      <c r="B1965" s="9" t="s">
        <v>509</v>
      </c>
      <c r="C1965" s="20" t="s">
        <v>1446</v>
      </c>
      <c r="D1965" s="20" t="s">
        <v>23</v>
      </c>
      <c r="E1965" s="20"/>
      <c r="F1965" s="69">
        <v>1.1000000000000001</v>
      </c>
      <c r="G1965" s="10"/>
      <c r="H1965" s="39">
        <f>SUM(H1966:H1970)</f>
        <v>0</v>
      </c>
    </row>
    <row r="1966" spans="1:8">
      <c r="A1966" s="14"/>
      <c r="B1966" s="15" t="s">
        <v>17</v>
      </c>
      <c r="C1966" s="28" t="s">
        <v>28</v>
      </c>
      <c r="D1966" s="16" t="s">
        <v>19</v>
      </c>
      <c r="E1966" s="16">
        <v>3.36</v>
      </c>
      <c r="F1966" s="70">
        <f>E1966*F1965</f>
        <v>3.6960000000000002</v>
      </c>
      <c r="G1966" s="17"/>
      <c r="H1966" s="44">
        <f>G1966*F1966</f>
        <v>0</v>
      </c>
    </row>
    <row r="1967" spans="1:8">
      <c r="A1967" s="14"/>
      <c r="B1967" s="24" t="s">
        <v>17</v>
      </c>
      <c r="C1967" s="16" t="s">
        <v>31</v>
      </c>
      <c r="D1967" s="16" t="s">
        <v>3</v>
      </c>
      <c r="E1967" s="16">
        <v>0.92</v>
      </c>
      <c r="F1967" s="70">
        <f>E1967*F1965</f>
        <v>1.0120000000000002</v>
      </c>
      <c r="G1967" s="16"/>
      <c r="H1967" s="44">
        <f>G1967*F1967</f>
        <v>0</v>
      </c>
    </row>
    <row r="1968" spans="1:8">
      <c r="A1968" s="14"/>
      <c r="B1968" s="15" t="s">
        <v>308</v>
      </c>
      <c r="C1968" s="16" t="s">
        <v>511</v>
      </c>
      <c r="D1968" s="16" t="s">
        <v>75</v>
      </c>
      <c r="E1968" s="16">
        <v>0.11</v>
      </c>
      <c r="F1968" s="70">
        <f>E1968*F1965</f>
        <v>0.12100000000000001</v>
      </c>
      <c r="G1968" s="16"/>
      <c r="H1968" s="44">
        <f>G1968*F1968</f>
        <v>0</v>
      </c>
    </row>
    <row r="1969" spans="1:8">
      <c r="A1969" s="14"/>
      <c r="B1969" s="15" t="s">
        <v>1447</v>
      </c>
      <c r="C1969" s="16" t="s">
        <v>1448</v>
      </c>
      <c r="D1969" s="16" t="s">
        <v>209</v>
      </c>
      <c r="E1969" s="43">
        <v>40.5</v>
      </c>
      <c r="F1969" s="43">
        <f>E1969*F1965</f>
        <v>44.550000000000004</v>
      </c>
      <c r="G1969" s="43"/>
      <c r="H1969" s="44">
        <f>G1969*F1969</f>
        <v>0</v>
      </c>
    </row>
    <row r="1970" spans="1:8">
      <c r="A1970" s="14"/>
      <c r="B1970" s="24" t="s">
        <v>17</v>
      </c>
      <c r="C1970" s="42" t="s">
        <v>190</v>
      </c>
      <c r="D1970" s="16" t="s">
        <v>3</v>
      </c>
      <c r="E1970" s="16">
        <v>0.16</v>
      </c>
      <c r="F1970" s="70">
        <f>E1970*F1965</f>
        <v>0.17600000000000002</v>
      </c>
      <c r="G1970" s="16"/>
      <c r="H1970" s="44">
        <f>G1970*F1970</f>
        <v>0</v>
      </c>
    </row>
    <row r="1971" spans="1:8" ht="54">
      <c r="A1971" s="129">
        <v>2</v>
      </c>
      <c r="B1971" s="9" t="s">
        <v>1449</v>
      </c>
      <c r="C1971" s="129" t="s">
        <v>1450</v>
      </c>
      <c r="D1971" s="368" t="s">
        <v>241</v>
      </c>
      <c r="E1971" s="129"/>
      <c r="F1971" s="69">
        <v>25</v>
      </c>
      <c r="G1971" s="129"/>
      <c r="H1971" s="39">
        <f>H1972+H1973+H1974+H1975</f>
        <v>0</v>
      </c>
    </row>
    <row r="1972" spans="1:8">
      <c r="A1972" s="183"/>
      <c r="B1972" s="105" t="s">
        <v>17</v>
      </c>
      <c r="C1972" s="132" t="s">
        <v>752</v>
      </c>
      <c r="D1972" s="105" t="s">
        <v>243</v>
      </c>
      <c r="E1972" s="105">
        <v>0.57399999999999995</v>
      </c>
      <c r="F1972" s="184">
        <f>F1971*E1972</f>
        <v>14.35</v>
      </c>
      <c r="G1972" s="105"/>
      <c r="H1972" s="106">
        <f>F1972*G1972</f>
        <v>0</v>
      </c>
    </row>
    <row r="1973" spans="1:8">
      <c r="A1973" s="183"/>
      <c r="B1973" s="105" t="s">
        <v>17</v>
      </c>
      <c r="C1973" s="105" t="s">
        <v>244</v>
      </c>
      <c r="D1973" s="105" t="s">
        <v>3</v>
      </c>
      <c r="E1973" s="105">
        <v>2.1000000000000001E-2</v>
      </c>
      <c r="F1973" s="184">
        <f>F1971*E1973</f>
        <v>0.52500000000000002</v>
      </c>
      <c r="G1973" s="150"/>
      <c r="H1973" s="106">
        <f>F1973*G1973</f>
        <v>0</v>
      </c>
    </row>
    <row r="1974" spans="1:8">
      <c r="A1974" s="183"/>
      <c r="B1974" s="105" t="s">
        <v>555</v>
      </c>
      <c r="C1974" s="105" t="s">
        <v>1451</v>
      </c>
      <c r="D1974" s="105" t="s">
        <v>78</v>
      </c>
      <c r="E1974" s="105">
        <v>2.4E-2</v>
      </c>
      <c r="F1974" s="184">
        <f>F1971*E1974</f>
        <v>0.6</v>
      </c>
      <c r="G1974" s="150"/>
      <c r="H1974" s="106">
        <f>F1974*G1974</f>
        <v>0</v>
      </c>
    </row>
    <row r="1975" spans="1:8">
      <c r="A1975" s="183"/>
      <c r="B1975" s="105" t="s">
        <v>308</v>
      </c>
      <c r="C1975" s="105" t="s">
        <v>1452</v>
      </c>
      <c r="D1975" s="105" t="s">
        <v>557</v>
      </c>
      <c r="E1975" s="105">
        <v>1.89E-2</v>
      </c>
      <c r="F1975" s="184">
        <f>F1971*E1975</f>
        <v>0.47250000000000003</v>
      </c>
      <c r="G1975" s="150"/>
      <c r="H1975" s="106">
        <f>F1975*G1975</f>
        <v>0</v>
      </c>
    </row>
    <row r="1976" spans="1:8" ht="48">
      <c r="A1976" s="68" t="s">
        <v>480</v>
      </c>
      <c r="B1976" s="9" t="s">
        <v>549</v>
      </c>
      <c r="C1976" s="20" t="s">
        <v>1453</v>
      </c>
      <c r="D1976" s="26" t="s">
        <v>33</v>
      </c>
      <c r="E1976" s="26"/>
      <c r="F1976" s="12">
        <v>150</v>
      </c>
      <c r="G1976" s="26"/>
      <c r="H1976" s="27">
        <f>SUM(H1977:H1979)</f>
        <v>0</v>
      </c>
    </row>
    <row r="1977" spans="1:8">
      <c r="A1977" s="61"/>
      <c r="B1977" s="15" t="s">
        <v>17</v>
      </c>
      <c r="C1977" s="28" t="s">
        <v>18</v>
      </c>
      <c r="D1977" s="29" t="s">
        <v>19</v>
      </c>
      <c r="E1977" s="29">
        <v>0.45</v>
      </c>
      <c r="F1977" s="19">
        <f>F1976*E1977</f>
        <v>67.5</v>
      </c>
      <c r="G1977" s="29"/>
      <c r="H1977" s="30">
        <f>G1977*F1977</f>
        <v>0</v>
      </c>
    </row>
    <row r="1978" spans="1:8">
      <c r="A1978" s="61"/>
      <c r="B1978" s="15" t="s">
        <v>17</v>
      </c>
      <c r="C1978" s="28" t="s">
        <v>233</v>
      </c>
      <c r="D1978" s="29" t="s">
        <v>3</v>
      </c>
      <c r="E1978" s="29">
        <v>1.0999999999999999E-2</v>
      </c>
      <c r="F1978" s="19">
        <f>E1978*F1976</f>
        <v>1.65</v>
      </c>
      <c r="G1978" s="29"/>
      <c r="H1978" s="30">
        <f>G1978*F1978</f>
        <v>0</v>
      </c>
    </row>
    <row r="1979" spans="1:8">
      <c r="A1979" s="61"/>
      <c r="B1979" s="28" t="s">
        <v>645</v>
      </c>
      <c r="C1979" s="28" t="s">
        <v>1454</v>
      </c>
      <c r="D1979" s="29" t="s">
        <v>123</v>
      </c>
      <c r="E1979" s="29">
        <v>2.5</v>
      </c>
      <c r="F1979" s="19">
        <f>F1976*E1979</f>
        <v>375</v>
      </c>
      <c r="G1979" s="29"/>
      <c r="H1979" s="30">
        <f>G1979*F1979</f>
        <v>0</v>
      </c>
    </row>
    <row r="1980" spans="1:8" ht="72">
      <c r="A1980" s="183">
        <v>4</v>
      </c>
      <c r="B1980" s="46" t="s">
        <v>1455</v>
      </c>
      <c r="C1980" s="10" t="s">
        <v>1456</v>
      </c>
      <c r="D1980" s="10" t="s">
        <v>16</v>
      </c>
      <c r="E1980" s="10"/>
      <c r="F1980" s="69">
        <v>243</v>
      </c>
      <c r="G1980" s="10"/>
      <c r="H1980" s="39">
        <f>H1981+H1982+H1983+H1984+H1985</f>
        <v>0</v>
      </c>
    </row>
    <row r="1981" spans="1:8">
      <c r="A1981" s="183"/>
      <c r="B1981" s="14" t="s">
        <v>1457</v>
      </c>
      <c r="C1981" s="16" t="s">
        <v>63</v>
      </c>
      <c r="D1981" s="16" t="s">
        <v>16</v>
      </c>
      <c r="E1981" s="16">
        <v>1</v>
      </c>
      <c r="F1981" s="238">
        <f>E1981*F1980</f>
        <v>243</v>
      </c>
      <c r="G1981" s="28"/>
      <c r="H1981" s="44">
        <f>G1981*F1981</f>
        <v>0</v>
      </c>
    </row>
    <row r="1982" spans="1:8">
      <c r="A1982" s="14"/>
      <c r="B1982" s="14" t="s">
        <v>1457</v>
      </c>
      <c r="C1982" s="28" t="s">
        <v>20</v>
      </c>
      <c r="D1982" s="28" t="s">
        <v>3</v>
      </c>
      <c r="E1982" s="28">
        <v>3.7000000000000002E-3</v>
      </c>
      <c r="F1982" s="44">
        <f>E1982*F1980</f>
        <v>0.89910000000000001</v>
      </c>
      <c r="G1982" s="28"/>
      <c r="H1982" s="44">
        <f>F1982*G1982</f>
        <v>0</v>
      </c>
    </row>
    <row r="1983" spans="1:8">
      <c r="A1983" s="14"/>
      <c r="B1983" s="14" t="s">
        <v>1458</v>
      </c>
      <c r="C1983" s="28" t="s">
        <v>1459</v>
      </c>
      <c r="D1983" s="28" t="s">
        <v>123</v>
      </c>
      <c r="E1983" s="28">
        <v>0.87</v>
      </c>
      <c r="F1983" s="44">
        <f>E1983*F1980</f>
        <v>211.41</v>
      </c>
      <c r="G1983" s="16"/>
      <c r="H1983" s="44">
        <f>F1983*G1983</f>
        <v>0</v>
      </c>
    </row>
    <row r="1984" spans="1:8">
      <c r="A1984" s="14"/>
      <c r="B1984" s="14" t="s">
        <v>1460</v>
      </c>
      <c r="C1984" s="28" t="s">
        <v>1461</v>
      </c>
      <c r="D1984" s="28" t="s">
        <v>75</v>
      </c>
      <c r="E1984" s="28">
        <v>7.26E-3</v>
      </c>
      <c r="F1984" s="44">
        <f>F1980*E1984</f>
        <v>1.7641800000000001</v>
      </c>
      <c r="G1984" s="28"/>
      <c r="H1984" s="18">
        <f>G1984*F1984</f>
        <v>0</v>
      </c>
    </row>
    <row r="1985" spans="1:8">
      <c r="A1985" s="14"/>
      <c r="B1985" s="14" t="s">
        <v>17</v>
      </c>
      <c r="C1985" s="16" t="s">
        <v>1462</v>
      </c>
      <c r="D1985" s="28" t="s">
        <v>3</v>
      </c>
      <c r="E1985" s="28">
        <v>0.8</v>
      </c>
      <c r="F1985" s="44">
        <f>E1985*F1980</f>
        <v>194.4</v>
      </c>
      <c r="G1985" s="28"/>
      <c r="H1985" s="44">
        <f>G1985*F1985</f>
        <v>0</v>
      </c>
    </row>
    <row r="1986" spans="1:8">
      <c r="A1986" s="14"/>
      <c r="B1986" s="520" t="s">
        <v>1463</v>
      </c>
      <c r="C1986" s="521"/>
      <c r="D1986" s="522"/>
      <c r="E1986" s="28"/>
      <c r="F1986" s="44"/>
      <c r="G1986" s="28"/>
      <c r="H1986" s="44"/>
    </row>
    <row r="1987" spans="1:8" ht="48">
      <c r="A1987" s="68" t="s">
        <v>13</v>
      </c>
      <c r="B1987" s="55" t="s">
        <v>1464</v>
      </c>
      <c r="C1987" s="20" t="s">
        <v>1465</v>
      </c>
      <c r="D1987" s="20" t="s">
        <v>75</v>
      </c>
      <c r="E1987" s="20"/>
      <c r="F1987" s="69">
        <v>6.7</v>
      </c>
      <c r="G1987" s="69"/>
      <c r="H1987" s="39">
        <f>H1988</f>
        <v>0</v>
      </c>
    </row>
    <row r="1988" spans="1:8">
      <c r="A1988" s="61"/>
      <c r="B1988" s="15" t="s">
        <v>17</v>
      </c>
      <c r="C1988" s="28" t="s">
        <v>18</v>
      </c>
      <c r="D1988" s="28" t="s">
        <v>19</v>
      </c>
      <c r="E1988" s="28">
        <v>2.78</v>
      </c>
      <c r="F1988" s="135">
        <f>E1988*F1987</f>
        <v>18.625999999999998</v>
      </c>
      <c r="G1988" s="44"/>
      <c r="H1988" s="44">
        <f>G1988*F1988</f>
        <v>0</v>
      </c>
    </row>
    <row r="1989" spans="1:8" ht="48">
      <c r="A1989" s="68" t="s">
        <v>72</v>
      </c>
      <c r="B1989" s="55" t="s">
        <v>133</v>
      </c>
      <c r="C1989" s="20" t="s">
        <v>1466</v>
      </c>
      <c r="D1989" s="20" t="s">
        <v>75</v>
      </c>
      <c r="E1989" s="20"/>
      <c r="F1989" s="69">
        <v>0.7</v>
      </c>
      <c r="G1989" s="76"/>
      <c r="H1989" s="39">
        <f>SUM(H1990:H1992)</f>
        <v>0</v>
      </c>
    </row>
    <row r="1990" spans="1:8">
      <c r="A1990" s="64"/>
      <c r="B1990" s="15" t="s">
        <v>17</v>
      </c>
      <c r="C1990" s="28" t="s">
        <v>28</v>
      </c>
      <c r="D1990" s="28" t="s">
        <v>19</v>
      </c>
      <c r="E1990" s="16">
        <v>3.16</v>
      </c>
      <c r="F1990" s="43">
        <f>E1990*F1989</f>
        <v>2.2119999999999997</v>
      </c>
      <c r="G1990" s="17"/>
      <c r="H1990" s="44">
        <f>G1990*F1990</f>
        <v>0</v>
      </c>
    </row>
    <row r="1991" spans="1:8">
      <c r="A1991" s="64"/>
      <c r="B1991" s="24" t="s">
        <v>580</v>
      </c>
      <c r="C1991" s="16" t="s">
        <v>581</v>
      </c>
      <c r="D1991" s="16" t="s">
        <v>75</v>
      </c>
      <c r="E1991" s="16">
        <v>1.25</v>
      </c>
      <c r="F1991" s="43">
        <f>E1991*F1989</f>
        <v>0.875</v>
      </c>
      <c r="G1991" s="43"/>
      <c r="H1991" s="43">
        <f>G1991*F1991</f>
        <v>0</v>
      </c>
    </row>
    <row r="1992" spans="1:8">
      <c r="A1992" s="64"/>
      <c r="B1992" s="15" t="s">
        <v>17</v>
      </c>
      <c r="C1992" s="42" t="s">
        <v>190</v>
      </c>
      <c r="D1992" s="16" t="s">
        <v>3</v>
      </c>
      <c r="E1992" s="16">
        <v>0.01</v>
      </c>
      <c r="F1992" s="43">
        <f>E1992*F1989</f>
        <v>6.9999999999999993E-3</v>
      </c>
      <c r="G1992" s="16"/>
      <c r="H1992" s="43">
        <f>G1992*F1992</f>
        <v>0</v>
      </c>
    </row>
    <row r="1993" spans="1:8" ht="48">
      <c r="A1993" s="144">
        <v>3</v>
      </c>
      <c r="B1993" s="9" t="s">
        <v>322</v>
      </c>
      <c r="C1993" s="145" t="s">
        <v>582</v>
      </c>
      <c r="D1993" s="145" t="s">
        <v>23</v>
      </c>
      <c r="E1993" s="145"/>
      <c r="F1993" s="145">
        <f>F1989</f>
        <v>0.7</v>
      </c>
      <c r="G1993" s="145"/>
      <c r="H1993" s="146">
        <f>H1994+H1995</f>
        <v>0</v>
      </c>
    </row>
    <row r="1994" spans="1:8">
      <c r="A1994" s="61"/>
      <c r="B1994" s="15" t="s">
        <v>17</v>
      </c>
      <c r="C1994" s="28" t="s">
        <v>28</v>
      </c>
      <c r="D1994" s="28" t="s">
        <v>19</v>
      </c>
      <c r="E1994" s="28">
        <v>0.13400000000000001</v>
      </c>
      <c r="F1994" s="44">
        <f>F1993*E1994</f>
        <v>9.3799999999999994E-2</v>
      </c>
      <c r="G1994" s="28"/>
      <c r="H1994" s="44">
        <f>G1994*F1994</f>
        <v>0</v>
      </c>
    </row>
    <row r="1995" spans="1:8">
      <c r="A1995" s="147"/>
      <c r="B1995" s="147" t="s">
        <v>324</v>
      </c>
      <c r="C1995" s="147" t="s">
        <v>325</v>
      </c>
      <c r="D1995" s="147" t="s">
        <v>326</v>
      </c>
      <c r="E1995" s="147">
        <v>0.13</v>
      </c>
      <c r="F1995" s="147">
        <f>E1995*F1993</f>
        <v>9.0999999999999998E-2</v>
      </c>
      <c r="G1995" s="147"/>
      <c r="H1995" s="147">
        <f>F1995*G1995</f>
        <v>0</v>
      </c>
    </row>
    <row r="1996" spans="1:8" ht="48">
      <c r="A1996" s="62" t="s">
        <v>327</v>
      </c>
      <c r="B1996" s="73" t="s">
        <v>1467</v>
      </c>
      <c r="C1996" s="10" t="s">
        <v>1468</v>
      </c>
      <c r="D1996" s="11" t="s">
        <v>23</v>
      </c>
      <c r="E1996" s="11"/>
      <c r="F1996" s="21">
        <v>5</v>
      </c>
      <c r="G1996" s="57"/>
      <c r="H1996" s="13">
        <f>SUM(H1997:H2003)</f>
        <v>0</v>
      </c>
    </row>
    <row r="1997" spans="1:8">
      <c r="A1997" s="64"/>
      <c r="B1997" s="14" t="s">
        <v>17</v>
      </c>
      <c r="C1997" s="16" t="s">
        <v>28</v>
      </c>
      <c r="D1997" s="17" t="s">
        <v>19</v>
      </c>
      <c r="E1997" s="17">
        <v>2.81</v>
      </c>
      <c r="F1997" s="134">
        <f>E1997*F1996</f>
        <v>14.05</v>
      </c>
      <c r="G1997" s="18"/>
      <c r="H1997" s="19">
        <f t="shared" ref="H1997:H2003" si="55">G1997*F1997</f>
        <v>0</v>
      </c>
    </row>
    <row r="1998" spans="1:8">
      <c r="A1998" s="64"/>
      <c r="B1998" s="14" t="s">
        <v>17</v>
      </c>
      <c r="C1998" s="16" t="s">
        <v>31</v>
      </c>
      <c r="D1998" s="17" t="s">
        <v>3</v>
      </c>
      <c r="E1998" s="17">
        <v>0.33</v>
      </c>
      <c r="F1998" s="134">
        <f>E1998*F1996</f>
        <v>1.6500000000000001</v>
      </c>
      <c r="G1998" s="18"/>
      <c r="H1998" s="19">
        <f t="shared" si="55"/>
        <v>0</v>
      </c>
    </row>
    <row r="1999" spans="1:8">
      <c r="A1999" s="64"/>
      <c r="B1999" s="22" t="s">
        <v>1469</v>
      </c>
      <c r="C1999" s="16" t="s">
        <v>1470</v>
      </c>
      <c r="D1999" s="16" t="s">
        <v>75</v>
      </c>
      <c r="E1999" s="17">
        <v>1.02</v>
      </c>
      <c r="F1999" s="134">
        <f>E1999*F1996</f>
        <v>5.0999999999999996</v>
      </c>
      <c r="G1999" s="18"/>
      <c r="H1999" s="19">
        <f t="shared" si="55"/>
        <v>0</v>
      </c>
    </row>
    <row r="2000" spans="1:8">
      <c r="A2000" s="64"/>
      <c r="B2000" s="14" t="s">
        <v>675</v>
      </c>
      <c r="C2000" s="16" t="s">
        <v>166</v>
      </c>
      <c r="D2000" s="16" t="s">
        <v>112</v>
      </c>
      <c r="E2000" s="16">
        <v>0.80300000000000005</v>
      </c>
      <c r="F2000" s="43">
        <f>F1996*E2000</f>
        <v>4.0150000000000006</v>
      </c>
      <c r="G2000" s="43"/>
      <c r="H2000" s="44">
        <f t="shared" si="55"/>
        <v>0</v>
      </c>
    </row>
    <row r="2001" spans="1:8">
      <c r="A2001" s="64"/>
      <c r="B2001" s="14" t="s">
        <v>113</v>
      </c>
      <c r="C2001" s="16" t="s">
        <v>1471</v>
      </c>
      <c r="D2001" s="16" t="s">
        <v>75</v>
      </c>
      <c r="E2001" s="16">
        <v>3.8999999999999998E-3</v>
      </c>
      <c r="F2001" s="43">
        <f>F1996*E2001</f>
        <v>1.95E-2</v>
      </c>
      <c r="G2001" s="43"/>
      <c r="H2001" s="44">
        <f t="shared" si="55"/>
        <v>0</v>
      </c>
    </row>
    <row r="2002" spans="1:8">
      <c r="A2002" s="64"/>
      <c r="B2002" s="22" t="s">
        <v>447</v>
      </c>
      <c r="C2002" s="16" t="s">
        <v>1472</v>
      </c>
      <c r="D2002" s="16" t="s">
        <v>59</v>
      </c>
      <c r="E2002" s="16">
        <v>8.9999999999999998E-4</v>
      </c>
      <c r="F2002" s="70">
        <f>F1996*E2002</f>
        <v>4.4999999999999997E-3</v>
      </c>
      <c r="G2002" s="18"/>
      <c r="H2002" s="19">
        <f t="shared" si="55"/>
        <v>0</v>
      </c>
    </row>
    <row r="2003" spans="1:8">
      <c r="A2003" s="64"/>
      <c r="B2003" s="67" t="s">
        <v>17</v>
      </c>
      <c r="C2003" s="16" t="s">
        <v>100</v>
      </c>
      <c r="D2003" s="17" t="s">
        <v>3</v>
      </c>
      <c r="E2003" s="17">
        <v>0.16</v>
      </c>
      <c r="F2003" s="134">
        <f>E2003*F1996</f>
        <v>0.8</v>
      </c>
      <c r="G2003" s="18"/>
      <c r="H2003" s="19">
        <f t="shared" si="55"/>
        <v>0</v>
      </c>
    </row>
    <row r="2004" spans="1:8" ht="48">
      <c r="A2004" s="62" t="s">
        <v>82</v>
      </c>
      <c r="B2004" s="73" t="s">
        <v>148</v>
      </c>
      <c r="C2004" s="10" t="s">
        <v>1473</v>
      </c>
      <c r="D2004" s="10" t="s">
        <v>23</v>
      </c>
      <c r="E2004" s="10"/>
      <c r="F2004" s="69">
        <v>0.9</v>
      </c>
      <c r="G2004" s="10"/>
      <c r="H2004" s="13">
        <f>SUM(H2005:H2011)</f>
        <v>0</v>
      </c>
    </row>
    <row r="2005" spans="1:8">
      <c r="A2005" s="64"/>
      <c r="B2005" s="67" t="s">
        <v>17</v>
      </c>
      <c r="C2005" s="28" t="s">
        <v>28</v>
      </c>
      <c r="D2005" s="28" t="s">
        <v>19</v>
      </c>
      <c r="E2005" s="16">
        <v>13.3</v>
      </c>
      <c r="F2005" s="70">
        <f>E2005*F2004</f>
        <v>11.97</v>
      </c>
      <c r="G2005" s="43"/>
      <c r="H2005" s="19">
        <f t="shared" ref="H2005:H2011" si="56">G2005*F2005</f>
        <v>0</v>
      </c>
    </row>
    <row r="2006" spans="1:8">
      <c r="A2006" s="64"/>
      <c r="B2006" s="14" t="s">
        <v>17</v>
      </c>
      <c r="C2006" s="16" t="s">
        <v>20</v>
      </c>
      <c r="D2006" s="16" t="s">
        <v>3</v>
      </c>
      <c r="E2006" s="16">
        <v>3.36</v>
      </c>
      <c r="F2006" s="70">
        <f>E2006*F2004</f>
        <v>3.024</v>
      </c>
      <c r="G2006" s="43"/>
      <c r="H2006" s="18">
        <f t="shared" si="56"/>
        <v>0</v>
      </c>
    </row>
    <row r="2007" spans="1:8">
      <c r="A2007" s="64"/>
      <c r="B2007" s="22" t="s">
        <v>1469</v>
      </c>
      <c r="C2007" s="16" t="s">
        <v>1474</v>
      </c>
      <c r="D2007" s="16" t="s">
        <v>75</v>
      </c>
      <c r="E2007" s="16">
        <v>1.0149999999999999</v>
      </c>
      <c r="F2007" s="70">
        <f>E2007*F2004</f>
        <v>0.91349999999999998</v>
      </c>
      <c r="G2007" s="44"/>
      <c r="H2007" s="43">
        <f t="shared" si="56"/>
        <v>0</v>
      </c>
    </row>
    <row r="2008" spans="1:8">
      <c r="A2008" s="15"/>
      <c r="B2008" s="28" t="s">
        <v>119</v>
      </c>
      <c r="C2008" s="28" t="s">
        <v>526</v>
      </c>
      <c r="D2008" s="29" t="s">
        <v>508</v>
      </c>
      <c r="E2008" s="29" t="s">
        <v>109</v>
      </c>
      <c r="F2008" s="142">
        <v>0.09</v>
      </c>
      <c r="G2008" s="29"/>
      <c r="H2008" s="30">
        <f t="shared" si="56"/>
        <v>0</v>
      </c>
    </row>
    <row r="2009" spans="1:8">
      <c r="A2009" s="64"/>
      <c r="B2009" s="14" t="s">
        <v>675</v>
      </c>
      <c r="C2009" s="16" t="s">
        <v>151</v>
      </c>
      <c r="D2009" s="16" t="s">
        <v>112</v>
      </c>
      <c r="E2009" s="16">
        <v>2.42</v>
      </c>
      <c r="F2009" s="70">
        <f>E2009*F2004</f>
        <v>2.1779999999999999</v>
      </c>
      <c r="G2009" s="43"/>
      <c r="H2009" s="18">
        <f t="shared" si="56"/>
        <v>0</v>
      </c>
    </row>
    <row r="2010" spans="1:8" ht="27">
      <c r="A2010" s="64"/>
      <c r="B2010" s="14" t="s">
        <v>674</v>
      </c>
      <c r="C2010" s="16" t="s">
        <v>152</v>
      </c>
      <c r="D2010" s="16" t="s">
        <v>75</v>
      </c>
      <c r="E2010" s="16">
        <f>(5.81+0.67)/100</f>
        <v>6.4799999999999996E-2</v>
      </c>
      <c r="F2010" s="70">
        <f>E2010*F2004</f>
        <v>5.8319999999999997E-2</v>
      </c>
      <c r="G2010" s="43"/>
      <c r="H2010" s="18">
        <f t="shared" si="56"/>
        <v>0</v>
      </c>
    </row>
    <row r="2011" spans="1:8">
      <c r="A2011" s="64"/>
      <c r="B2011" s="67" t="s">
        <v>17</v>
      </c>
      <c r="C2011" s="16" t="s">
        <v>100</v>
      </c>
      <c r="D2011" s="16" t="s">
        <v>3</v>
      </c>
      <c r="E2011" s="16">
        <v>0.6</v>
      </c>
      <c r="F2011" s="43">
        <f>E2011*F2004</f>
        <v>0.54</v>
      </c>
      <c r="G2011" s="43"/>
      <c r="H2011" s="18">
        <f t="shared" si="56"/>
        <v>0</v>
      </c>
    </row>
    <row r="2012" spans="1:8" ht="54">
      <c r="A2012" s="62" t="s">
        <v>88</v>
      </c>
      <c r="B2012" s="46" t="s">
        <v>125</v>
      </c>
      <c r="C2012" s="10" t="s">
        <v>1475</v>
      </c>
      <c r="D2012" s="10" t="s">
        <v>23</v>
      </c>
      <c r="E2012" s="63"/>
      <c r="F2012" s="69">
        <v>6.7</v>
      </c>
      <c r="G2012" s="10"/>
      <c r="H2012" s="39">
        <f>H2013</f>
        <v>0</v>
      </c>
    </row>
    <row r="2013" spans="1:8">
      <c r="A2013" s="64"/>
      <c r="B2013" s="14" t="s">
        <v>17</v>
      </c>
      <c r="C2013" s="16" t="s">
        <v>28</v>
      </c>
      <c r="D2013" s="16" t="s">
        <v>19</v>
      </c>
      <c r="E2013" s="16">
        <v>1.21</v>
      </c>
      <c r="F2013" s="43">
        <f>F2012*E2013</f>
        <v>8.1069999999999993</v>
      </c>
      <c r="G2013" s="16"/>
      <c r="H2013" s="44">
        <f>G2013*F2013</f>
        <v>0</v>
      </c>
    </row>
    <row r="2014" spans="1:8" ht="48">
      <c r="A2014" s="144">
        <v>7</v>
      </c>
      <c r="B2014" s="9" t="s">
        <v>322</v>
      </c>
      <c r="C2014" s="145" t="s">
        <v>1215</v>
      </c>
      <c r="D2014" s="145" t="s">
        <v>23</v>
      </c>
      <c r="E2014" s="145"/>
      <c r="F2014" s="145">
        <f>F2012</f>
        <v>6.7</v>
      </c>
      <c r="G2014" s="145"/>
      <c r="H2014" s="146">
        <f>H2015+H2016</f>
        <v>0</v>
      </c>
    </row>
    <row r="2015" spans="1:8">
      <c r="A2015" s="61"/>
      <c r="B2015" s="15" t="s">
        <v>17</v>
      </c>
      <c r="C2015" s="28" t="s">
        <v>28</v>
      </c>
      <c r="D2015" s="28" t="s">
        <v>19</v>
      </c>
      <c r="E2015" s="28">
        <v>0.13400000000000001</v>
      </c>
      <c r="F2015" s="44">
        <f>F2014*E2015</f>
        <v>0.89780000000000004</v>
      </c>
      <c r="G2015" s="28"/>
      <c r="H2015" s="44">
        <f>G2015*F2015</f>
        <v>0</v>
      </c>
    </row>
    <row r="2016" spans="1:8">
      <c r="A2016" s="147"/>
      <c r="B2016" s="147" t="s">
        <v>324</v>
      </c>
      <c r="C2016" s="147" t="s">
        <v>325</v>
      </c>
      <c r="D2016" s="147" t="s">
        <v>326</v>
      </c>
      <c r="E2016" s="147">
        <v>0.13</v>
      </c>
      <c r="F2016" s="147">
        <f>E2016*F2014</f>
        <v>0.87100000000000011</v>
      </c>
      <c r="G2016" s="147"/>
      <c r="H2016" s="147">
        <f>F2016*G2016</f>
        <v>0</v>
      </c>
    </row>
    <row r="2017" spans="1:8" ht="48">
      <c r="A2017" s="68" t="s">
        <v>101</v>
      </c>
      <c r="B2017" s="9" t="s">
        <v>509</v>
      </c>
      <c r="C2017" s="20" t="s">
        <v>1476</v>
      </c>
      <c r="D2017" s="20" t="s">
        <v>23</v>
      </c>
      <c r="E2017" s="20"/>
      <c r="F2017" s="69">
        <v>10.6</v>
      </c>
      <c r="G2017" s="10"/>
      <c r="H2017" s="39">
        <f>SUM(H2018:H2022)</f>
        <v>0</v>
      </c>
    </row>
    <row r="2018" spans="1:8">
      <c r="A2018" s="14"/>
      <c r="B2018" s="15" t="s">
        <v>17</v>
      </c>
      <c r="C2018" s="28" t="s">
        <v>28</v>
      </c>
      <c r="D2018" s="16" t="s">
        <v>19</v>
      </c>
      <c r="E2018" s="16">
        <v>3.36</v>
      </c>
      <c r="F2018" s="70">
        <f>E2018*F2017</f>
        <v>35.616</v>
      </c>
      <c r="G2018" s="17"/>
      <c r="H2018" s="44">
        <f>G2018*F2018</f>
        <v>0</v>
      </c>
    </row>
    <row r="2019" spans="1:8">
      <c r="A2019" s="14"/>
      <c r="B2019" s="24" t="s">
        <v>17</v>
      </c>
      <c r="C2019" s="16" t="s">
        <v>31</v>
      </c>
      <c r="D2019" s="16" t="s">
        <v>3</v>
      </c>
      <c r="E2019" s="16">
        <v>0.92</v>
      </c>
      <c r="F2019" s="70">
        <f>E2019*F2017</f>
        <v>9.7520000000000007</v>
      </c>
      <c r="G2019" s="16"/>
      <c r="H2019" s="44">
        <f>G2019*F2019</f>
        <v>0</v>
      </c>
    </row>
    <row r="2020" spans="1:8">
      <c r="A2020" s="14"/>
      <c r="B2020" s="15" t="s">
        <v>308</v>
      </c>
      <c r="C2020" s="16" t="s">
        <v>511</v>
      </c>
      <c r="D2020" s="16" t="s">
        <v>75</v>
      </c>
      <c r="E2020" s="16">
        <v>0.11</v>
      </c>
      <c r="F2020" s="70">
        <f>E2020*F2017</f>
        <v>1.1659999999999999</v>
      </c>
      <c r="G2020" s="16"/>
      <c r="H2020" s="44">
        <f>G2020*F2020</f>
        <v>0</v>
      </c>
    </row>
    <row r="2021" spans="1:8">
      <c r="A2021" s="14"/>
      <c r="B2021" s="15" t="s">
        <v>512</v>
      </c>
      <c r="C2021" s="16" t="s">
        <v>513</v>
      </c>
      <c r="D2021" s="16" t="s">
        <v>209</v>
      </c>
      <c r="E2021" s="43">
        <v>62.5</v>
      </c>
      <c r="F2021" s="43">
        <f>E2021*F2017</f>
        <v>662.5</v>
      </c>
      <c r="G2021" s="43"/>
      <c r="H2021" s="44">
        <f>G2021*F2021</f>
        <v>0</v>
      </c>
    </row>
    <row r="2022" spans="1:8">
      <c r="A2022" s="14"/>
      <c r="B2022" s="24" t="s">
        <v>17</v>
      </c>
      <c r="C2022" s="42" t="s">
        <v>190</v>
      </c>
      <c r="D2022" s="16" t="s">
        <v>3</v>
      </c>
      <c r="E2022" s="16">
        <v>0.16</v>
      </c>
      <c r="F2022" s="70">
        <f>E2022*F2017</f>
        <v>1.696</v>
      </c>
      <c r="G2022" s="16"/>
      <c r="H2022" s="44">
        <f>G2022*F2022</f>
        <v>0</v>
      </c>
    </row>
    <row r="2023" spans="1:8" ht="48">
      <c r="A2023" s="129">
        <v>9</v>
      </c>
      <c r="B2023" s="9" t="s">
        <v>1449</v>
      </c>
      <c r="C2023" s="129" t="s">
        <v>1477</v>
      </c>
      <c r="D2023" s="368" t="s">
        <v>241</v>
      </c>
      <c r="E2023" s="129"/>
      <c r="F2023" s="69">
        <v>67</v>
      </c>
      <c r="G2023" s="129"/>
      <c r="H2023" s="39">
        <f>H2024+H2025+H2026+H2027</f>
        <v>0</v>
      </c>
    </row>
    <row r="2024" spans="1:8">
      <c r="A2024" s="183"/>
      <c r="B2024" s="105" t="s">
        <v>17</v>
      </c>
      <c r="C2024" s="132" t="s">
        <v>752</v>
      </c>
      <c r="D2024" s="105" t="s">
        <v>243</v>
      </c>
      <c r="E2024" s="105">
        <v>0.57399999999999995</v>
      </c>
      <c r="F2024" s="184">
        <f>F2023*E2024</f>
        <v>38.457999999999998</v>
      </c>
      <c r="G2024" s="105"/>
      <c r="H2024" s="106">
        <f>F2024*G2024</f>
        <v>0</v>
      </c>
    </row>
    <row r="2025" spans="1:8">
      <c r="A2025" s="183"/>
      <c r="B2025" s="105" t="s">
        <v>17</v>
      </c>
      <c r="C2025" s="105" t="s">
        <v>244</v>
      </c>
      <c r="D2025" s="105" t="s">
        <v>3</v>
      </c>
      <c r="E2025" s="105">
        <v>2.1000000000000001E-2</v>
      </c>
      <c r="F2025" s="184">
        <f>F2023*E2025</f>
        <v>1.407</v>
      </c>
      <c r="G2025" s="150"/>
      <c r="H2025" s="106">
        <f>F2025*G2025</f>
        <v>0</v>
      </c>
    </row>
    <row r="2026" spans="1:8">
      <c r="A2026" s="183"/>
      <c r="B2026" s="105" t="s">
        <v>555</v>
      </c>
      <c r="C2026" s="105" t="s">
        <v>1451</v>
      </c>
      <c r="D2026" s="105" t="s">
        <v>78</v>
      </c>
      <c r="E2026" s="105">
        <v>2.4E-2</v>
      </c>
      <c r="F2026" s="184">
        <f>F2023*E2026</f>
        <v>1.6080000000000001</v>
      </c>
      <c r="G2026" s="150"/>
      <c r="H2026" s="106">
        <f>F2026*G2026</f>
        <v>0</v>
      </c>
    </row>
    <row r="2027" spans="1:8">
      <c r="A2027" s="183"/>
      <c r="B2027" s="105" t="s">
        <v>308</v>
      </c>
      <c r="C2027" s="105" t="s">
        <v>1452</v>
      </c>
      <c r="D2027" s="105" t="s">
        <v>557</v>
      </c>
      <c r="E2027" s="105">
        <v>1.89E-2</v>
      </c>
      <c r="F2027" s="184">
        <f>F2023*E2027</f>
        <v>1.2663</v>
      </c>
      <c r="G2027" s="150"/>
      <c r="H2027" s="106">
        <f>F2027*G2027</f>
        <v>0</v>
      </c>
    </row>
    <row r="2028" spans="1:8" ht="72">
      <c r="A2028" s="183">
        <v>10</v>
      </c>
      <c r="B2028" s="46" t="s">
        <v>1455</v>
      </c>
      <c r="C2028" s="10" t="s">
        <v>1456</v>
      </c>
      <c r="D2028" s="10" t="s">
        <v>16</v>
      </c>
      <c r="E2028" s="10"/>
      <c r="F2028" s="69">
        <v>67</v>
      </c>
      <c r="G2028" s="10"/>
      <c r="H2028" s="39">
        <f>H2029+H2030+H2031+H2032+H2033</f>
        <v>0</v>
      </c>
    </row>
    <row r="2029" spans="1:8">
      <c r="A2029" s="183"/>
      <c r="B2029" s="14" t="s">
        <v>1457</v>
      </c>
      <c r="C2029" s="16" t="s">
        <v>63</v>
      </c>
      <c r="D2029" s="16" t="s">
        <v>16</v>
      </c>
      <c r="E2029" s="16">
        <v>1</v>
      </c>
      <c r="F2029" s="238">
        <f>E2029*F2028</f>
        <v>67</v>
      </c>
      <c r="G2029" s="28"/>
      <c r="H2029" s="44">
        <f>G2029*F2029</f>
        <v>0</v>
      </c>
    </row>
    <row r="2030" spans="1:8">
      <c r="A2030" s="14"/>
      <c r="B2030" s="14" t="s">
        <v>1457</v>
      </c>
      <c r="C2030" s="28" t="s">
        <v>20</v>
      </c>
      <c r="D2030" s="28" t="s">
        <v>3</v>
      </c>
      <c r="E2030" s="28">
        <v>3.7000000000000002E-3</v>
      </c>
      <c r="F2030" s="44">
        <f>E2030*F2028</f>
        <v>0.24790000000000001</v>
      </c>
      <c r="G2030" s="28"/>
      <c r="H2030" s="44">
        <f>F2030*G2030</f>
        <v>0</v>
      </c>
    </row>
    <row r="2031" spans="1:8">
      <c r="A2031" s="14"/>
      <c r="B2031" s="14" t="s">
        <v>1458</v>
      </c>
      <c r="C2031" s="28" t="s">
        <v>1459</v>
      </c>
      <c r="D2031" s="28" t="s">
        <v>123</v>
      </c>
      <c r="E2031" s="28">
        <v>0.87</v>
      </c>
      <c r="F2031" s="44">
        <f>E2031*F2028</f>
        <v>58.29</v>
      </c>
      <c r="G2031" s="16"/>
      <c r="H2031" s="44">
        <f>F2031*G2031</f>
        <v>0</v>
      </c>
    </row>
    <row r="2032" spans="1:8">
      <c r="A2032" s="14"/>
      <c r="B2032" s="14" t="s">
        <v>1460</v>
      </c>
      <c r="C2032" s="28" t="s">
        <v>1461</v>
      </c>
      <c r="D2032" s="28" t="s">
        <v>75</v>
      </c>
      <c r="E2032" s="28">
        <v>7.26E-3</v>
      </c>
      <c r="F2032" s="44">
        <f>F2028*E2032</f>
        <v>0.48642000000000002</v>
      </c>
      <c r="G2032" s="28"/>
      <c r="H2032" s="18">
        <f>G2032*F2032</f>
        <v>0</v>
      </c>
    </row>
    <row r="2033" spans="1:8">
      <c r="A2033" s="14"/>
      <c r="B2033" s="14" t="s">
        <v>17</v>
      </c>
      <c r="C2033" s="16" t="s">
        <v>1462</v>
      </c>
      <c r="D2033" s="28" t="s">
        <v>3</v>
      </c>
      <c r="E2033" s="28">
        <v>0.8</v>
      </c>
      <c r="F2033" s="44">
        <f>E2033*F2028</f>
        <v>53.6</v>
      </c>
      <c r="G2033" s="28"/>
      <c r="H2033" s="44">
        <f>G2033*F2033</f>
        <v>0</v>
      </c>
    </row>
    <row r="2034" spans="1:8" ht="38.25" customHeight="1">
      <c r="A2034" s="14"/>
      <c r="B2034" s="520" t="s">
        <v>1654</v>
      </c>
      <c r="C2034" s="521"/>
      <c r="D2034" s="522"/>
      <c r="E2034" s="17"/>
      <c r="F2034" s="56"/>
      <c r="G2034" s="18"/>
      <c r="H2034" s="19"/>
    </row>
    <row r="2035" spans="1:8" ht="48">
      <c r="A2035" s="68" t="s">
        <v>13</v>
      </c>
      <c r="B2035" s="55" t="s">
        <v>1464</v>
      </c>
      <c r="C2035" s="20" t="s">
        <v>1478</v>
      </c>
      <c r="D2035" s="20" t="s">
        <v>75</v>
      </c>
      <c r="E2035" s="20"/>
      <c r="F2035" s="69">
        <v>27.6</v>
      </c>
      <c r="G2035" s="69"/>
      <c r="H2035" s="39">
        <f>H2036</f>
        <v>0</v>
      </c>
    </row>
    <row r="2036" spans="1:8">
      <c r="A2036" s="61"/>
      <c r="B2036" s="15" t="s">
        <v>17</v>
      </c>
      <c r="C2036" s="28" t="s">
        <v>18</v>
      </c>
      <c r="D2036" s="28" t="s">
        <v>19</v>
      </c>
      <c r="E2036" s="28">
        <v>2.78</v>
      </c>
      <c r="F2036" s="135">
        <f>E2036*F2035</f>
        <v>76.727999999999994</v>
      </c>
      <c r="G2036" s="44"/>
      <c r="H2036" s="44">
        <f>G2036*F2036</f>
        <v>0</v>
      </c>
    </row>
    <row r="2037" spans="1:8" ht="48">
      <c r="A2037" s="68" t="s">
        <v>72</v>
      </c>
      <c r="B2037" s="55" t="s">
        <v>133</v>
      </c>
      <c r="C2037" s="20" t="s">
        <v>1466</v>
      </c>
      <c r="D2037" s="20" t="s">
        <v>75</v>
      </c>
      <c r="E2037" s="20"/>
      <c r="F2037" s="69">
        <v>3</v>
      </c>
      <c r="G2037" s="76"/>
      <c r="H2037" s="39">
        <f>SUM(H2038:H2040)</f>
        <v>0</v>
      </c>
    </row>
    <row r="2038" spans="1:8">
      <c r="A2038" s="64"/>
      <c r="B2038" s="15" t="s">
        <v>17</v>
      </c>
      <c r="C2038" s="28" t="s">
        <v>28</v>
      </c>
      <c r="D2038" s="28" t="s">
        <v>19</v>
      </c>
      <c r="E2038" s="16">
        <v>3.16</v>
      </c>
      <c r="F2038" s="43">
        <f>E2038*F2037</f>
        <v>9.48</v>
      </c>
      <c r="G2038" s="17"/>
      <c r="H2038" s="44">
        <f>G2038*F2038</f>
        <v>0</v>
      </c>
    </row>
    <row r="2039" spans="1:8">
      <c r="A2039" s="64"/>
      <c r="B2039" s="24" t="s">
        <v>580</v>
      </c>
      <c r="C2039" s="16" t="s">
        <v>581</v>
      </c>
      <c r="D2039" s="16" t="s">
        <v>75</v>
      </c>
      <c r="E2039" s="16">
        <v>1.25</v>
      </c>
      <c r="F2039" s="43">
        <f>E2039*F2037</f>
        <v>3.75</v>
      </c>
      <c r="G2039" s="43"/>
      <c r="H2039" s="43">
        <f>G2039*F2039</f>
        <v>0</v>
      </c>
    </row>
    <row r="2040" spans="1:8">
      <c r="A2040" s="64"/>
      <c r="B2040" s="15" t="s">
        <v>17</v>
      </c>
      <c r="C2040" s="42" t="s">
        <v>190</v>
      </c>
      <c r="D2040" s="16" t="s">
        <v>3</v>
      </c>
      <c r="E2040" s="16">
        <v>0.01</v>
      </c>
      <c r="F2040" s="43">
        <f>E2040*F2037</f>
        <v>0.03</v>
      </c>
      <c r="G2040" s="16"/>
      <c r="H2040" s="43">
        <f>G2040*F2040</f>
        <v>0</v>
      </c>
    </row>
    <row r="2041" spans="1:8" ht="48">
      <c r="A2041" s="144">
        <v>3</v>
      </c>
      <c r="B2041" s="9" t="s">
        <v>322</v>
      </c>
      <c r="C2041" s="145" t="s">
        <v>582</v>
      </c>
      <c r="D2041" s="145" t="s">
        <v>23</v>
      </c>
      <c r="E2041" s="145"/>
      <c r="F2041" s="145">
        <f>F2037</f>
        <v>3</v>
      </c>
      <c r="G2041" s="145"/>
      <c r="H2041" s="146">
        <f>H2042+H2043</f>
        <v>0</v>
      </c>
    </row>
    <row r="2042" spans="1:8">
      <c r="A2042" s="61"/>
      <c r="B2042" s="15" t="s">
        <v>17</v>
      </c>
      <c r="C2042" s="28" t="s">
        <v>28</v>
      </c>
      <c r="D2042" s="28" t="s">
        <v>19</v>
      </c>
      <c r="E2042" s="28">
        <v>0.13400000000000001</v>
      </c>
      <c r="F2042" s="44">
        <f>F2041*E2042</f>
        <v>0.40200000000000002</v>
      </c>
      <c r="G2042" s="28"/>
      <c r="H2042" s="44">
        <f>G2042*F2042</f>
        <v>0</v>
      </c>
    </row>
    <row r="2043" spans="1:8">
      <c r="A2043" s="147"/>
      <c r="B2043" s="147" t="s">
        <v>324</v>
      </c>
      <c r="C2043" s="147" t="s">
        <v>325</v>
      </c>
      <c r="D2043" s="147" t="s">
        <v>326</v>
      </c>
      <c r="E2043" s="147">
        <v>0.13</v>
      </c>
      <c r="F2043" s="147">
        <f>E2043*F2041</f>
        <v>0.39</v>
      </c>
      <c r="G2043" s="147"/>
      <c r="H2043" s="147">
        <f>F2043*G2043</f>
        <v>0</v>
      </c>
    </row>
    <row r="2044" spans="1:8" ht="48">
      <c r="A2044" s="62" t="s">
        <v>327</v>
      </c>
      <c r="B2044" s="73" t="s">
        <v>1467</v>
      </c>
      <c r="C2044" s="10" t="s">
        <v>1468</v>
      </c>
      <c r="D2044" s="11" t="s">
        <v>23</v>
      </c>
      <c r="E2044" s="11"/>
      <c r="F2044" s="21">
        <v>23.8</v>
      </c>
      <c r="G2044" s="57"/>
      <c r="H2044" s="13">
        <f>SUM(H2045:H2051)</f>
        <v>0</v>
      </c>
    </row>
    <row r="2045" spans="1:8">
      <c r="A2045" s="64"/>
      <c r="B2045" s="14" t="s">
        <v>17</v>
      </c>
      <c r="C2045" s="16" t="s">
        <v>28</v>
      </c>
      <c r="D2045" s="17" t="s">
        <v>19</v>
      </c>
      <c r="E2045" s="17">
        <v>2.81</v>
      </c>
      <c r="F2045" s="134">
        <f>E2045*F2044</f>
        <v>66.878</v>
      </c>
      <c r="G2045" s="18"/>
      <c r="H2045" s="19">
        <f t="shared" ref="H2045:H2051" si="57">G2045*F2045</f>
        <v>0</v>
      </c>
    </row>
    <row r="2046" spans="1:8">
      <c r="A2046" s="64"/>
      <c r="B2046" s="14" t="s">
        <v>17</v>
      </c>
      <c r="C2046" s="16" t="s">
        <v>31</v>
      </c>
      <c r="D2046" s="17" t="s">
        <v>3</v>
      </c>
      <c r="E2046" s="17">
        <v>0.33</v>
      </c>
      <c r="F2046" s="134">
        <f>E2046*F2044</f>
        <v>7.854000000000001</v>
      </c>
      <c r="G2046" s="18"/>
      <c r="H2046" s="19">
        <f t="shared" si="57"/>
        <v>0</v>
      </c>
    </row>
    <row r="2047" spans="1:8">
      <c r="A2047" s="64"/>
      <c r="B2047" s="22" t="s">
        <v>1469</v>
      </c>
      <c r="C2047" s="16" t="s">
        <v>1470</v>
      </c>
      <c r="D2047" s="16" t="s">
        <v>75</v>
      </c>
      <c r="E2047" s="17">
        <v>1.02</v>
      </c>
      <c r="F2047" s="134">
        <f>E2047*F2044</f>
        <v>24.276</v>
      </c>
      <c r="G2047" s="18"/>
      <c r="H2047" s="19">
        <f t="shared" si="57"/>
        <v>0</v>
      </c>
    </row>
    <row r="2048" spans="1:8">
      <c r="A2048" s="64"/>
      <c r="B2048" s="14" t="s">
        <v>675</v>
      </c>
      <c r="C2048" s="16" t="s">
        <v>166</v>
      </c>
      <c r="D2048" s="16" t="s">
        <v>112</v>
      </c>
      <c r="E2048" s="16">
        <v>0.80300000000000005</v>
      </c>
      <c r="F2048" s="43">
        <f>F2044*E2048</f>
        <v>19.111400000000003</v>
      </c>
      <c r="G2048" s="43"/>
      <c r="H2048" s="44">
        <f t="shared" si="57"/>
        <v>0</v>
      </c>
    </row>
    <row r="2049" spans="1:8">
      <c r="A2049" s="64"/>
      <c r="B2049" s="14" t="s">
        <v>113</v>
      </c>
      <c r="C2049" s="16" t="s">
        <v>1471</v>
      </c>
      <c r="D2049" s="16" t="s">
        <v>75</v>
      </c>
      <c r="E2049" s="16">
        <v>3.8999999999999998E-3</v>
      </c>
      <c r="F2049" s="43">
        <f>F2044*E2049</f>
        <v>9.282E-2</v>
      </c>
      <c r="G2049" s="43"/>
      <c r="H2049" s="44">
        <f t="shared" si="57"/>
        <v>0</v>
      </c>
    </row>
    <row r="2050" spans="1:8">
      <c r="A2050" s="64"/>
      <c r="B2050" s="22" t="s">
        <v>447</v>
      </c>
      <c r="C2050" s="16" t="s">
        <v>1472</v>
      </c>
      <c r="D2050" s="16" t="s">
        <v>59</v>
      </c>
      <c r="E2050" s="16">
        <v>8.9999999999999998E-4</v>
      </c>
      <c r="F2050" s="70">
        <f>F2044*E2050</f>
        <v>2.1420000000000002E-2</v>
      </c>
      <c r="G2050" s="18"/>
      <c r="H2050" s="19">
        <f t="shared" si="57"/>
        <v>0</v>
      </c>
    </row>
    <row r="2051" spans="1:8">
      <c r="A2051" s="64"/>
      <c r="B2051" s="67" t="s">
        <v>17</v>
      </c>
      <c r="C2051" s="16" t="s">
        <v>100</v>
      </c>
      <c r="D2051" s="17" t="s">
        <v>3</v>
      </c>
      <c r="E2051" s="17">
        <v>0.16</v>
      </c>
      <c r="F2051" s="134">
        <f>E2051*F2044</f>
        <v>3.8080000000000003</v>
      </c>
      <c r="G2051" s="18"/>
      <c r="H2051" s="19">
        <f t="shared" si="57"/>
        <v>0</v>
      </c>
    </row>
    <row r="2052" spans="1:8" ht="48">
      <c r="A2052" s="62" t="s">
        <v>82</v>
      </c>
      <c r="B2052" s="46" t="s">
        <v>125</v>
      </c>
      <c r="C2052" s="10" t="s">
        <v>1214</v>
      </c>
      <c r="D2052" s="10" t="s">
        <v>23</v>
      </c>
      <c r="E2052" s="63"/>
      <c r="F2052" s="69">
        <f>F2035</f>
        <v>27.6</v>
      </c>
      <c r="G2052" s="76"/>
      <c r="H2052" s="39">
        <f>H2053</f>
        <v>0</v>
      </c>
    </row>
    <row r="2053" spans="1:8">
      <c r="A2053" s="64"/>
      <c r="B2053" s="14" t="s">
        <v>17</v>
      </c>
      <c r="C2053" s="16" t="s">
        <v>28</v>
      </c>
      <c r="D2053" s="16" t="s">
        <v>19</v>
      </c>
      <c r="E2053" s="16">
        <v>1.21</v>
      </c>
      <c r="F2053" s="43">
        <f>F2052*E2053</f>
        <v>33.396000000000001</v>
      </c>
      <c r="G2053" s="43"/>
      <c r="H2053" s="44">
        <f>G2053*F2053</f>
        <v>0</v>
      </c>
    </row>
    <row r="2054" spans="1:8" ht="48">
      <c r="A2054" s="144">
        <v>6</v>
      </c>
      <c r="B2054" s="9" t="s">
        <v>322</v>
      </c>
      <c r="C2054" s="145" t="s">
        <v>1215</v>
      </c>
      <c r="D2054" s="145" t="s">
        <v>23</v>
      </c>
      <c r="E2054" s="145"/>
      <c r="F2054" s="145">
        <f>F2052</f>
        <v>27.6</v>
      </c>
      <c r="G2054" s="145"/>
      <c r="H2054" s="146">
        <f>H2055+H2056</f>
        <v>0</v>
      </c>
    </row>
    <row r="2055" spans="1:8">
      <c r="A2055" s="64"/>
      <c r="B2055" s="14" t="s">
        <v>17</v>
      </c>
      <c r="C2055" s="16" t="s">
        <v>28</v>
      </c>
      <c r="D2055" s="16" t="s">
        <v>19</v>
      </c>
      <c r="E2055" s="16">
        <v>0.13400000000000001</v>
      </c>
      <c r="F2055" s="43">
        <f>F2054*E2055</f>
        <v>3.6984000000000004</v>
      </c>
      <c r="G2055" s="16"/>
      <c r="H2055" s="44">
        <f>G2055*F2055</f>
        <v>0</v>
      </c>
    </row>
    <row r="2056" spans="1:8">
      <c r="A2056" s="147"/>
      <c r="B2056" s="147" t="s">
        <v>324</v>
      </c>
      <c r="C2056" s="147" t="s">
        <v>325</v>
      </c>
      <c r="D2056" s="147" t="s">
        <v>326</v>
      </c>
      <c r="E2056" s="147">
        <v>0.13</v>
      </c>
      <c r="F2056" s="147">
        <f>E2056*F2054</f>
        <v>3.5880000000000005</v>
      </c>
      <c r="G2056" s="147"/>
      <c r="H2056" s="147">
        <f>F2056*G2056</f>
        <v>0</v>
      </c>
    </row>
    <row r="2057" spans="1:8" ht="40.5">
      <c r="A2057" s="25">
        <v>7</v>
      </c>
      <c r="B2057" s="55" t="s">
        <v>1479</v>
      </c>
      <c r="C2057" s="20" t="s">
        <v>1480</v>
      </c>
      <c r="D2057" s="20" t="s">
        <v>209</v>
      </c>
      <c r="E2057" s="366"/>
      <c r="F2057" s="69">
        <v>2</v>
      </c>
      <c r="G2057" s="28"/>
      <c r="H2057" s="39">
        <f>H2058+H2059+H2062+H2063+H2065+H2060+H2064+H2061</f>
        <v>0</v>
      </c>
    </row>
    <row r="2058" spans="1:8">
      <c r="A2058" s="237"/>
      <c r="B2058" s="28" t="s">
        <v>17</v>
      </c>
      <c r="C2058" s="28" t="s">
        <v>1254</v>
      </c>
      <c r="D2058" s="192" t="s">
        <v>19</v>
      </c>
      <c r="E2058" s="367">
        <v>17.2</v>
      </c>
      <c r="F2058" s="184">
        <f>E2058*F2057</f>
        <v>34.4</v>
      </c>
      <c r="G2058" s="192"/>
      <c r="H2058" s="44">
        <f t="shared" ref="H2058:H2065" si="58">F2058*G2058</f>
        <v>0</v>
      </c>
    </row>
    <row r="2059" spans="1:8">
      <c r="A2059" s="28"/>
      <c r="B2059" s="28" t="s">
        <v>17</v>
      </c>
      <c r="C2059" s="28" t="s">
        <v>1481</v>
      </c>
      <c r="D2059" s="192" t="s">
        <v>1435</v>
      </c>
      <c r="E2059" s="367">
        <v>70</v>
      </c>
      <c r="F2059" s="184">
        <f>E2059*F2057</f>
        <v>140</v>
      </c>
      <c r="G2059" s="192"/>
      <c r="H2059" s="44">
        <f t="shared" si="58"/>
        <v>0</v>
      </c>
    </row>
    <row r="2060" spans="1:8">
      <c r="A2060" s="122"/>
      <c r="B2060" s="327" t="s">
        <v>585</v>
      </c>
      <c r="C2060" s="28" t="s">
        <v>1482</v>
      </c>
      <c r="D2060" s="192" t="s">
        <v>23</v>
      </c>
      <c r="E2060" s="367">
        <v>0.29699999999999999</v>
      </c>
      <c r="F2060" s="369">
        <f>E2060*F2057</f>
        <v>0.59399999999999997</v>
      </c>
      <c r="G2060" s="192"/>
      <c r="H2060" s="44">
        <f t="shared" si="58"/>
        <v>0</v>
      </c>
    </row>
    <row r="2061" spans="1:8">
      <c r="A2061" s="122"/>
      <c r="B2061" s="327" t="s">
        <v>1483</v>
      </c>
      <c r="C2061" s="28" t="s">
        <v>1484</v>
      </c>
      <c r="D2061" s="192" t="s">
        <v>45</v>
      </c>
      <c r="E2061" s="367">
        <v>5</v>
      </c>
      <c r="F2061" s="369">
        <f>E2061*F2057</f>
        <v>10</v>
      </c>
      <c r="G2061" s="192"/>
      <c r="H2061" s="44">
        <f t="shared" si="58"/>
        <v>0</v>
      </c>
    </row>
    <row r="2062" spans="1:8" ht="27">
      <c r="A2062" s="28"/>
      <c r="B2062" s="359" t="s">
        <v>1485</v>
      </c>
      <c r="C2062" s="28" t="s">
        <v>1486</v>
      </c>
      <c r="D2062" s="192" t="s">
        <v>16</v>
      </c>
      <c r="E2062" s="277">
        <v>7.68</v>
      </c>
      <c r="F2062" s="184">
        <f>F2057*E2062</f>
        <v>15.36</v>
      </c>
      <c r="G2062" s="192"/>
      <c r="H2062" s="44">
        <f t="shared" si="58"/>
        <v>0</v>
      </c>
    </row>
    <row r="2063" spans="1:8" ht="25.5">
      <c r="A2063" s="28"/>
      <c r="B2063" s="359" t="s">
        <v>1487</v>
      </c>
      <c r="C2063" s="28" t="s">
        <v>1488</v>
      </c>
      <c r="D2063" s="192" t="s">
        <v>123</v>
      </c>
      <c r="E2063" s="192">
        <v>16</v>
      </c>
      <c r="F2063" s="184">
        <f>E2063*F2057</f>
        <v>32</v>
      </c>
      <c r="G2063" s="192"/>
      <c r="H2063" s="44">
        <f t="shared" si="58"/>
        <v>0</v>
      </c>
    </row>
    <row r="2064" spans="1:8">
      <c r="A2064" s="28"/>
      <c r="B2064" s="24" t="s">
        <v>626</v>
      </c>
      <c r="C2064" s="28" t="s">
        <v>122</v>
      </c>
      <c r="D2064" s="192" t="s">
        <v>123</v>
      </c>
      <c r="E2064" s="192">
        <v>2</v>
      </c>
      <c r="F2064" s="184">
        <f>E2064*F2057</f>
        <v>4</v>
      </c>
      <c r="G2064" s="192"/>
      <c r="H2064" s="44">
        <f t="shared" si="58"/>
        <v>0</v>
      </c>
    </row>
    <row r="2065" spans="1:8">
      <c r="A2065" s="28"/>
      <c r="B2065" s="24" t="s">
        <v>17</v>
      </c>
      <c r="C2065" s="28" t="s">
        <v>385</v>
      </c>
      <c r="D2065" s="28" t="s">
        <v>3</v>
      </c>
      <c r="E2065" s="192">
        <v>0.2</v>
      </c>
      <c r="F2065" s="44">
        <f>E2065*F2057</f>
        <v>0.4</v>
      </c>
      <c r="G2065" s="192"/>
      <c r="H2065" s="44">
        <f t="shared" si="58"/>
        <v>0</v>
      </c>
    </row>
    <row r="2066" spans="1:8" ht="40.5">
      <c r="A2066" s="25">
        <v>8</v>
      </c>
      <c r="B2066" s="55" t="s">
        <v>1489</v>
      </c>
      <c r="C2066" s="20" t="s">
        <v>1490</v>
      </c>
      <c r="D2066" s="20" t="s">
        <v>209</v>
      </c>
      <c r="E2066" s="366"/>
      <c r="F2066" s="69">
        <v>2</v>
      </c>
      <c r="G2066" s="28"/>
      <c r="H2066" s="39">
        <f>H2067+H2068+H2071+H2072+H2073+H2070+H2069</f>
        <v>0</v>
      </c>
    </row>
    <row r="2067" spans="1:8">
      <c r="A2067" s="237"/>
      <c r="B2067" s="28" t="s">
        <v>17</v>
      </c>
      <c r="C2067" s="28" t="s">
        <v>1254</v>
      </c>
      <c r="D2067" s="192" t="s">
        <v>19</v>
      </c>
      <c r="E2067" s="367">
        <v>7.33</v>
      </c>
      <c r="F2067" s="184">
        <f>E2067*F2066</f>
        <v>14.66</v>
      </c>
      <c r="G2067" s="192"/>
      <c r="H2067" s="44">
        <f t="shared" ref="H2067:H2073" si="59">F2067*G2067</f>
        <v>0</v>
      </c>
    </row>
    <row r="2068" spans="1:8">
      <c r="A2068" s="28"/>
      <c r="B2068" s="28" t="s">
        <v>17</v>
      </c>
      <c r="C2068" s="28" t="s">
        <v>1481</v>
      </c>
      <c r="D2068" s="192" t="s">
        <v>1435</v>
      </c>
      <c r="E2068" s="367">
        <v>0.11</v>
      </c>
      <c r="F2068" s="184">
        <f>E2068*F2066</f>
        <v>0.22</v>
      </c>
      <c r="G2068" s="192"/>
      <c r="H2068" s="44">
        <f t="shared" si="59"/>
        <v>0</v>
      </c>
    </row>
    <row r="2069" spans="1:8">
      <c r="A2069" s="122"/>
      <c r="B2069" s="327" t="s">
        <v>1483</v>
      </c>
      <c r="C2069" s="28" t="s">
        <v>1484</v>
      </c>
      <c r="D2069" s="192" t="s">
        <v>45</v>
      </c>
      <c r="E2069" s="367">
        <v>3.75</v>
      </c>
      <c r="F2069" s="369">
        <f>E2069*F2066</f>
        <v>7.5</v>
      </c>
      <c r="G2069" s="192"/>
      <c r="H2069" s="44">
        <f t="shared" si="59"/>
        <v>0</v>
      </c>
    </row>
    <row r="2070" spans="1:8">
      <c r="A2070" s="122"/>
      <c r="B2070" s="327" t="s">
        <v>585</v>
      </c>
      <c r="C2070" s="28" t="s">
        <v>1482</v>
      </c>
      <c r="D2070" s="192" t="s">
        <v>23</v>
      </c>
      <c r="E2070" s="367">
        <v>5.0999999999999997E-2</v>
      </c>
      <c r="F2070" s="369">
        <f>E2070*F2066</f>
        <v>0.10199999999999999</v>
      </c>
      <c r="G2070" s="192"/>
      <c r="H2070" s="44">
        <f t="shared" si="59"/>
        <v>0</v>
      </c>
    </row>
    <row r="2071" spans="1:8" ht="27">
      <c r="A2071" s="28"/>
      <c r="B2071" s="359" t="s">
        <v>1485</v>
      </c>
      <c r="C2071" s="28" t="s">
        <v>1491</v>
      </c>
      <c r="D2071" s="192" t="s">
        <v>16</v>
      </c>
      <c r="E2071" s="277">
        <v>1.9</v>
      </c>
      <c r="F2071" s="184">
        <f>F2066*E2071</f>
        <v>3.8</v>
      </c>
      <c r="G2071" s="192"/>
      <c r="H2071" s="44">
        <f t="shared" si="59"/>
        <v>0</v>
      </c>
    </row>
    <row r="2072" spans="1:8">
      <c r="A2072" s="28"/>
      <c r="B2072" s="24" t="s">
        <v>626</v>
      </c>
      <c r="C2072" s="28" t="s">
        <v>122</v>
      </c>
      <c r="D2072" s="192" t="s">
        <v>123</v>
      </c>
      <c r="E2072" s="192">
        <v>2</v>
      </c>
      <c r="F2072" s="184">
        <f>E2072*F2065</f>
        <v>0.8</v>
      </c>
      <c r="G2072" s="192"/>
      <c r="H2072" s="44">
        <f t="shared" si="59"/>
        <v>0</v>
      </c>
    </row>
    <row r="2073" spans="1:8">
      <c r="A2073" s="28"/>
      <c r="B2073" s="24" t="s">
        <v>17</v>
      </c>
      <c r="C2073" s="28" t="s">
        <v>385</v>
      </c>
      <c r="D2073" s="28" t="s">
        <v>3</v>
      </c>
      <c r="E2073" s="192">
        <v>0.06</v>
      </c>
      <c r="F2073" s="44">
        <f>E2073*F2066</f>
        <v>0.12</v>
      </c>
      <c r="G2073" s="192"/>
      <c r="H2073" s="44">
        <f t="shared" si="59"/>
        <v>0</v>
      </c>
    </row>
    <row r="2074" spans="1:8" ht="54">
      <c r="A2074" s="25">
        <v>9</v>
      </c>
      <c r="B2074" s="55" t="s">
        <v>1431</v>
      </c>
      <c r="C2074" s="20" t="s">
        <v>1492</v>
      </c>
      <c r="D2074" s="20" t="s">
        <v>45</v>
      </c>
      <c r="E2074" s="366"/>
      <c r="F2074" s="69">
        <v>150.5</v>
      </c>
      <c r="G2074" s="28"/>
      <c r="H2074" s="39">
        <f>H2075+H2076+H2079+H2080+H2081+H2077+H2078</f>
        <v>0</v>
      </c>
    </row>
    <row r="2075" spans="1:8">
      <c r="A2075" s="237"/>
      <c r="B2075" s="28" t="s">
        <v>17</v>
      </c>
      <c r="C2075" s="28" t="s">
        <v>1254</v>
      </c>
      <c r="D2075" s="192" t="s">
        <v>19</v>
      </c>
      <c r="E2075" s="367">
        <v>1.66</v>
      </c>
      <c r="F2075" s="184">
        <f>E2075*F2074</f>
        <v>249.82999999999998</v>
      </c>
      <c r="G2075" s="192"/>
      <c r="H2075" s="44">
        <f t="shared" ref="H2075:H2081" si="60">F2075*G2075</f>
        <v>0</v>
      </c>
    </row>
    <row r="2076" spans="1:8">
      <c r="A2076" s="28"/>
      <c r="B2076" s="28" t="s">
        <v>17</v>
      </c>
      <c r="C2076" s="28" t="s">
        <v>1481</v>
      </c>
      <c r="D2076" s="192" t="s">
        <v>1435</v>
      </c>
      <c r="E2076" s="367">
        <v>0.5</v>
      </c>
      <c r="F2076" s="184">
        <f>E2076*F2074</f>
        <v>75.25</v>
      </c>
      <c r="G2076" s="192"/>
      <c r="H2076" s="44">
        <f t="shared" si="60"/>
        <v>0</v>
      </c>
    </row>
    <row r="2077" spans="1:8">
      <c r="A2077" s="122"/>
      <c r="B2077" s="327" t="s">
        <v>585</v>
      </c>
      <c r="C2077" s="28" t="s">
        <v>1482</v>
      </c>
      <c r="D2077" s="192" t="s">
        <v>23</v>
      </c>
      <c r="E2077" s="277">
        <v>1.41E-2</v>
      </c>
      <c r="F2077" s="369">
        <f>E2077*F2074</f>
        <v>2.1220499999999998</v>
      </c>
      <c r="G2077" s="192"/>
      <c r="H2077" s="44">
        <f t="shared" si="60"/>
        <v>0</v>
      </c>
    </row>
    <row r="2078" spans="1:8">
      <c r="A2078" s="122"/>
      <c r="B2078" s="327" t="s">
        <v>1483</v>
      </c>
      <c r="C2078" s="28" t="s">
        <v>1484</v>
      </c>
      <c r="D2078" s="192" t="s">
        <v>45</v>
      </c>
      <c r="E2078" s="367">
        <v>0.85</v>
      </c>
      <c r="F2078" s="369">
        <f>E2078*F2074</f>
        <v>127.925</v>
      </c>
      <c r="G2078" s="192"/>
      <c r="H2078" s="44">
        <f t="shared" si="60"/>
        <v>0</v>
      </c>
    </row>
    <row r="2079" spans="1:8" ht="25.5">
      <c r="A2079" s="28"/>
      <c r="B2079" s="359" t="s">
        <v>1493</v>
      </c>
      <c r="C2079" s="28" t="s">
        <v>1494</v>
      </c>
      <c r="D2079" s="192" t="s">
        <v>16</v>
      </c>
      <c r="E2079" s="277">
        <v>1.6</v>
      </c>
      <c r="F2079" s="184">
        <f>F2074*E2079</f>
        <v>240.8</v>
      </c>
      <c r="G2079" s="192"/>
      <c r="H2079" s="44">
        <f t="shared" si="60"/>
        <v>0</v>
      </c>
    </row>
    <row r="2080" spans="1:8" ht="25.5">
      <c r="A2080" s="28"/>
      <c r="B2080" s="359" t="s">
        <v>1485</v>
      </c>
      <c r="C2080" s="28" t="s">
        <v>1488</v>
      </c>
      <c r="D2080" s="192" t="s">
        <v>123</v>
      </c>
      <c r="E2080" s="192">
        <v>2</v>
      </c>
      <c r="F2080" s="184">
        <f>E2080*F2074</f>
        <v>301</v>
      </c>
      <c r="G2080" s="192"/>
      <c r="H2080" s="44">
        <f t="shared" si="60"/>
        <v>0</v>
      </c>
    </row>
    <row r="2081" spans="1:8">
      <c r="A2081" s="28"/>
      <c r="B2081" s="24" t="s">
        <v>17</v>
      </c>
      <c r="C2081" s="28" t="s">
        <v>385</v>
      </c>
      <c r="D2081" s="28" t="s">
        <v>3</v>
      </c>
      <c r="E2081" s="192">
        <v>0.06</v>
      </c>
      <c r="F2081" s="44">
        <f>E2081*F2074</f>
        <v>9.0299999999999994</v>
      </c>
      <c r="G2081" s="192"/>
      <c r="H2081" s="44">
        <f t="shared" si="60"/>
        <v>0</v>
      </c>
    </row>
    <row r="2082" spans="1:8" ht="48">
      <c r="A2082" s="129">
        <v>10</v>
      </c>
      <c r="B2082" s="9" t="s">
        <v>1449</v>
      </c>
      <c r="C2082" s="129" t="s">
        <v>1495</v>
      </c>
      <c r="D2082" s="368" t="s">
        <v>241</v>
      </c>
      <c r="E2082" s="129"/>
      <c r="F2082" s="69">
        <v>136</v>
      </c>
      <c r="G2082" s="129"/>
      <c r="H2082" s="39">
        <f>H2083+H2084+H2085+H2086</f>
        <v>0</v>
      </c>
    </row>
    <row r="2083" spans="1:8">
      <c r="A2083" s="183"/>
      <c r="B2083" s="105" t="s">
        <v>17</v>
      </c>
      <c r="C2083" s="132" t="s">
        <v>752</v>
      </c>
      <c r="D2083" s="105" t="s">
        <v>243</v>
      </c>
      <c r="E2083" s="105">
        <v>0.57399999999999995</v>
      </c>
      <c r="F2083" s="184">
        <f>F2082*E2083</f>
        <v>78.063999999999993</v>
      </c>
      <c r="G2083" s="105"/>
      <c r="H2083" s="106">
        <f>F2083*G2083</f>
        <v>0</v>
      </c>
    </row>
    <row r="2084" spans="1:8">
      <c r="A2084" s="183"/>
      <c r="B2084" s="105" t="s">
        <v>17</v>
      </c>
      <c r="C2084" s="105" t="s">
        <v>244</v>
      </c>
      <c r="D2084" s="105" t="s">
        <v>3</v>
      </c>
      <c r="E2084" s="105">
        <v>2.1000000000000001E-2</v>
      </c>
      <c r="F2084" s="184">
        <f>F2082*E2084</f>
        <v>2.8560000000000003</v>
      </c>
      <c r="G2084" s="150"/>
      <c r="H2084" s="106">
        <f>F2084*G2084</f>
        <v>0</v>
      </c>
    </row>
    <row r="2085" spans="1:8">
      <c r="A2085" s="183"/>
      <c r="B2085" s="105" t="s">
        <v>555</v>
      </c>
      <c r="C2085" s="105" t="s">
        <v>1451</v>
      </c>
      <c r="D2085" s="105" t="s">
        <v>78</v>
      </c>
      <c r="E2085" s="105">
        <v>2.4E-2</v>
      </c>
      <c r="F2085" s="184">
        <f>F2082*E2085</f>
        <v>3.2640000000000002</v>
      </c>
      <c r="G2085" s="150"/>
      <c r="H2085" s="106">
        <f>F2085*G2085</f>
        <v>0</v>
      </c>
    </row>
    <row r="2086" spans="1:8">
      <c r="A2086" s="183"/>
      <c r="B2086" s="105" t="s">
        <v>308</v>
      </c>
      <c r="C2086" s="105" t="s">
        <v>1452</v>
      </c>
      <c r="D2086" s="105" t="s">
        <v>557</v>
      </c>
      <c r="E2086" s="105">
        <v>1.89E-2</v>
      </c>
      <c r="F2086" s="184">
        <f>F2082*E2086</f>
        <v>2.5704000000000002</v>
      </c>
      <c r="G2086" s="150"/>
      <c r="H2086" s="106">
        <f>F2086*G2086</f>
        <v>0</v>
      </c>
    </row>
    <row r="2087" spans="1:8" ht="72">
      <c r="A2087" s="183">
        <v>11</v>
      </c>
      <c r="B2087" s="46" t="s">
        <v>1455</v>
      </c>
      <c r="C2087" s="10" t="s">
        <v>1496</v>
      </c>
      <c r="D2087" s="10" t="s">
        <v>16</v>
      </c>
      <c r="E2087" s="10"/>
      <c r="F2087" s="69">
        <f>F2082</f>
        <v>136</v>
      </c>
      <c r="G2087" s="10"/>
      <c r="H2087" s="39">
        <f>H2088+H2089+H2090+H2091+H2092</f>
        <v>0</v>
      </c>
    </row>
    <row r="2088" spans="1:8">
      <c r="A2088" s="183"/>
      <c r="B2088" s="14" t="s">
        <v>1457</v>
      </c>
      <c r="C2088" s="16" t="s">
        <v>63</v>
      </c>
      <c r="D2088" s="16" t="s">
        <v>16</v>
      </c>
      <c r="E2088" s="16">
        <v>1</v>
      </c>
      <c r="F2088" s="238">
        <f>E2088*F2087</f>
        <v>136</v>
      </c>
      <c r="G2088" s="28"/>
      <c r="H2088" s="44">
        <f>G2088*F2088</f>
        <v>0</v>
      </c>
    </row>
    <row r="2089" spans="1:8">
      <c r="A2089" s="14"/>
      <c r="B2089" s="14" t="s">
        <v>1457</v>
      </c>
      <c r="C2089" s="28" t="s">
        <v>20</v>
      </c>
      <c r="D2089" s="28" t="s">
        <v>3</v>
      </c>
      <c r="E2089" s="28">
        <v>3.7000000000000002E-3</v>
      </c>
      <c r="F2089" s="44">
        <f>E2089*F2087</f>
        <v>0.50319999999999998</v>
      </c>
      <c r="G2089" s="28"/>
      <c r="H2089" s="44">
        <f>F2089*G2089</f>
        <v>0</v>
      </c>
    </row>
    <row r="2090" spans="1:8">
      <c r="A2090" s="14"/>
      <c r="B2090" s="14" t="s">
        <v>1458</v>
      </c>
      <c r="C2090" s="28" t="s">
        <v>1459</v>
      </c>
      <c r="D2090" s="28" t="s">
        <v>123</v>
      </c>
      <c r="E2090" s="28">
        <v>0.87</v>
      </c>
      <c r="F2090" s="44">
        <f>E2090*F2087</f>
        <v>118.32</v>
      </c>
      <c r="G2090" s="16"/>
      <c r="H2090" s="44">
        <f>F2090*G2090</f>
        <v>0</v>
      </c>
    </row>
    <row r="2091" spans="1:8">
      <c r="A2091" s="14"/>
      <c r="B2091" s="14" t="s">
        <v>1460</v>
      </c>
      <c r="C2091" s="28" t="s">
        <v>1461</v>
      </c>
      <c r="D2091" s="28" t="s">
        <v>75</v>
      </c>
      <c r="E2091" s="28">
        <v>7.26E-3</v>
      </c>
      <c r="F2091" s="44">
        <f>F2087*E2091</f>
        <v>0.98736000000000002</v>
      </c>
      <c r="G2091" s="28"/>
      <c r="H2091" s="18">
        <f>G2091*F2091</f>
        <v>0</v>
      </c>
    </row>
    <row r="2092" spans="1:8">
      <c r="A2092" s="14"/>
      <c r="B2092" s="14" t="s">
        <v>17</v>
      </c>
      <c r="C2092" s="16" t="s">
        <v>1462</v>
      </c>
      <c r="D2092" s="28" t="s">
        <v>3</v>
      </c>
      <c r="E2092" s="28">
        <v>0.8</v>
      </c>
      <c r="F2092" s="44">
        <f>E2092*F2087</f>
        <v>108.80000000000001</v>
      </c>
      <c r="G2092" s="28"/>
      <c r="H2092" s="44">
        <f>G2092*F2092</f>
        <v>0</v>
      </c>
    </row>
    <row r="2093" spans="1:8" ht="48">
      <c r="A2093" s="68" t="s">
        <v>132</v>
      </c>
      <c r="B2093" s="9" t="s">
        <v>451</v>
      </c>
      <c r="C2093" s="20" t="s">
        <v>1497</v>
      </c>
      <c r="D2093" s="20" t="s">
        <v>16</v>
      </c>
      <c r="E2093" s="20"/>
      <c r="F2093" s="60">
        <v>310</v>
      </c>
      <c r="G2093" s="10"/>
      <c r="H2093" s="39">
        <f>SUM(H2094:H2097)</f>
        <v>0</v>
      </c>
    </row>
    <row r="2094" spans="1:8">
      <c r="A2094" s="61"/>
      <c r="B2094" s="115" t="s">
        <v>17</v>
      </c>
      <c r="C2094" s="28" t="s">
        <v>28</v>
      </c>
      <c r="D2094" s="28" t="s">
        <v>19</v>
      </c>
      <c r="E2094" s="28">
        <v>3.1E-2</v>
      </c>
      <c r="F2094" s="44">
        <f>E2094*F2093</f>
        <v>9.61</v>
      </c>
      <c r="G2094" s="42"/>
      <c r="H2094" s="44">
        <f>G2094*F2094</f>
        <v>0</v>
      </c>
    </row>
    <row r="2095" spans="1:8">
      <c r="A2095" s="61"/>
      <c r="B2095" s="115" t="s">
        <v>17</v>
      </c>
      <c r="C2095" s="28" t="s">
        <v>20</v>
      </c>
      <c r="D2095" s="28" t="s">
        <v>3</v>
      </c>
      <c r="E2095" s="28">
        <v>2E-3</v>
      </c>
      <c r="F2095" s="44">
        <f>E2095*F2093</f>
        <v>0.62</v>
      </c>
      <c r="G2095" s="42"/>
      <c r="H2095" s="43">
        <f>G2095*F2095</f>
        <v>0</v>
      </c>
    </row>
    <row r="2096" spans="1:8">
      <c r="A2096" s="61"/>
      <c r="B2096" s="115" t="s">
        <v>453</v>
      </c>
      <c r="C2096" s="28" t="s">
        <v>454</v>
      </c>
      <c r="D2096" s="28" t="s">
        <v>123</v>
      </c>
      <c r="E2096" s="28">
        <v>0.10100000000000001</v>
      </c>
      <c r="F2096" s="44">
        <f>E2096*F2093</f>
        <v>31.310000000000002</v>
      </c>
      <c r="G2096" s="42"/>
      <c r="H2096" s="43">
        <f>G2096*F2096</f>
        <v>0</v>
      </c>
    </row>
    <row r="2097" spans="1:8">
      <c r="A2097" s="61"/>
      <c r="B2097" s="115" t="s">
        <v>455</v>
      </c>
      <c r="C2097" s="28" t="s">
        <v>100</v>
      </c>
      <c r="D2097" s="28" t="s">
        <v>3</v>
      </c>
      <c r="E2097" s="28">
        <v>1.9E-3</v>
      </c>
      <c r="F2097" s="44">
        <f>E2097*F2093</f>
        <v>0.58899999999999997</v>
      </c>
      <c r="G2097" s="42"/>
      <c r="H2097" s="43">
        <f>G2097*F2097</f>
        <v>0</v>
      </c>
    </row>
    <row r="2098" spans="1:8" ht="48">
      <c r="A2098" s="68" t="s">
        <v>137</v>
      </c>
      <c r="B2098" s="9" t="s">
        <v>254</v>
      </c>
      <c r="C2098" s="20" t="s">
        <v>1498</v>
      </c>
      <c r="D2098" s="20" t="s">
        <v>16</v>
      </c>
      <c r="E2098" s="20"/>
      <c r="F2098" s="60">
        <f>F2093</f>
        <v>310</v>
      </c>
      <c r="G2098" s="10"/>
      <c r="H2098" s="39">
        <f>SUM(H2099:H2103)</f>
        <v>0</v>
      </c>
    </row>
    <row r="2099" spans="1:8">
      <c r="A2099" s="61"/>
      <c r="B2099" s="115" t="s">
        <v>17</v>
      </c>
      <c r="C2099" s="116" t="s">
        <v>18</v>
      </c>
      <c r="D2099" s="116" t="s">
        <v>19</v>
      </c>
      <c r="E2099" s="116">
        <v>0.68</v>
      </c>
      <c r="F2099" s="72">
        <f>E2099*F2098</f>
        <v>210.8</v>
      </c>
      <c r="G2099" s="42"/>
      <c r="H2099" s="44">
        <f>G2099*F2099</f>
        <v>0</v>
      </c>
    </row>
    <row r="2100" spans="1:8">
      <c r="A2100" s="61"/>
      <c r="B2100" s="115" t="s">
        <v>17</v>
      </c>
      <c r="C2100" s="116" t="s">
        <v>20</v>
      </c>
      <c r="D2100" s="116" t="s">
        <v>3</v>
      </c>
      <c r="E2100" s="116">
        <v>2.9999999999999997E-4</v>
      </c>
      <c r="F2100" s="72">
        <f>E2100*F2098</f>
        <v>9.2999999999999985E-2</v>
      </c>
      <c r="G2100" s="42"/>
      <c r="H2100" s="44">
        <f>G2100*F2100</f>
        <v>0</v>
      </c>
    </row>
    <row r="2101" spans="1:8">
      <c r="A2101" s="61"/>
      <c r="B2101" s="41" t="s">
        <v>256</v>
      </c>
      <c r="C2101" s="116" t="s">
        <v>257</v>
      </c>
      <c r="D2101" s="116" t="s">
        <v>123</v>
      </c>
      <c r="E2101" s="116">
        <v>0.246</v>
      </c>
      <c r="F2101" s="72">
        <f>E2101*F2098</f>
        <v>76.260000000000005</v>
      </c>
      <c r="G2101" s="42"/>
      <c r="H2101" s="44">
        <f>G2101*F2101</f>
        <v>0</v>
      </c>
    </row>
    <row r="2102" spans="1:8">
      <c r="A2102" s="61"/>
      <c r="B2102" s="14" t="s">
        <v>258</v>
      </c>
      <c r="C2102" s="116" t="s">
        <v>259</v>
      </c>
      <c r="D2102" s="116" t="s">
        <v>123</v>
      </c>
      <c r="E2102" s="116">
        <v>2.7E-2</v>
      </c>
      <c r="F2102" s="72">
        <f>E2102*F2098</f>
        <v>8.3699999999999992</v>
      </c>
      <c r="G2102" s="42"/>
      <c r="H2102" s="44">
        <f>G2102*F2102</f>
        <v>0</v>
      </c>
    </row>
    <row r="2103" spans="1:8">
      <c r="A2103" s="61"/>
      <c r="B2103" s="115" t="s">
        <v>17</v>
      </c>
      <c r="C2103" s="116" t="s">
        <v>100</v>
      </c>
      <c r="D2103" s="116" t="s">
        <v>3</v>
      </c>
      <c r="E2103" s="116">
        <v>1.9E-3</v>
      </c>
      <c r="F2103" s="72">
        <f>E2103*F2098</f>
        <v>0.58899999999999997</v>
      </c>
      <c r="G2103" s="42"/>
      <c r="H2103" s="44">
        <f>G2103*F2103</f>
        <v>0</v>
      </c>
    </row>
    <row r="2104" spans="1:8" ht="40.5">
      <c r="A2104" s="62" t="s">
        <v>139</v>
      </c>
      <c r="B2104" s="46" t="s">
        <v>52</v>
      </c>
      <c r="C2104" s="20" t="s">
        <v>1499</v>
      </c>
      <c r="D2104" s="11" t="s">
        <v>209</v>
      </c>
      <c r="E2104" s="11"/>
      <c r="F2104" s="57">
        <v>81</v>
      </c>
      <c r="G2104" s="11"/>
      <c r="H2104" s="13">
        <f>SUM(H2105:H2108)</f>
        <v>0</v>
      </c>
    </row>
    <row r="2105" spans="1:8">
      <c r="A2105" s="64"/>
      <c r="B2105" s="67" t="s">
        <v>52</v>
      </c>
      <c r="C2105" s="16" t="s">
        <v>28</v>
      </c>
      <c r="D2105" s="17" t="s">
        <v>209</v>
      </c>
      <c r="E2105" s="17">
        <v>1</v>
      </c>
      <c r="F2105" s="18">
        <f>E2105*F2104</f>
        <v>81</v>
      </c>
      <c r="G2105" s="17"/>
      <c r="H2105" s="19">
        <f>G2105*F2105</f>
        <v>0</v>
      </c>
    </row>
    <row r="2106" spans="1:8">
      <c r="A2106" s="64"/>
      <c r="B2106" s="22" t="s">
        <v>1500</v>
      </c>
      <c r="C2106" s="17" t="s">
        <v>1501</v>
      </c>
      <c r="D2106" s="17" t="s">
        <v>209</v>
      </c>
      <c r="E2106" s="17">
        <v>1</v>
      </c>
      <c r="F2106" s="18">
        <f>E2106*F2104</f>
        <v>81</v>
      </c>
      <c r="G2106" s="17"/>
      <c r="H2106" s="19">
        <f>G2106*F2106</f>
        <v>0</v>
      </c>
    </row>
    <row r="2107" spans="1:8">
      <c r="A2107" s="64"/>
      <c r="B2107" s="22" t="s">
        <v>52</v>
      </c>
      <c r="C2107" s="16" t="s">
        <v>1502</v>
      </c>
      <c r="D2107" s="17" t="s">
        <v>209</v>
      </c>
      <c r="E2107" s="17">
        <v>1</v>
      </c>
      <c r="F2107" s="18">
        <f>E2107*F2104</f>
        <v>81</v>
      </c>
      <c r="G2107" s="17"/>
      <c r="H2107" s="19">
        <f>G2107*F2107</f>
        <v>0</v>
      </c>
    </row>
    <row r="2108" spans="1:8">
      <c r="A2108" s="64"/>
      <c r="B2108" s="14" t="s">
        <v>17</v>
      </c>
      <c r="C2108" s="16" t="s">
        <v>653</v>
      </c>
      <c r="D2108" s="17" t="s">
        <v>3</v>
      </c>
      <c r="E2108" s="17">
        <v>0.15</v>
      </c>
      <c r="F2108" s="18">
        <f>E2108*F2104</f>
        <v>12.15</v>
      </c>
      <c r="G2108" s="17"/>
      <c r="H2108" s="19">
        <f>G2108*F2108</f>
        <v>0</v>
      </c>
    </row>
    <row r="2109" spans="1:8">
      <c r="A2109" s="46"/>
      <c r="B2109" s="220"/>
      <c r="C2109" s="370" t="s">
        <v>686</v>
      </c>
      <c r="D2109" s="10" t="s">
        <v>3</v>
      </c>
      <c r="E2109" s="10"/>
      <c r="F2109" s="285"/>
      <c r="G2109" s="10"/>
      <c r="H2109" s="39">
        <f>H1939+H1943+H1947+H1951+H1954+H1957+H1960+H1962+H1965+H1971+H1976+H1980+H1987+H1989+H1993+H1996+H2004+H2012+H2014+H2017+H2023+H2028+H2035+H2037+H2041+H2044+H2052+H2054+H2057+H2066+H2074+H2082+H2087+H2093+H2098+H2104</f>
        <v>0</v>
      </c>
    </row>
    <row r="2110" spans="1:8">
      <c r="A2110" s="64"/>
      <c r="B2110" s="14"/>
      <c r="C2110" s="16" t="s">
        <v>687</v>
      </c>
      <c r="D2110" s="16" t="s">
        <v>3</v>
      </c>
      <c r="E2110" s="16"/>
      <c r="F2110" s="224">
        <v>0.1</v>
      </c>
      <c r="G2110" s="16"/>
      <c r="H2110" s="18">
        <f>H2109*F2110</f>
        <v>0</v>
      </c>
    </row>
    <row r="2111" spans="1:8">
      <c r="A2111" s="64"/>
      <c r="B2111" s="46"/>
      <c r="C2111" s="10" t="s">
        <v>688</v>
      </c>
      <c r="D2111" s="10" t="s">
        <v>3</v>
      </c>
      <c r="E2111" s="10"/>
      <c r="F2111" s="10"/>
      <c r="G2111" s="10"/>
      <c r="H2111" s="57">
        <f>H2110+H2109</f>
        <v>0</v>
      </c>
    </row>
    <row r="2112" spans="1:8">
      <c r="A2112" s="64"/>
      <c r="B2112" s="14"/>
      <c r="C2112" s="16" t="s">
        <v>689</v>
      </c>
      <c r="D2112" s="16" t="s">
        <v>3</v>
      </c>
      <c r="E2112" s="16"/>
      <c r="F2112" s="224">
        <v>0.08</v>
      </c>
      <c r="G2112" s="16"/>
      <c r="H2112" s="18">
        <f>H2111*F2112</f>
        <v>0</v>
      </c>
    </row>
    <row r="2113" spans="1:8">
      <c r="A2113" s="83"/>
      <c r="B2113" s="46"/>
      <c r="C2113" s="10" t="s">
        <v>690</v>
      </c>
      <c r="D2113" s="10" t="s">
        <v>3</v>
      </c>
      <c r="E2113" s="10"/>
      <c r="F2113" s="225"/>
      <c r="G2113" s="206"/>
      <c r="H2113" s="462">
        <f>SUM(H2111:H2112)</f>
        <v>0</v>
      </c>
    </row>
    <row r="2117" spans="1:8">
      <c r="A2117" s="487" t="s">
        <v>1503</v>
      </c>
      <c r="B2117" s="487"/>
      <c r="C2117" s="487"/>
      <c r="D2117" s="487"/>
      <c r="E2117" s="487"/>
      <c r="F2117" s="487"/>
      <c r="G2117" s="487"/>
      <c r="H2117" s="487"/>
    </row>
    <row r="2118" spans="1:8" ht="21" customHeight="1">
      <c r="A2118" s="487" t="s">
        <v>1504</v>
      </c>
      <c r="B2118" s="487"/>
      <c r="C2118" s="487"/>
      <c r="D2118" s="487"/>
      <c r="E2118" s="487"/>
      <c r="F2118" s="487"/>
      <c r="G2118" s="487"/>
      <c r="H2118" s="487"/>
    </row>
    <row r="2119" spans="1:8" ht="25.5" customHeight="1">
      <c r="A2119" s="492" t="s">
        <v>5</v>
      </c>
      <c r="B2119" s="508" t="s">
        <v>6</v>
      </c>
      <c r="C2119" s="494" t="s">
        <v>7</v>
      </c>
      <c r="D2119" s="495" t="s">
        <v>8</v>
      </c>
      <c r="E2119" s="496" t="s">
        <v>9</v>
      </c>
      <c r="F2119" s="496"/>
      <c r="G2119" s="496" t="s">
        <v>10</v>
      </c>
      <c r="H2119" s="496"/>
    </row>
    <row r="2120" spans="1:8" ht="71.25" customHeight="1">
      <c r="A2120" s="492"/>
      <c r="B2120" s="508"/>
      <c r="C2120" s="494"/>
      <c r="D2120" s="495"/>
      <c r="E2120" s="226" t="s">
        <v>11</v>
      </c>
      <c r="F2120" s="226" t="s">
        <v>12</v>
      </c>
      <c r="G2120" s="226" t="s">
        <v>11</v>
      </c>
      <c r="H2120" s="281" t="s">
        <v>12</v>
      </c>
    </row>
    <row r="2121" spans="1:8">
      <c r="A2121" s="62" t="s">
        <v>13</v>
      </c>
      <c r="B2121" s="46">
        <v>2</v>
      </c>
      <c r="C2121" s="232">
        <v>3</v>
      </c>
      <c r="D2121" s="232">
        <v>4</v>
      </c>
      <c r="E2121" s="232">
        <v>5</v>
      </c>
      <c r="F2121" s="232">
        <v>6</v>
      </c>
      <c r="G2121" s="232">
        <v>7</v>
      </c>
      <c r="H2121" s="8">
        <v>8</v>
      </c>
    </row>
    <row r="2122" spans="1:8" ht="48">
      <c r="A2122" s="25">
        <v>1</v>
      </c>
      <c r="B2122" s="9" t="s">
        <v>80</v>
      </c>
      <c r="C2122" s="20" t="s">
        <v>1505</v>
      </c>
      <c r="D2122" s="20" t="s">
        <v>23</v>
      </c>
      <c r="E2122" s="59"/>
      <c r="F2122" s="60">
        <v>64</v>
      </c>
      <c r="G2122" s="20"/>
      <c r="H2122" s="39">
        <f>H2123</f>
        <v>0</v>
      </c>
    </row>
    <row r="2123" spans="1:8">
      <c r="A2123" s="61"/>
      <c r="B2123" s="15" t="s">
        <v>17</v>
      </c>
      <c r="C2123" s="28" t="s">
        <v>18</v>
      </c>
      <c r="D2123" s="28" t="s">
        <v>19</v>
      </c>
      <c r="E2123" s="28">
        <v>2.06</v>
      </c>
      <c r="F2123" s="44">
        <f>F2122*E2123</f>
        <v>131.84</v>
      </c>
      <c r="G2123" s="28"/>
      <c r="H2123" s="44">
        <f>G2123*F2123</f>
        <v>0</v>
      </c>
    </row>
    <row r="2124" spans="1:8" ht="42">
      <c r="A2124" s="375" t="s">
        <v>72</v>
      </c>
      <c r="B2124" s="376" t="s">
        <v>1506</v>
      </c>
      <c r="C2124" s="377" t="s">
        <v>1507</v>
      </c>
      <c r="D2124" s="377" t="s">
        <v>1508</v>
      </c>
      <c r="E2124" s="377"/>
      <c r="F2124" s="378">
        <v>14.4</v>
      </c>
      <c r="G2124" s="378"/>
      <c r="H2124" s="379">
        <f>H2125+H2126+H2127+H2128</f>
        <v>0</v>
      </c>
    </row>
    <row r="2125" spans="1:8">
      <c r="A2125" s="380"/>
      <c r="B2125" s="380" t="s">
        <v>1330</v>
      </c>
      <c r="C2125" s="381" t="s">
        <v>1509</v>
      </c>
      <c r="D2125" s="381" t="s">
        <v>1510</v>
      </c>
      <c r="E2125" s="382">
        <v>1.71</v>
      </c>
      <c r="F2125" s="383">
        <f>E2125*F2124</f>
        <v>24.623999999999999</v>
      </c>
      <c r="G2125" s="382"/>
      <c r="H2125" s="384">
        <f>F2125*G2125</f>
        <v>0</v>
      </c>
    </row>
    <row r="2126" spans="1:8">
      <c r="A2126" s="61"/>
      <c r="B2126" s="14" t="s">
        <v>17</v>
      </c>
      <c r="C2126" s="16" t="s">
        <v>20</v>
      </c>
      <c r="D2126" s="16" t="s">
        <v>3</v>
      </c>
      <c r="E2126" s="17">
        <v>0.53100000000000003</v>
      </c>
      <c r="F2126" s="18">
        <f>F2124*E2126</f>
        <v>7.6464000000000008</v>
      </c>
      <c r="G2126" s="17"/>
      <c r="H2126" s="19">
        <f>G2126*F2126</f>
        <v>0</v>
      </c>
    </row>
    <row r="2127" spans="1:8">
      <c r="A2127" s="380"/>
      <c r="B2127" s="327" t="s">
        <v>1511</v>
      </c>
      <c r="C2127" s="381" t="s">
        <v>1512</v>
      </c>
      <c r="D2127" s="381" t="s">
        <v>1508</v>
      </c>
      <c r="E2127" s="385">
        <v>1.03</v>
      </c>
      <c r="F2127" s="383">
        <f>E2127*F2124</f>
        <v>14.832000000000001</v>
      </c>
      <c r="G2127" s="383"/>
      <c r="H2127" s="384">
        <f>F2127*G2127</f>
        <v>0</v>
      </c>
    </row>
    <row r="2128" spans="1:8">
      <c r="A2128" s="61"/>
      <c r="B2128" s="67" t="s">
        <v>17</v>
      </c>
      <c r="C2128" s="16" t="s">
        <v>87</v>
      </c>
      <c r="D2128" s="16" t="s">
        <v>3</v>
      </c>
      <c r="E2128" s="70">
        <v>3.8399999999999997E-2</v>
      </c>
      <c r="F2128" s="43">
        <f>E2128*F2124</f>
        <v>0.55296000000000001</v>
      </c>
      <c r="G2128" s="16"/>
      <c r="H2128" s="44">
        <f>G2128*F2128</f>
        <v>0</v>
      </c>
    </row>
    <row r="2129" spans="1:8" ht="60">
      <c r="A2129" s="386">
        <v>3</v>
      </c>
      <c r="B2129" s="46" t="s">
        <v>1222</v>
      </c>
      <c r="C2129" s="387" t="s">
        <v>1513</v>
      </c>
      <c r="D2129" s="388" t="s">
        <v>1508</v>
      </c>
      <c r="E2129" s="388"/>
      <c r="F2129" s="389">
        <v>7.2</v>
      </c>
      <c r="G2129" s="388"/>
      <c r="H2129" s="13">
        <f>SUM(H2130:H2137)</f>
        <v>0</v>
      </c>
    </row>
    <row r="2130" spans="1:8">
      <c r="A2130" s="390"/>
      <c r="B2130" s="390" t="s">
        <v>1330</v>
      </c>
      <c r="C2130" s="391" t="s">
        <v>1509</v>
      </c>
      <c r="D2130" s="392" t="s">
        <v>1510</v>
      </c>
      <c r="E2130" s="17">
        <v>25.2</v>
      </c>
      <c r="F2130" s="33">
        <f>F2129*E2130</f>
        <v>181.44</v>
      </c>
      <c r="G2130" s="392"/>
      <c r="H2130" s="19">
        <f>G2130*F2130</f>
        <v>0</v>
      </c>
    </row>
    <row r="2131" spans="1:8">
      <c r="A2131" s="390"/>
      <c r="B2131" s="390" t="s">
        <v>1330</v>
      </c>
      <c r="C2131" s="391" t="s">
        <v>1514</v>
      </c>
      <c r="D2131" s="392" t="s">
        <v>1340</v>
      </c>
      <c r="E2131" s="17">
        <v>0.23</v>
      </c>
      <c r="F2131" s="33">
        <f>F2129*E2131</f>
        <v>1.6560000000000001</v>
      </c>
      <c r="G2131" s="392"/>
      <c r="H2131" s="19">
        <f>G2131*F2131</f>
        <v>0</v>
      </c>
    </row>
    <row r="2132" spans="1:8">
      <c r="A2132" s="390"/>
      <c r="B2132" s="327" t="s">
        <v>105</v>
      </c>
      <c r="C2132" s="391" t="s">
        <v>1515</v>
      </c>
      <c r="D2132" s="392" t="s">
        <v>1516</v>
      </c>
      <c r="E2132" s="17">
        <v>1.02</v>
      </c>
      <c r="F2132" s="33">
        <f>F2129*E2132</f>
        <v>7.3440000000000003</v>
      </c>
      <c r="G2132" s="393"/>
      <c r="H2132" s="19">
        <f t="shared" ref="H2132:H2137" si="61">F2132*G2132</f>
        <v>0</v>
      </c>
    </row>
    <row r="2133" spans="1:8">
      <c r="A2133" s="390"/>
      <c r="B2133" s="327" t="s">
        <v>1225</v>
      </c>
      <c r="C2133" s="391" t="s">
        <v>1517</v>
      </c>
      <c r="D2133" s="392" t="s">
        <v>1321</v>
      </c>
      <c r="E2133" s="17" t="s">
        <v>1104</v>
      </c>
      <c r="F2133" s="33">
        <v>0.23</v>
      </c>
      <c r="G2133" s="392"/>
      <c r="H2133" s="19">
        <f t="shared" si="61"/>
        <v>0</v>
      </c>
    </row>
    <row r="2134" spans="1:8">
      <c r="A2134" s="390"/>
      <c r="B2134" s="327" t="s">
        <v>308</v>
      </c>
      <c r="C2134" s="391" t="s">
        <v>1518</v>
      </c>
      <c r="D2134" s="392" t="s">
        <v>1516</v>
      </c>
      <c r="E2134" s="17">
        <v>0.05</v>
      </c>
      <c r="F2134" s="33">
        <f>F2129*E2134</f>
        <v>0.36000000000000004</v>
      </c>
      <c r="G2134" s="392"/>
      <c r="H2134" s="19">
        <f t="shared" si="61"/>
        <v>0</v>
      </c>
    </row>
    <row r="2135" spans="1:8">
      <c r="A2135" s="390"/>
      <c r="B2135" s="394" t="s">
        <v>1519</v>
      </c>
      <c r="C2135" s="391" t="s">
        <v>1520</v>
      </c>
      <c r="D2135" s="392" t="s">
        <v>1516</v>
      </c>
      <c r="E2135" s="17">
        <v>0.13800000000000001</v>
      </c>
      <c r="F2135" s="33">
        <f>F2129*E2135</f>
        <v>0.99360000000000015</v>
      </c>
      <c r="G2135" s="392"/>
      <c r="H2135" s="19">
        <f t="shared" si="61"/>
        <v>0</v>
      </c>
    </row>
    <row r="2136" spans="1:8" ht="24">
      <c r="A2136" s="390"/>
      <c r="B2136" s="24" t="s">
        <v>1521</v>
      </c>
      <c r="C2136" s="391" t="s">
        <v>1522</v>
      </c>
      <c r="D2136" s="392" t="s">
        <v>1311</v>
      </c>
      <c r="E2136" s="17" t="s">
        <v>1523</v>
      </c>
      <c r="F2136" s="33">
        <v>8</v>
      </c>
      <c r="G2136" s="392"/>
      <c r="H2136" s="19">
        <f t="shared" si="61"/>
        <v>0</v>
      </c>
    </row>
    <row r="2137" spans="1:8">
      <c r="A2137" s="390"/>
      <c r="B2137" s="390" t="s">
        <v>1330</v>
      </c>
      <c r="C2137" s="391" t="s">
        <v>1524</v>
      </c>
      <c r="D2137" s="392" t="s">
        <v>1340</v>
      </c>
      <c r="E2137" s="17">
        <v>2.54</v>
      </c>
      <c r="F2137" s="33">
        <f>F2129*E2137</f>
        <v>18.288</v>
      </c>
      <c r="G2137" s="392"/>
      <c r="H2137" s="19">
        <f t="shared" si="61"/>
        <v>0</v>
      </c>
    </row>
    <row r="2138" spans="1:8" ht="48">
      <c r="A2138" s="68" t="s">
        <v>327</v>
      </c>
      <c r="B2138" s="46" t="s">
        <v>125</v>
      </c>
      <c r="C2138" s="10" t="s">
        <v>1214</v>
      </c>
      <c r="D2138" s="10" t="s">
        <v>23</v>
      </c>
      <c r="E2138" s="63"/>
      <c r="F2138" s="60">
        <f>F2122</f>
        <v>64</v>
      </c>
      <c r="G2138" s="10"/>
      <c r="H2138" s="39">
        <f>H2139</f>
        <v>0</v>
      </c>
    </row>
    <row r="2139" spans="1:8">
      <c r="A2139" s="61"/>
      <c r="B2139" s="14" t="s">
        <v>17</v>
      </c>
      <c r="C2139" s="16" t="s">
        <v>28</v>
      </c>
      <c r="D2139" s="16" t="s">
        <v>19</v>
      </c>
      <c r="E2139" s="16">
        <v>1.21</v>
      </c>
      <c r="F2139" s="43">
        <f>F2138*E2139</f>
        <v>77.44</v>
      </c>
      <c r="G2139" s="16"/>
      <c r="H2139" s="44">
        <f>G2139*F2139</f>
        <v>0</v>
      </c>
    </row>
    <row r="2140" spans="1:8" ht="48">
      <c r="A2140" s="144">
        <v>5</v>
      </c>
      <c r="B2140" s="9" t="s">
        <v>322</v>
      </c>
      <c r="C2140" s="145" t="s">
        <v>1215</v>
      </c>
      <c r="D2140" s="145" t="s">
        <v>23</v>
      </c>
      <c r="E2140" s="145"/>
      <c r="F2140" s="145">
        <f>F2138</f>
        <v>64</v>
      </c>
      <c r="G2140" s="145"/>
      <c r="H2140" s="146">
        <f>H2141+H2142</f>
        <v>0</v>
      </c>
    </row>
    <row r="2141" spans="1:8">
      <c r="A2141" s="61"/>
      <c r="B2141" s="15" t="s">
        <v>17</v>
      </c>
      <c r="C2141" s="28" t="s">
        <v>28</v>
      </c>
      <c r="D2141" s="28" t="s">
        <v>19</v>
      </c>
      <c r="E2141" s="28">
        <v>0.13400000000000001</v>
      </c>
      <c r="F2141" s="44">
        <f>F2140*E2141</f>
        <v>8.5760000000000005</v>
      </c>
      <c r="G2141" s="28"/>
      <c r="H2141" s="44">
        <f>G2141*F2141</f>
        <v>0</v>
      </c>
    </row>
    <row r="2142" spans="1:8">
      <c r="A2142" s="147"/>
      <c r="B2142" s="147" t="s">
        <v>324</v>
      </c>
      <c r="C2142" s="147" t="s">
        <v>325</v>
      </c>
      <c r="D2142" s="147" t="s">
        <v>326</v>
      </c>
      <c r="E2142" s="147">
        <v>0.13</v>
      </c>
      <c r="F2142" s="147">
        <f>E2142*F2140</f>
        <v>8.32</v>
      </c>
      <c r="G2142" s="147"/>
      <c r="H2142" s="147">
        <f>F2142*G2142</f>
        <v>0</v>
      </c>
    </row>
    <row r="2143" spans="1:8">
      <c r="A2143" s="83"/>
      <c r="B2143" s="14"/>
      <c r="C2143" s="10" t="s">
        <v>975</v>
      </c>
      <c r="D2143" s="10" t="s">
        <v>3</v>
      </c>
      <c r="E2143" s="16"/>
      <c r="F2143" s="43"/>
      <c r="G2143" s="16"/>
      <c r="H2143" s="57">
        <f>H2122+H2124+H2129+H2138+H2140</f>
        <v>0</v>
      </c>
    </row>
    <row r="2144" spans="1:8">
      <c r="A2144" s="64"/>
      <c r="B2144" s="14"/>
      <c r="C2144" s="16" t="s">
        <v>687</v>
      </c>
      <c r="D2144" s="16" t="s">
        <v>3</v>
      </c>
      <c r="E2144" s="16"/>
      <c r="F2144" s="224">
        <v>0.1</v>
      </c>
      <c r="G2144" s="16"/>
      <c r="H2144" s="18">
        <f>H2143*F2144</f>
        <v>0</v>
      </c>
    </row>
    <row r="2145" spans="1:8">
      <c r="A2145" s="64"/>
      <c r="B2145" s="46"/>
      <c r="C2145" s="10" t="s">
        <v>688</v>
      </c>
      <c r="D2145" s="10" t="s">
        <v>3</v>
      </c>
      <c r="E2145" s="10"/>
      <c r="F2145" s="10"/>
      <c r="G2145" s="10"/>
      <c r="H2145" s="57">
        <f>SUM(H2143:H2144)</f>
        <v>0</v>
      </c>
    </row>
    <row r="2146" spans="1:8">
      <c r="A2146" s="64"/>
      <c r="B2146" s="14"/>
      <c r="C2146" s="16" t="s">
        <v>689</v>
      </c>
      <c r="D2146" s="16" t="s">
        <v>3</v>
      </c>
      <c r="E2146" s="16"/>
      <c r="F2146" s="224">
        <v>0.08</v>
      </c>
      <c r="G2146" s="16"/>
      <c r="H2146" s="18">
        <f>H2145*F2146</f>
        <v>0</v>
      </c>
    </row>
    <row r="2147" spans="1:8">
      <c r="A2147" s="83"/>
      <c r="B2147" s="46"/>
      <c r="C2147" s="10" t="s">
        <v>690</v>
      </c>
      <c r="D2147" s="10" t="s">
        <v>3</v>
      </c>
      <c r="E2147" s="10"/>
      <c r="F2147" s="225"/>
      <c r="G2147" s="206"/>
      <c r="H2147" s="462">
        <f>SUM(H2145:H2146)</f>
        <v>0</v>
      </c>
    </row>
    <row r="2151" spans="1:8">
      <c r="A2151" s="487" t="s">
        <v>1525</v>
      </c>
      <c r="B2151" s="487"/>
      <c r="C2151" s="487"/>
      <c r="D2151" s="487"/>
      <c r="E2151" s="487"/>
      <c r="F2151" s="487"/>
      <c r="G2151" s="487"/>
      <c r="H2151" s="487"/>
    </row>
    <row r="2152" spans="1:8" ht="20.25" customHeight="1">
      <c r="A2152" s="519" t="s">
        <v>1526</v>
      </c>
      <c r="B2152" s="519"/>
      <c r="C2152" s="519"/>
      <c r="D2152" s="519"/>
      <c r="E2152" s="519"/>
      <c r="F2152" s="519"/>
      <c r="G2152" s="519"/>
      <c r="H2152" s="519"/>
    </row>
    <row r="2153" spans="1:8" ht="27.75" customHeight="1">
      <c r="A2153" s="492" t="s">
        <v>5</v>
      </c>
      <c r="B2153" s="508" t="s">
        <v>6</v>
      </c>
      <c r="C2153" s="494" t="s">
        <v>7</v>
      </c>
      <c r="D2153" s="495" t="s">
        <v>8</v>
      </c>
      <c r="E2153" s="496" t="s">
        <v>9</v>
      </c>
      <c r="F2153" s="496"/>
      <c r="G2153" s="496" t="s">
        <v>10</v>
      </c>
      <c r="H2153" s="496"/>
    </row>
    <row r="2154" spans="1:8" ht="84" customHeight="1">
      <c r="A2154" s="492"/>
      <c r="B2154" s="508"/>
      <c r="C2154" s="494"/>
      <c r="D2154" s="495"/>
      <c r="E2154" s="226" t="s">
        <v>11</v>
      </c>
      <c r="F2154" s="280" t="s">
        <v>12</v>
      </c>
      <c r="G2154" s="226" t="s">
        <v>11</v>
      </c>
      <c r="H2154" s="228" t="s">
        <v>12</v>
      </c>
    </row>
    <row r="2155" spans="1:8">
      <c r="A2155" s="62" t="s">
        <v>13</v>
      </c>
      <c r="B2155" s="46">
        <v>2</v>
      </c>
      <c r="C2155" s="232">
        <v>3</v>
      </c>
      <c r="D2155" s="232">
        <v>4</v>
      </c>
      <c r="E2155" s="232">
        <v>5</v>
      </c>
      <c r="F2155" s="20">
        <v>6</v>
      </c>
      <c r="G2155" s="232">
        <v>7</v>
      </c>
      <c r="H2155" s="8">
        <v>8</v>
      </c>
    </row>
    <row r="2156" spans="1:8" ht="48">
      <c r="A2156" s="25">
        <v>1</v>
      </c>
      <c r="B2156" s="46" t="s">
        <v>1527</v>
      </c>
      <c r="C2156" s="20" t="s">
        <v>1528</v>
      </c>
      <c r="D2156" s="11" t="s">
        <v>23</v>
      </c>
      <c r="E2156" s="11"/>
      <c r="F2156" s="47">
        <v>225</v>
      </c>
      <c r="G2156" s="11"/>
      <c r="H2156" s="27">
        <f>SUM(H2157:H2158)</f>
        <v>0</v>
      </c>
    </row>
    <row r="2157" spans="1:8">
      <c r="A2157" s="14"/>
      <c r="B2157" s="14" t="s">
        <v>17</v>
      </c>
      <c r="C2157" s="16" t="s">
        <v>18</v>
      </c>
      <c r="D2157" s="17" t="s">
        <v>19</v>
      </c>
      <c r="E2157" s="17">
        <v>4.8</v>
      </c>
      <c r="F2157" s="18">
        <f>E2157*F2156</f>
        <v>1080</v>
      </c>
      <c r="G2157" s="17"/>
      <c r="H2157" s="30">
        <f>F2157*G2157</f>
        <v>0</v>
      </c>
    </row>
    <row r="2158" spans="1:8">
      <c r="A2158" s="14"/>
      <c r="B2158" s="14" t="s">
        <v>17</v>
      </c>
      <c r="C2158" s="16" t="s">
        <v>31</v>
      </c>
      <c r="D2158" s="17" t="s">
        <v>3</v>
      </c>
      <c r="E2158" s="17">
        <v>1.1000000000000001</v>
      </c>
      <c r="F2158" s="18">
        <f>E2158*F2156</f>
        <v>247.50000000000003</v>
      </c>
      <c r="G2158" s="17"/>
      <c r="H2158" s="31">
        <f>F2158*G2158</f>
        <v>0</v>
      </c>
    </row>
    <row r="2159" spans="1:8" ht="48">
      <c r="A2159" s="25">
        <v>2</v>
      </c>
      <c r="B2159" s="46" t="s">
        <v>1529</v>
      </c>
      <c r="C2159" s="20" t="s">
        <v>1530</v>
      </c>
      <c r="D2159" s="11" t="s">
        <v>23</v>
      </c>
      <c r="E2159" s="11"/>
      <c r="F2159" s="47">
        <v>8</v>
      </c>
      <c r="G2159" s="11"/>
      <c r="H2159" s="27">
        <f>SUM(H2160:H2161)</f>
        <v>0</v>
      </c>
    </row>
    <row r="2160" spans="1:8">
      <c r="A2160" s="14"/>
      <c r="B2160" s="14" t="s">
        <v>17</v>
      </c>
      <c r="C2160" s="16" t="s">
        <v>18</v>
      </c>
      <c r="D2160" s="17" t="s">
        <v>19</v>
      </c>
      <c r="E2160" s="17">
        <v>7.3</v>
      </c>
      <c r="F2160" s="18">
        <f>E2160*F2159</f>
        <v>58.4</v>
      </c>
      <c r="G2160" s="17"/>
      <c r="H2160" s="30">
        <f>F2160*G2160</f>
        <v>0</v>
      </c>
    </row>
    <row r="2161" spans="1:8">
      <c r="A2161" s="14"/>
      <c r="B2161" s="14" t="s">
        <v>17</v>
      </c>
      <c r="C2161" s="16" t="s">
        <v>31</v>
      </c>
      <c r="D2161" s="17" t="s">
        <v>3</v>
      </c>
      <c r="E2161" s="17">
        <v>3.7</v>
      </c>
      <c r="F2161" s="18">
        <f>E2161*F2159</f>
        <v>29.6</v>
      </c>
      <c r="G2161" s="17"/>
      <c r="H2161" s="31">
        <f>F2161*G2161</f>
        <v>0</v>
      </c>
    </row>
    <row r="2162" spans="1:8" ht="94.5">
      <c r="A2162" s="68" t="s">
        <v>480</v>
      </c>
      <c r="B2162" s="55" t="s">
        <v>1531</v>
      </c>
      <c r="C2162" s="10" t="s">
        <v>1685</v>
      </c>
      <c r="D2162" s="20" t="s">
        <v>16</v>
      </c>
      <c r="E2162" s="26"/>
      <c r="F2162" s="12">
        <v>250</v>
      </c>
      <c r="G2162" s="26"/>
      <c r="H2162" s="27">
        <f>H2163+H2164+H2165+H2166</f>
        <v>0</v>
      </c>
    </row>
    <row r="2163" spans="1:8" ht="27">
      <c r="A2163" s="68"/>
      <c r="B2163" s="28" t="s">
        <v>1532</v>
      </c>
      <c r="C2163" s="16" t="s">
        <v>1533</v>
      </c>
      <c r="D2163" s="181" t="s">
        <v>326</v>
      </c>
      <c r="E2163" s="29">
        <v>3.5799999999999997E-4</v>
      </c>
      <c r="F2163" s="78">
        <f>E2163*F2162</f>
        <v>8.9499999999999996E-2</v>
      </c>
      <c r="G2163" s="29"/>
      <c r="H2163" s="30">
        <f>F2163*G2163</f>
        <v>0</v>
      </c>
    </row>
    <row r="2164" spans="1:8" ht="27">
      <c r="A2164" s="61"/>
      <c r="B2164" s="28" t="s">
        <v>1534</v>
      </c>
      <c r="C2164" s="16" t="s">
        <v>1535</v>
      </c>
      <c r="D2164" s="181" t="s">
        <v>326</v>
      </c>
      <c r="E2164" s="29">
        <f>10.8/10000</f>
        <v>1.08E-3</v>
      </c>
      <c r="F2164" s="19">
        <f>E2164*F2162</f>
        <v>0.27</v>
      </c>
      <c r="G2164" s="29"/>
      <c r="H2164" s="30">
        <f>G2164*F2164</f>
        <v>0</v>
      </c>
    </row>
    <row r="2165" spans="1:8">
      <c r="A2165" s="61"/>
      <c r="B2165" s="28" t="s">
        <v>1536</v>
      </c>
      <c r="C2165" s="17" t="s">
        <v>1537</v>
      </c>
      <c r="D2165" s="181" t="s">
        <v>326</v>
      </c>
      <c r="E2165" s="29">
        <f>6.61/10000</f>
        <v>6.6100000000000002E-4</v>
      </c>
      <c r="F2165" s="19">
        <f>E2165*F2162</f>
        <v>0.16525000000000001</v>
      </c>
      <c r="G2165" s="29"/>
      <c r="H2165" s="30">
        <f>G2165*F2165</f>
        <v>0</v>
      </c>
    </row>
    <row r="2166" spans="1:8">
      <c r="A2166" s="61"/>
      <c r="B2166" s="28" t="s">
        <v>1538</v>
      </c>
      <c r="C2166" s="16" t="s">
        <v>1539</v>
      </c>
      <c r="D2166" s="181" t="s">
        <v>326</v>
      </c>
      <c r="E2166" s="29">
        <f>6.61/10000</f>
        <v>6.6100000000000002E-4</v>
      </c>
      <c r="F2166" s="19">
        <f>E2166*F2162</f>
        <v>0.16525000000000001</v>
      </c>
      <c r="G2166" s="29"/>
      <c r="H2166" s="30">
        <f>G2166*F2166</f>
        <v>0</v>
      </c>
    </row>
    <row r="2167" spans="1:8" ht="48">
      <c r="A2167" s="68" t="s">
        <v>327</v>
      </c>
      <c r="B2167" s="55" t="s">
        <v>1540</v>
      </c>
      <c r="C2167" s="10" t="s">
        <v>1541</v>
      </c>
      <c r="D2167" s="20" t="s">
        <v>16</v>
      </c>
      <c r="E2167" s="26"/>
      <c r="F2167" s="12">
        <v>250</v>
      </c>
      <c r="G2167" s="26"/>
      <c r="H2167" s="27">
        <f>H2168+H2170+H2171+H2169</f>
        <v>0</v>
      </c>
    </row>
    <row r="2168" spans="1:8">
      <c r="A2168" s="14"/>
      <c r="B2168" s="14" t="s">
        <v>17</v>
      </c>
      <c r="C2168" s="16" t="s">
        <v>18</v>
      </c>
      <c r="D2168" s="17" t="s">
        <v>19</v>
      </c>
      <c r="E2168" s="17">
        <v>5.1500000000000001E-3</v>
      </c>
      <c r="F2168" s="18">
        <f>E2168*F2167</f>
        <v>1.2875000000000001</v>
      </c>
      <c r="G2168" s="17"/>
      <c r="H2168" s="30">
        <f>F2168*G2168</f>
        <v>0</v>
      </c>
    </row>
    <row r="2169" spans="1:8">
      <c r="A2169" s="14"/>
      <c r="B2169" s="14" t="s">
        <v>17</v>
      </c>
      <c r="C2169" s="16" t="s">
        <v>31</v>
      </c>
      <c r="D2169" s="17" t="s">
        <v>3</v>
      </c>
      <c r="E2169" s="17">
        <v>3.0000000000000001E-5</v>
      </c>
      <c r="F2169" s="18">
        <f>E2169*F2167</f>
        <v>7.5000000000000006E-3</v>
      </c>
      <c r="G2169" s="17"/>
      <c r="H2169" s="31">
        <f>F2169*G2169</f>
        <v>0</v>
      </c>
    </row>
    <row r="2170" spans="1:8" ht="27">
      <c r="A2170" s="61"/>
      <c r="B2170" s="28" t="s">
        <v>1534</v>
      </c>
      <c r="C2170" s="16" t="s">
        <v>1535</v>
      </c>
      <c r="D2170" s="181" t="s">
        <v>326</v>
      </c>
      <c r="E2170" s="29">
        <f>0.91/10000</f>
        <v>9.1000000000000003E-5</v>
      </c>
      <c r="F2170" s="19">
        <f>E2170*F2167</f>
        <v>2.2749999999999999E-2</v>
      </c>
      <c r="G2170" s="29"/>
      <c r="H2170" s="30">
        <f>G2170*F2170</f>
        <v>0</v>
      </c>
    </row>
    <row r="2171" spans="1:8">
      <c r="A2171" s="64"/>
      <c r="B2171" s="248" t="s">
        <v>17</v>
      </c>
      <c r="C2171" s="16" t="s">
        <v>777</v>
      </c>
      <c r="D2171" s="17" t="s">
        <v>3</v>
      </c>
      <c r="E2171" s="17">
        <v>2.4199999999999998E-3</v>
      </c>
      <c r="F2171" s="18">
        <f>F2167*E2171</f>
        <v>0.60499999999999998</v>
      </c>
      <c r="G2171" s="17"/>
      <c r="H2171" s="18">
        <f>F2171*G2171</f>
        <v>0</v>
      </c>
    </row>
    <row r="2172" spans="1:8" ht="48">
      <c r="A2172" s="395">
        <v>5</v>
      </c>
      <c r="B2172" s="396" t="s">
        <v>1542</v>
      </c>
      <c r="C2172" s="397" t="s">
        <v>1543</v>
      </c>
      <c r="D2172" s="397" t="s">
        <v>1544</v>
      </c>
      <c r="E2172" s="397"/>
      <c r="F2172" s="398">
        <v>150</v>
      </c>
      <c r="G2172" s="397"/>
      <c r="H2172" s="399">
        <f>H2173+0</f>
        <v>0</v>
      </c>
    </row>
    <row r="2173" spans="1:8">
      <c r="A2173" s="400"/>
      <c r="B2173" s="400" t="s">
        <v>1330</v>
      </c>
      <c r="C2173" s="401" t="s">
        <v>1509</v>
      </c>
      <c r="D2173" s="401" t="s">
        <v>1510</v>
      </c>
      <c r="E2173" s="401">
        <v>0.78500000000000003</v>
      </c>
      <c r="F2173" s="402">
        <f>F2172*E2173</f>
        <v>117.75</v>
      </c>
      <c r="G2173" s="401"/>
      <c r="H2173" s="402">
        <f>F2173*G2173</f>
        <v>0</v>
      </c>
    </row>
    <row r="2174" spans="1:8" ht="48">
      <c r="A2174" s="395">
        <v>6</v>
      </c>
      <c r="B2174" s="403" t="s">
        <v>1545</v>
      </c>
      <c r="C2174" s="397" t="s">
        <v>1546</v>
      </c>
      <c r="D2174" s="397" t="s">
        <v>1544</v>
      </c>
      <c r="E2174" s="397"/>
      <c r="F2174" s="398">
        <v>280</v>
      </c>
      <c r="G2174" s="397"/>
      <c r="H2174" s="399">
        <f>H2175+0</f>
        <v>0</v>
      </c>
    </row>
    <row r="2175" spans="1:8">
      <c r="A2175" s="400"/>
      <c r="B2175" s="400" t="s">
        <v>1330</v>
      </c>
      <c r="C2175" s="401" t="s">
        <v>1509</v>
      </c>
      <c r="D2175" s="401" t="s">
        <v>1510</v>
      </c>
      <c r="E2175" s="401">
        <v>0.38800000000000001</v>
      </c>
      <c r="F2175" s="402">
        <f>F2174*E2175</f>
        <v>108.64</v>
      </c>
      <c r="G2175" s="401"/>
      <c r="H2175" s="402">
        <f>F2175*G2175</f>
        <v>0</v>
      </c>
    </row>
    <row r="2176" spans="1:8" ht="48">
      <c r="A2176" s="404" t="s">
        <v>95</v>
      </c>
      <c r="B2176" s="405" t="s">
        <v>1547</v>
      </c>
      <c r="C2176" s="405" t="s">
        <v>1548</v>
      </c>
      <c r="D2176" s="405" t="s">
        <v>1508</v>
      </c>
      <c r="E2176" s="387"/>
      <c r="F2176" s="406">
        <v>240</v>
      </c>
      <c r="G2176" s="407"/>
      <c r="H2176" s="408">
        <f>SUM(H2177:H2179)</f>
        <v>0</v>
      </c>
    </row>
    <row r="2177" spans="1:8">
      <c r="A2177" s="409"/>
      <c r="B2177" s="410" t="s">
        <v>1330</v>
      </c>
      <c r="C2177" s="391" t="s">
        <v>1509</v>
      </c>
      <c r="D2177" s="391" t="s">
        <v>1510</v>
      </c>
      <c r="E2177" s="411">
        <v>9.2499999999999995E-3</v>
      </c>
      <c r="F2177" s="412">
        <f>F2176*E2177</f>
        <v>2.2199999999999998</v>
      </c>
      <c r="G2177" s="412"/>
      <c r="H2177" s="413">
        <f>F2177*G2177</f>
        <v>0</v>
      </c>
    </row>
    <row r="2178" spans="1:8">
      <c r="A2178" s="409"/>
      <c r="B2178" s="391" t="s">
        <v>1549</v>
      </c>
      <c r="C2178" s="410" t="s">
        <v>1550</v>
      </c>
      <c r="D2178" s="410" t="s">
        <v>1324</v>
      </c>
      <c r="E2178" s="411">
        <v>2.07E-2</v>
      </c>
      <c r="F2178" s="412">
        <f>E2178*F2176</f>
        <v>4.968</v>
      </c>
      <c r="G2178" s="412"/>
      <c r="H2178" s="414">
        <f>G2178*F2178</f>
        <v>0</v>
      </c>
    </row>
    <row r="2179" spans="1:8">
      <c r="A2179" s="409"/>
      <c r="B2179" s="390" t="s">
        <v>1330</v>
      </c>
      <c r="C2179" s="391" t="s">
        <v>1551</v>
      </c>
      <c r="D2179" s="391" t="s">
        <v>1340</v>
      </c>
      <c r="E2179" s="411">
        <v>1.3600000000000001E-3</v>
      </c>
      <c r="F2179" s="412">
        <f>F2176*E2179</f>
        <v>0.32640000000000002</v>
      </c>
      <c r="G2179" s="412"/>
      <c r="H2179" s="415">
        <f>G2179*F2179</f>
        <v>0</v>
      </c>
    </row>
    <row r="2180" spans="1:8" ht="24">
      <c r="A2180" s="404" t="s">
        <v>101</v>
      </c>
      <c r="B2180" s="404" t="s">
        <v>1330</v>
      </c>
      <c r="C2180" s="405" t="s">
        <v>1552</v>
      </c>
      <c r="D2180" s="405" t="s">
        <v>1321</v>
      </c>
      <c r="E2180" s="387"/>
      <c r="F2180" s="416">
        <f>F2176*2.1</f>
        <v>504</v>
      </c>
      <c r="G2180" s="407"/>
      <c r="H2180" s="417">
        <f>H2181+0</f>
        <v>0</v>
      </c>
    </row>
    <row r="2181" spans="1:8">
      <c r="A2181" s="409"/>
      <c r="B2181" s="390" t="s">
        <v>66</v>
      </c>
      <c r="C2181" s="391" t="s">
        <v>1553</v>
      </c>
      <c r="D2181" s="391" t="s">
        <v>1321</v>
      </c>
      <c r="E2181" s="391">
        <v>1</v>
      </c>
      <c r="F2181" s="418">
        <f>F2180*E2181</f>
        <v>504</v>
      </c>
      <c r="G2181" s="412"/>
      <c r="H2181" s="415">
        <f>F2181*G2181</f>
        <v>0</v>
      </c>
    </row>
    <row r="2182" spans="1:8" ht="84">
      <c r="A2182" s="419">
        <v>9</v>
      </c>
      <c r="B2182" s="404" t="s">
        <v>1554</v>
      </c>
      <c r="C2182" s="405" t="s">
        <v>1555</v>
      </c>
      <c r="D2182" s="420" t="s">
        <v>1329</v>
      </c>
      <c r="E2182" s="420"/>
      <c r="F2182" s="421">
        <v>1850</v>
      </c>
      <c r="G2182" s="420"/>
      <c r="H2182" s="422">
        <f>H2183+H2184+H2185+H2186+H2187+H2188+H2189+H2190</f>
        <v>0</v>
      </c>
    </row>
    <row r="2183" spans="1:8">
      <c r="A2183" s="423"/>
      <c r="B2183" s="424" t="s">
        <v>1330</v>
      </c>
      <c r="C2183" s="424" t="s">
        <v>1556</v>
      </c>
      <c r="D2183" s="424" t="s">
        <v>1332</v>
      </c>
      <c r="E2183" s="425">
        <v>3.2099999999999997E-2</v>
      </c>
      <c r="F2183" s="426">
        <f>E2183*F2182</f>
        <v>59.384999999999991</v>
      </c>
      <c r="G2183" s="424"/>
      <c r="H2183" s="427">
        <f t="shared" ref="H2183:H2190" si="62">F2183*G2183</f>
        <v>0</v>
      </c>
    </row>
    <row r="2184" spans="1:8">
      <c r="A2184" s="423"/>
      <c r="B2184" s="424" t="s">
        <v>1557</v>
      </c>
      <c r="C2184" s="424" t="s">
        <v>1558</v>
      </c>
      <c r="D2184" s="424" t="s">
        <v>1340</v>
      </c>
      <c r="E2184" s="428">
        <v>2.65E-3</v>
      </c>
      <c r="F2184" s="426">
        <f>F2182*E2184</f>
        <v>4.9024999999999999</v>
      </c>
      <c r="G2184" s="424"/>
      <c r="H2184" s="427">
        <f t="shared" si="62"/>
        <v>0</v>
      </c>
    </row>
    <row r="2185" spans="1:8">
      <c r="A2185" s="423"/>
      <c r="B2185" s="424" t="s">
        <v>91</v>
      </c>
      <c r="C2185" s="424" t="s">
        <v>1336</v>
      </c>
      <c r="D2185" s="424" t="s">
        <v>1335</v>
      </c>
      <c r="E2185" s="428">
        <v>6.1599999999999997E-3</v>
      </c>
      <c r="F2185" s="426">
        <f>E2185*F2182</f>
        <v>11.395999999999999</v>
      </c>
      <c r="G2185" s="424"/>
      <c r="H2185" s="427">
        <f t="shared" si="62"/>
        <v>0</v>
      </c>
    </row>
    <row r="2186" spans="1:8">
      <c r="A2186" s="423"/>
      <c r="B2186" s="424" t="s">
        <v>1337</v>
      </c>
      <c r="C2186" s="424" t="s">
        <v>1338</v>
      </c>
      <c r="D2186" s="424" t="s">
        <v>1335</v>
      </c>
      <c r="E2186" s="428">
        <v>4.5300000000000002E-3</v>
      </c>
      <c r="F2186" s="426">
        <f>E2186*F2182</f>
        <v>8.3804999999999996</v>
      </c>
      <c r="G2186" s="424"/>
      <c r="H2186" s="427">
        <f t="shared" si="62"/>
        <v>0</v>
      </c>
    </row>
    <row r="2187" spans="1:8">
      <c r="A2187" s="423"/>
      <c r="B2187" s="429" t="s">
        <v>1559</v>
      </c>
      <c r="C2187" s="424" t="s">
        <v>1560</v>
      </c>
      <c r="D2187" s="424" t="s">
        <v>1335</v>
      </c>
      <c r="E2187" s="428">
        <v>7.1000000000000002E-4</v>
      </c>
      <c r="F2187" s="426">
        <f>E2187*F2182</f>
        <v>1.3135000000000001</v>
      </c>
      <c r="G2187" s="424"/>
      <c r="H2187" s="427">
        <f t="shared" si="62"/>
        <v>0</v>
      </c>
    </row>
    <row r="2188" spans="1:8">
      <c r="A2188" s="423"/>
      <c r="B2188" s="424" t="s">
        <v>1561</v>
      </c>
      <c r="C2188" s="424" t="s">
        <v>1562</v>
      </c>
      <c r="D2188" s="424" t="s">
        <v>1335</v>
      </c>
      <c r="E2188" s="428">
        <v>2.0699999999999998E-3</v>
      </c>
      <c r="F2188" s="402">
        <f>E2188*F2182</f>
        <v>3.8294999999999995</v>
      </c>
      <c r="G2188" s="424"/>
      <c r="H2188" s="427">
        <f t="shared" si="62"/>
        <v>0</v>
      </c>
    </row>
    <row r="2189" spans="1:8">
      <c r="A2189" s="423"/>
      <c r="B2189" s="424" t="s">
        <v>1330</v>
      </c>
      <c r="C2189" s="424" t="s">
        <v>1339</v>
      </c>
      <c r="D2189" s="424" t="s">
        <v>1340</v>
      </c>
      <c r="E2189" s="428">
        <v>1.0200000000000001E-3</v>
      </c>
      <c r="F2189" s="430">
        <f>E2189*F2182</f>
        <v>1.8870000000000002</v>
      </c>
      <c r="G2189" s="424"/>
      <c r="H2189" s="427">
        <f t="shared" si="62"/>
        <v>0</v>
      </c>
    </row>
    <row r="2190" spans="1:8">
      <c r="A2190" s="423"/>
      <c r="B2190" s="424" t="s">
        <v>1563</v>
      </c>
      <c r="C2190" s="424" t="s">
        <v>1564</v>
      </c>
      <c r="D2190" s="424" t="s">
        <v>1340</v>
      </c>
      <c r="E2190" s="428">
        <v>1.5E-3</v>
      </c>
      <c r="F2190" s="430">
        <f>E2190*F2182</f>
        <v>2.7749999999999999</v>
      </c>
      <c r="G2190" s="424"/>
      <c r="H2190" s="427">
        <f t="shared" si="62"/>
        <v>0</v>
      </c>
    </row>
    <row r="2191" spans="1:8" ht="36">
      <c r="A2191" s="395">
        <v>10</v>
      </c>
      <c r="B2191" s="431" t="s">
        <v>1565</v>
      </c>
      <c r="C2191" s="397" t="s">
        <v>1566</v>
      </c>
      <c r="D2191" s="397" t="s">
        <v>1567</v>
      </c>
      <c r="E2191" s="397"/>
      <c r="F2191" s="432">
        <v>23.6</v>
      </c>
      <c r="G2191" s="432"/>
      <c r="H2191" s="399">
        <f>H2192</f>
        <v>0</v>
      </c>
    </row>
    <row r="2192" spans="1:8">
      <c r="A2192" s="400"/>
      <c r="B2192" s="400" t="s">
        <v>1330</v>
      </c>
      <c r="C2192" s="401" t="s">
        <v>1509</v>
      </c>
      <c r="D2192" s="401" t="s">
        <v>1510</v>
      </c>
      <c r="E2192" s="401">
        <v>2.78</v>
      </c>
      <c r="F2192" s="402">
        <f>F2191*E2192</f>
        <v>65.608000000000004</v>
      </c>
      <c r="G2192" s="402"/>
      <c r="H2192" s="402">
        <f>F2192*G2192</f>
        <v>0</v>
      </c>
    </row>
    <row r="2193" spans="1:8" ht="36">
      <c r="A2193" s="395">
        <v>11</v>
      </c>
      <c r="B2193" s="431" t="s">
        <v>1568</v>
      </c>
      <c r="C2193" s="397" t="s">
        <v>1569</v>
      </c>
      <c r="D2193" s="397" t="s">
        <v>1570</v>
      </c>
      <c r="E2193" s="397"/>
      <c r="F2193" s="433">
        <v>238</v>
      </c>
      <c r="G2193" s="432"/>
      <c r="H2193" s="399">
        <f>H2194+H2195+H2196+H2197+H2198+H2199</f>
        <v>0</v>
      </c>
    </row>
    <row r="2194" spans="1:8">
      <c r="A2194" s="400"/>
      <c r="B2194" s="400" t="s">
        <v>1330</v>
      </c>
      <c r="C2194" s="401" t="s">
        <v>1571</v>
      </c>
      <c r="D2194" s="401" t="s">
        <v>1510</v>
      </c>
      <c r="E2194" s="401">
        <v>1.1100000000000001</v>
      </c>
      <c r="F2194" s="426">
        <f>E2194*F2193</f>
        <v>264.18</v>
      </c>
      <c r="G2194" s="402"/>
      <c r="H2194" s="402">
        <f t="shared" ref="H2194:H2199" si="63">F2194*G2194</f>
        <v>0</v>
      </c>
    </row>
    <row r="2195" spans="1:8">
      <c r="A2195" s="400"/>
      <c r="B2195" s="400" t="s">
        <v>1330</v>
      </c>
      <c r="C2195" s="401" t="s">
        <v>1339</v>
      </c>
      <c r="D2195" s="401" t="s">
        <v>1340</v>
      </c>
      <c r="E2195" s="401">
        <v>7.1000000000000004E-3</v>
      </c>
      <c r="F2195" s="426">
        <f>F2193*E2195</f>
        <v>1.6898000000000002</v>
      </c>
      <c r="G2195" s="402"/>
      <c r="H2195" s="402">
        <f t="shared" si="63"/>
        <v>0</v>
      </c>
    </row>
    <row r="2196" spans="1:8" ht="24">
      <c r="A2196" s="400"/>
      <c r="B2196" s="402" t="s">
        <v>1572</v>
      </c>
      <c r="C2196" s="401" t="s">
        <v>1573</v>
      </c>
      <c r="D2196" s="401" t="s">
        <v>1570</v>
      </c>
      <c r="E2196" s="401">
        <v>1</v>
      </c>
      <c r="F2196" s="426">
        <f>E2196*F2193</f>
        <v>238</v>
      </c>
      <c r="G2196" s="402"/>
      <c r="H2196" s="402">
        <f t="shared" si="63"/>
        <v>0</v>
      </c>
    </row>
    <row r="2197" spans="1:8">
      <c r="A2197" s="400"/>
      <c r="B2197" s="434" t="s">
        <v>1290</v>
      </c>
      <c r="C2197" s="401" t="s">
        <v>1574</v>
      </c>
      <c r="D2197" s="401" t="s">
        <v>1516</v>
      </c>
      <c r="E2197" s="401">
        <v>3.9E-2</v>
      </c>
      <c r="F2197" s="426">
        <f>E2197*F2193</f>
        <v>9.282</v>
      </c>
      <c r="G2197" s="402"/>
      <c r="H2197" s="402">
        <f t="shared" si="63"/>
        <v>0</v>
      </c>
    </row>
    <row r="2198" spans="1:8">
      <c r="A2198" s="400"/>
      <c r="B2198" s="434" t="s">
        <v>308</v>
      </c>
      <c r="C2198" s="401" t="s">
        <v>1575</v>
      </c>
      <c r="D2198" s="401" t="s">
        <v>1516</v>
      </c>
      <c r="E2198" s="401">
        <v>5.9999999999999995E-4</v>
      </c>
      <c r="F2198" s="426">
        <f>E2198*F2193</f>
        <v>0.14279999999999998</v>
      </c>
      <c r="G2198" s="402"/>
      <c r="H2198" s="402">
        <f t="shared" si="63"/>
        <v>0</v>
      </c>
    </row>
    <row r="2199" spans="1:8">
      <c r="A2199" s="400"/>
      <c r="B2199" s="400" t="s">
        <v>1330</v>
      </c>
      <c r="C2199" s="401" t="s">
        <v>1576</v>
      </c>
      <c r="D2199" s="401" t="s">
        <v>1340</v>
      </c>
      <c r="E2199" s="401">
        <v>9.6000000000000002E-2</v>
      </c>
      <c r="F2199" s="402">
        <f>E2199*F2193</f>
        <v>22.847999999999999</v>
      </c>
      <c r="G2199" s="402"/>
      <c r="H2199" s="402">
        <f t="shared" si="63"/>
        <v>0</v>
      </c>
    </row>
    <row r="2200" spans="1:8" ht="36">
      <c r="A2200" s="395">
        <v>12</v>
      </c>
      <c r="B2200" s="431" t="s">
        <v>1577</v>
      </c>
      <c r="C2200" s="397" t="s">
        <v>1578</v>
      </c>
      <c r="D2200" s="397" t="s">
        <v>1567</v>
      </c>
      <c r="E2200" s="397"/>
      <c r="F2200" s="432">
        <f>F2191</f>
        <v>23.6</v>
      </c>
      <c r="G2200" s="432"/>
      <c r="H2200" s="399">
        <f>H2201</f>
        <v>0</v>
      </c>
    </row>
    <row r="2201" spans="1:8">
      <c r="A2201" s="400"/>
      <c r="B2201" s="400" t="s">
        <v>1330</v>
      </c>
      <c r="C2201" s="401" t="s">
        <v>1509</v>
      </c>
      <c r="D2201" s="401" t="s">
        <v>1510</v>
      </c>
      <c r="E2201" s="401">
        <v>1.21</v>
      </c>
      <c r="F2201" s="402">
        <f>F2200*E2201</f>
        <v>28.556000000000001</v>
      </c>
      <c r="G2201" s="402"/>
      <c r="H2201" s="402">
        <f>F2201*G2201</f>
        <v>0</v>
      </c>
    </row>
    <row r="2202" spans="1:8" ht="48">
      <c r="A2202" s="144">
        <v>13</v>
      </c>
      <c r="B2202" s="9" t="s">
        <v>322</v>
      </c>
      <c r="C2202" s="145" t="s">
        <v>1215</v>
      </c>
      <c r="D2202" s="145" t="s">
        <v>23</v>
      </c>
      <c r="E2202" s="145"/>
      <c r="F2202" s="145">
        <f>F2200</f>
        <v>23.6</v>
      </c>
      <c r="G2202" s="145"/>
      <c r="H2202" s="146">
        <f>H2203+H2204</f>
        <v>0</v>
      </c>
    </row>
    <row r="2203" spans="1:8">
      <c r="A2203" s="61"/>
      <c r="B2203" s="14" t="s">
        <v>17</v>
      </c>
      <c r="C2203" s="28" t="s">
        <v>28</v>
      </c>
      <c r="D2203" s="16" t="s">
        <v>19</v>
      </c>
      <c r="E2203" s="16">
        <v>0.13400000000000001</v>
      </c>
      <c r="F2203" s="43">
        <f>F2202*E2203</f>
        <v>3.1624000000000003</v>
      </c>
      <c r="G2203" s="16"/>
      <c r="H2203" s="44">
        <f>G2203*F2203</f>
        <v>0</v>
      </c>
    </row>
    <row r="2204" spans="1:8">
      <c r="A2204" s="147"/>
      <c r="B2204" s="147" t="s">
        <v>324</v>
      </c>
      <c r="C2204" s="147" t="s">
        <v>325</v>
      </c>
      <c r="D2204" s="147" t="s">
        <v>326</v>
      </c>
      <c r="E2204" s="147">
        <v>0.13</v>
      </c>
      <c r="F2204" s="147">
        <f>E2204*F2202</f>
        <v>3.0680000000000005</v>
      </c>
      <c r="G2204" s="147"/>
      <c r="H2204" s="147">
        <f>F2204*G2204</f>
        <v>0</v>
      </c>
    </row>
    <row r="2205" spans="1:8" ht="48">
      <c r="A2205" s="68" t="s">
        <v>139</v>
      </c>
      <c r="B2205" s="55" t="s">
        <v>1579</v>
      </c>
      <c r="C2205" s="20" t="s">
        <v>1580</v>
      </c>
      <c r="D2205" s="20" t="s">
        <v>75</v>
      </c>
      <c r="E2205" s="20"/>
      <c r="F2205" s="60">
        <v>0.1</v>
      </c>
      <c r="G2205" s="20"/>
      <c r="H2205" s="39">
        <f>H2206</f>
        <v>0</v>
      </c>
    </row>
    <row r="2206" spans="1:8">
      <c r="A2206" s="61"/>
      <c r="B2206" s="15" t="s">
        <v>17</v>
      </c>
      <c r="C2206" s="28" t="s">
        <v>18</v>
      </c>
      <c r="D2206" s="28" t="s">
        <v>19</v>
      </c>
      <c r="E2206" s="28">
        <v>3.88</v>
      </c>
      <c r="F2206" s="135">
        <f>E2206*F2205</f>
        <v>0.38800000000000001</v>
      </c>
      <c r="G2206" s="28"/>
      <c r="H2206" s="44">
        <f>G2206*F2206</f>
        <v>0</v>
      </c>
    </row>
    <row r="2207" spans="1:8" ht="48">
      <c r="A2207" s="68" t="s">
        <v>253</v>
      </c>
      <c r="B2207" s="73" t="s">
        <v>1581</v>
      </c>
      <c r="C2207" s="20" t="s">
        <v>1582</v>
      </c>
      <c r="D2207" s="20" t="s">
        <v>75</v>
      </c>
      <c r="E2207" s="20"/>
      <c r="F2207" s="69">
        <v>0.08</v>
      </c>
      <c r="G2207" s="20"/>
      <c r="H2207" s="39">
        <f>SUM(H2208:H2213)</f>
        <v>0</v>
      </c>
    </row>
    <row r="2208" spans="1:8">
      <c r="A2208" s="61"/>
      <c r="B2208" s="15" t="s">
        <v>17</v>
      </c>
      <c r="C2208" s="16" t="s">
        <v>63</v>
      </c>
      <c r="D2208" s="28" t="s">
        <v>19</v>
      </c>
      <c r="E2208" s="28">
        <v>4.5</v>
      </c>
      <c r="F2208" s="44">
        <f>E2208*F2207</f>
        <v>0.36</v>
      </c>
      <c r="G2208" s="19"/>
      <c r="H2208" s="44">
        <f t="shared" ref="H2208:H2213" si="64">G2208*F2208</f>
        <v>0</v>
      </c>
    </row>
    <row r="2209" spans="1:8">
      <c r="A2209" s="61"/>
      <c r="B2209" s="15" t="s">
        <v>17</v>
      </c>
      <c r="C2209" s="16" t="s">
        <v>20</v>
      </c>
      <c r="D2209" s="28" t="s">
        <v>3</v>
      </c>
      <c r="E2209" s="28">
        <v>0.37</v>
      </c>
      <c r="F2209" s="44">
        <f>F2207*E2209</f>
        <v>2.9600000000000001E-2</v>
      </c>
      <c r="G2209" s="19"/>
      <c r="H2209" s="44">
        <f t="shared" si="64"/>
        <v>0</v>
      </c>
    </row>
    <row r="2210" spans="1:8">
      <c r="A2210" s="61"/>
      <c r="B2210" s="15" t="s">
        <v>585</v>
      </c>
      <c r="C2210" s="16" t="s">
        <v>1583</v>
      </c>
      <c r="D2210" s="28" t="s">
        <v>75</v>
      </c>
      <c r="E2210" s="28">
        <v>1.02</v>
      </c>
      <c r="F2210" s="44">
        <f>F2207*E2210</f>
        <v>8.1600000000000006E-2</v>
      </c>
      <c r="G2210" s="44"/>
      <c r="H2210" s="44">
        <f t="shared" si="64"/>
        <v>0</v>
      </c>
    </row>
    <row r="2211" spans="1:8">
      <c r="A2211" s="64"/>
      <c r="B2211" s="14" t="s">
        <v>675</v>
      </c>
      <c r="C2211" s="16" t="s">
        <v>1584</v>
      </c>
      <c r="D2211" s="16" t="s">
        <v>112</v>
      </c>
      <c r="E2211" s="16">
        <v>1.61</v>
      </c>
      <c r="F2211" s="43">
        <f>F2207*E2211</f>
        <v>0.1288</v>
      </c>
      <c r="G2211" s="43"/>
      <c r="H2211" s="43">
        <f t="shared" si="64"/>
        <v>0</v>
      </c>
    </row>
    <row r="2212" spans="1:8">
      <c r="A2212" s="64"/>
      <c r="B2212" s="22" t="s">
        <v>674</v>
      </c>
      <c r="C2212" s="16" t="s">
        <v>1585</v>
      </c>
      <c r="D2212" s="16" t="s">
        <v>75</v>
      </c>
      <c r="E2212" s="16">
        <v>1.32E-2</v>
      </c>
      <c r="F2212" s="43">
        <f>F2207*E2212</f>
        <v>1.0560000000000001E-3</v>
      </c>
      <c r="G2212" s="43"/>
      <c r="H2212" s="43">
        <f t="shared" si="64"/>
        <v>0</v>
      </c>
    </row>
    <row r="2213" spans="1:8">
      <c r="A2213" s="61"/>
      <c r="B2213" s="15" t="s">
        <v>17</v>
      </c>
      <c r="C2213" s="28" t="s">
        <v>87</v>
      </c>
      <c r="D2213" s="28" t="s">
        <v>3</v>
      </c>
      <c r="E2213" s="28">
        <v>0.28000000000000003</v>
      </c>
      <c r="F2213" s="44">
        <f>E2213*F2207</f>
        <v>2.2400000000000003E-2</v>
      </c>
      <c r="G2213" s="44"/>
      <c r="H2213" s="44">
        <f t="shared" si="64"/>
        <v>0</v>
      </c>
    </row>
    <row r="2214" spans="1:8" ht="48">
      <c r="A2214" s="62" t="s">
        <v>147</v>
      </c>
      <c r="B2214" s="46" t="s">
        <v>125</v>
      </c>
      <c r="C2214" s="10" t="s">
        <v>1214</v>
      </c>
      <c r="D2214" s="10" t="s">
        <v>23</v>
      </c>
      <c r="E2214" s="63"/>
      <c r="F2214" s="60">
        <f>F2205</f>
        <v>0.1</v>
      </c>
      <c r="G2214" s="10"/>
      <c r="H2214" s="39">
        <f>H2215</f>
        <v>0</v>
      </c>
    </row>
    <row r="2215" spans="1:8">
      <c r="A2215" s="64"/>
      <c r="B2215" s="14" t="s">
        <v>17</v>
      </c>
      <c r="C2215" s="16" t="s">
        <v>28</v>
      </c>
      <c r="D2215" s="16" t="s">
        <v>19</v>
      </c>
      <c r="E2215" s="16">
        <v>1.21</v>
      </c>
      <c r="F2215" s="43">
        <f>F2214*E2215</f>
        <v>0.121</v>
      </c>
      <c r="G2215" s="16"/>
      <c r="H2215" s="44">
        <f>G2215*F2215</f>
        <v>0</v>
      </c>
    </row>
    <row r="2216" spans="1:8" ht="48">
      <c r="A2216" s="144">
        <v>17</v>
      </c>
      <c r="B2216" s="9" t="s">
        <v>322</v>
      </c>
      <c r="C2216" s="145" t="s">
        <v>1215</v>
      </c>
      <c r="D2216" s="145" t="s">
        <v>23</v>
      </c>
      <c r="E2216" s="145"/>
      <c r="F2216" s="145">
        <f>F2214</f>
        <v>0.1</v>
      </c>
      <c r="G2216" s="145"/>
      <c r="H2216" s="146">
        <f>H2217+H2218</f>
        <v>0</v>
      </c>
    </row>
    <row r="2217" spans="1:8">
      <c r="A2217" s="61"/>
      <c r="B2217" s="14" t="s">
        <v>17</v>
      </c>
      <c r="C2217" s="28" t="s">
        <v>28</v>
      </c>
      <c r="D2217" s="16" t="s">
        <v>19</v>
      </c>
      <c r="E2217" s="16">
        <v>0.13400000000000001</v>
      </c>
      <c r="F2217" s="43">
        <f>F2216*E2217</f>
        <v>1.3400000000000002E-2</v>
      </c>
      <c r="G2217" s="16"/>
      <c r="H2217" s="44">
        <f>G2217*F2217</f>
        <v>0</v>
      </c>
    </row>
    <row r="2218" spans="1:8">
      <c r="A2218" s="147"/>
      <c r="B2218" s="147" t="s">
        <v>324</v>
      </c>
      <c r="C2218" s="147" t="s">
        <v>325</v>
      </c>
      <c r="D2218" s="147" t="s">
        <v>326</v>
      </c>
      <c r="E2218" s="147">
        <v>0.13</v>
      </c>
      <c r="F2218" s="147">
        <f>E2218*F2216</f>
        <v>1.3000000000000001E-2</v>
      </c>
      <c r="G2218" s="147"/>
      <c r="H2218" s="147">
        <f>F2218*G2218</f>
        <v>0</v>
      </c>
    </row>
    <row r="2219" spans="1:8" ht="67.5">
      <c r="A2219" s="68" t="s">
        <v>157</v>
      </c>
      <c r="B2219" s="9" t="s">
        <v>52</v>
      </c>
      <c r="C2219" s="20" t="s">
        <v>1586</v>
      </c>
      <c r="D2219" s="20" t="s">
        <v>209</v>
      </c>
      <c r="E2219" s="59"/>
      <c r="F2219" s="60">
        <v>1</v>
      </c>
      <c r="G2219" s="20"/>
      <c r="H2219" s="39">
        <f>H2220+H2221</f>
        <v>0</v>
      </c>
    </row>
    <row r="2220" spans="1:8">
      <c r="A2220" s="61"/>
      <c r="B2220" s="15" t="s">
        <v>52</v>
      </c>
      <c r="C2220" s="28" t="s">
        <v>63</v>
      </c>
      <c r="D2220" s="28" t="s">
        <v>209</v>
      </c>
      <c r="E2220" s="28">
        <v>1</v>
      </c>
      <c r="F2220" s="44">
        <f>F2219*E2220</f>
        <v>1</v>
      </c>
      <c r="G2220" s="28"/>
      <c r="H2220" s="44">
        <f>G2220*F2220</f>
        <v>0</v>
      </c>
    </row>
    <row r="2221" spans="1:8">
      <c r="A2221" s="61"/>
      <c r="B2221" s="15" t="s">
        <v>52</v>
      </c>
      <c r="C2221" s="28" t="s">
        <v>1587</v>
      </c>
      <c r="D2221" s="28" t="s">
        <v>209</v>
      </c>
      <c r="E2221" s="28">
        <v>1</v>
      </c>
      <c r="F2221" s="44">
        <f>F2220*E2221</f>
        <v>1</v>
      </c>
      <c r="G2221" s="28"/>
      <c r="H2221" s="44">
        <f>G2221*F2221</f>
        <v>0</v>
      </c>
    </row>
    <row r="2222" spans="1:8" ht="48">
      <c r="A2222" s="435">
        <v>19</v>
      </c>
      <c r="B2222" s="9" t="s">
        <v>1588</v>
      </c>
      <c r="C2222" s="436" t="s">
        <v>1589</v>
      </c>
      <c r="D2222" s="437" t="s">
        <v>23</v>
      </c>
      <c r="E2222" s="438"/>
      <c r="F2222" s="439">
        <v>230</v>
      </c>
      <c r="G2222" s="438"/>
      <c r="H2222" s="39">
        <f>H2223+H2224+H2225+H2228+H2229+H2230+H2226+H2227</f>
        <v>0</v>
      </c>
    </row>
    <row r="2223" spans="1:8">
      <c r="A2223" s="64"/>
      <c r="B2223" s="14" t="s">
        <v>17</v>
      </c>
      <c r="C2223" s="16" t="s">
        <v>28</v>
      </c>
      <c r="D2223" s="16" t="s">
        <v>19</v>
      </c>
      <c r="E2223" s="28">
        <v>0.216</v>
      </c>
      <c r="F2223" s="44">
        <f>F2222*E2223</f>
        <v>49.68</v>
      </c>
      <c r="G2223" s="44"/>
      <c r="H2223" s="44">
        <f t="shared" ref="H2223:H2229" si="65">G2223*F2223</f>
        <v>0</v>
      </c>
    </row>
    <row r="2224" spans="1:8">
      <c r="A2224" s="64"/>
      <c r="B2224" s="24" t="s">
        <v>1590</v>
      </c>
      <c r="C2224" s="16" t="s">
        <v>1591</v>
      </c>
      <c r="D2224" s="67" t="s">
        <v>326</v>
      </c>
      <c r="E2224" s="28">
        <v>1.24E-2</v>
      </c>
      <c r="F2224" s="44">
        <f>F2222*E2224</f>
        <v>2.8519999999999999</v>
      </c>
      <c r="G2224" s="44"/>
      <c r="H2224" s="44">
        <f t="shared" si="65"/>
        <v>0</v>
      </c>
    </row>
    <row r="2225" spans="1:8">
      <c r="A2225" s="64"/>
      <c r="B2225" s="24" t="s">
        <v>1592</v>
      </c>
      <c r="C2225" s="16" t="s">
        <v>1593</v>
      </c>
      <c r="D2225" s="67" t="s">
        <v>326</v>
      </c>
      <c r="E2225" s="72">
        <v>4.1000000000000002E-2</v>
      </c>
      <c r="F2225" s="44">
        <f>F2222*E2225</f>
        <v>9.43</v>
      </c>
      <c r="G2225" s="44"/>
      <c r="H2225" s="44">
        <f t="shared" si="65"/>
        <v>0</v>
      </c>
    </row>
    <row r="2226" spans="1:8">
      <c r="A2226" s="64"/>
      <c r="B2226" s="24" t="s">
        <v>1594</v>
      </c>
      <c r="C2226" s="16" t="s">
        <v>1595</v>
      </c>
      <c r="D2226" s="67" t="s">
        <v>326</v>
      </c>
      <c r="E2226" s="72">
        <v>7.5999999999999998E-2</v>
      </c>
      <c r="F2226" s="44">
        <f>E2226*F2222</f>
        <v>17.48</v>
      </c>
      <c r="G2226" s="44"/>
      <c r="H2226" s="44">
        <f t="shared" si="65"/>
        <v>0</v>
      </c>
    </row>
    <row r="2227" spans="1:8">
      <c r="A2227" s="64"/>
      <c r="B2227" s="24" t="s">
        <v>1596</v>
      </c>
      <c r="C2227" s="16" t="s">
        <v>1597</v>
      </c>
      <c r="D2227" s="67" t="s">
        <v>326</v>
      </c>
      <c r="E2227" s="72">
        <v>0.151</v>
      </c>
      <c r="F2227" s="44">
        <f>E2227*F2222</f>
        <v>34.729999999999997</v>
      </c>
      <c r="G2227" s="44"/>
      <c r="H2227" s="44">
        <f t="shared" si="65"/>
        <v>0</v>
      </c>
    </row>
    <row r="2228" spans="1:8">
      <c r="A2228" s="64"/>
      <c r="B2228" s="24" t="s">
        <v>1598</v>
      </c>
      <c r="C2228" s="16" t="s">
        <v>1599</v>
      </c>
      <c r="D2228" s="67" t="s">
        <v>326</v>
      </c>
      <c r="E2228" s="72">
        <f>0.0097</f>
        <v>9.7000000000000003E-3</v>
      </c>
      <c r="F2228" s="44">
        <f>E2228*F2222</f>
        <v>2.2309999999999999</v>
      </c>
      <c r="G2228" s="44"/>
      <c r="H2228" s="44">
        <f t="shared" si="65"/>
        <v>0</v>
      </c>
    </row>
    <row r="2229" spans="1:8">
      <c r="A2229" s="64"/>
      <c r="B2229" s="440" t="s">
        <v>1600</v>
      </c>
      <c r="C2229" s="16" t="s">
        <v>86</v>
      </c>
      <c r="D2229" s="16" t="s">
        <v>75</v>
      </c>
      <c r="E2229" s="44">
        <v>1.26</v>
      </c>
      <c r="F2229" s="44">
        <f>F2222*E2229</f>
        <v>289.8</v>
      </c>
      <c r="G2229" s="44"/>
      <c r="H2229" s="44">
        <f t="shared" si="65"/>
        <v>0</v>
      </c>
    </row>
    <row r="2230" spans="1:8" ht="25.5">
      <c r="A2230" s="64"/>
      <c r="B2230" s="359" t="s">
        <v>1601</v>
      </c>
      <c r="C2230" s="16" t="s">
        <v>1602</v>
      </c>
      <c r="D2230" s="16" t="s">
        <v>75</v>
      </c>
      <c r="E2230" s="135">
        <v>7.0000000000000007E-2</v>
      </c>
      <c r="F2230" s="44">
        <f>F2222*E2230</f>
        <v>16.100000000000001</v>
      </c>
      <c r="G2230" s="441"/>
      <c r="H2230" s="44">
        <f>F2230*G2230</f>
        <v>0</v>
      </c>
    </row>
    <row r="2231" spans="1:8" ht="60">
      <c r="A2231" s="8">
        <v>20</v>
      </c>
      <c r="B2231" s="55" t="s">
        <v>1603</v>
      </c>
      <c r="C2231" s="20" t="s">
        <v>1604</v>
      </c>
      <c r="D2231" s="10" t="s">
        <v>16</v>
      </c>
      <c r="E2231" s="10"/>
      <c r="F2231" s="60">
        <v>190.4</v>
      </c>
      <c r="G2231" s="10"/>
      <c r="H2231" s="39">
        <f>SUM(H2232:H2241)</f>
        <v>0</v>
      </c>
    </row>
    <row r="2232" spans="1:8">
      <c r="A2232" s="14"/>
      <c r="B2232" s="14" t="s">
        <v>17</v>
      </c>
      <c r="C2232" s="28" t="s">
        <v>1605</v>
      </c>
      <c r="D2232" s="28" t="s">
        <v>19</v>
      </c>
      <c r="E2232" s="16">
        <f>(405-10*4.64)/1000</f>
        <v>0.35860000000000003</v>
      </c>
      <c r="F2232" s="70">
        <f>E2232*F2231</f>
        <v>68.277440000000013</v>
      </c>
      <c r="G2232" s="17"/>
      <c r="H2232" s="44">
        <f t="shared" ref="H2232:H2239" si="66">G2232*F2232</f>
        <v>0</v>
      </c>
    </row>
    <row r="2233" spans="1:8">
      <c r="A2233" s="14"/>
      <c r="B2233" s="14" t="s">
        <v>1606</v>
      </c>
      <c r="C2233" s="28" t="s">
        <v>1607</v>
      </c>
      <c r="D2233" s="28" t="s">
        <v>1608</v>
      </c>
      <c r="E2233" s="16">
        <v>2.2599999999999999E-2</v>
      </c>
      <c r="F2233" s="70">
        <f>E2233*F2231</f>
        <v>4.3030400000000002</v>
      </c>
      <c r="G2233" s="17"/>
      <c r="H2233" s="44">
        <f t="shared" si="66"/>
        <v>0</v>
      </c>
    </row>
    <row r="2234" spans="1:8">
      <c r="A2234" s="14"/>
      <c r="B2234" s="14" t="s">
        <v>17</v>
      </c>
      <c r="C2234" s="28" t="s">
        <v>1609</v>
      </c>
      <c r="D2234" s="16" t="s">
        <v>3</v>
      </c>
      <c r="E2234" s="16">
        <f>(13.5-10*0.1)/1000</f>
        <v>1.2500000000000001E-2</v>
      </c>
      <c r="F2234" s="70">
        <f>F2231*E2234</f>
        <v>2.3800000000000003</v>
      </c>
      <c r="G2234" s="295"/>
      <c r="H2234" s="44">
        <f t="shared" si="66"/>
        <v>0</v>
      </c>
    </row>
    <row r="2235" spans="1:8">
      <c r="A2235" s="14"/>
      <c r="B2235" s="440" t="s">
        <v>585</v>
      </c>
      <c r="C2235" s="28" t="s">
        <v>1610</v>
      </c>
      <c r="D2235" s="16" t="s">
        <v>75</v>
      </c>
      <c r="E2235" s="16">
        <f>(204-10*10.2)/1000</f>
        <v>0.10199999999999999</v>
      </c>
      <c r="F2235" s="70">
        <f>F2231*E2235</f>
        <v>19.4208</v>
      </c>
      <c r="G2235" s="16"/>
      <c r="H2235" s="44">
        <f t="shared" si="66"/>
        <v>0</v>
      </c>
    </row>
    <row r="2236" spans="1:8">
      <c r="A2236" s="14"/>
      <c r="B2236" s="24" t="s">
        <v>675</v>
      </c>
      <c r="C2236" s="28" t="s">
        <v>1611</v>
      </c>
      <c r="D2236" s="16" t="s">
        <v>112</v>
      </c>
      <c r="E2236" s="16">
        <f>(11.7-10*0.59)/1000</f>
        <v>5.7999999999999996E-3</v>
      </c>
      <c r="F2236" s="70">
        <f>E2236*F2231</f>
        <v>1.10432</v>
      </c>
      <c r="G2236" s="16"/>
      <c r="H2236" s="19">
        <f t="shared" si="66"/>
        <v>0</v>
      </c>
    </row>
    <row r="2237" spans="1:8">
      <c r="A2237" s="14"/>
      <c r="B2237" s="24" t="s">
        <v>1612</v>
      </c>
      <c r="C2237" s="28" t="s">
        <v>1613</v>
      </c>
      <c r="D2237" s="16" t="s">
        <v>59</v>
      </c>
      <c r="E2237" s="16">
        <f>(0.23-10*0.01)/1000</f>
        <v>1.3000000000000002E-4</v>
      </c>
      <c r="F2237" s="70">
        <f>E2237*F2231</f>
        <v>2.4752000000000003E-2</v>
      </c>
      <c r="G2237" s="16"/>
      <c r="H2237" s="19">
        <f t="shared" si="66"/>
        <v>0</v>
      </c>
    </row>
    <row r="2238" spans="1:8">
      <c r="A2238" s="15"/>
      <c r="B2238" s="24" t="s">
        <v>52</v>
      </c>
      <c r="C2238" s="28" t="s">
        <v>1614</v>
      </c>
      <c r="D2238" s="28" t="s">
        <v>1615</v>
      </c>
      <c r="E2238" s="28">
        <v>0.11</v>
      </c>
      <c r="F2238" s="72">
        <f>E2238*F2231</f>
        <v>20.943999999999999</v>
      </c>
      <c r="G2238" s="28"/>
      <c r="H2238" s="19">
        <f t="shared" si="66"/>
        <v>0</v>
      </c>
    </row>
    <row r="2239" spans="1:8">
      <c r="A2239" s="14"/>
      <c r="B2239" s="24" t="s">
        <v>1235</v>
      </c>
      <c r="C2239" s="28" t="s">
        <v>1236</v>
      </c>
      <c r="D2239" s="16" t="s">
        <v>23</v>
      </c>
      <c r="E2239" s="16">
        <v>0.04</v>
      </c>
      <c r="F2239" s="70">
        <f>E2239*F2231</f>
        <v>7.6160000000000005</v>
      </c>
      <c r="G2239" s="16"/>
      <c r="H2239" s="19">
        <f t="shared" si="66"/>
        <v>0</v>
      </c>
    </row>
    <row r="2240" spans="1:8" ht="25.5">
      <c r="A2240" s="64"/>
      <c r="B2240" s="359" t="s">
        <v>1601</v>
      </c>
      <c r="C2240" s="345" t="s">
        <v>1564</v>
      </c>
      <c r="D2240" s="346" t="s">
        <v>1516</v>
      </c>
      <c r="E2240" s="442">
        <v>0.17799999999999999</v>
      </c>
      <c r="F2240" s="135">
        <f>E2240*F2231</f>
        <v>33.891199999999998</v>
      </c>
      <c r="G2240" s="441"/>
      <c r="H2240" s="44">
        <f>F2240*G2240</f>
        <v>0</v>
      </c>
    </row>
    <row r="2241" spans="1:8">
      <c r="A2241" s="14"/>
      <c r="B2241" s="14" t="s">
        <v>17</v>
      </c>
      <c r="C2241" s="28" t="s">
        <v>1616</v>
      </c>
      <c r="D2241" s="16" t="s">
        <v>3</v>
      </c>
      <c r="E2241" s="16">
        <f>(6.4-10*0.19)/1000</f>
        <v>4.4999999999999997E-3</v>
      </c>
      <c r="F2241" s="70">
        <f>E2241*F2231</f>
        <v>0.85680000000000001</v>
      </c>
      <c r="G2241" s="16"/>
      <c r="H2241" s="44">
        <f>G2241*F2241</f>
        <v>0</v>
      </c>
    </row>
    <row r="2242" spans="1:8" ht="67.5">
      <c r="A2242" s="25">
        <v>21</v>
      </c>
      <c r="B2242" s="9" t="s">
        <v>1617</v>
      </c>
      <c r="C2242" s="20" t="s">
        <v>1618</v>
      </c>
      <c r="D2242" s="20" t="s">
        <v>16</v>
      </c>
      <c r="E2242" s="20"/>
      <c r="F2242" s="60">
        <v>1345</v>
      </c>
      <c r="G2242" s="69"/>
      <c r="H2242" s="39">
        <f>SUM(H2243:H2247)</f>
        <v>0</v>
      </c>
    </row>
    <row r="2243" spans="1:8">
      <c r="A2243" s="61"/>
      <c r="B2243" s="14" t="s">
        <v>17</v>
      </c>
      <c r="C2243" s="16" t="s">
        <v>1619</v>
      </c>
      <c r="D2243" s="16" t="s">
        <v>19</v>
      </c>
      <c r="E2243" s="16">
        <v>0.40200000000000002</v>
      </c>
      <c r="F2243" s="77">
        <f>F2242*E2243</f>
        <v>540.69000000000005</v>
      </c>
      <c r="G2243" s="43"/>
      <c r="H2243" s="44">
        <f>F2243*G2243</f>
        <v>0</v>
      </c>
    </row>
    <row r="2244" spans="1:8">
      <c r="A2244" s="61"/>
      <c r="B2244" s="15" t="s">
        <v>17</v>
      </c>
      <c r="C2244" s="28" t="s">
        <v>20</v>
      </c>
      <c r="D2244" s="28" t="s">
        <v>3</v>
      </c>
      <c r="E2244" s="28">
        <v>0.129</v>
      </c>
      <c r="F2244" s="135">
        <f>F2242*E2244</f>
        <v>173.505</v>
      </c>
      <c r="G2244" s="44"/>
      <c r="H2244" s="43">
        <f>F2244*G2244</f>
        <v>0</v>
      </c>
    </row>
    <row r="2245" spans="1:8" ht="27">
      <c r="A2245" s="64"/>
      <c r="B2245" s="14" t="s">
        <v>1620</v>
      </c>
      <c r="C2245" s="16" t="s">
        <v>1621</v>
      </c>
      <c r="D2245" s="16" t="s">
        <v>112</v>
      </c>
      <c r="E2245" s="16">
        <v>1</v>
      </c>
      <c r="F2245" s="77">
        <f>F2242*E2245</f>
        <v>1345</v>
      </c>
      <c r="G2245" s="44"/>
      <c r="H2245" s="43">
        <f>F2245*G2245</f>
        <v>0</v>
      </c>
    </row>
    <row r="2246" spans="1:8">
      <c r="A2246" s="64"/>
      <c r="B2246" s="14" t="s">
        <v>1235</v>
      </c>
      <c r="C2246" s="16" t="s">
        <v>1622</v>
      </c>
      <c r="D2246" s="16" t="s">
        <v>23</v>
      </c>
      <c r="E2246" s="16">
        <f>0.05</f>
        <v>0.05</v>
      </c>
      <c r="F2246" s="77">
        <f>F2242*E2246</f>
        <v>67.25</v>
      </c>
      <c r="G2246" s="43"/>
      <c r="H2246" s="43">
        <f>F2246*G2246</f>
        <v>0</v>
      </c>
    </row>
    <row r="2247" spans="1:8" ht="27">
      <c r="A2247" s="61"/>
      <c r="B2247" s="14" t="s">
        <v>1235</v>
      </c>
      <c r="C2247" s="28" t="s">
        <v>1623</v>
      </c>
      <c r="D2247" s="28" t="s">
        <v>75</v>
      </c>
      <c r="E2247" s="28">
        <v>5.0000000000000001E-4</v>
      </c>
      <c r="F2247" s="135">
        <f>F2242*E2247</f>
        <v>0.67249999999999999</v>
      </c>
      <c r="G2247" s="43"/>
      <c r="H2247" s="43">
        <f>F2247*G2247</f>
        <v>0</v>
      </c>
    </row>
    <row r="2248" spans="1:8" ht="48">
      <c r="A2248" s="25">
        <v>22</v>
      </c>
      <c r="B2248" s="9" t="s">
        <v>1624</v>
      </c>
      <c r="C2248" s="20" t="s">
        <v>1625</v>
      </c>
      <c r="D2248" s="20" t="s">
        <v>23</v>
      </c>
      <c r="E2248" s="20"/>
      <c r="F2248" s="60">
        <v>190</v>
      </c>
      <c r="G2248" s="69"/>
      <c r="H2248" s="39">
        <f>H2249+H2250+H2251</f>
        <v>0</v>
      </c>
    </row>
    <row r="2249" spans="1:8">
      <c r="A2249" s="61"/>
      <c r="B2249" s="14" t="s">
        <v>17</v>
      </c>
      <c r="C2249" s="16" t="s">
        <v>1619</v>
      </c>
      <c r="D2249" s="16" t="s">
        <v>19</v>
      </c>
      <c r="E2249" s="16">
        <v>1.55E-2</v>
      </c>
      <c r="F2249" s="77">
        <f>F2248*E2249</f>
        <v>2.9449999999999998</v>
      </c>
      <c r="G2249" s="43"/>
      <c r="H2249" s="44">
        <f>F2249*G2249</f>
        <v>0</v>
      </c>
    </row>
    <row r="2250" spans="1:8">
      <c r="A2250" s="61"/>
      <c r="B2250" s="14" t="s">
        <v>1626</v>
      </c>
      <c r="C2250" s="16" t="s">
        <v>1627</v>
      </c>
      <c r="D2250" s="16" t="s">
        <v>1628</v>
      </c>
      <c r="E2250" s="16">
        <v>3.4700000000000002E-2</v>
      </c>
      <c r="F2250" s="77">
        <f>E2250*F2248</f>
        <v>6.593</v>
      </c>
      <c r="G2250" s="43"/>
      <c r="H2250" s="44">
        <f>F2250*G2250</f>
        <v>0</v>
      </c>
    </row>
    <row r="2251" spans="1:8">
      <c r="A2251" s="61"/>
      <c r="B2251" s="15" t="s">
        <v>17</v>
      </c>
      <c r="C2251" s="28" t="s">
        <v>20</v>
      </c>
      <c r="D2251" s="28" t="s">
        <v>3</v>
      </c>
      <c r="E2251" s="28">
        <v>2.0899999999999998E-3</v>
      </c>
      <c r="F2251" s="135">
        <f>F2248*E2251</f>
        <v>0.39709999999999995</v>
      </c>
      <c r="G2251" s="44"/>
      <c r="H2251" s="43">
        <f>F2251*G2251</f>
        <v>0</v>
      </c>
    </row>
    <row r="2252" spans="1:8" ht="27">
      <c r="A2252" s="8">
        <v>23</v>
      </c>
      <c r="B2252" s="55" t="s">
        <v>64</v>
      </c>
      <c r="C2252" s="20" t="s">
        <v>1629</v>
      </c>
      <c r="D2252" s="11" t="s">
        <v>59</v>
      </c>
      <c r="E2252" s="11"/>
      <c r="F2252" s="21">
        <f>F2248*1.75</f>
        <v>332.5</v>
      </c>
      <c r="G2252" s="11"/>
      <c r="H2252" s="13">
        <f>SUM(H2253:H2253)</f>
        <v>0</v>
      </c>
    </row>
    <row r="2253" spans="1:8">
      <c r="A2253" s="14"/>
      <c r="B2253" s="15" t="s">
        <v>1630</v>
      </c>
      <c r="C2253" s="16" t="s">
        <v>67</v>
      </c>
      <c r="D2253" s="17" t="s">
        <v>59</v>
      </c>
      <c r="E2253" s="17">
        <v>1</v>
      </c>
      <c r="F2253" s="18">
        <f>F2252*E2253</f>
        <v>332.5</v>
      </c>
      <c r="G2253" s="18"/>
      <c r="H2253" s="19">
        <f>F2253*G2253</f>
        <v>0</v>
      </c>
    </row>
    <row r="2254" spans="1:8" ht="48">
      <c r="A2254" s="68" t="s">
        <v>1041</v>
      </c>
      <c r="B2254" s="55" t="s">
        <v>1631</v>
      </c>
      <c r="C2254" s="20" t="s">
        <v>1632</v>
      </c>
      <c r="D2254" s="26" t="s">
        <v>16</v>
      </c>
      <c r="E2254" s="26"/>
      <c r="F2254" s="443">
        <v>1903</v>
      </c>
      <c r="G2254" s="26"/>
      <c r="H2254" s="13">
        <f>H2255</f>
        <v>0</v>
      </c>
    </row>
    <row r="2255" spans="1:8">
      <c r="A2255" s="61"/>
      <c r="B2255" s="327" t="s">
        <v>17</v>
      </c>
      <c r="C2255" s="28" t="s">
        <v>1633</v>
      </c>
      <c r="D2255" s="444" t="s">
        <v>19</v>
      </c>
      <c r="E2255" s="444">
        <v>0.184</v>
      </c>
      <c r="F2255" s="445">
        <f>F2254*E2255</f>
        <v>350.15199999999999</v>
      </c>
      <c r="G2255" s="446"/>
      <c r="H2255" s="446">
        <f>G2255*F2255</f>
        <v>0</v>
      </c>
    </row>
    <row r="2256" spans="1:8" ht="48">
      <c r="A2256" s="68" t="s">
        <v>1045</v>
      </c>
      <c r="B2256" s="55" t="s">
        <v>1631</v>
      </c>
      <c r="C2256" s="20" t="s">
        <v>1634</v>
      </c>
      <c r="D2256" s="26" t="s">
        <v>16</v>
      </c>
      <c r="E2256" s="26"/>
      <c r="F2256" s="443">
        <f>F2254</f>
        <v>1903</v>
      </c>
      <c r="G2256" s="26"/>
      <c r="H2256" s="13">
        <f>H2259+H2257+H2258</f>
        <v>0</v>
      </c>
    </row>
    <row r="2257" spans="1:8">
      <c r="A2257" s="61"/>
      <c r="B2257" s="327" t="s">
        <v>17</v>
      </c>
      <c r="C2257" s="28" t="s">
        <v>1633</v>
      </c>
      <c r="D2257" s="444" t="s">
        <v>19</v>
      </c>
      <c r="E2257" s="444">
        <v>4.3900000000000002E-2</v>
      </c>
      <c r="F2257" s="445">
        <f>F2256*E2257</f>
        <v>83.541700000000006</v>
      </c>
      <c r="G2257" s="446"/>
      <c r="H2257" s="446">
        <f>G2257*F2257</f>
        <v>0</v>
      </c>
    </row>
    <row r="2258" spans="1:8">
      <c r="A2258" s="61"/>
      <c r="B2258" s="327" t="s">
        <v>52</v>
      </c>
      <c r="C2258" s="28" t="s">
        <v>1635</v>
      </c>
      <c r="D2258" s="444" t="s">
        <v>661</v>
      </c>
      <c r="E2258" s="444">
        <v>0.02</v>
      </c>
      <c r="F2258" s="445">
        <f>E2258*F2256</f>
        <v>38.06</v>
      </c>
      <c r="G2258" s="446"/>
      <c r="H2258" s="446">
        <f>G2258*F2258</f>
        <v>0</v>
      </c>
    </row>
    <row r="2259" spans="1:8" ht="25.5">
      <c r="A2259" s="61"/>
      <c r="B2259" s="359" t="s">
        <v>1636</v>
      </c>
      <c r="C2259" s="346" t="s">
        <v>1564</v>
      </c>
      <c r="D2259" s="346" t="s">
        <v>1516</v>
      </c>
      <c r="E2259" s="442">
        <v>0.1</v>
      </c>
      <c r="F2259" s="135">
        <f>E2259*F2256</f>
        <v>190.3</v>
      </c>
      <c r="G2259" s="441"/>
      <c r="H2259" s="44">
        <f>F2259*G2259</f>
        <v>0</v>
      </c>
    </row>
    <row r="2260" spans="1:8" ht="60">
      <c r="A2260" s="96" t="s">
        <v>1049</v>
      </c>
      <c r="B2260" s="431" t="s">
        <v>1620</v>
      </c>
      <c r="C2260" s="447" t="s">
        <v>1637</v>
      </c>
      <c r="D2260" s="448" t="s">
        <v>1311</v>
      </c>
      <c r="E2260" s="449"/>
      <c r="F2260" s="432">
        <v>2</v>
      </c>
      <c r="G2260" s="450"/>
      <c r="H2260" s="399">
        <f>H2261+H2262</f>
        <v>0</v>
      </c>
    </row>
    <row r="2261" spans="1:8">
      <c r="A2261" s="451"/>
      <c r="B2261" s="400" t="s">
        <v>1620</v>
      </c>
      <c r="C2261" s="452" t="s">
        <v>1638</v>
      </c>
      <c r="D2261" s="453" t="s">
        <v>1311</v>
      </c>
      <c r="E2261" s="401">
        <v>1</v>
      </c>
      <c r="F2261" s="402">
        <f>E2261*F2260</f>
        <v>2</v>
      </c>
      <c r="G2261" s="401"/>
      <c r="H2261" s="402">
        <f>F2261*G2261</f>
        <v>0</v>
      </c>
    </row>
    <row r="2262" spans="1:8">
      <c r="A2262" s="451"/>
      <c r="B2262" s="400" t="s">
        <v>1620</v>
      </c>
      <c r="C2262" s="452" t="s">
        <v>1639</v>
      </c>
      <c r="D2262" s="453" t="s">
        <v>1311</v>
      </c>
      <c r="E2262" s="401">
        <v>1</v>
      </c>
      <c r="F2262" s="402">
        <f>E2262*F2261</f>
        <v>2</v>
      </c>
      <c r="G2262" s="401"/>
      <c r="H2262" s="402">
        <f>F2262*G2262</f>
        <v>0</v>
      </c>
    </row>
    <row r="2263" spans="1:8" ht="24">
      <c r="A2263" s="454" t="s">
        <v>1052</v>
      </c>
      <c r="B2263" s="431" t="s">
        <v>1620</v>
      </c>
      <c r="C2263" s="447" t="s">
        <v>1640</v>
      </c>
      <c r="D2263" s="455" t="s">
        <v>1311</v>
      </c>
      <c r="E2263" s="456"/>
      <c r="F2263" s="432">
        <v>10</v>
      </c>
      <c r="G2263" s="450"/>
      <c r="H2263" s="399">
        <f>H2265+H2264</f>
        <v>0</v>
      </c>
    </row>
    <row r="2264" spans="1:8">
      <c r="A2264" s="451"/>
      <c r="B2264" s="400" t="s">
        <v>1620</v>
      </c>
      <c r="C2264" s="452" t="s">
        <v>1638</v>
      </c>
      <c r="D2264" s="453" t="s">
        <v>1311</v>
      </c>
      <c r="E2264" s="401">
        <v>1</v>
      </c>
      <c r="F2264" s="402">
        <f>F2263*E2264</f>
        <v>10</v>
      </c>
      <c r="G2264" s="402"/>
      <c r="H2264" s="402">
        <f>F2264*G2264</f>
        <v>0</v>
      </c>
    </row>
    <row r="2265" spans="1:8">
      <c r="A2265" s="451"/>
      <c r="B2265" s="400" t="s">
        <v>1620</v>
      </c>
      <c r="C2265" s="452" t="s">
        <v>1641</v>
      </c>
      <c r="D2265" s="453" t="s">
        <v>1311</v>
      </c>
      <c r="E2265" s="401">
        <v>1</v>
      </c>
      <c r="F2265" s="402">
        <f>E2265*F2263</f>
        <v>10</v>
      </c>
      <c r="G2265" s="402"/>
      <c r="H2265" s="402">
        <f>F2265*G2265</f>
        <v>0</v>
      </c>
    </row>
    <row r="2266" spans="1:8">
      <c r="A2266" s="83"/>
      <c r="B2266" s="14"/>
      <c r="C2266" s="10" t="s">
        <v>975</v>
      </c>
      <c r="D2266" s="10" t="s">
        <v>3</v>
      </c>
      <c r="E2266" s="16"/>
      <c r="F2266" s="44"/>
      <c r="G2266" s="16"/>
      <c r="H2266" s="21">
        <f>H2156+H2159+H2162+H2167+H2172+H2174+H2176+H2180+H2182+H2191+H2193+H2200+H2202+H2205+H2207+H2214+H2216+H2219+H2222+H2231+H2242+H2248+H2252+H2254+H2256+H2260+H226</f>
        <v>0</v>
      </c>
    </row>
    <row r="2267" spans="1:8">
      <c r="A2267" s="64"/>
      <c r="B2267" s="14"/>
      <c r="C2267" s="16" t="s">
        <v>687</v>
      </c>
      <c r="D2267" s="16" t="s">
        <v>3</v>
      </c>
      <c r="E2267" s="16"/>
      <c r="F2267" s="224">
        <v>0.1</v>
      </c>
      <c r="G2267" s="16"/>
      <c r="H2267" s="18">
        <f>H2266*F2267</f>
        <v>0</v>
      </c>
    </row>
    <row r="2268" spans="1:8">
      <c r="A2268" s="64"/>
      <c r="B2268" s="46"/>
      <c r="C2268" s="10" t="s">
        <v>688</v>
      </c>
      <c r="D2268" s="10" t="s">
        <v>3</v>
      </c>
      <c r="E2268" s="10"/>
      <c r="F2268" s="10"/>
      <c r="G2268" s="10"/>
      <c r="H2268" s="57">
        <f>H2267+H2266</f>
        <v>0</v>
      </c>
    </row>
    <row r="2269" spans="1:8">
      <c r="A2269" s="64"/>
      <c r="B2269" s="14"/>
      <c r="C2269" s="16" t="s">
        <v>689</v>
      </c>
      <c r="D2269" s="16" t="s">
        <v>3</v>
      </c>
      <c r="E2269" s="16"/>
      <c r="F2269" s="224">
        <v>0.08</v>
      </c>
      <c r="G2269" s="16"/>
      <c r="H2269" s="18">
        <f>H2268*F2269</f>
        <v>0</v>
      </c>
    </row>
    <row r="2270" spans="1:8">
      <c r="A2270" s="83"/>
      <c r="B2270" s="46"/>
      <c r="C2270" s="10" t="s">
        <v>690</v>
      </c>
      <c r="D2270" s="10" t="s">
        <v>3</v>
      </c>
      <c r="E2270" s="10"/>
      <c r="F2270" s="225"/>
      <c r="G2270" s="206"/>
      <c r="H2270" s="462">
        <f>H2269+H2268</f>
        <v>0</v>
      </c>
    </row>
    <row r="2271" spans="1:8">
      <c r="A2271" s="457"/>
      <c r="B2271" s="457"/>
      <c r="C2271" s="371" t="s">
        <v>1649</v>
      </c>
      <c r="D2271" s="371"/>
      <c r="E2271" s="457"/>
      <c r="F2271" s="457"/>
      <c r="G2271" s="478"/>
      <c r="H2271" s="479">
        <f>H2270+H2147+H2113+H1929+H1845+H1763+H1627+H1590+H1547+H1525+H1468+H1419+H1234+H1211+H1123+H1010+H868</f>
        <v>0</v>
      </c>
    </row>
    <row r="2272" spans="1:8" ht="64.5" customHeight="1">
      <c r="A2272" s="457"/>
      <c r="B2272" s="457"/>
      <c r="C2272" s="10" t="s">
        <v>1643</v>
      </c>
      <c r="D2272" s="10"/>
      <c r="E2272" s="457"/>
      <c r="F2272" s="459">
        <v>0.05</v>
      </c>
      <c r="G2272" s="457"/>
      <c r="H2272" s="458">
        <f>H2271*F2272</f>
        <v>0</v>
      </c>
    </row>
    <row r="2273" spans="1:8">
      <c r="A2273" s="457"/>
      <c r="B2273" s="457"/>
      <c r="C2273" s="10" t="s">
        <v>1642</v>
      </c>
      <c r="D2273" s="10"/>
      <c r="E2273" s="457"/>
      <c r="F2273" s="457"/>
      <c r="G2273" s="457"/>
      <c r="H2273" s="458">
        <f>H2272+H2271</f>
        <v>0</v>
      </c>
    </row>
    <row r="2274" spans="1:8">
      <c r="A2274" s="457"/>
      <c r="B2274" s="457"/>
      <c r="C2274" s="10" t="s">
        <v>1644</v>
      </c>
      <c r="D2274" s="10"/>
      <c r="E2274" s="457"/>
      <c r="F2274" s="459">
        <v>0.18</v>
      </c>
      <c r="G2274" s="457"/>
      <c r="H2274" s="458">
        <f>H2273*F2274</f>
        <v>0</v>
      </c>
    </row>
    <row r="2275" spans="1:8">
      <c r="A2275" s="457"/>
      <c r="B2275" s="457"/>
      <c r="C2275" s="10" t="s">
        <v>686</v>
      </c>
      <c r="D2275" s="10"/>
      <c r="E2275" s="457"/>
      <c r="F2275" s="457"/>
      <c r="G2275" s="457"/>
      <c r="H2275" s="458">
        <f>H2274+H2273</f>
        <v>0</v>
      </c>
    </row>
    <row r="2276" spans="1:8" ht="33">
      <c r="A2276" s="457"/>
      <c r="B2276" s="457"/>
      <c r="C2276" s="460" t="s">
        <v>1645</v>
      </c>
      <c r="D2276" s="457"/>
      <c r="E2276" s="457"/>
      <c r="F2276" s="457"/>
      <c r="G2276" s="457"/>
      <c r="H2276" s="461">
        <v>10000</v>
      </c>
    </row>
    <row r="2277" spans="1:8" ht="27">
      <c r="A2277" s="457"/>
      <c r="B2277" s="457"/>
      <c r="C2277" s="10" t="s">
        <v>1646</v>
      </c>
      <c r="D2277" s="457"/>
      <c r="E2277" s="457"/>
      <c r="F2277" s="457"/>
      <c r="G2277" s="457"/>
      <c r="H2277" s="458">
        <f>H2276+H2275</f>
        <v>10000</v>
      </c>
    </row>
  </sheetData>
  <protectedRanges>
    <protectedRange sqref="G314:G317 G661 G672 G336:G338 G319:G329" name="Range2_1"/>
    <protectedRange sqref="G564:G570 G581 G655 G698 G846 G863" name="Range2_2"/>
    <protectedRange sqref="G656 G582:G583 G622" name="Range2_2_1"/>
    <protectedRange sqref="G680:G691" name="Range2_4"/>
    <protectedRange sqref="G673 G657:G660 G663 G668:G671" name="Range2_5"/>
    <protectedRange sqref="G296:G297 G302:G303 G308" name="Range2_1_1"/>
    <protectedRange sqref="G309:G313" name="Range2_1_1_1"/>
    <protectedRange sqref="G330:G334" name="Range2_1_4"/>
    <protectedRange sqref="G294:G295 G306:G307 G300:G301" name="Range2_2_1_2"/>
    <protectedRange sqref="G293 G305 G299" name="Range2_1_3"/>
    <protectedRange sqref="G1130:G1134 G1137:G1168" name="Range1_2"/>
    <protectedRange sqref="G1177:G1187" name="Range1_2_1"/>
    <protectedRange sqref="G1188:G1192 G1202:G1206" name="Range1_2_2"/>
    <protectedRange sqref="G1193:G1196" name="Range1_2_4"/>
    <protectedRange sqref="G1533:G1534 G1545" name="Range1"/>
    <protectedRange sqref="G1535:G1537" name="Range1_2_3"/>
    <protectedRange sqref="B1730" name="Диапазон1_10_3_1"/>
    <protectedRange sqref="G1724 G1715 G1731" name="Range1_2_5"/>
    <protectedRange sqref="G1972:G1975 G2083:G2086" name="Range2_5_1"/>
    <protectedRange sqref="G1971 G2082" name="Range2_5_1_1"/>
    <protectedRange sqref="G2057:G2058" name="Range2_5_1_2"/>
    <protectedRange sqref="G2066:G2067" name="Range2_5_1_3"/>
    <protectedRange sqref="G2024:G2027" name="Range2_5_1_4"/>
    <protectedRange sqref="G2023" name="Range2_5_1_1_1"/>
  </protectedRanges>
  <mergeCells count="147">
    <mergeCell ref="A1421:H1421"/>
    <mergeCell ref="A2153:A2154"/>
    <mergeCell ref="B2153:B2154"/>
    <mergeCell ref="C2153:C2154"/>
    <mergeCell ref="D2153:D2154"/>
    <mergeCell ref="E2153:F2153"/>
    <mergeCell ref="G2153:H2153"/>
    <mergeCell ref="G2119:H2119"/>
    <mergeCell ref="A2151:H2151"/>
    <mergeCell ref="A2152:H2152"/>
    <mergeCell ref="A2119:A2120"/>
    <mergeCell ref="B2119:B2120"/>
    <mergeCell ref="C2119:C2120"/>
    <mergeCell ref="D2119:D2120"/>
    <mergeCell ref="E2119:F2119"/>
    <mergeCell ref="B1938:D1938"/>
    <mergeCell ref="B1964:D1964"/>
    <mergeCell ref="B1986:D1986"/>
    <mergeCell ref="B2034:D2034"/>
    <mergeCell ref="A2117:H2117"/>
    <mergeCell ref="A2118:H2118"/>
    <mergeCell ref="A1935:A1936"/>
    <mergeCell ref="B1935:B1936"/>
    <mergeCell ref="C1935:C1936"/>
    <mergeCell ref="D1935:D1936"/>
    <mergeCell ref="E1935:F1935"/>
    <mergeCell ref="G1935:H1935"/>
    <mergeCell ref="A1933:H1933"/>
    <mergeCell ref="A1934:H1934"/>
    <mergeCell ref="A1850:A1851"/>
    <mergeCell ref="B1850:B1851"/>
    <mergeCell ref="C1850:C1851"/>
    <mergeCell ref="D1850:D1851"/>
    <mergeCell ref="E1850:F1850"/>
    <mergeCell ref="G1850:H1850"/>
    <mergeCell ref="A1848:H1848"/>
    <mergeCell ref="A1849:H1849"/>
    <mergeCell ref="A1769:A1770"/>
    <mergeCell ref="B1769:B1770"/>
    <mergeCell ref="C1769:C1770"/>
    <mergeCell ref="D1769:D1770"/>
    <mergeCell ref="E1769:F1769"/>
    <mergeCell ref="G1769:H1769"/>
    <mergeCell ref="A1767:H1767"/>
    <mergeCell ref="A1768:H1768"/>
    <mergeCell ref="A1632:A1633"/>
    <mergeCell ref="B1632:B1633"/>
    <mergeCell ref="C1632:C1633"/>
    <mergeCell ref="D1632:D1633"/>
    <mergeCell ref="E1632:F1632"/>
    <mergeCell ref="G1632:H1632"/>
    <mergeCell ref="A1630:H1630"/>
    <mergeCell ref="A1631:H1631"/>
    <mergeCell ref="A1594:A1595"/>
    <mergeCell ref="B1594:B1595"/>
    <mergeCell ref="C1594:C1595"/>
    <mergeCell ref="D1594:D1595"/>
    <mergeCell ref="E1594:F1594"/>
    <mergeCell ref="G1594:H1594"/>
    <mergeCell ref="A1592:H1592"/>
    <mergeCell ref="A1593:H1593"/>
    <mergeCell ref="A1553:A1554"/>
    <mergeCell ref="B1553:B1554"/>
    <mergeCell ref="C1553:C1554"/>
    <mergeCell ref="D1553:D1554"/>
    <mergeCell ref="E1553:F1553"/>
    <mergeCell ref="G1553:H1553"/>
    <mergeCell ref="A1551:H1551"/>
    <mergeCell ref="A1552:H1552"/>
    <mergeCell ref="A1530:A1531"/>
    <mergeCell ref="B1530:B1531"/>
    <mergeCell ref="C1530:C1531"/>
    <mergeCell ref="D1530:D1531"/>
    <mergeCell ref="E1530:F1530"/>
    <mergeCell ref="G1530:H1530"/>
    <mergeCell ref="A1528:H1528"/>
    <mergeCell ref="A1529:H1529"/>
    <mergeCell ref="A1473:A1474"/>
    <mergeCell ref="B1473:B1474"/>
    <mergeCell ref="C1473:C1474"/>
    <mergeCell ref="D1473:D1474"/>
    <mergeCell ref="E1473:F1473"/>
    <mergeCell ref="G1473:H1473"/>
    <mergeCell ref="G1423:H1423"/>
    <mergeCell ref="A1471:H1471"/>
    <mergeCell ref="A1472:H1472"/>
    <mergeCell ref="A1422:H1422"/>
    <mergeCell ref="A1423:A1424"/>
    <mergeCell ref="B1423:B1424"/>
    <mergeCell ref="C1423:C1424"/>
    <mergeCell ref="D1423:D1424"/>
    <mergeCell ref="E1423:F1423"/>
    <mergeCell ref="A1240:A1241"/>
    <mergeCell ref="B1240:B1241"/>
    <mergeCell ref="C1240:C1241"/>
    <mergeCell ref="D1240:D1241"/>
    <mergeCell ref="E1240:F1240"/>
    <mergeCell ref="G1240:H1240"/>
    <mergeCell ref="A1237:H1237"/>
    <mergeCell ref="A1238:H1238"/>
    <mergeCell ref="A1239:H1239"/>
    <mergeCell ref="A1217:A1218"/>
    <mergeCell ref="B1217:B1218"/>
    <mergeCell ref="C1217:C1218"/>
    <mergeCell ref="D1217:D1218"/>
    <mergeCell ref="E1217:F1217"/>
    <mergeCell ref="G1217:H1217"/>
    <mergeCell ref="A1214:H1214"/>
    <mergeCell ref="A1215:H1215"/>
    <mergeCell ref="A1216:H1216"/>
    <mergeCell ref="A1127:A1128"/>
    <mergeCell ref="B1127:B1128"/>
    <mergeCell ref="C1127:C1128"/>
    <mergeCell ref="D1127:D1128"/>
    <mergeCell ref="E1127:F1127"/>
    <mergeCell ref="G1127:H1127"/>
    <mergeCell ref="A1124:H1124"/>
    <mergeCell ref="A1125:H1125"/>
    <mergeCell ref="A1126:H1126"/>
    <mergeCell ref="A1014:A1015"/>
    <mergeCell ref="B1014:B1015"/>
    <mergeCell ref="C1014:C1015"/>
    <mergeCell ref="D1014:D1015"/>
    <mergeCell ref="E1014:F1014"/>
    <mergeCell ref="G1014:H1014"/>
    <mergeCell ref="A1012:H1012"/>
    <mergeCell ref="A1013:H1013"/>
    <mergeCell ref="A874:A875"/>
    <mergeCell ref="B874:B875"/>
    <mergeCell ref="C874:C875"/>
    <mergeCell ref="D874:D875"/>
    <mergeCell ref="E874:F874"/>
    <mergeCell ref="G874:H874"/>
    <mergeCell ref="A1:H1"/>
    <mergeCell ref="A2:H2"/>
    <mergeCell ref="A3:H3"/>
    <mergeCell ref="A4:H4"/>
    <mergeCell ref="B62:E62"/>
    <mergeCell ref="A871:H871"/>
    <mergeCell ref="A872:H872"/>
    <mergeCell ref="A873:H873"/>
    <mergeCell ref="A5:A6"/>
    <mergeCell ref="B5:B6"/>
    <mergeCell ref="C5:C6"/>
    <mergeCell ref="D5:D6"/>
    <mergeCell ref="E5:F5"/>
    <mergeCell ref="G5:H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2021-05-06T09:35:51Z</dcterms:modified>
</cp:coreProperties>
</file>