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85" yWindow="270" windowWidth="17910" windowHeight="10770" tabRatio="842"/>
  </bookViews>
  <sheets>
    <sheet name="krebsiti" sheetId="8" r:id="rId1"/>
    <sheet name="#1" sheetId="16" r:id="rId2"/>
    <sheet name="#2" sheetId="17" r:id="rId3"/>
  </sheets>
  <definedNames>
    <definedName name="_xlnm.Print_Area" localSheetId="1">'#1'!$A$1:$L$162</definedName>
    <definedName name="_xlnm.Print_Area" localSheetId="2">'#2'!$A$1:$L$101</definedName>
    <definedName name="_xlnm.Print_Area" localSheetId="0">krebsiti!$A$1:$E$23</definedName>
    <definedName name="_xlnm.Print_Titles" localSheetId="1">'#1'!$9:$9</definedName>
    <definedName name="_xlnm.Print_Titles" localSheetId="2">'#2'!$9:$9</definedName>
    <definedName name="_xlnm.Print_Titles" localSheetId="0">krebsiti!$7:$7</definedName>
  </definedNames>
  <calcPr calcId="152511"/>
  <fileRecoveryPr autoRecover="0"/>
</workbook>
</file>

<file path=xl/calcChain.xml><?xml version="1.0" encoding="utf-8"?>
<calcChain xmlns="http://schemas.openxmlformats.org/spreadsheetml/2006/main">
  <c r="A1" i="16" l="1"/>
  <c r="E31" i="17" l="1"/>
  <c r="E105" i="16"/>
  <c r="E106" i="16" s="1"/>
  <c r="E140" i="16"/>
  <c r="E141" i="16" s="1"/>
  <c r="E139" i="16"/>
  <c r="E117" i="16"/>
  <c r="E122" i="16" s="1"/>
  <c r="D123" i="16"/>
  <c r="D119" i="16"/>
  <c r="D118" i="16"/>
  <c r="E120" i="16"/>
  <c r="D114" i="16"/>
  <c r="E110" i="16"/>
  <c r="E115" i="16" s="1"/>
  <c r="D102" i="16"/>
  <c r="E93" i="16"/>
  <c r="E97" i="16" s="1"/>
  <c r="D99" i="16"/>
  <c r="D98" i="16"/>
  <c r="D96" i="16"/>
  <c r="D95" i="16"/>
  <c r="D94" i="16"/>
  <c r="E84" i="16"/>
  <c r="E90" i="16" s="1"/>
  <c r="D92" i="16"/>
  <c r="D91" i="16"/>
  <c r="E91" i="16" s="1"/>
  <c r="D89" i="16"/>
  <c r="D88" i="16"/>
  <c r="D87" i="16"/>
  <c r="D86" i="16"/>
  <c r="E87" i="16" l="1"/>
  <c r="E98" i="16"/>
  <c r="E85" i="16"/>
  <c r="E95" i="16"/>
  <c r="E116" i="16"/>
  <c r="E123" i="16"/>
  <c r="E118" i="16"/>
  <c r="E92" i="16"/>
  <c r="E119" i="16"/>
  <c r="E124" i="16"/>
  <c r="E127" i="16" s="1"/>
  <c r="E113" i="16"/>
  <c r="E88" i="16"/>
  <c r="E99" i="16"/>
  <c r="E111" i="16"/>
  <c r="E89" i="16"/>
  <c r="E94" i="16"/>
  <c r="E100" i="16"/>
  <c r="E112" i="16"/>
  <c r="E131" i="16"/>
  <c r="E134" i="16" s="1"/>
  <c r="E108" i="16"/>
  <c r="E114" i="16"/>
  <c r="E109" i="16"/>
  <c r="E107" i="16"/>
  <c r="E142" i="16"/>
  <c r="E129" i="16"/>
  <c r="E121" i="16"/>
  <c r="E102" i="16"/>
  <c r="E96" i="16"/>
  <c r="E86" i="16"/>
  <c r="E125" i="16" l="1"/>
  <c r="E132" i="16"/>
  <c r="E136" i="16"/>
  <c r="E130" i="16"/>
  <c r="E128" i="16"/>
  <c r="E126" i="16"/>
  <c r="E137" i="16"/>
  <c r="E135" i="16"/>
  <c r="E133" i="16"/>
  <c r="E101" i="16"/>
  <c r="E103" i="16"/>
  <c r="E104" i="16"/>
  <c r="E80" i="16" l="1"/>
  <c r="E70" i="16"/>
  <c r="E61" i="16"/>
  <c r="E68" i="16" s="1"/>
  <c r="E56" i="16"/>
  <c r="E58" i="16" s="1"/>
  <c r="E51" i="16"/>
  <c r="E52" i="16" s="1"/>
  <c r="D74" i="16"/>
  <c r="D73" i="16"/>
  <c r="D72" i="16"/>
  <c r="D71" i="16"/>
  <c r="D67" i="16"/>
  <c r="D66" i="16"/>
  <c r="D65" i="16"/>
  <c r="D64" i="16"/>
  <c r="E64" i="16" s="1"/>
  <c r="D63" i="16"/>
  <c r="E63" i="16" s="1"/>
  <c r="D62" i="16"/>
  <c r="D59" i="16"/>
  <c r="E55" i="16"/>
  <c r="E54" i="16"/>
  <c r="E53" i="16"/>
  <c r="E48" i="16"/>
  <c r="E47" i="16"/>
  <c r="E46" i="16"/>
  <c r="D45" i="16"/>
  <c r="E45" i="16" s="1"/>
  <c r="E44" i="16"/>
  <c r="D43" i="16"/>
  <c r="E43" i="16" s="1"/>
  <c r="E42" i="16"/>
  <c r="E41" i="16"/>
  <c r="E37" i="16"/>
  <c r="E36" i="16"/>
  <c r="D35" i="16"/>
  <c r="E35" i="16" s="1"/>
  <c r="E34" i="16"/>
  <c r="E33" i="16"/>
  <c r="E32" i="16"/>
  <c r="E31" i="16"/>
  <c r="E19" i="16"/>
  <c r="E15" i="16"/>
  <c r="E12" i="16"/>
  <c r="E65" i="16" l="1"/>
  <c r="E73" i="16"/>
  <c r="E62" i="16"/>
  <c r="E66" i="16"/>
  <c r="E67" i="16"/>
  <c r="E21" i="16"/>
  <c r="E23" i="16"/>
  <c r="E57" i="16"/>
  <c r="E76" i="16"/>
  <c r="E71" i="16"/>
  <c r="E72" i="16"/>
  <c r="E74" i="16"/>
  <c r="E60" i="16"/>
  <c r="E59" i="16"/>
  <c r="E83" i="16" l="1"/>
  <c r="E81" i="16"/>
  <c r="E77" i="16"/>
  <c r="E82" i="16"/>
  <c r="E78" i="16"/>
  <c r="E12" i="17" l="1"/>
  <c r="E67" i="17" l="1"/>
  <c r="E53" i="17" l="1"/>
  <c r="E73" i="17" l="1"/>
  <c r="E38" i="17" l="1"/>
  <c r="E40" i="17"/>
  <c r="E46" i="17" s="1"/>
  <c r="E48" i="17"/>
  <c r="E80" i="17" l="1"/>
  <c r="E84" i="17" s="1"/>
  <c r="E82" i="17" l="1"/>
  <c r="E81" i="17"/>
  <c r="A1" i="17" l="1"/>
  <c r="E13" i="16" l="1"/>
  <c r="E14" i="16"/>
  <c r="E16" i="16" l="1"/>
  <c r="E17" i="16"/>
  <c r="E22" i="16" l="1"/>
  <c r="E24" i="16" l="1"/>
  <c r="E25" i="16"/>
  <c r="E13" i="17" l="1"/>
  <c r="D78" i="17" l="1"/>
  <c r="D75" i="17"/>
  <c r="E75" i="17" s="1"/>
  <c r="D74" i="17"/>
  <c r="E74" i="17" s="1"/>
  <c r="E78" i="17" l="1"/>
  <c r="E71" i="17" l="1"/>
  <c r="E68" i="17"/>
  <c r="E50" i="17" l="1"/>
  <c r="E49" i="17"/>
  <c r="E52" i="17"/>
  <c r="D56" i="17" l="1"/>
  <c r="D55" i="17"/>
  <c r="D54" i="17"/>
  <c r="E41" i="17"/>
  <c r="D47" i="17"/>
  <c r="D39" i="17"/>
  <c r="E54" i="17" l="1"/>
  <c r="E55" i="17"/>
  <c r="E56" i="17"/>
  <c r="E66" i="17"/>
  <c r="E29" i="17"/>
  <c r="E32" i="17"/>
  <c r="E39" i="17"/>
  <c r="E47" i="17"/>
  <c r="M87" i="17" l="1"/>
  <c r="E9" i="8" l="1"/>
  <c r="M145" i="16" l="1"/>
  <c r="E8" i="8" l="1"/>
  <c r="E17" i="8" s="1"/>
</calcChain>
</file>

<file path=xl/sharedStrings.xml><?xml version="1.0" encoding="utf-8"?>
<sst xmlns="http://schemas.openxmlformats.org/spreadsheetml/2006/main" count="539" uniqueCount="245">
  <si>
    <t>##</t>
  </si>
  <si>
    <t>სამუშაოს დასახელება</t>
  </si>
  <si>
    <t>განზ/ ერთეული</t>
  </si>
  <si>
    <t>მასალა</t>
  </si>
  <si>
    <t>ხელფასი</t>
  </si>
  <si>
    <t>სულ დანახარჯები</t>
  </si>
  <si>
    <t>ერთეულის</t>
  </si>
  <si>
    <t>სულ</t>
  </si>
  <si>
    <t>g/m</t>
  </si>
  <si>
    <t>gauTvaliswinebeli xarjebi</t>
  </si>
  <si>
    <t>dRg</t>
  </si>
  <si>
    <t>c</t>
  </si>
  <si>
    <t>lokaluri ხ ა რ ჯ თ ა ღ რ ი ც ვ ხ ვ ა #1</t>
  </si>
  <si>
    <t>kbm</t>
  </si>
  <si>
    <t>kvm</t>
  </si>
  <si>
    <t>kg</t>
  </si>
  <si>
    <t>tn</t>
  </si>
  <si>
    <t>zumfara</t>
  </si>
  <si>
    <t>sul</t>
  </si>
  <si>
    <t>lari</t>
  </si>
  <si>
    <t>ც</t>
  </si>
  <si>
    <t>Sromis danaxarjebi</t>
  </si>
  <si>
    <t>sxva manqanebi</t>
  </si>
  <si>
    <t>kac/sT</t>
  </si>
  <si>
    <t>manq/sT</t>
  </si>
  <si>
    <t>manqana-meqanizmebi</t>
  </si>
  <si>
    <t>sxva masala</t>
  </si>
  <si>
    <t xml:space="preserve">Sromis danaxarjebi </t>
  </si>
  <si>
    <t>sxva manqana</t>
  </si>
  <si>
    <t>manqanebi</t>
  </si>
  <si>
    <t>sxva masalebi</t>
  </si>
  <si>
    <t xml:space="preserve">Sromis danaxarjebi  </t>
  </si>
  <si>
    <t>emulsiuri saRebavi</t>
  </si>
  <si>
    <t xml:space="preserve">fiTxi </t>
  </si>
  <si>
    <t>5</t>
  </si>
  <si>
    <t>8</t>
  </si>
  <si>
    <t>webocementi yinvagamZle</t>
  </si>
  <si>
    <t>keramogranitis fila</t>
  </si>
  <si>
    <t>Senobis el montaJis samuSaoebi</t>
  </si>
  <si>
    <t>zednadebi xarjebi                 (muSa mosamsaxureTa ZiriTadi xelfasidan)</t>
  </si>
  <si>
    <t>gegmiuri dagroveba</t>
  </si>
  <si>
    <t>krebsiTi xarjTaRicxva</t>
  </si>
  <si>
    <t>saxarjTaRricxvo gaangariSebis #</t>
  </si>
  <si>
    <t>samuSaoebisa da danaxarjebis dasaxeleba</t>
  </si>
  <si>
    <t>saxarjTaRricxvo Rirebuleba</t>
  </si>
  <si>
    <t>lk 1</t>
  </si>
  <si>
    <t>lk 2</t>
  </si>
  <si>
    <t>jami</t>
  </si>
  <si>
    <t>lk 3</t>
  </si>
  <si>
    <t>lk 4</t>
  </si>
  <si>
    <t>zednadebi xarjebi</t>
  </si>
  <si>
    <t>9</t>
  </si>
  <si>
    <t>kompl</t>
  </si>
  <si>
    <t>Sromis danaxarji</t>
  </si>
  <si>
    <t>eleqtrodi</t>
  </si>
  <si>
    <t>lk 5</t>
  </si>
  <si>
    <t>lokaluri ხ ა რ ჯ თ ა ღ რ ი ც ვ ხ ვ ა #2</t>
  </si>
  <si>
    <t>lk 6</t>
  </si>
  <si>
    <t>saerTo samSeneblo samuSaoebi</t>
  </si>
  <si>
    <t>3</t>
  </si>
  <si>
    <t>cali</t>
  </si>
  <si>
    <t>betoni b.25</t>
  </si>
  <si>
    <t>amwe saavtomobilo svlaze 25t</t>
  </si>
  <si>
    <t>cementis xsnari m-200</t>
  </si>
  <si>
    <t>samSeneblo nagvis datvirTva xeliT avtoTviTmclelze</t>
  </si>
  <si>
    <t>k/sT</t>
  </si>
  <si>
    <t>liTonis profilebi</t>
  </si>
  <si>
    <t>grZ.m.</t>
  </si>
  <si>
    <t>samSeneblo WanWiki</t>
  </si>
  <si>
    <t>kg.</t>
  </si>
  <si>
    <t xml:space="preserve">sxva masalebi  </t>
  </si>
  <si>
    <t>ლარი</t>
  </si>
  <si>
    <t>სხვა მასალები</t>
  </si>
  <si>
    <t>გ/მ</t>
  </si>
  <si>
    <t xml:space="preserve">TabaSirmuyaos fiTxi </t>
  </si>
  <si>
    <t>კ/სთ</t>
  </si>
  <si>
    <t>გრძ.მ.</t>
  </si>
  <si>
    <t>maq/sT</t>
  </si>
  <si>
    <t>SromiTi resursebi</t>
  </si>
  <si>
    <t>ჩამრთველების montaJi</t>
  </si>
  <si>
    <t>saStepselo rozetebis montaJi</t>
  </si>
  <si>
    <t>სანათების მონტაჟი</t>
  </si>
  <si>
    <t xml:space="preserve">hidravlikuri amwevi </t>
  </si>
  <si>
    <t>amwevi anZuri tvirTamweobiT 0.5 t</t>
  </si>
  <si>
    <t>Senobis el montaJi</t>
  </si>
  <si>
    <t>normatiuli resursi</t>
  </si>
  <si>
    <t>erTeulze</t>
  </si>
  <si>
    <t>m/sT</t>
  </si>
  <si>
    <t>tn.</t>
  </si>
  <si>
    <t>yalibis fari</t>
  </si>
  <si>
    <t>xe masala</t>
  </si>
  <si>
    <t>tona</t>
  </si>
  <si>
    <t>xis masala</t>
  </si>
  <si>
    <t>qviSa-cementis xsnari       m-100</t>
  </si>
  <si>
    <t>kac.sT.</t>
  </si>
  <si>
    <t>liTonis karebi (aqsesuarebiT)</t>
  </si>
  <si>
    <t>sWvali</t>
  </si>
  <si>
    <t>3%</t>
  </si>
  <si>
    <t>18%</t>
  </si>
  <si>
    <t>antikoroziuli saRebavii</t>
  </si>
  <si>
    <t>fuga (Semavsebeli)</t>
  </si>
  <si>
    <t xml:space="preserve">teritoriis keTilmowyobis samuSaoebi               </t>
  </si>
  <si>
    <t>xsnaris tumbo  1 kbm/sT</t>
  </si>
  <si>
    <t>xsnaris tumbo  3kbm/sT</t>
  </si>
  <si>
    <t>3,2</t>
  </si>
  <si>
    <t>3,1</t>
  </si>
  <si>
    <t>6</t>
  </si>
  <si>
    <t>gare sanaTebis montaJi</t>
  </si>
  <si>
    <t>კომპლ.</t>
  </si>
  <si>
    <t>Senobis Sida wyalsadenisa da kanalizaciis qselis montaJis samuSaoebi</t>
  </si>
  <si>
    <t>10</t>
  </si>
  <si>
    <t>1</t>
  </si>
  <si>
    <t>2</t>
  </si>
  <si>
    <t>4</t>
  </si>
  <si>
    <t>7</t>
  </si>
  <si>
    <t>gamanawilebeli kolofebis montaJi</t>
  </si>
  <si>
    <t>el.ganaTebis  qselis montaJi</t>
  </si>
  <si>
    <t>სპილენძის სადენების montaJi</t>
  </si>
  <si>
    <t>golfrirebuli saizolacio mili
∅16 mm</t>
  </si>
  <si>
    <t>kabelis plasmasis samagri xamuTiT
∅6 mm</t>
  </si>
  <si>
    <t>gaTboba - ventilacia - kondicirebis  montajis samuSaoebi</t>
  </si>
  <si>
    <t>uJangavi foladis kabelarxi
200X3000 mm</t>
  </si>
  <si>
    <t>uJangavi foladis kabelarxi
100X3000 mm</t>
  </si>
  <si>
    <t>uJangavi foladis kabelarxi
50X3000 mm</t>
  </si>
  <si>
    <t>uJangavi foladis kabelarxis ankeri</t>
  </si>
  <si>
    <t>mowyobilobebi da danadgarebi</t>
  </si>
  <si>
    <t>lk 7</t>
  </si>
  <si>
    <t>2,1</t>
  </si>
  <si>
    <t>keramogranitis fila yinvagamZle</t>
  </si>
  <si>
    <t>12</t>
  </si>
  <si>
    <t>uJangavi foladis kabelarxis ankeris dubeli d-10mm</t>
  </si>
  <si>
    <t>Zalovani eleqtro qselis montaJi</t>
  </si>
  <si>
    <t>yalibis fari 25mm</t>
  </si>
  <si>
    <t>Senobis saxanZro usafrTxoebis qselis, videomonitoringisa da iternetis qselis montaJi</t>
  </si>
  <si>
    <t>16</t>
  </si>
  <si>
    <t>15</t>
  </si>
  <si>
    <t>14</t>
  </si>
  <si>
    <t>13</t>
  </si>
  <si>
    <t>masalis transportirebis xarjebi (samSeneblo masalebis Rirebulebidan)</t>
  </si>
  <si>
    <t>horizontaluri damiwebis konturis mowyoba (mrgvali  foladiT)</t>
  </si>
  <si>
    <r>
      <t xml:space="preserve">მოთუთიებული გამტარი, </t>
    </r>
    <r>
      <rPr>
        <b/>
        <sz val="11"/>
        <rFont val="Calibri"/>
        <family val="2"/>
        <charset val="204"/>
        <scheme val="minor"/>
      </rPr>
      <t>Ø</t>
    </r>
    <r>
      <rPr>
        <b/>
        <sz val="11"/>
        <rFont val="AcadNusx"/>
      </rPr>
      <t>8mm</t>
    </r>
  </si>
  <si>
    <t>7,3</t>
  </si>
  <si>
    <t>7,4</t>
  </si>
  <si>
    <r>
      <t xml:space="preserve">gofrirebuli saizolacio mili d=∅63      </t>
    </r>
    <r>
      <rPr>
        <sz val="11"/>
        <color theme="1"/>
        <rFont val="Cambria"/>
        <family val="1"/>
        <scheme val="major"/>
      </rPr>
      <t>IP 55  ГОСТ14254</t>
    </r>
  </si>
  <si>
    <r>
      <t xml:space="preserve">gofrirebuli saizolacio mili d=∅32 mm  </t>
    </r>
    <r>
      <rPr>
        <sz val="11"/>
        <color theme="1"/>
        <rFont val="Cambria"/>
        <family val="1"/>
        <scheme val="major"/>
      </rPr>
      <t>IP55  ГОСТ14254</t>
    </r>
  </si>
  <si>
    <r>
      <t xml:space="preserve">gofrirebuli saizolacio mili d=∅25 mm  </t>
    </r>
    <r>
      <rPr>
        <sz val="11"/>
        <color theme="1"/>
        <rFont val="Cambria"/>
        <family val="1"/>
        <scheme val="major"/>
      </rPr>
      <t>IP55  ГОСТ14254</t>
    </r>
  </si>
  <si>
    <r>
      <t>gofrirebuli saizolacio mili d=∅20 mm  I</t>
    </r>
    <r>
      <rPr>
        <sz val="11"/>
        <color theme="1"/>
        <rFont val="Cambria"/>
        <family val="1"/>
        <scheme val="major"/>
      </rPr>
      <t>P55  ГОСТ14254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</si>
  <si>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</si>
  <si>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</si>
  <si>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</si>
  <si>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r>
      <t>m</t>
    </r>
    <r>
      <rPr>
        <b/>
        <vertAlign val="superscript"/>
        <sz val="10"/>
        <rFont val="AcadNusx"/>
      </rPr>
      <t>2</t>
    </r>
  </si>
  <si>
    <t>Senobis mSeneblobis samuSaoebi</t>
  </si>
  <si>
    <t xml:space="preserve">armatura A-III </t>
  </si>
  <si>
    <t>11</t>
  </si>
  <si>
    <t>3,3</t>
  </si>
  <si>
    <t xml:space="preserve">RorRi </t>
  </si>
  <si>
    <t>amwe - kranis momsaxureoba 10t</t>
  </si>
  <si>
    <t>liTonis dgari</t>
  </si>
  <si>
    <r>
      <t xml:space="preserve">betoni </t>
    </r>
    <r>
      <rPr>
        <sz val="11"/>
        <rFont val="Arial"/>
        <family val="2"/>
        <charset val="204"/>
      </rPr>
      <t xml:space="preserve">B7.5 </t>
    </r>
  </si>
  <si>
    <t>liTonis Robe</t>
  </si>
  <si>
    <t>liTonis konstruqcia samontaJo</t>
  </si>
  <si>
    <t>sul pirdapiri danaxarjebi</t>
  </si>
  <si>
    <t>samSeneblo samuSaoebi            lari</t>
  </si>
  <si>
    <t>samuSaos dasaxeleba</t>
  </si>
  <si>
    <t>samSeneblo samuSaoebis damTavrebis Semdeg teritoriis saboloo dasufTaveba, samSeneblo narCenebis Segroveba, gamotana, avtoTviTmclelze dasatvirTavad</t>
  </si>
  <si>
    <t>masalis transportirebis xarjebi</t>
  </si>
  <si>
    <t>sul xarjTaRricxva #2</t>
  </si>
  <si>
    <t>sul xarjTaRricxva #1</t>
  </si>
  <si>
    <t>TabaSir_muyaos fila nestgamZle</t>
  </si>
  <si>
    <t>iatakis rozetis kolofi 2 meqanizmze</t>
  </si>
  <si>
    <r>
      <rPr>
        <sz val="11"/>
        <color theme="1"/>
        <rFont val="Cambria"/>
        <family val="1"/>
        <charset val="204"/>
        <scheme val="major"/>
      </rPr>
      <t xml:space="preserve">USB </t>
    </r>
    <r>
      <rPr>
        <sz val="11"/>
        <color theme="1"/>
        <rFont val="AcadNusx"/>
      </rPr>
      <t>ormagi sateni rozeti</t>
    </r>
  </si>
  <si>
    <r>
      <t xml:space="preserve">betoni </t>
    </r>
    <r>
      <rPr>
        <sz val="11"/>
        <rFont val="Arial"/>
        <family val="2"/>
        <charset val="204"/>
      </rPr>
      <t>B25</t>
    </r>
  </si>
  <si>
    <r>
      <t xml:space="preserve">armatura </t>
    </r>
    <r>
      <rPr>
        <sz val="11"/>
        <color rgb="FFFF0000"/>
        <rFont val="Arial"/>
        <family val="2"/>
        <charset val="204"/>
      </rPr>
      <t>A-III</t>
    </r>
  </si>
  <si>
    <r>
      <t xml:space="preserve">armatura </t>
    </r>
    <r>
      <rPr>
        <sz val="11"/>
        <color rgb="FFFF0000"/>
        <rFont val="Arial"/>
        <family val="2"/>
        <charset val="204"/>
      </rPr>
      <t>A-I</t>
    </r>
  </si>
  <si>
    <r>
      <t xml:space="preserve">armatura </t>
    </r>
    <r>
      <rPr>
        <sz val="11"/>
        <color rgb="FFFF0000"/>
        <rFont val="Times New Roman"/>
        <family val="1"/>
        <charset val="204"/>
      </rPr>
      <t>A-I</t>
    </r>
  </si>
  <si>
    <r>
      <t xml:space="preserve">armatura </t>
    </r>
    <r>
      <rPr>
        <sz val="11"/>
        <color rgb="FFFF0000"/>
        <rFont val="Times New Roman"/>
        <family val="1"/>
        <charset val="204"/>
      </rPr>
      <t>A-III   Ф 8</t>
    </r>
  </si>
  <si>
    <r>
      <t>armatura</t>
    </r>
    <r>
      <rPr>
        <sz val="11"/>
        <color rgb="FFFF0000"/>
        <rFont val="Times New Roman"/>
        <family val="1"/>
        <charset val="204"/>
      </rPr>
      <t xml:space="preserve"> A-I</t>
    </r>
  </si>
  <si>
    <r>
      <t>kabeli spilenZis ZarRviani uwvadi
aratoqsikuri saizolacio masaliT
3X2.5 mm2</t>
    </r>
    <r>
      <rPr>
        <vertAlign val="superscript"/>
        <sz val="11"/>
        <rFont val="AcadNusx"/>
      </rPr>
      <t xml:space="preserve">  </t>
    </r>
    <r>
      <rPr>
        <sz val="11"/>
        <rFont val="AcadNusx"/>
      </rPr>
      <t>ВВГ  3*2,5მმ</t>
    </r>
    <r>
      <rPr>
        <vertAlign val="superscript"/>
        <sz val="11"/>
        <rFont val="AcadNusx"/>
      </rPr>
      <t>2</t>
    </r>
  </si>
  <si>
    <r>
      <t>kabeli spilenZis ZarRviani uwvadi
aratoqsikuri saizolacio masaliT
3X1.5 mm2</t>
    </r>
    <r>
      <rPr>
        <vertAlign val="superscript"/>
        <sz val="11"/>
        <rFont val="AcadNusx"/>
      </rPr>
      <t xml:space="preserve">   </t>
    </r>
    <r>
      <rPr>
        <sz val="11"/>
        <rFont val="AcadNusx"/>
      </rPr>
      <t>ВВГ   3*1,5მმ</t>
    </r>
    <r>
      <rPr>
        <vertAlign val="superscript"/>
        <sz val="11"/>
        <rFont val="AcadNusx"/>
      </rPr>
      <t>2</t>
    </r>
  </si>
  <si>
    <r>
      <t>saSrefselo komutaciis kolofi dacvis klasi</t>
    </r>
    <r>
      <rPr>
        <sz val="11"/>
        <rFont val="Calibri"/>
        <family val="2"/>
        <charset val="204"/>
        <scheme val="minor"/>
      </rPr>
      <t xml:space="preserve">   IP 20</t>
    </r>
  </si>
  <si>
    <r>
      <t>or klaviSiani reversuli CamrTveli dacvis klasi</t>
    </r>
    <r>
      <rPr>
        <sz val="11"/>
        <color theme="1"/>
        <rFont val="Calibri"/>
        <family val="2"/>
        <charset val="204"/>
        <scheme val="minor"/>
      </rPr>
      <t xml:space="preserve"> IP 20</t>
    </r>
  </si>
  <si>
    <r>
      <t>gamanawilebeli kolofi
dacvis klasi</t>
    </r>
    <r>
      <rPr>
        <sz val="11"/>
        <rFont val="Calibri"/>
        <family val="2"/>
        <charset val="204"/>
        <scheme val="minor"/>
      </rPr>
      <t xml:space="preserve"> IP 20</t>
    </r>
  </si>
  <si>
    <r>
      <t xml:space="preserve">saStefselo rozeti damiwebiT
250v/16a; dacvis klasi </t>
    </r>
    <r>
      <rPr>
        <sz val="11"/>
        <rFont val="Calibri"/>
        <family val="2"/>
        <charset val="204"/>
        <scheme val="minor"/>
      </rPr>
      <t>IP 45</t>
    </r>
  </si>
  <si>
    <r>
      <t xml:space="preserve">dublirebuli saStefselo rozeti damiwebiT
250v/16a; dacvis klasi </t>
    </r>
    <r>
      <rPr>
        <sz val="11"/>
        <rFont val="Calibri"/>
        <family val="2"/>
        <charset val="204"/>
        <scheme val="minor"/>
      </rPr>
      <t>IP 45</t>
    </r>
  </si>
  <si>
    <r>
      <t xml:space="preserve">saStefselo rozeti damiwebiT
250v/25a; dacvis klasi </t>
    </r>
    <r>
      <rPr>
        <sz val="11"/>
        <rFont val="Calibri"/>
        <family val="2"/>
        <charset val="204"/>
        <scheme val="minor"/>
      </rPr>
      <t>IP 65</t>
    </r>
  </si>
  <si>
    <r>
      <t>orklaviSiani CamrTveli
250v/10a; dacvis klasi</t>
    </r>
    <r>
      <rPr>
        <sz val="11"/>
        <rFont val="Calibri"/>
        <family val="2"/>
        <charset val="204"/>
        <scheme val="minor"/>
      </rPr>
      <t xml:space="preserve"> IP 45</t>
    </r>
  </si>
  <si>
    <r>
      <t xml:space="preserve">erTklaviSiani CamrTveli
250v/10a; dacvis klasi </t>
    </r>
    <r>
      <rPr>
        <sz val="11"/>
        <rFont val="Calibri"/>
        <family val="2"/>
        <charset val="204"/>
        <scheme val="minor"/>
      </rPr>
      <t>IP 4</t>
    </r>
    <r>
      <rPr>
        <sz val="11"/>
        <rFont val="AcadNusx"/>
      </rPr>
      <t>5</t>
    </r>
  </si>
  <si>
    <r>
      <t>erTklaviSiani reversuli CamrTveli
250v/10a; dacvis klasi</t>
    </r>
    <r>
      <rPr>
        <sz val="11"/>
        <color theme="1"/>
        <rFont val="Calibri"/>
        <family val="2"/>
        <charset val="204"/>
        <scheme val="minor"/>
      </rPr>
      <t xml:space="preserve"> IP 45</t>
    </r>
  </si>
  <si>
    <r>
      <rPr>
        <sz val="11"/>
        <color theme="1"/>
        <rFont val="AcadNusx"/>
      </rPr>
      <t xml:space="preserve">Weris dioduri sanaTi  60X60 220v, 40a </t>
    </r>
    <r>
      <rPr>
        <sz val="11"/>
        <color theme="1"/>
        <rFont val="Cambria"/>
        <family val="1"/>
        <charset val="204"/>
        <scheme val="major"/>
      </rPr>
      <t xml:space="preserve">  IP 20</t>
    </r>
  </si>
  <si>
    <r>
      <t xml:space="preserve">Weris wriuli dioduri   d-25sm sanaTi 220v, 18vat                    </t>
    </r>
    <r>
      <rPr>
        <sz val="11"/>
        <color theme="1"/>
        <rFont val="Calibri"/>
        <family val="2"/>
        <charset val="204"/>
        <scheme val="minor"/>
      </rPr>
      <t>IP 20</t>
    </r>
  </si>
  <si>
    <r>
      <rPr>
        <sz val="11"/>
        <color theme="1"/>
        <rFont val="AcadNusx"/>
      </rPr>
      <t>avariuli wriuli dioduri
∅10 sm sanaTi 220v; 8 vat</t>
    </r>
    <r>
      <rPr>
        <sz val="11"/>
        <color theme="1"/>
        <rFont val="Cambria"/>
        <family val="1"/>
        <charset val="204"/>
        <scheme val="major"/>
      </rPr>
      <t>;                          IP 28</t>
    </r>
  </si>
  <si>
    <r>
      <t xml:space="preserve">Weris dioduri sanaTi   120X20sm 220v, 20vat                                 </t>
    </r>
    <r>
      <rPr>
        <sz val="11"/>
        <color theme="1"/>
        <rFont val="Calibri"/>
        <family val="2"/>
        <charset val="204"/>
        <scheme val="minor"/>
      </rPr>
      <t xml:space="preserve"> IP 65</t>
    </r>
  </si>
  <si>
    <r>
      <t xml:space="preserve">Weris dioduri sanaTi   120X20sm 220v, 40vat                                 </t>
    </r>
    <r>
      <rPr>
        <sz val="11"/>
        <color theme="1"/>
        <rFont val="Calibri"/>
        <family val="2"/>
        <charset val="204"/>
        <scheme val="minor"/>
      </rPr>
      <t xml:space="preserve"> IP 65</t>
    </r>
  </si>
  <si>
    <r>
      <rPr>
        <sz val="11"/>
        <rFont val="AcadNusx"/>
      </rPr>
      <t xml:space="preserve">uwyveti denis wyaro 250v/1000va </t>
    </r>
    <r>
      <rPr>
        <sz val="11"/>
        <rFont val="Calibri"/>
        <family val="2"/>
        <charset val="204"/>
        <scheme val="minor"/>
      </rPr>
      <t>(UPS)IP 41</t>
    </r>
  </si>
  <si>
    <r>
      <t>ganaTebis avariuli uwyveti denis
wyaros SeZena montaJi  220v 1000va; (</t>
    </r>
    <r>
      <rPr>
        <b/>
        <sz val="11"/>
        <rFont val="Calibri"/>
        <family val="2"/>
        <charset val="204"/>
        <scheme val="minor"/>
      </rPr>
      <t>UPS</t>
    </r>
    <r>
      <rPr>
        <b/>
        <sz val="11"/>
        <rFont val="AcadNusx"/>
      </rPr>
      <t xml:space="preserve">) </t>
    </r>
    <r>
      <rPr>
        <b/>
        <sz val="11"/>
        <rFont val="Calibri"/>
        <family val="2"/>
        <charset val="204"/>
        <scheme val="minor"/>
      </rPr>
      <t>IP 65</t>
    </r>
    <r>
      <rPr>
        <b/>
        <sz val="11"/>
        <rFont val="AcadNusx"/>
      </rPr>
      <t xml:space="preserve">  </t>
    </r>
  </si>
  <si>
    <t>akumlatoris batarea 12 v 100 a/sT</t>
  </si>
  <si>
    <t>kabelis plasmasis samagri
xamuTiT ∅6mm   ∅6mm/60mm</t>
  </si>
  <si>
    <r>
      <t xml:space="preserve">mexamridi antena samagri
kroSteinebiT ∅36mm 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>=300mm</t>
    </r>
  </si>
  <si>
    <t>Senobis eleqtro montaJis samuSaoebi</t>
  </si>
  <si>
    <r>
      <t xml:space="preserve">ფოტორელე </t>
    </r>
    <r>
      <rPr>
        <sz val="10"/>
        <rFont val="Calibri"/>
        <family val="2"/>
        <charset val="204"/>
        <scheme val="minor"/>
      </rPr>
      <t>250V  5A</t>
    </r>
  </si>
  <si>
    <t xml:space="preserve">samSeneblo nagvis gatana 10 km-ze </t>
  </si>
  <si>
    <t>ganz.erT</t>
  </si>
  <si>
    <t xml:space="preserve">monoliTuri r/b rigelebis mowyoba </t>
  </si>
  <si>
    <t>nestgamZle TabaSirmuyaos Sekiduli Weris mowyoba</t>
  </si>
  <si>
    <t xml:space="preserve">sul xarjTaRricxviT </t>
  </si>
  <si>
    <t>qviSa-cementis xsnari  m-100</t>
  </si>
  <si>
    <t>gare ganaTebis dekoratiuli dioduri sanaTis ori 50vat (gamanawilebeli          kolofiT)</t>
  </si>
  <si>
    <t>lk#2</t>
  </si>
  <si>
    <t>lk #1</t>
  </si>
  <si>
    <t>demontaJis samuSaoebi</t>
  </si>
  <si>
    <t>samSeneblo narCenebis Segroveba, gamotana, avtoTviTmclelze dasatvirTavad</t>
  </si>
  <si>
    <t>+</t>
  </si>
  <si>
    <r>
      <t xml:space="preserve">Weris wriuli dioduri   d-32sm sanaTi 220v, 25vat                    </t>
    </r>
    <r>
      <rPr>
        <sz val="11"/>
        <color theme="1"/>
        <rFont val="Calibri"/>
        <family val="2"/>
        <charset val="204"/>
        <scheme val="minor"/>
      </rPr>
      <t>IP 21</t>
    </r>
    <r>
      <rPr>
        <sz val="11"/>
        <color theme="1"/>
        <rFont val="Calibri"/>
        <family val="2"/>
        <charset val="1"/>
        <scheme val="minor"/>
      </rPr>
      <t/>
    </r>
  </si>
  <si>
    <t>teritoriis gare eleqtro montaJis samuSaoebi</t>
  </si>
  <si>
    <t>lk 8</t>
  </si>
  <si>
    <r>
      <rPr>
        <sz val="11"/>
        <color theme="1"/>
        <rFont val="AcadNusx"/>
      </rPr>
      <t>Weris dioduri sanaTi
∅12 sm  220v; 18 vat</t>
    </r>
    <r>
      <rPr>
        <sz val="11"/>
        <color theme="1"/>
        <rFont val="Cambria"/>
        <family val="1"/>
        <charset val="204"/>
        <scheme val="major"/>
      </rPr>
      <t>;                IP 44</t>
    </r>
  </si>
  <si>
    <r>
      <t xml:space="preserve">Weris dioduri sanaTi   60X60sm 220v, 40vat                                 </t>
    </r>
    <r>
      <rPr>
        <sz val="11"/>
        <color theme="1"/>
        <rFont val="Calibri"/>
        <family val="2"/>
        <charset val="204"/>
        <scheme val="minor"/>
      </rPr>
      <t xml:space="preserve"> IP 66</t>
    </r>
    <r>
      <rPr>
        <sz val="11"/>
        <color theme="1"/>
        <rFont val="Calibri"/>
        <family val="2"/>
        <charset val="1"/>
        <scheme val="minor"/>
      </rPr>
      <t/>
    </r>
  </si>
  <si>
    <t>kedlebidan nalesis moxsna</t>
  </si>
  <si>
    <t>balasti</t>
  </si>
  <si>
    <t>armirebuli betonis iatakis mowyoba</t>
  </si>
  <si>
    <t>gare tualetis Senobis mowyoba</t>
  </si>
  <si>
    <t xml:space="preserve">Senobebis Sida kar fanjrebis ferdoebis Selesva qviSa-cementis xsnariT </t>
  </si>
  <si>
    <t>sadarbazos SesasvlelSi dazianebuli xis iatakis demontaji</t>
  </si>
  <si>
    <t xml:space="preserve">arsebuli dazianebuli avariuli xis kibis demontaJi </t>
  </si>
  <si>
    <t>monoliTuri rk.betonis kibis mowyoba</t>
  </si>
  <si>
    <t xml:space="preserve">monoliTuri rk.betonis kibis mowyoba   </t>
  </si>
  <si>
    <t>sadarbazos Sesasvlelisa da baqnebis iatakebis moWimva cementis xsnariT  m-200 30mm</t>
  </si>
  <si>
    <t>sadarbazos SesasvlelSi iatakis qvabulis Sevseba balastiT</t>
  </si>
  <si>
    <t>sadarbazos SesasvlelSi rk.betonis iatakis mowyoba</t>
  </si>
  <si>
    <t>monoliTuri rk.betonis kibeebisa da baqnebis keTilmowyoba</t>
  </si>
  <si>
    <t xml:space="preserve">sadarbazos Sesasvlelis iatakis, baqnebisa da kibeebis mopirkeTeba keramogranitis filiT </t>
  </si>
  <si>
    <t>monoliTur rk.betonis kibeebsa da marSebze, aseve baqanze fasadis mxares, liTonis dekoratiuli moajiris mowyoba, Caankereba</t>
  </si>
  <si>
    <t xml:space="preserve">sadarbazos Sesasvleli liTonis karebis blokis damzadeba da montaJi </t>
  </si>
  <si>
    <t>liTonis karebis blokisa da liTonis moajirebis SeRebva antikoroziuli
saRebaviT</t>
  </si>
  <si>
    <t>sadarbazos Sida kedlebis lesva cementis xsnariT</t>
  </si>
  <si>
    <t xml:space="preserve"> kvm</t>
  </si>
  <si>
    <t>armaturis bade          Ф6АIII b.100X100</t>
  </si>
  <si>
    <t>sadarbazos Sida kedlebis umaRlesi xarisxis damuSaveba da SeRebva emulsiuri saRebaviT</t>
  </si>
  <si>
    <t>TabaSirmuyaos  Sekiduli Weris umaRlesi xarisxis damuSaveba da SeRebva emulsiurio saRebaviT</t>
  </si>
  <si>
    <t>RorRis fenilis mowyoba armirebuli betonis iatakis qveS</t>
  </si>
  <si>
    <r>
      <rPr>
        <sz val="11"/>
        <color theme="1"/>
        <rFont val="AcadNusx"/>
      </rPr>
      <t xml:space="preserve">gare samontaJo wriuli, kedlis, dioduri sanaTi 
∅ 10 sm 220v; 8 vat;  </t>
    </r>
    <r>
      <rPr>
        <sz val="11"/>
        <color theme="1"/>
        <rFont val="Cambria"/>
        <family val="1"/>
        <charset val="204"/>
        <scheme val="major"/>
      </rPr>
      <t xml:space="preserve">                              IP 44</t>
    </r>
  </si>
  <si>
    <t>kabel arxebi  100X50</t>
  </si>
  <si>
    <t>dmanisis municipalitetis sofel mTisZirSi sacxovrebeli korpusis dasarbazos reabiulitacia</t>
  </si>
  <si>
    <t>%</t>
  </si>
  <si>
    <t>სამუშაოების შესრულების ღირებულება არ უნდა აღემატებოდეს 17 173 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</si>
</sst>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₾_-;\-* #,##0.00\ _₾_-;_-* &quot;-&quot;??\ _₾_-;_-@_-"/>
    <numFmt numFmtId="166" formatCode="0.0"/>
    <numFmt numFmtId="167" formatCode="0.000"/>
    <numFmt numFmtId="168" formatCode="_-* #,##0.00_р_._-;\-* #,##0.00_р_._-;_-* &quot;-&quot;??_р_._-;_-@_-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</numFmts>
  <fonts count="8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cadNusx"/>
    </font>
    <font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vertAlign val="superscript"/>
      <sz val="10"/>
      <name val="AcadNusx"/>
    </font>
    <font>
      <sz val="10"/>
      <color rgb="FF000000"/>
      <name val="AcadNusx"/>
    </font>
    <font>
      <sz val="10"/>
      <color rgb="FFFF0000"/>
      <name val="AcadNusx"/>
    </font>
    <font>
      <sz val="10"/>
      <name val="Calibri"/>
      <family val="2"/>
      <charset val="204"/>
      <scheme val="minor"/>
    </font>
    <font>
      <sz val="11"/>
      <color rgb="FFFF0000"/>
      <name val="AcadNusx"/>
    </font>
    <font>
      <b/>
      <sz val="11"/>
      <name val="Calibri"/>
      <family val="2"/>
      <charset val="204"/>
      <scheme val="minor"/>
    </font>
    <font>
      <sz val="11"/>
      <name val="Sylfaen"/>
      <family val="1"/>
      <charset val="204"/>
    </font>
    <font>
      <sz val="11"/>
      <color theme="1"/>
      <name val="Cambria"/>
      <family val="1"/>
      <scheme val="major"/>
    </font>
    <font>
      <b/>
      <vertAlign val="superscript"/>
      <sz val="10"/>
      <name val="AcadNusx"/>
    </font>
    <font>
      <vertAlign val="superscript"/>
      <sz val="11"/>
      <name val="AcadNusx"/>
    </font>
    <font>
      <sz val="11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color rgb="FF000000"/>
      <name val="AcadNusx"/>
    </font>
    <font>
      <sz val="11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color rgb="FF000000"/>
      <name val="AcadNusx"/>
    </font>
    <font>
      <b/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ED2A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8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13" fillId="0" borderId="0"/>
    <xf numFmtId="0" fontId="15" fillId="0" borderId="0"/>
    <xf numFmtId="0" fontId="19" fillId="0" borderId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40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0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0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0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0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0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40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0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0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0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2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24" fillId="28" borderId="9" applyNumberFormat="0" applyAlignment="0" applyProtection="0"/>
    <xf numFmtId="0" fontId="43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0" fontId="25" fillId="29" borderId="10" applyNumberFormat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5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9" fillId="0" borderId="0" applyFont="0" applyFill="0" applyBorder="0" applyAlignment="0" applyProtection="0"/>
    <xf numFmtId="166" fontId="5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6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47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9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0" fontId="50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4" fillId="0" borderId="0"/>
    <xf numFmtId="0" fontId="19" fillId="0" borderId="0"/>
    <xf numFmtId="0" fontId="58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9" fillId="0" borderId="0"/>
    <xf numFmtId="0" fontId="13" fillId="0" borderId="0"/>
    <xf numFmtId="0" fontId="59" fillId="0" borderId="0"/>
    <xf numFmtId="0" fontId="13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13" fillId="31" borderId="15" applyNumberFormat="0" applyFont="0" applyAlignment="0" applyProtection="0"/>
    <xf numFmtId="0" fontId="52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0" fontId="35" fillId="28" borderId="16" applyNumberFormat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0" borderId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/>
    <xf numFmtId="0" fontId="19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7" fillId="0" borderId="0"/>
    <xf numFmtId="0" fontId="19" fillId="0" borderId="0"/>
    <xf numFmtId="0" fontId="13" fillId="0" borderId="0"/>
    <xf numFmtId="0" fontId="13" fillId="0" borderId="0"/>
    <xf numFmtId="0" fontId="57" fillId="0" borderId="0"/>
    <xf numFmtId="0" fontId="3" fillId="0" borderId="0"/>
    <xf numFmtId="0" fontId="3" fillId="0" borderId="0"/>
    <xf numFmtId="0" fontId="13" fillId="0" borderId="0"/>
    <xf numFmtId="0" fontId="61" fillId="9" borderId="0" applyNumberFormat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57" fillId="0" borderId="0"/>
  </cellStyleXfs>
  <cellXfs count="382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49" fontId="64" fillId="0" borderId="6" xfId="0" applyNumberFormat="1" applyFont="1" applyBorder="1" applyAlignment="1">
      <alignment horizontal="center" vertical="center" wrapText="1"/>
    </xf>
    <xf numFmtId="49" fontId="64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49" fontId="62" fillId="0" borderId="1" xfId="0" applyNumberFormat="1" applyFont="1" applyFill="1" applyBorder="1" applyAlignment="1" applyProtection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49" fontId="16" fillId="0" borderId="0" xfId="0" applyNumberFormat="1" applyFont="1"/>
    <xf numFmtId="49" fontId="11" fillId="0" borderId="0" xfId="0" applyNumberFormat="1" applyFont="1" applyFill="1"/>
    <xf numFmtId="49" fontId="66" fillId="0" borderId="0" xfId="0" applyNumberFormat="1" applyFont="1" applyFill="1"/>
    <xf numFmtId="2" fontId="11" fillId="0" borderId="0" xfId="0" applyNumberFormat="1" applyFont="1" applyFill="1"/>
    <xf numFmtId="2" fontId="8" fillId="0" borderId="0" xfId="0" applyNumberFormat="1" applyFont="1" applyFill="1" applyAlignment="1">
      <alignment horizontal="center" vertical="center" wrapText="1"/>
    </xf>
    <xf numFmtId="49" fontId="66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8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0" fontId="62" fillId="0" borderId="1" xfId="0" applyNumberFormat="1" applyFont="1" applyFill="1" applyBorder="1" applyAlignment="1">
      <alignment horizontal="center" vertical="center" wrapText="1"/>
    </xf>
    <xf numFmtId="0" fontId="5" fillId="0" borderId="1" xfId="647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6" fillId="0" borderId="0" xfId="0" applyNumberFormat="1" applyFont="1" applyFill="1"/>
    <xf numFmtId="49" fontId="12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 wrapText="1"/>
    </xf>
    <xf numFmtId="0" fontId="62" fillId="0" borderId="1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32" borderId="7" xfId="0" applyNumberFormat="1" applyFont="1" applyFill="1" applyBorder="1" applyAlignment="1">
      <alignment horizontal="center" vertical="center" wrapText="1"/>
    </xf>
    <xf numFmtId="0" fontId="64" fillId="0" borderId="7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 vertical="center" wrapText="1"/>
    </xf>
    <xf numFmtId="0" fontId="5" fillId="0" borderId="1" xfId="634" applyNumberFormat="1" applyFont="1" applyFill="1" applyBorder="1" applyAlignment="1">
      <alignment horizontal="center" vertical="center" wrapText="1"/>
    </xf>
    <xf numFmtId="0" fontId="5" fillId="0" borderId="3" xfId="634" applyNumberFormat="1" applyFont="1" applyFill="1" applyBorder="1" applyAlignment="1">
      <alignment horizontal="center" vertical="center" wrapText="1"/>
    </xf>
    <xf numFmtId="49" fontId="64" fillId="5" borderId="7" xfId="0" applyNumberFormat="1" applyFont="1" applyFill="1" applyBorder="1" applyAlignment="1">
      <alignment horizontal="center" vertical="center" wrapText="1"/>
    </xf>
    <xf numFmtId="0" fontId="64" fillId="5" borderId="7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Alignment="1">
      <alignment horizontal="center" vertical="center" wrapText="1"/>
    </xf>
    <xf numFmtId="9" fontId="17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2" fontId="8" fillId="0" borderId="1" xfId="904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905" applyNumberFormat="1" applyFont="1" applyFill="1" applyBorder="1" applyAlignment="1">
      <alignment horizontal="center" vertical="center" wrapText="1"/>
    </xf>
    <xf numFmtId="0" fontId="8" fillId="0" borderId="1" xfId="874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67" fillId="0" borderId="1" xfId="0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17" fillId="0" borderId="1" xfId="1" applyNumberFormat="1" applyFont="1" applyFill="1" applyBorder="1" applyAlignment="1">
      <alignment vertical="center" wrapText="1"/>
    </xf>
    <xf numFmtId="49" fontId="8" fillId="0" borderId="1" xfId="634" applyNumberFormat="1" applyFont="1" applyFill="1" applyBorder="1" applyAlignment="1">
      <alignment horizontal="left" vertical="center" wrapText="1"/>
    </xf>
    <xf numFmtId="0" fontId="8" fillId="0" borderId="1" xfId="634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2" fillId="0" borderId="4" xfId="0" applyNumberFormat="1" applyFont="1" applyFill="1" applyBorder="1" applyAlignment="1">
      <alignment horizontal="center" vertical="center" wrapText="1"/>
    </xf>
    <xf numFmtId="0" fontId="62" fillId="0" borderId="1" xfId="0" applyNumberFormat="1" applyFont="1" applyFill="1" applyBorder="1" applyAlignment="1" applyProtection="1">
      <alignment horizontal="center" vertical="center" wrapText="1"/>
    </xf>
    <xf numFmtId="49" fontId="5" fillId="32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4" fillId="0" borderId="6" xfId="0" applyNumberFormat="1" applyFont="1" applyBorder="1" applyAlignment="1">
      <alignment horizontal="center" vertical="center" wrapText="1"/>
    </xf>
    <xf numFmtId="49" fontId="62" fillId="0" borderId="0" xfId="0" applyNumberFormat="1" applyFont="1" applyFill="1" applyAlignment="1">
      <alignment horizontal="center" vertical="center" wrapText="1"/>
    </xf>
    <xf numFmtId="49" fontId="12" fillId="7" borderId="8" xfId="0" applyNumberFormat="1" applyFont="1" applyFill="1" applyBorder="1" applyAlignment="1">
      <alignment horizontal="center" vertical="center" wrapText="1"/>
    </xf>
    <xf numFmtId="49" fontId="5" fillId="0" borderId="1" xfId="797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7" borderId="2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7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3" applyNumberFormat="1" applyFont="1" applyFill="1" applyBorder="1" applyAlignment="1">
      <alignment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49" fontId="67" fillId="0" borderId="1" xfId="3" applyNumberFormat="1" applyFont="1" applyFill="1" applyBorder="1" applyAlignment="1">
      <alignment vertical="center" wrapText="1"/>
    </xf>
    <xf numFmtId="0" fontId="67" fillId="0" borderId="1" xfId="3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7" fillId="7" borderId="1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3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2" fontId="8" fillId="0" borderId="1" xfId="796" applyNumberFormat="1" applyFont="1" applyFill="1" applyBorder="1" applyAlignment="1">
      <alignment horizontal="center" vertical="center" wrapText="1"/>
    </xf>
    <xf numFmtId="2" fontId="8" fillId="0" borderId="1" xfId="797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2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67" fillId="0" borderId="1" xfId="3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62" fillId="8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5" fillId="0" borderId="1" xfId="647" applyNumberFormat="1" applyFont="1" applyBorder="1" applyAlignment="1">
      <alignment horizontal="center" vertical="center" wrapText="1"/>
    </xf>
    <xf numFmtId="49" fontId="5" fillId="0" borderId="1" xfId="879" applyNumberFormat="1" applyFont="1" applyBorder="1" applyAlignment="1">
      <alignment horizontal="center" vertical="center" wrapText="1"/>
    </xf>
    <xf numFmtId="49" fontId="5" fillId="0" borderId="1" xfId="904" applyNumberFormat="1" applyFont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 vertical="center"/>
    </xf>
    <xf numFmtId="49" fontId="18" fillId="8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7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17" fillId="0" borderId="1" xfId="647" applyNumberFormat="1" applyFont="1" applyFill="1" applyBorder="1" applyAlignment="1">
      <alignment horizontal="center" vertical="center" wrapText="1"/>
    </xf>
    <xf numFmtId="0" fontId="8" fillId="0" borderId="1" xfId="879" applyNumberFormat="1" applyFont="1" applyFill="1" applyBorder="1" applyAlignment="1">
      <alignment horizontal="center" vertical="center" wrapText="1"/>
    </xf>
    <xf numFmtId="0" fontId="8" fillId="0" borderId="1" xfId="903" applyNumberFormat="1" applyFont="1" applyFill="1" applyBorder="1" applyAlignment="1">
      <alignment horizontal="center" vertical="center" wrapText="1"/>
    </xf>
    <xf numFmtId="0" fontId="8" fillId="0" borderId="1" xfId="483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 applyProtection="1">
      <alignment horizontal="left" vertical="center" wrapText="1"/>
    </xf>
    <xf numFmtId="49" fontId="17" fillId="0" borderId="1" xfId="2" applyNumberFormat="1" applyFont="1" applyFill="1" applyBorder="1" applyAlignment="1" applyProtection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67" fillId="0" borderId="3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8" fillId="0" borderId="1" xfId="2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75" fillId="0" borderId="1" xfId="0" applyNumberFormat="1" applyFont="1" applyBorder="1" applyAlignment="1">
      <alignment horizontal="left" vertical="center" wrapText="1"/>
    </xf>
    <xf numFmtId="49" fontId="8" fillId="32" borderId="3" xfId="0" applyNumberFormat="1" applyFont="1" applyFill="1" applyBorder="1" applyAlignment="1">
      <alignment horizontal="left" vertical="center" wrapText="1"/>
    </xf>
    <xf numFmtId="49" fontId="8" fillId="8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right" vertical="center" wrapText="1"/>
    </xf>
    <xf numFmtId="49" fontId="75" fillId="0" borderId="6" xfId="0" applyNumberFormat="1" applyFont="1" applyBorder="1" applyAlignment="1">
      <alignment horizontal="center" vertical="center" wrapText="1"/>
    </xf>
    <xf numFmtId="49" fontId="75" fillId="0" borderId="7" xfId="0" applyNumberFormat="1" applyFont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wrapText="1"/>
    </xf>
    <xf numFmtId="2" fontId="10" fillId="0" borderId="0" xfId="0" applyNumberFormat="1" applyFont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2" fontId="75" fillId="0" borderId="6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78" fillId="0" borderId="6" xfId="0" applyNumberFormat="1" applyFont="1" applyFill="1" applyBorder="1" applyAlignment="1">
      <alignment horizontal="center" vertical="center" wrapText="1"/>
    </xf>
    <xf numFmtId="2" fontId="75" fillId="0" borderId="6" xfId="0" applyNumberFormat="1" applyFont="1" applyBorder="1" applyAlignment="1">
      <alignment horizontal="center" vertical="center" wrapText="1"/>
    </xf>
    <xf numFmtId="0" fontId="78" fillId="0" borderId="7" xfId="0" applyNumberFormat="1" applyFont="1" applyFill="1" applyBorder="1" applyAlignment="1">
      <alignment horizontal="center" vertical="center" wrapText="1"/>
    </xf>
    <xf numFmtId="2" fontId="75" fillId="0" borderId="7" xfId="0" applyNumberFormat="1" applyFont="1" applyBorder="1" applyAlignment="1">
      <alignment horizontal="center" vertical="center" wrapText="1"/>
    </xf>
    <xf numFmtId="0" fontId="78" fillId="5" borderId="7" xfId="0" applyNumberFormat="1" applyFont="1" applyFill="1" applyBorder="1" applyAlignment="1">
      <alignment horizontal="center" vertical="center" wrapText="1"/>
    </xf>
    <xf numFmtId="2" fontId="75" fillId="5" borderId="7" xfId="0" applyNumberFormat="1" applyFont="1" applyFill="1" applyBorder="1" applyAlignment="1">
      <alignment horizontal="center" vertical="center" wrapText="1"/>
    </xf>
    <xf numFmtId="2" fontId="78" fillId="33" borderId="7" xfId="0" applyNumberFormat="1" applyFont="1" applyFill="1" applyBorder="1" applyAlignment="1">
      <alignment horizontal="center" vertical="center" wrapText="1"/>
    </xf>
    <xf numFmtId="0" fontId="78" fillId="6" borderId="7" xfId="0" applyNumberFormat="1" applyFont="1" applyFill="1" applyBorder="1" applyAlignment="1">
      <alignment horizontal="center" vertical="center" wrapText="1"/>
    </xf>
    <xf numFmtId="0" fontId="78" fillId="0" borderId="7" xfId="0" applyNumberFormat="1" applyFont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67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1" xfId="634" applyNumberFormat="1" applyFont="1" applyFill="1" applyBorder="1" applyAlignment="1">
      <alignment horizontal="center" vertical="center" wrapText="1"/>
    </xf>
    <xf numFmtId="49" fontId="17" fillId="0" borderId="1" xfId="647" applyNumberFormat="1" applyFont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8" fillId="0" borderId="1" xfId="647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69" fillId="0" borderId="1" xfId="647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0" fontId="62" fillId="3" borderId="1" xfId="0" applyNumberFormat="1" applyFont="1" applyFill="1" applyBorder="1" applyAlignment="1">
      <alignment horizontal="center" vertical="center" wrapText="1"/>
    </xf>
    <xf numFmtId="0" fontId="62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0" fontId="62" fillId="8" borderId="1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0" borderId="1" xfId="879" applyNumberFormat="1" applyFont="1" applyBorder="1" applyAlignment="1">
      <alignment horizontal="center" vertical="center" wrapText="1"/>
    </xf>
    <xf numFmtId="0" fontId="5" fillId="0" borderId="1" xfId="903" applyNumberFormat="1" applyFont="1" applyBorder="1" applyAlignment="1">
      <alignment horizontal="center" vertical="center" wrapText="1"/>
    </xf>
    <xf numFmtId="0" fontId="62" fillId="0" borderId="1" xfId="0" applyNumberFormat="1" applyFont="1" applyBorder="1" applyAlignment="1">
      <alignment horizontal="center" vertical="center"/>
    </xf>
    <xf numFmtId="0" fontId="18" fillId="8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647" applyNumberFormat="1" applyFont="1" applyBorder="1" applyAlignment="1">
      <alignment horizontal="center" vertical="center" wrapText="1"/>
    </xf>
    <xf numFmtId="2" fontId="8" fillId="0" borderId="1" xfId="647" applyNumberFormat="1" applyFont="1" applyFill="1" applyBorder="1" applyAlignment="1">
      <alignment horizontal="center" vertical="center" wrapText="1"/>
    </xf>
    <xf numFmtId="2" fontId="8" fillId="0" borderId="1" xfId="796" applyNumberFormat="1" applyFont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8" fillId="0" borderId="1" xfId="647" applyNumberFormat="1" applyFont="1" applyFill="1" applyBorder="1" applyAlignment="1">
      <alignment horizontal="center" vertical="center" wrapText="1"/>
    </xf>
    <xf numFmtId="2" fontId="8" fillId="0" borderId="1" xfId="879" applyNumberFormat="1" applyFont="1" applyFill="1" applyBorder="1" applyAlignment="1">
      <alignment horizontal="center" vertical="center" wrapText="1"/>
    </xf>
    <xf numFmtId="2" fontId="8" fillId="0" borderId="1" xfId="795" applyNumberFormat="1" applyFont="1" applyFill="1" applyBorder="1" applyAlignment="1">
      <alignment horizontal="center" vertical="center" wrapText="1"/>
    </xf>
    <xf numFmtId="2" fontId="8" fillId="0" borderId="1" xfId="904" applyNumberFormat="1" applyFont="1" applyBorder="1" applyAlignment="1">
      <alignment horizontal="center" vertical="center" wrapText="1"/>
    </xf>
    <xf numFmtId="2" fontId="8" fillId="0" borderId="1" xfId="905" applyNumberFormat="1" applyFont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49" fontId="17" fillId="0" borderId="7" xfId="0" applyNumberFormat="1" applyFont="1" applyFill="1" applyBorder="1" applyAlignment="1">
      <alignment horizontal="right" vertical="center" wrapText="1"/>
    </xf>
    <xf numFmtId="49" fontId="74" fillId="0" borderId="1" xfId="0" applyNumberFormat="1" applyFont="1" applyBorder="1" applyAlignment="1">
      <alignment horizontal="left" vertical="center" wrapText="1"/>
    </xf>
    <xf numFmtId="0" fontId="62" fillId="0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49" fontId="8" fillId="0" borderId="1" xfId="647" applyNumberFormat="1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7" borderId="1" xfId="3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5" fillId="0" borderId="1" xfId="634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49" fontId="62" fillId="0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4" fillId="35" borderId="1" xfId="0" applyNumberFormat="1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49" fontId="10" fillId="35" borderId="1" xfId="0" applyNumberFormat="1" applyFont="1" applyFill="1" applyBorder="1" applyAlignment="1">
      <alignment horizontal="center" vertical="center" wrapText="1"/>
    </xf>
    <xf numFmtId="0" fontId="4" fillId="35" borderId="1" xfId="0" applyNumberFormat="1" applyFont="1" applyFill="1" applyBorder="1" applyAlignment="1">
      <alignment horizontal="center" vertical="center" wrapText="1"/>
    </xf>
    <xf numFmtId="0" fontId="9" fillId="35" borderId="1" xfId="0" applyNumberFormat="1" applyFont="1" applyFill="1" applyBorder="1" applyAlignment="1">
      <alignment horizontal="center" vertical="center" wrapText="1"/>
    </xf>
    <xf numFmtId="49" fontId="10" fillId="34" borderId="1" xfId="0" applyNumberFormat="1" applyFont="1" applyFill="1" applyBorder="1" applyAlignment="1">
      <alignment horizontal="center" vertical="center" wrapText="1"/>
    </xf>
    <xf numFmtId="0" fontId="4" fillId="34" borderId="1" xfId="0" applyNumberFormat="1" applyFont="1" applyFill="1" applyBorder="1" applyAlignment="1">
      <alignment horizontal="center" vertical="center" wrapText="1"/>
    </xf>
    <xf numFmtId="0" fontId="9" fillId="3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7" fillId="7" borderId="1" xfId="3" applyNumberFormat="1" applyFont="1" applyFill="1" applyBorder="1" applyAlignment="1">
      <alignment horizontal="center" vertical="center" wrapText="1"/>
    </xf>
    <xf numFmtId="49" fontId="5" fillId="7" borderId="1" xfId="3" applyNumberFormat="1" applyFont="1" applyFill="1" applyBorder="1" applyAlignment="1">
      <alignment horizontal="center" vertical="center" wrapText="1"/>
    </xf>
    <xf numFmtId="0" fontId="67" fillId="7" borderId="1" xfId="3" applyNumberFormat="1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2" fillId="4" borderId="5" xfId="0" applyNumberFormat="1" applyFont="1" applyFill="1" applyBorder="1" applyAlignment="1">
      <alignment horizontal="center" vertical="top" wrapText="1"/>
    </xf>
    <xf numFmtId="49" fontId="4" fillId="34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4" fillId="35" borderId="1" xfId="0" applyNumberFormat="1" applyFont="1" applyFill="1" applyBorder="1" applyAlignment="1">
      <alignment horizontal="center" vertical="top" wrapText="1"/>
    </xf>
    <xf numFmtId="49" fontId="4" fillId="7" borderId="8" xfId="0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center" vertical="top" wrapText="1"/>
    </xf>
    <xf numFmtId="49" fontId="5" fillId="7" borderId="4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64" fillId="0" borderId="1" xfId="0" applyNumberFormat="1" applyFont="1" applyBorder="1" applyAlignment="1">
      <alignment horizontal="center" vertical="top" wrapText="1"/>
    </xf>
    <xf numFmtId="49" fontId="64" fillId="0" borderId="3" xfId="0" applyNumberFormat="1" applyFont="1" applyBorder="1" applyAlignment="1">
      <alignment horizontal="center" vertical="top" wrapText="1"/>
    </xf>
    <xf numFmtId="49" fontId="64" fillId="5" borderId="3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79" fillId="0" borderId="0" xfId="0" applyNumberFormat="1" applyFont="1" applyAlignment="1">
      <alignment horizontal="center" vertical="center" wrapText="1"/>
    </xf>
  </cellXfs>
  <cellStyles count="908">
    <cellStyle name="20% - Accent1" xfId="6"/>
    <cellStyle name="20% - Accent1 2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3" xfId="17"/>
    <cellStyle name="20% - Accent1 3 2" xfId="18"/>
    <cellStyle name="20% - Accent1 4" xfId="19"/>
    <cellStyle name="20% - Accent1 4 2" xfId="20"/>
    <cellStyle name="20% - Accent1 4 2 2" xfId="21"/>
    <cellStyle name="20% - Accent1 4 3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_Q.W. ADMINISTRACIULI SENOBA" xfId="29"/>
    <cellStyle name="20% - Accent2" xfId="30"/>
    <cellStyle name="20% - Accent2 2" xfId="31"/>
    <cellStyle name="20% - Accent2 2 2" xfId="32"/>
    <cellStyle name="20% - Accent2 2 2 2" xfId="33"/>
    <cellStyle name="20% - Accent2 2 3" xfId="34"/>
    <cellStyle name="20% - Accent2 2 3 2" xfId="35"/>
    <cellStyle name="20% - Accent2 2 4" xfId="36"/>
    <cellStyle name="20% - Accent2 2 4 2" xfId="37"/>
    <cellStyle name="20% - Accent2 2 5" xfId="38"/>
    <cellStyle name="20% - Accent2 2 5 2" xfId="39"/>
    <cellStyle name="20% - Accent2 2 6" xfId="40"/>
    <cellStyle name="20% - Accent2 3" xfId="41"/>
    <cellStyle name="20% - Accent2 3 2" xfId="42"/>
    <cellStyle name="20% - Accent2 4" xfId="43"/>
    <cellStyle name="20% - Accent2 4 2" xfId="44"/>
    <cellStyle name="20% - Accent2 4 2 2" xfId="45"/>
    <cellStyle name="20% - Accent2 4 3" xfId="46"/>
    <cellStyle name="20% - Accent2 5" xfId="47"/>
    <cellStyle name="20% - Accent2 5 2" xfId="48"/>
    <cellStyle name="20% - Accent2 6" xfId="49"/>
    <cellStyle name="20% - Accent2 6 2" xfId="50"/>
    <cellStyle name="20% - Accent2 7" xfId="51"/>
    <cellStyle name="20% - Accent2 7 2" xfId="52"/>
    <cellStyle name="20% - Accent2_Q.W. ADMINISTRACIULI SENOBA" xfId="53"/>
    <cellStyle name="20% - Accent3" xfId="54"/>
    <cellStyle name="20% - Accent3 2" xfId="55"/>
    <cellStyle name="20% - Accent3 2 2" xfId="56"/>
    <cellStyle name="20% - Accent3 2 2 2" xfId="57"/>
    <cellStyle name="20% - Accent3 2 3" xfId="58"/>
    <cellStyle name="20% - Accent3 2 3 2" xfId="59"/>
    <cellStyle name="20% - Accent3 2 4" xfId="60"/>
    <cellStyle name="20% - Accent3 2 4 2" xfId="61"/>
    <cellStyle name="20% - Accent3 2 5" xfId="62"/>
    <cellStyle name="20% - Accent3 2 5 2" xfId="63"/>
    <cellStyle name="20% - Accent3 2 6" xfId="64"/>
    <cellStyle name="20% - Accent3 3" xfId="65"/>
    <cellStyle name="20% - Accent3 3 2" xfId="66"/>
    <cellStyle name="20% - Accent3 4" xfId="67"/>
    <cellStyle name="20% - Accent3 4 2" xfId="68"/>
    <cellStyle name="20% - Accent3 4 2 2" xfId="69"/>
    <cellStyle name="20% - Accent3 4 3" xfId="70"/>
    <cellStyle name="20% - Accent3 5" xfId="71"/>
    <cellStyle name="20% - Accent3 5 2" xfId="72"/>
    <cellStyle name="20% - Accent3 6" xfId="73"/>
    <cellStyle name="20% - Accent3 6 2" xfId="74"/>
    <cellStyle name="20% - Accent3 7" xfId="75"/>
    <cellStyle name="20% - Accent3 7 2" xfId="76"/>
    <cellStyle name="20% - Accent3_Q.W. ADMINISTRACIULI SENOBA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3 2" xfId="83"/>
    <cellStyle name="20% - Accent4 2 4" xfId="84"/>
    <cellStyle name="20% - Accent4 2 4 2" xfId="85"/>
    <cellStyle name="20% - Accent4 2 5" xfId="86"/>
    <cellStyle name="20% - Accent4 2 5 2" xfId="87"/>
    <cellStyle name="20% - Accent4 2 6" xfId="88"/>
    <cellStyle name="20% - Accent4 3" xfId="89"/>
    <cellStyle name="20% - Accent4 3 2" xfId="90"/>
    <cellStyle name="20% - Accent4 4" xfId="91"/>
    <cellStyle name="20% - Accent4 4 2" xfId="92"/>
    <cellStyle name="20% - Accent4 4 2 2" xfId="93"/>
    <cellStyle name="20% - Accent4 4 3" xfId="94"/>
    <cellStyle name="20% - Accent4 5" xfId="95"/>
    <cellStyle name="20% - Accent4 5 2" xfId="96"/>
    <cellStyle name="20% - Accent4 6" xfId="97"/>
    <cellStyle name="20% - Accent4 6 2" xfId="98"/>
    <cellStyle name="20% - Accent4 7" xfId="99"/>
    <cellStyle name="20% - Accent4 7 2" xfId="100"/>
    <cellStyle name="20% - Accent4_Q.W. ADMINISTRACIULI SENOBA" xfId="101"/>
    <cellStyle name="20% - Accent5" xfId="102"/>
    <cellStyle name="20% - Accent5 2" xfId="103"/>
    <cellStyle name="20% - Accent5 2 2" xfId="104"/>
    <cellStyle name="20% - Accent5 2 2 2" xfId="105"/>
    <cellStyle name="20% - Accent5 2 3" xfId="106"/>
    <cellStyle name="20% - Accent5 2 3 2" xfId="107"/>
    <cellStyle name="20% - Accent5 2 4" xfId="108"/>
    <cellStyle name="20% - Accent5 2 4 2" xfId="109"/>
    <cellStyle name="20% - Accent5 2 5" xfId="110"/>
    <cellStyle name="20% - Accent5 2 5 2" xfId="111"/>
    <cellStyle name="20% - Accent5 2 6" xfId="112"/>
    <cellStyle name="20% - Accent5 3" xfId="113"/>
    <cellStyle name="20% - Accent5 3 2" xfId="114"/>
    <cellStyle name="20% - Accent5 4" xfId="115"/>
    <cellStyle name="20% - Accent5 4 2" xfId="116"/>
    <cellStyle name="20% - Accent5 4 2 2" xfId="117"/>
    <cellStyle name="20% - Accent5 4 3" xfId="118"/>
    <cellStyle name="20% - Accent5 5" xfId="119"/>
    <cellStyle name="20% - Accent5 5 2" xfId="120"/>
    <cellStyle name="20% - Accent5 6" xfId="121"/>
    <cellStyle name="20% - Accent5 6 2" xfId="122"/>
    <cellStyle name="20% - Accent5 7" xfId="123"/>
    <cellStyle name="20% - Accent5 7 2" xfId="124"/>
    <cellStyle name="20% - Accent5_Q.W. ADMINISTRACIULI SENOBA" xfId="125"/>
    <cellStyle name="20% - Accent6" xfId="126"/>
    <cellStyle name="20% - Accent6 2" xfId="127"/>
    <cellStyle name="20% - Accent6 2 2" xfId="128"/>
    <cellStyle name="20% - Accent6 2 2 2" xfId="129"/>
    <cellStyle name="20% - Accent6 2 3" xfId="130"/>
    <cellStyle name="20% - Accent6 2 3 2" xfId="131"/>
    <cellStyle name="20% - Accent6 2 4" xfId="132"/>
    <cellStyle name="20% - Accent6 2 4 2" xfId="133"/>
    <cellStyle name="20% - Accent6 2 5" xfId="134"/>
    <cellStyle name="20% - Accent6 2 5 2" xfId="135"/>
    <cellStyle name="20% - Accent6 2 6" xfId="136"/>
    <cellStyle name="20% - Accent6 3" xfId="137"/>
    <cellStyle name="20% - Accent6 3 2" xfId="138"/>
    <cellStyle name="20% - Accent6 4" xfId="139"/>
    <cellStyle name="20% - Accent6 4 2" xfId="140"/>
    <cellStyle name="20% - Accent6 4 2 2" xfId="141"/>
    <cellStyle name="20% - Accent6 4 3" xfId="142"/>
    <cellStyle name="20% - Accent6 5" xfId="143"/>
    <cellStyle name="20% - Accent6 5 2" xfId="144"/>
    <cellStyle name="20% - Accent6 6" xfId="145"/>
    <cellStyle name="20% - Accent6 6 2" xfId="146"/>
    <cellStyle name="20% - Accent6 7" xfId="147"/>
    <cellStyle name="20% - Accent6 7 2" xfId="148"/>
    <cellStyle name="20% - Accent6_Q.W. ADMINISTRACIULI SENOBA" xfId="149"/>
    <cellStyle name="40% - Accent1" xfId="150"/>
    <cellStyle name="40% - Accent1 2" xfId="151"/>
    <cellStyle name="40% - Accent1 2 2" xfId="152"/>
    <cellStyle name="40% - Accent1 2 2 2" xfId="153"/>
    <cellStyle name="40% - Accent1 2 3" xfId="154"/>
    <cellStyle name="40% - Accent1 2 3 2" xfId="155"/>
    <cellStyle name="40% - Accent1 2 4" xfId="156"/>
    <cellStyle name="40% - Accent1 2 4 2" xfId="157"/>
    <cellStyle name="40% - Accent1 2 5" xfId="158"/>
    <cellStyle name="40% - Accent1 2 5 2" xfId="159"/>
    <cellStyle name="40% - Accent1 2 6" xfId="160"/>
    <cellStyle name="40% - Accent1 3" xfId="161"/>
    <cellStyle name="40% - Accent1 3 2" xfId="162"/>
    <cellStyle name="40% - Accent1 4" xfId="163"/>
    <cellStyle name="40% - Accent1 4 2" xfId="164"/>
    <cellStyle name="40% - Accent1 4 2 2" xfId="165"/>
    <cellStyle name="40% - Accent1 4 3" xfId="166"/>
    <cellStyle name="40% - Accent1 5" xfId="167"/>
    <cellStyle name="40% - Accent1 5 2" xfId="168"/>
    <cellStyle name="40% - Accent1 6" xfId="169"/>
    <cellStyle name="40% - Accent1 6 2" xfId="170"/>
    <cellStyle name="40% - Accent1 7" xfId="171"/>
    <cellStyle name="40% - Accent1 7 2" xfId="172"/>
    <cellStyle name="40% - Accent1_Q.W. ADMINISTRACIULI SENOBA" xfId="173"/>
    <cellStyle name="40% - Accent2" xfId="174"/>
    <cellStyle name="40% - Accent2 2" xfId="175"/>
    <cellStyle name="40% - Accent2 2 2" xfId="176"/>
    <cellStyle name="40% - Accent2 2 2 2" xfId="177"/>
    <cellStyle name="40% - Accent2 2 3" xfId="178"/>
    <cellStyle name="40% - Accent2 2 3 2" xfId="179"/>
    <cellStyle name="40% - Accent2 2 4" xfId="180"/>
    <cellStyle name="40% - Accent2 2 4 2" xfId="181"/>
    <cellStyle name="40% - Accent2 2 5" xfId="182"/>
    <cellStyle name="40% - Accent2 2 5 2" xfId="183"/>
    <cellStyle name="40% - Accent2 2 6" xfId="184"/>
    <cellStyle name="40% - Accent2 3" xfId="185"/>
    <cellStyle name="40% - Accent2 3 2" xfId="186"/>
    <cellStyle name="40% - Accent2 4" xfId="187"/>
    <cellStyle name="40% - Accent2 4 2" xfId="188"/>
    <cellStyle name="40% - Accent2 4 2 2" xfId="189"/>
    <cellStyle name="40% - Accent2 4 3" xfId="190"/>
    <cellStyle name="40% - Accent2 5" xfId="191"/>
    <cellStyle name="40% - Accent2 5 2" xfId="192"/>
    <cellStyle name="40% - Accent2 6" xfId="193"/>
    <cellStyle name="40% - Accent2 6 2" xfId="194"/>
    <cellStyle name="40% - Accent2 7" xfId="195"/>
    <cellStyle name="40% - Accent2 7 2" xfId="196"/>
    <cellStyle name="40% - Accent2_Q.W. ADMINISTRACIULI SENOBA" xfId="197"/>
    <cellStyle name="40% - Accent3" xfId="198"/>
    <cellStyle name="40% - Accent3 2" xfId="199"/>
    <cellStyle name="40% - Accent3 2 2" xfId="200"/>
    <cellStyle name="40% - Accent3 2 2 2" xfId="201"/>
    <cellStyle name="40% - Accent3 2 3" xfId="202"/>
    <cellStyle name="40% - Accent3 2 3 2" xfId="203"/>
    <cellStyle name="40% - Accent3 2 4" xfId="204"/>
    <cellStyle name="40% - Accent3 2 4 2" xfId="205"/>
    <cellStyle name="40% - Accent3 2 5" xfId="206"/>
    <cellStyle name="40% - Accent3 2 5 2" xfId="207"/>
    <cellStyle name="40% - Accent3 2 6" xfId="208"/>
    <cellStyle name="40% - Accent3 3" xfId="209"/>
    <cellStyle name="40% - Accent3 3 2" xfId="210"/>
    <cellStyle name="40% - Accent3 4" xfId="211"/>
    <cellStyle name="40% - Accent3 4 2" xfId="212"/>
    <cellStyle name="40% - Accent3 4 2 2" xfId="213"/>
    <cellStyle name="40% - Accent3 4 3" xfId="214"/>
    <cellStyle name="40% - Accent3 5" xfId="215"/>
    <cellStyle name="40% - Accent3 5 2" xfId="216"/>
    <cellStyle name="40% - Accent3 6" xfId="217"/>
    <cellStyle name="40% - Accent3 6 2" xfId="218"/>
    <cellStyle name="40% - Accent3 7" xfId="219"/>
    <cellStyle name="40% - Accent3 7 2" xfId="220"/>
    <cellStyle name="40% - Accent3_Q.W. ADMINISTRACIULI SENOBA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4_Q.W. ADMINISTRACIULI SENOBA" xfId="245"/>
    <cellStyle name="40% - Accent5" xfId="246"/>
    <cellStyle name="40% - Accent5 2" xfId="247"/>
    <cellStyle name="40% - Accent5 2 2" xfId="248"/>
    <cellStyle name="40% - Accent5 2 2 2" xfId="249"/>
    <cellStyle name="40% - Accent5 2 3" xfId="250"/>
    <cellStyle name="40% - Accent5 2 3 2" xfId="251"/>
    <cellStyle name="40% - Accent5 2 4" xfId="252"/>
    <cellStyle name="40% - Accent5 2 4 2" xfId="253"/>
    <cellStyle name="40% - Accent5 2 5" xfId="254"/>
    <cellStyle name="40% - Accent5 2 5 2" xfId="255"/>
    <cellStyle name="40% - Accent5 2 6" xfId="256"/>
    <cellStyle name="40% - Accent5 3" xfId="257"/>
    <cellStyle name="40% - Accent5 3 2" xfId="258"/>
    <cellStyle name="40% - Accent5 4" xfId="259"/>
    <cellStyle name="40% - Accent5 4 2" xfId="260"/>
    <cellStyle name="40% - Accent5 4 2 2" xfId="261"/>
    <cellStyle name="40% - Accent5 4 3" xfId="262"/>
    <cellStyle name="40% - Accent5 5" xfId="263"/>
    <cellStyle name="40% - Accent5 5 2" xfId="264"/>
    <cellStyle name="40% - Accent5 6" xfId="265"/>
    <cellStyle name="40% - Accent5 6 2" xfId="266"/>
    <cellStyle name="40% - Accent5 7" xfId="267"/>
    <cellStyle name="40% - Accent5 7 2" xfId="268"/>
    <cellStyle name="40% - Accent5_Q.W. ADMINISTRACIULI SENOBA" xfId="269"/>
    <cellStyle name="40% - Accent6" xfId="270"/>
    <cellStyle name="40% - Accent6 2" xfId="271"/>
    <cellStyle name="40% - Accent6 2 2" xfId="272"/>
    <cellStyle name="40% - Accent6 2 2 2" xfId="273"/>
    <cellStyle name="40% - Accent6 2 3" xfId="274"/>
    <cellStyle name="40% - Accent6 2 3 2" xfId="275"/>
    <cellStyle name="40% - Accent6 2 4" xfId="276"/>
    <cellStyle name="40% - Accent6 2 4 2" xfId="277"/>
    <cellStyle name="40% - Accent6 2 5" xfId="278"/>
    <cellStyle name="40% - Accent6 2 5 2" xfId="279"/>
    <cellStyle name="40% - Accent6 2 6" xfId="280"/>
    <cellStyle name="40% - Accent6 3" xfId="281"/>
    <cellStyle name="40% - Accent6 3 2" xfId="282"/>
    <cellStyle name="40% - Accent6 4" xfId="283"/>
    <cellStyle name="40% - Accent6 4 2" xfId="284"/>
    <cellStyle name="40% - Accent6 4 2 2" xfId="285"/>
    <cellStyle name="40% - Accent6 4 3" xfId="286"/>
    <cellStyle name="40% - Accent6 5" xfId="287"/>
    <cellStyle name="40% - Accent6 5 2" xfId="288"/>
    <cellStyle name="40% - Accent6 6" xfId="289"/>
    <cellStyle name="40% - Accent6 6 2" xfId="290"/>
    <cellStyle name="40% - Accent6 7" xfId="291"/>
    <cellStyle name="40% - Accent6 7 2" xfId="292"/>
    <cellStyle name="40% - Accent6_Q.W. ADMINISTRACIULI SENOBA" xfId="293"/>
    <cellStyle name="60% - Accent1" xfId="294"/>
    <cellStyle name="60% - Accent1 2" xfId="295"/>
    <cellStyle name="60% - Accent1 2 2" xfId="296"/>
    <cellStyle name="60% - Accent1 2 3" xfId="297"/>
    <cellStyle name="60% - Accent1 2 4" xfId="298"/>
    <cellStyle name="60% - Accent1 2 5" xfId="299"/>
    <cellStyle name="60% - Accent1 3" xfId="300"/>
    <cellStyle name="60% - Accent1 4" xfId="301"/>
    <cellStyle name="60% - Accent1 4 2" xfId="302"/>
    <cellStyle name="60% - Accent1 5" xfId="303"/>
    <cellStyle name="60% - Accent1 6" xfId="304"/>
    <cellStyle name="60% - Accent1 7" xfId="305"/>
    <cellStyle name="60% - Accent2" xfId="306"/>
    <cellStyle name="60% - Accent2 2" xfId="307"/>
    <cellStyle name="60% - Accent2 2 2" xfId="308"/>
    <cellStyle name="60% - Accent2 2 3" xfId="309"/>
    <cellStyle name="60% - Accent2 2 4" xfId="310"/>
    <cellStyle name="60% - Accent2 2 5" xfId="311"/>
    <cellStyle name="60% - Accent2 3" xfId="312"/>
    <cellStyle name="60% - Accent2 4" xfId="313"/>
    <cellStyle name="60% - Accent2 4 2" xfId="314"/>
    <cellStyle name="60% - Accent2 5" xfId="315"/>
    <cellStyle name="60% - Accent2 6" xfId="316"/>
    <cellStyle name="60% - Accent2 7" xfId="317"/>
    <cellStyle name="60% - Accent3" xfId="318"/>
    <cellStyle name="60% - Accent3 2" xfId="319"/>
    <cellStyle name="60% - Accent3 2 2" xfId="320"/>
    <cellStyle name="60% - Accent3 2 3" xfId="321"/>
    <cellStyle name="60% - Accent3 2 4" xfId="322"/>
    <cellStyle name="60% - Accent3 2 5" xfId="323"/>
    <cellStyle name="60% - Accent3 3" xfId="324"/>
    <cellStyle name="60% - Accent3 4" xfId="325"/>
    <cellStyle name="60% - Accent3 4 2" xfId="326"/>
    <cellStyle name="60% - Accent3 5" xfId="327"/>
    <cellStyle name="60% - Accent3 6" xfId="328"/>
    <cellStyle name="60% - Accent3 7" xfId="329"/>
    <cellStyle name="60% - Accent4" xfId="330"/>
    <cellStyle name="60% - Accent4 2" xfId="331"/>
    <cellStyle name="60% - Accent4 2 2" xfId="332"/>
    <cellStyle name="60% - Accent4 2 3" xfId="333"/>
    <cellStyle name="60% - Accent4 2 4" xfId="334"/>
    <cellStyle name="60% - Accent4 2 5" xfId="335"/>
    <cellStyle name="60% - Accent4 3" xfId="336"/>
    <cellStyle name="60% - Accent4 4" xfId="337"/>
    <cellStyle name="60% - Accent4 4 2" xfId="338"/>
    <cellStyle name="60% - Accent4 5" xfId="339"/>
    <cellStyle name="60% - Accent4 6" xfId="340"/>
    <cellStyle name="60% - Accent4 7" xfId="341"/>
    <cellStyle name="60% - Accent5" xfId="342"/>
    <cellStyle name="60% - Accent5 2" xfId="343"/>
    <cellStyle name="60% - Accent5 2 2" xfId="344"/>
    <cellStyle name="60% - Accent5 2 3" xfId="345"/>
    <cellStyle name="60% - Accent5 2 4" xfId="346"/>
    <cellStyle name="60% - Accent5 2 5" xfId="347"/>
    <cellStyle name="60% - Accent5 3" xfId="348"/>
    <cellStyle name="60% - Accent5 4" xfId="349"/>
    <cellStyle name="60% - Accent5 4 2" xfId="350"/>
    <cellStyle name="60% - Accent5 5" xfId="351"/>
    <cellStyle name="60% - Accent5 6" xfId="352"/>
    <cellStyle name="60% - Accent5 7" xfId="353"/>
    <cellStyle name="60% - Accent6" xfId="354"/>
    <cellStyle name="60% - Accent6 2" xfId="355"/>
    <cellStyle name="60% - Accent6 2 2" xfId="356"/>
    <cellStyle name="60% - Accent6 2 3" xfId="357"/>
    <cellStyle name="60% - Accent6 2 4" xfId="358"/>
    <cellStyle name="60% - Accent6 2 5" xfId="359"/>
    <cellStyle name="60% - Accent6 3" xfId="360"/>
    <cellStyle name="60% - Accent6 4" xfId="361"/>
    <cellStyle name="60% - Accent6 4 2" xfId="362"/>
    <cellStyle name="60% - Accent6 5" xfId="363"/>
    <cellStyle name="60% - Accent6 6" xfId="364"/>
    <cellStyle name="60% - Accent6 7" xfId="365"/>
    <cellStyle name="Accent1" xfId="366"/>
    <cellStyle name="Accent1 2" xfId="367"/>
    <cellStyle name="Accent1 2 2" xfId="368"/>
    <cellStyle name="Accent1 2 3" xfId="369"/>
    <cellStyle name="Accent1 2 4" xfId="370"/>
    <cellStyle name="Accent1 2 5" xfId="371"/>
    <cellStyle name="Accent1 3" xfId="372"/>
    <cellStyle name="Accent1 4" xfId="373"/>
    <cellStyle name="Accent1 4 2" xfId="374"/>
    <cellStyle name="Accent1 5" xfId="375"/>
    <cellStyle name="Accent1 6" xfId="376"/>
    <cellStyle name="Accent1 7" xfId="377"/>
    <cellStyle name="Accent2" xfId="378"/>
    <cellStyle name="Accent2 2" xfId="379"/>
    <cellStyle name="Accent2 2 2" xfId="380"/>
    <cellStyle name="Accent2 2 3" xfId="381"/>
    <cellStyle name="Accent2 2 4" xfId="382"/>
    <cellStyle name="Accent2 2 5" xfId="383"/>
    <cellStyle name="Accent2 3" xfId="384"/>
    <cellStyle name="Accent2 4" xfId="385"/>
    <cellStyle name="Accent2 4 2" xfId="386"/>
    <cellStyle name="Accent2 5" xfId="387"/>
    <cellStyle name="Accent2 6" xfId="388"/>
    <cellStyle name="Accent2 7" xfId="389"/>
    <cellStyle name="Accent3" xfId="390"/>
    <cellStyle name="Accent3 2" xfId="391"/>
    <cellStyle name="Accent3 2 2" xfId="392"/>
    <cellStyle name="Accent3 2 3" xfId="393"/>
    <cellStyle name="Accent3 2 4" xfId="394"/>
    <cellStyle name="Accent3 2 5" xfId="395"/>
    <cellStyle name="Accent3 3" xfId="396"/>
    <cellStyle name="Accent3 4" xfId="397"/>
    <cellStyle name="Accent3 4 2" xfId="398"/>
    <cellStyle name="Accent3 5" xfId="399"/>
    <cellStyle name="Accent3 6" xfId="400"/>
    <cellStyle name="Accent3 7" xfId="401"/>
    <cellStyle name="Accent4" xfId="402"/>
    <cellStyle name="Accent4 2" xfId="403"/>
    <cellStyle name="Accent4 2 2" xfId="404"/>
    <cellStyle name="Accent4 2 3" xfId="405"/>
    <cellStyle name="Accent4 2 4" xfId="406"/>
    <cellStyle name="Accent4 2 5" xfId="407"/>
    <cellStyle name="Accent4 3" xfId="408"/>
    <cellStyle name="Accent4 4" xfId="409"/>
    <cellStyle name="Accent4 4 2" xfId="410"/>
    <cellStyle name="Accent4 5" xfId="411"/>
    <cellStyle name="Accent4 6" xfId="412"/>
    <cellStyle name="Accent4 7" xfId="413"/>
    <cellStyle name="Accent5" xfId="414"/>
    <cellStyle name="Accent5 2" xfId="415"/>
    <cellStyle name="Accent5 2 2" xfId="416"/>
    <cellStyle name="Accent5 2 3" xfId="417"/>
    <cellStyle name="Accent5 2 4" xfId="418"/>
    <cellStyle name="Accent5 2 5" xfId="419"/>
    <cellStyle name="Accent5 3" xfId="420"/>
    <cellStyle name="Accent5 4" xfId="421"/>
    <cellStyle name="Accent5 4 2" xfId="422"/>
    <cellStyle name="Accent5 5" xfId="423"/>
    <cellStyle name="Accent5 6" xfId="424"/>
    <cellStyle name="Accent5 7" xfId="425"/>
    <cellStyle name="Accent6" xfId="426"/>
    <cellStyle name="Accent6 2" xfId="427"/>
    <cellStyle name="Accent6 2 2" xfId="428"/>
    <cellStyle name="Accent6 2 3" xfId="429"/>
    <cellStyle name="Accent6 2 4" xfId="430"/>
    <cellStyle name="Accent6 2 5" xfId="431"/>
    <cellStyle name="Accent6 3" xfId="432"/>
    <cellStyle name="Accent6 4" xfId="433"/>
    <cellStyle name="Accent6 4 2" xfId="434"/>
    <cellStyle name="Accent6 5" xfId="435"/>
    <cellStyle name="Accent6 6" xfId="436"/>
    <cellStyle name="Accent6 7" xfId="437"/>
    <cellStyle name="Bad" xfId="438"/>
    <cellStyle name="Bad 2" xfId="439"/>
    <cellStyle name="Bad 2 2" xfId="440"/>
    <cellStyle name="Bad 2 3" xfId="441"/>
    <cellStyle name="Bad 2 4" xfId="442"/>
    <cellStyle name="Bad 2 5" xfId="443"/>
    <cellStyle name="Bad 3" xfId="444"/>
    <cellStyle name="Bad 4" xfId="445"/>
    <cellStyle name="Bad 4 2" xfId="446"/>
    <cellStyle name="Bad 5" xfId="447"/>
    <cellStyle name="Bad 6" xfId="448"/>
    <cellStyle name="Bad 7" xfId="449"/>
    <cellStyle name="Calculation" xfId="450"/>
    <cellStyle name="Calculation 2" xfId="451"/>
    <cellStyle name="Calculation 2 2" xfId="452"/>
    <cellStyle name="Calculation 2 3" xfId="453"/>
    <cellStyle name="Calculation 2 4" xfId="454"/>
    <cellStyle name="Calculation 2 5" xfId="455"/>
    <cellStyle name="Calculation 2_anakia II etapi.xls sm. defeqturi" xfId="456"/>
    <cellStyle name="Calculation 3" xfId="457"/>
    <cellStyle name="Calculation 4" xfId="458"/>
    <cellStyle name="Calculation 4 2" xfId="459"/>
    <cellStyle name="Calculation 4_anakia II etapi.xls sm. defeqturi" xfId="460"/>
    <cellStyle name="Calculation 5" xfId="461"/>
    <cellStyle name="Calculation 6" xfId="462"/>
    <cellStyle name="Calculation 7" xfId="463"/>
    <cellStyle name="Check Cell" xfId="464"/>
    <cellStyle name="Check Cell 2" xfId="465"/>
    <cellStyle name="Check Cell 2 2" xfId="466"/>
    <cellStyle name="Check Cell 2 3" xfId="467"/>
    <cellStyle name="Check Cell 2 4" xfId="468"/>
    <cellStyle name="Check Cell 2 5" xfId="469"/>
    <cellStyle name="Check Cell 2_anakia II etapi.xls sm. defeqturi" xfId="470"/>
    <cellStyle name="Check Cell 3" xfId="471"/>
    <cellStyle name="Check Cell 4" xfId="472"/>
    <cellStyle name="Check Cell 4 2" xfId="473"/>
    <cellStyle name="Check Cell 4_anakia II etapi.xls sm. defeqturi" xfId="474"/>
    <cellStyle name="Check Cell 5" xfId="475"/>
    <cellStyle name="Check Cell 6" xfId="476"/>
    <cellStyle name="Check Cell 7" xfId="477"/>
    <cellStyle name="Comma" xfId="1" builtinId="3"/>
    <cellStyle name="Comma 10" xfId="479"/>
    <cellStyle name="Comma 10 2" xfId="480"/>
    <cellStyle name="Comma 11" xfId="481"/>
    <cellStyle name="Comma 12" xfId="482"/>
    <cellStyle name="Comma 12 2" xfId="483"/>
    <cellStyle name="Comma 12 3" xfId="484"/>
    <cellStyle name="Comma 12 4" xfId="485"/>
    <cellStyle name="Comma 12 5" xfId="486"/>
    <cellStyle name="Comma 12 6" xfId="487"/>
    <cellStyle name="Comma 12 7" xfId="488"/>
    <cellStyle name="Comma 12 8" xfId="489"/>
    <cellStyle name="Comma 13" xfId="490"/>
    <cellStyle name="Comma 14" xfId="491"/>
    <cellStyle name="Comma 15" xfId="492"/>
    <cellStyle name="Comma 15 2" xfId="493"/>
    <cellStyle name="Comma 16" xfId="494"/>
    <cellStyle name="Comma 17" xfId="495"/>
    <cellStyle name="Comma 17 2" xfId="496"/>
    <cellStyle name="Comma 18" xfId="497"/>
    <cellStyle name="Comma 19" xfId="498"/>
    <cellStyle name="Comma 2" xfId="499"/>
    <cellStyle name="Comma 2 2" xfId="500"/>
    <cellStyle name="Comma 2 2 2" xfId="501"/>
    <cellStyle name="Comma 2 2 3" xfId="502"/>
    <cellStyle name="Comma 2 3" xfId="503"/>
    <cellStyle name="Comma 20" xfId="504"/>
    <cellStyle name="Comma 3" xfId="505"/>
    <cellStyle name="Comma 4" xfId="506"/>
    <cellStyle name="Comma 5" xfId="507"/>
    <cellStyle name="Comma 6" xfId="508"/>
    <cellStyle name="Comma 7" xfId="509"/>
    <cellStyle name="Comma 8" xfId="510"/>
    <cellStyle name="Comma 9" xfId="511"/>
    <cellStyle name="Explanatory Text" xfId="512"/>
    <cellStyle name="Explanatory Text 2" xfId="513"/>
    <cellStyle name="Explanatory Text 2 2" xfId="514"/>
    <cellStyle name="Explanatory Text 2 3" xfId="515"/>
    <cellStyle name="Explanatory Text 2 4" xfId="516"/>
    <cellStyle name="Explanatory Text 2 5" xfId="517"/>
    <cellStyle name="Explanatory Text 3" xfId="518"/>
    <cellStyle name="Explanatory Text 4" xfId="519"/>
    <cellStyle name="Explanatory Text 4 2" xfId="520"/>
    <cellStyle name="Explanatory Text 5" xfId="521"/>
    <cellStyle name="Explanatory Text 6" xfId="522"/>
    <cellStyle name="Explanatory Text 7" xfId="523"/>
    <cellStyle name="Good" xfId="524"/>
    <cellStyle name="Good 2" xfId="525"/>
    <cellStyle name="Good 2 2" xfId="526"/>
    <cellStyle name="Good 2 3" xfId="527"/>
    <cellStyle name="Good 2 4" xfId="528"/>
    <cellStyle name="Good 2 5" xfId="529"/>
    <cellStyle name="Good 3" xfId="530"/>
    <cellStyle name="Good 4" xfId="531"/>
    <cellStyle name="Good 4 2" xfId="532"/>
    <cellStyle name="Good 5" xfId="533"/>
    <cellStyle name="Good 6" xfId="534"/>
    <cellStyle name="Good 7" xfId="535"/>
    <cellStyle name="Heading 1" xfId="536"/>
    <cellStyle name="Heading 1 2" xfId="537"/>
    <cellStyle name="Heading 1 2 2" xfId="538"/>
    <cellStyle name="Heading 1 2 3" xfId="539"/>
    <cellStyle name="Heading 1 2 4" xfId="540"/>
    <cellStyle name="Heading 1 2 5" xfId="541"/>
    <cellStyle name="Heading 1 2_anakia II etapi.xls sm. defeqturi" xfId="542"/>
    <cellStyle name="Heading 1 3" xfId="543"/>
    <cellStyle name="Heading 1 4" xfId="544"/>
    <cellStyle name="Heading 1 4 2" xfId="545"/>
    <cellStyle name="Heading 1 4_anakia II etapi.xls sm. defeqturi" xfId="546"/>
    <cellStyle name="Heading 1 5" xfId="547"/>
    <cellStyle name="Heading 1 6" xfId="548"/>
    <cellStyle name="Heading 1 7" xfId="549"/>
    <cellStyle name="Heading 2" xfId="550"/>
    <cellStyle name="Heading 2 2" xfId="551"/>
    <cellStyle name="Heading 2 2 2" xfId="552"/>
    <cellStyle name="Heading 2 2 3" xfId="553"/>
    <cellStyle name="Heading 2 2 4" xfId="554"/>
    <cellStyle name="Heading 2 2 5" xfId="555"/>
    <cellStyle name="Heading 2 2_anakia II etapi.xls sm. defeqturi" xfId="556"/>
    <cellStyle name="Heading 2 3" xfId="557"/>
    <cellStyle name="Heading 2 4" xfId="558"/>
    <cellStyle name="Heading 2 4 2" xfId="559"/>
    <cellStyle name="Heading 2 4_anakia II etapi.xls sm. defeqturi" xfId="560"/>
    <cellStyle name="Heading 2 5" xfId="561"/>
    <cellStyle name="Heading 2 6" xfId="562"/>
    <cellStyle name="Heading 2 7" xfId="563"/>
    <cellStyle name="Heading 3" xfId="564"/>
    <cellStyle name="Heading 3 2" xfId="565"/>
    <cellStyle name="Heading 3 2 2" xfId="566"/>
    <cellStyle name="Heading 3 2 3" xfId="567"/>
    <cellStyle name="Heading 3 2 4" xfId="568"/>
    <cellStyle name="Heading 3 2 5" xfId="569"/>
    <cellStyle name="Heading 3 2_anakia II etapi.xls sm. defeqturi" xfId="570"/>
    <cellStyle name="Heading 3 3" xfId="571"/>
    <cellStyle name="Heading 3 4" xfId="572"/>
    <cellStyle name="Heading 3 4 2" xfId="573"/>
    <cellStyle name="Heading 3 4_anakia II etapi.xls sm. defeqturi" xfId="574"/>
    <cellStyle name="Heading 3 5" xfId="575"/>
    <cellStyle name="Heading 3 6" xfId="576"/>
    <cellStyle name="Heading 3 7" xfId="577"/>
    <cellStyle name="Heading 4" xfId="578"/>
    <cellStyle name="Heading 4 2" xfId="579"/>
    <cellStyle name="Heading 4 2 2" xfId="580"/>
    <cellStyle name="Heading 4 2 3" xfId="581"/>
    <cellStyle name="Heading 4 2 4" xfId="582"/>
    <cellStyle name="Heading 4 2 5" xfId="583"/>
    <cellStyle name="Heading 4 3" xfId="584"/>
    <cellStyle name="Heading 4 4" xfId="585"/>
    <cellStyle name="Heading 4 4 2" xfId="586"/>
    <cellStyle name="Heading 4 5" xfId="587"/>
    <cellStyle name="Heading 4 6" xfId="588"/>
    <cellStyle name="Heading 4 7" xfId="589"/>
    <cellStyle name="Hyperlink 2" xfId="590"/>
    <cellStyle name="Input" xfId="591"/>
    <cellStyle name="Input 2" xfId="592"/>
    <cellStyle name="Input 2 2" xfId="593"/>
    <cellStyle name="Input 2 3" xfId="594"/>
    <cellStyle name="Input 2 4" xfId="595"/>
    <cellStyle name="Input 2 5" xfId="596"/>
    <cellStyle name="Input 2_anakia II etapi.xls sm. defeqturi" xfId="597"/>
    <cellStyle name="Input 3" xfId="598"/>
    <cellStyle name="Input 4" xfId="599"/>
    <cellStyle name="Input 4 2" xfId="600"/>
    <cellStyle name="Input 4_anakia II etapi.xls sm. defeqturi" xfId="601"/>
    <cellStyle name="Input 5" xfId="602"/>
    <cellStyle name="Input 6" xfId="603"/>
    <cellStyle name="Input 7" xfId="604"/>
    <cellStyle name="Linked Cell" xfId="605"/>
    <cellStyle name="Linked Cell 2" xfId="606"/>
    <cellStyle name="Linked Cell 2 2" xfId="607"/>
    <cellStyle name="Linked Cell 2 3" xfId="608"/>
    <cellStyle name="Linked Cell 2 4" xfId="609"/>
    <cellStyle name="Linked Cell 2 5" xfId="610"/>
    <cellStyle name="Linked Cell 2_anakia II etapi.xls sm. defeqturi" xfId="611"/>
    <cellStyle name="Linked Cell 3" xfId="612"/>
    <cellStyle name="Linked Cell 4" xfId="613"/>
    <cellStyle name="Linked Cell 4 2" xfId="614"/>
    <cellStyle name="Linked Cell 4_anakia II etapi.xls sm. defeqturi" xfId="615"/>
    <cellStyle name="Linked Cell 5" xfId="616"/>
    <cellStyle name="Linked Cell 6" xfId="617"/>
    <cellStyle name="Linked Cell 7" xfId="618"/>
    <cellStyle name="Neutral" xfId="619"/>
    <cellStyle name="Neutral 2" xfId="620"/>
    <cellStyle name="Neutral 2 2" xfId="621"/>
    <cellStyle name="Neutral 2 3" xfId="622"/>
    <cellStyle name="Neutral 2 4" xfId="623"/>
    <cellStyle name="Neutral 2 5" xfId="624"/>
    <cellStyle name="Neutral 3" xfId="625"/>
    <cellStyle name="Neutral 4" xfId="626"/>
    <cellStyle name="Neutral 4 2" xfId="627"/>
    <cellStyle name="Neutral 5" xfId="628"/>
    <cellStyle name="Neutral 6" xfId="629"/>
    <cellStyle name="Neutral 7" xfId="630"/>
    <cellStyle name="Normal" xfId="0" builtinId="0"/>
    <cellStyle name="Normal 10" xfId="631"/>
    <cellStyle name="Normal 10 2" xfId="632"/>
    <cellStyle name="Normal 11" xfId="633"/>
    <cellStyle name="Normal 11 2" xfId="634"/>
    <cellStyle name="Normal 11 2 2" xfId="635"/>
    <cellStyle name="Normal 11 3" xfId="636"/>
    <cellStyle name="Normal 11_GAZI-2010" xfId="637"/>
    <cellStyle name="Normal 12" xfId="638"/>
    <cellStyle name="Normal 12 2" xfId="639"/>
    <cellStyle name="Normal 12_gazis gare qseli" xfId="640"/>
    <cellStyle name="Normal 13" xfId="641"/>
    <cellStyle name="Normal 13 2" xfId="642"/>
    <cellStyle name="Normal 13 2 2" xfId="643"/>
    <cellStyle name="Normal 13 2 3" xfId="644"/>
    <cellStyle name="Normal 13 3" xfId="645"/>
    <cellStyle name="Normal 13 3 2" xfId="646"/>
    <cellStyle name="Normal 13 3 3" xfId="647"/>
    <cellStyle name="Normal 13 3 3 2" xfId="648"/>
    <cellStyle name="Normal 13 3 3 3" xfId="649"/>
    <cellStyle name="Normal 13 3 4" xfId="650"/>
    <cellStyle name="Normal 13 3 5" xfId="651"/>
    <cellStyle name="Normal 13 4" xfId="652"/>
    <cellStyle name="Normal 13 5" xfId="653"/>
    <cellStyle name="Normal 13 5 2" xfId="654"/>
    <cellStyle name="Normal 13 5 3" xfId="655"/>
    <cellStyle name="Normal 13 5 3 2" xfId="656"/>
    <cellStyle name="Normal 13 5 3 3" xfId="657"/>
    <cellStyle name="Normal 13 5 3 4" xfId="658"/>
    <cellStyle name="Normal 13 5 4" xfId="659"/>
    <cellStyle name="Normal 13 6" xfId="660"/>
    <cellStyle name="Normal 13 7" xfId="661"/>
    <cellStyle name="Normal 13 8" xfId="662"/>
    <cellStyle name="Normal 13_# 6-1 27.01.12 - копия (1)" xfId="663"/>
    <cellStyle name="Normal 14" xfId="664"/>
    <cellStyle name="Normal 14 2" xfId="665"/>
    <cellStyle name="Normal 14 3" xfId="666"/>
    <cellStyle name="Normal 14 3 2" xfId="667"/>
    <cellStyle name="Normal 14 4" xfId="668"/>
    <cellStyle name="Normal 14 5" xfId="669"/>
    <cellStyle name="Normal 14 6" xfId="670"/>
    <cellStyle name="Normal 14_anakia II etapi.xls sm. defeqturi" xfId="671"/>
    <cellStyle name="Normal 15" xfId="672"/>
    <cellStyle name="Normal 16" xfId="673"/>
    <cellStyle name="Normal 16 2" xfId="674"/>
    <cellStyle name="Normal 16 3" xfId="675"/>
    <cellStyle name="Normal 16 4" xfId="676"/>
    <cellStyle name="Normal 16_# 6-1 27.01.12 - копия (1)" xfId="677"/>
    <cellStyle name="Normal 17" xfId="678"/>
    <cellStyle name="Normal 18" xfId="679"/>
    <cellStyle name="Normal 19" xfId="680"/>
    <cellStyle name="Normal 2" xfId="4"/>
    <cellStyle name="Normal 2 10" xfId="682"/>
    <cellStyle name="Normal 2 11" xfId="683"/>
    <cellStyle name="Normal 2 12" xfId="681"/>
    <cellStyle name="Normal 2 2" xfId="684"/>
    <cellStyle name="Normal 2 2 2" xfId="685"/>
    <cellStyle name="Normal 2 2 3" xfId="686"/>
    <cellStyle name="Normal 2 2 4" xfId="687"/>
    <cellStyle name="Normal 2 2 5" xfId="688"/>
    <cellStyle name="Normal 2 2 6" xfId="689"/>
    <cellStyle name="Normal 2 2 7" xfId="690"/>
    <cellStyle name="Normal 2 2_2D4CD000" xfId="691"/>
    <cellStyle name="Normal 2 3" xfId="692"/>
    <cellStyle name="Normal 2 4" xfId="693"/>
    <cellStyle name="Normal 2 5" xfId="694"/>
    <cellStyle name="Normal 2 6" xfId="695"/>
    <cellStyle name="Normal 2 7" xfId="696"/>
    <cellStyle name="Normal 2 7 2" xfId="697"/>
    <cellStyle name="Normal 2 7 3" xfId="698"/>
    <cellStyle name="Normal 2 7_anakia II etapi.xls sm. defeqturi" xfId="699"/>
    <cellStyle name="Normal 2 8" xfId="700"/>
    <cellStyle name="Normal 2 9" xfId="701"/>
    <cellStyle name="Normal 2_anakia II etapi.xls sm. defeqturi" xfId="702"/>
    <cellStyle name="Normal 20" xfId="703"/>
    <cellStyle name="Normal 21" xfId="704"/>
    <cellStyle name="Normal 22" xfId="705"/>
    <cellStyle name="Normal 23" xfId="706"/>
    <cellStyle name="Normal 24" xfId="707"/>
    <cellStyle name="Normal 25" xfId="708"/>
    <cellStyle name="Normal 26" xfId="709"/>
    <cellStyle name="Normal 27" xfId="710"/>
    <cellStyle name="Normal 28" xfId="711"/>
    <cellStyle name="Normal 29" xfId="712"/>
    <cellStyle name="Normal 29 2" xfId="713"/>
    <cellStyle name="Normal 3" xfId="2"/>
    <cellStyle name="Normal 3 2" xfId="714"/>
    <cellStyle name="Normal 3 2 2" xfId="715"/>
    <cellStyle name="Normal 3 2_anakia II etapi.xls sm. defeqturi" xfId="716"/>
    <cellStyle name="Normal 3 3" xfId="717"/>
    <cellStyle name="Normal 30" xfId="718"/>
    <cellStyle name="Normal 30 2" xfId="719"/>
    <cellStyle name="Normal 31" xfId="720"/>
    <cellStyle name="Normal 32" xfId="721"/>
    <cellStyle name="Normal 32 2" xfId="722"/>
    <cellStyle name="Normal 32 2 2" xfId="723"/>
    <cellStyle name="Normal 32 3" xfId="724"/>
    <cellStyle name="Normal 32 3 2" xfId="725"/>
    <cellStyle name="Normal 32 3 2 2" xfId="726"/>
    <cellStyle name="Normal 32 4" xfId="727"/>
    <cellStyle name="Normal 32_# 6-1 27.01.12 - копия (1)" xfId="728"/>
    <cellStyle name="Normal 33" xfId="729"/>
    <cellStyle name="Normal 33 2" xfId="730"/>
    <cellStyle name="Normal 34" xfId="731"/>
    <cellStyle name="Normal 35" xfId="732"/>
    <cellStyle name="Normal 35 2" xfId="733"/>
    <cellStyle name="Normal 35 3" xfId="734"/>
    <cellStyle name="Normal 36" xfId="735"/>
    <cellStyle name="Normal 36 2" xfId="736"/>
    <cellStyle name="Normal 36 2 2" xfId="737"/>
    <cellStyle name="Normal 36 2 2 2" xfId="906"/>
    <cellStyle name="Normal 36 2 3" xfId="738"/>
    <cellStyle name="Normal 36 2 4" xfId="739"/>
    <cellStyle name="Normal 36 3" xfId="740"/>
    <cellStyle name="Normal 36 4" xfId="741"/>
    <cellStyle name="Normal 37" xfId="742"/>
    <cellStyle name="Normal 37 2" xfId="743"/>
    <cellStyle name="Normal 38" xfId="744"/>
    <cellStyle name="Normal 38 2" xfId="745"/>
    <cellStyle name="Normal 38 2 2" xfId="746"/>
    <cellStyle name="Normal 38 3" xfId="747"/>
    <cellStyle name="Normal 38 3 2" xfId="748"/>
    <cellStyle name="Normal 38 4" xfId="749"/>
    <cellStyle name="Normal 39" xfId="750"/>
    <cellStyle name="Normal 39 2" xfId="751"/>
    <cellStyle name="Normal 4" xfId="752"/>
    <cellStyle name="Normal 4 2" xfId="753"/>
    <cellStyle name="Normal 4 3" xfId="754"/>
    <cellStyle name="Normal 40" xfId="755"/>
    <cellStyle name="Normal 40 2" xfId="756"/>
    <cellStyle name="Normal 40 3" xfId="757"/>
    <cellStyle name="Normal 41" xfId="758"/>
    <cellStyle name="Normal 41 2" xfId="759"/>
    <cellStyle name="Normal 42" xfId="760"/>
    <cellStyle name="Normal 42 2" xfId="761"/>
    <cellStyle name="Normal 42 3" xfId="762"/>
    <cellStyle name="Normal 43" xfId="763"/>
    <cellStyle name="Normal 44" xfId="764"/>
    <cellStyle name="Normal 45" xfId="765"/>
    <cellStyle name="Normal 46" xfId="766"/>
    <cellStyle name="Normal 47" xfId="767"/>
    <cellStyle name="Normal 47 2" xfId="768"/>
    <cellStyle name="Normal 47 3" xfId="769"/>
    <cellStyle name="Normal 47 3 2" xfId="770"/>
    <cellStyle name="Normal 47 3 3" xfId="771"/>
    <cellStyle name="Normal 47 4" xfId="772"/>
    <cellStyle name="Normal 5" xfId="773"/>
    <cellStyle name="Normal 5 2" xfId="774"/>
    <cellStyle name="Normal 5 2 2" xfId="775"/>
    <cellStyle name="Normal 5 3" xfId="776"/>
    <cellStyle name="Normal 5 4" xfId="777"/>
    <cellStyle name="Normal 5 4 2" xfId="778"/>
    <cellStyle name="Normal 5 4 3" xfId="779"/>
    <cellStyle name="Normal 5 5" xfId="780"/>
    <cellStyle name="Normal 5_Copy of SAN2010" xfId="781"/>
    <cellStyle name="Normal 50" xfId="907"/>
    <cellStyle name="Normal 6" xfId="782"/>
    <cellStyle name="Normal 7" xfId="783"/>
    <cellStyle name="Normal 75" xfId="784"/>
    <cellStyle name="Normal 8" xfId="785"/>
    <cellStyle name="Normal 8 2" xfId="786"/>
    <cellStyle name="Normal 8_2D4CD000" xfId="787"/>
    <cellStyle name="Normal 9" xfId="788"/>
    <cellStyle name="Normal 9 2" xfId="789"/>
    <cellStyle name="Normal 9 2 2" xfId="790"/>
    <cellStyle name="Normal 9 2 3" xfId="791"/>
    <cellStyle name="Normal 9 2 4" xfId="792"/>
    <cellStyle name="Normal 9 2_anakia II etapi.xls sm. defeqturi" xfId="793"/>
    <cellStyle name="Normal 9_2D4CD000" xfId="794"/>
    <cellStyle name="Normal_Book1 2" xfId="795"/>
    <cellStyle name="Normal_gare wyalsadfenigagarini 10" xfId="796"/>
    <cellStyle name="Normal_gare wyalsadfenigagarini 2 2" xfId="797"/>
    <cellStyle name="Normal_gare wyalsadfenigagarini_SUSTI DENEBI_axalqalaqis skola " xfId="905"/>
    <cellStyle name="Normal_SUSTI DENEBI" xfId="904"/>
    <cellStyle name="Note" xfId="798"/>
    <cellStyle name="Note 2" xfId="799"/>
    <cellStyle name="Note 2 2" xfId="800"/>
    <cellStyle name="Note 2 3" xfId="801"/>
    <cellStyle name="Note 2 4" xfId="802"/>
    <cellStyle name="Note 2 5" xfId="803"/>
    <cellStyle name="Note 2_anakia II etapi.xls sm. defeqturi" xfId="804"/>
    <cellStyle name="Note 3" xfId="805"/>
    <cellStyle name="Note 4" xfId="806"/>
    <cellStyle name="Note 4 2" xfId="807"/>
    <cellStyle name="Note 4_anakia II etapi.xls sm. defeqturi" xfId="808"/>
    <cellStyle name="Note 5" xfId="809"/>
    <cellStyle name="Note 6" xfId="810"/>
    <cellStyle name="Note 7" xfId="811"/>
    <cellStyle name="Output" xfId="812"/>
    <cellStyle name="Output 2" xfId="813"/>
    <cellStyle name="Output 2 2" xfId="814"/>
    <cellStyle name="Output 2 3" xfId="815"/>
    <cellStyle name="Output 2 4" xfId="816"/>
    <cellStyle name="Output 2 5" xfId="817"/>
    <cellStyle name="Output 2_anakia II etapi.xls sm. defeqturi" xfId="818"/>
    <cellStyle name="Output 3" xfId="819"/>
    <cellStyle name="Output 4" xfId="820"/>
    <cellStyle name="Output 4 2" xfId="821"/>
    <cellStyle name="Output 4_anakia II etapi.xls sm. defeqturi" xfId="822"/>
    <cellStyle name="Output 5" xfId="823"/>
    <cellStyle name="Output 6" xfId="824"/>
    <cellStyle name="Output 7" xfId="825"/>
    <cellStyle name="Percent 2" xfId="826"/>
    <cellStyle name="Percent 3" xfId="827"/>
    <cellStyle name="Percent 3 2" xfId="828"/>
    <cellStyle name="Percent 4" xfId="829"/>
    <cellStyle name="Percent 5" xfId="830"/>
    <cellStyle name="Percent 6" xfId="831"/>
    <cellStyle name="Style 1" xfId="832"/>
    <cellStyle name="Title" xfId="833"/>
    <cellStyle name="Title 2" xfId="834"/>
    <cellStyle name="Title 2 2" xfId="835"/>
    <cellStyle name="Title 2 3" xfId="836"/>
    <cellStyle name="Title 2 4" xfId="837"/>
    <cellStyle name="Title 2 5" xfId="838"/>
    <cellStyle name="Title 3" xfId="839"/>
    <cellStyle name="Title 4" xfId="840"/>
    <cellStyle name="Title 4 2" xfId="841"/>
    <cellStyle name="Title 5" xfId="842"/>
    <cellStyle name="Title 6" xfId="843"/>
    <cellStyle name="Title 7" xfId="844"/>
    <cellStyle name="Total" xfId="845"/>
    <cellStyle name="Total 2" xfId="846"/>
    <cellStyle name="Total 2 2" xfId="847"/>
    <cellStyle name="Total 2 3" xfId="848"/>
    <cellStyle name="Total 2 4" xfId="849"/>
    <cellStyle name="Total 2 5" xfId="850"/>
    <cellStyle name="Total 2_anakia II etapi.xls sm. defeqturi" xfId="851"/>
    <cellStyle name="Total 3" xfId="852"/>
    <cellStyle name="Total 4" xfId="853"/>
    <cellStyle name="Total 4 2" xfId="854"/>
    <cellStyle name="Total 4_anakia II etapi.xls sm. defeqturi" xfId="855"/>
    <cellStyle name="Total 5" xfId="856"/>
    <cellStyle name="Total 6" xfId="857"/>
    <cellStyle name="Total 7" xfId="858"/>
    <cellStyle name="Warning Text" xfId="859"/>
    <cellStyle name="Warning Text 2" xfId="860"/>
    <cellStyle name="Warning Text 2 2" xfId="861"/>
    <cellStyle name="Warning Text 2 3" xfId="862"/>
    <cellStyle name="Warning Text 2 4" xfId="863"/>
    <cellStyle name="Warning Text 2 5" xfId="864"/>
    <cellStyle name="Warning Text 3" xfId="865"/>
    <cellStyle name="Warning Text 4" xfId="866"/>
    <cellStyle name="Warning Text 4 2" xfId="867"/>
    <cellStyle name="Warning Text 5" xfId="868"/>
    <cellStyle name="Warning Text 6" xfId="869"/>
    <cellStyle name="Warning Text 7" xfId="870"/>
    <cellStyle name="Обычный 10" xfId="871"/>
    <cellStyle name="Обычный 10 2" xfId="872"/>
    <cellStyle name="Обычный 11" xfId="5"/>
    <cellStyle name="Обычный 2" xfId="3"/>
    <cellStyle name="Обычный 2 2" xfId="873"/>
    <cellStyle name="Обычный 3" xfId="874"/>
    <cellStyle name="Обычный 3 2" xfId="875"/>
    <cellStyle name="Обычный 3 3" xfId="876"/>
    <cellStyle name="Обычный 4" xfId="877"/>
    <cellStyle name="Обычный 4 2" xfId="878"/>
    <cellStyle name="Обычный 4 3" xfId="879"/>
    <cellStyle name="Обычный 4 4" xfId="880"/>
    <cellStyle name="Обычный 5" xfId="881"/>
    <cellStyle name="Обычный 5 2" xfId="882"/>
    <cellStyle name="Обычный 5 2 2" xfId="883"/>
    <cellStyle name="Обычный 5 3" xfId="884"/>
    <cellStyle name="Обычный 5 4" xfId="885"/>
    <cellStyle name="Обычный 5 4 2" xfId="886"/>
    <cellStyle name="Обычный 5 5" xfId="887"/>
    <cellStyle name="Обычный 6" xfId="888"/>
    <cellStyle name="Обычный 6 2" xfId="889"/>
    <cellStyle name="Обычный 7" xfId="890"/>
    <cellStyle name="Обычный 8" xfId="891"/>
    <cellStyle name="Обычный 8 2" xfId="892"/>
    <cellStyle name="Обычный 9" xfId="893"/>
    <cellStyle name="Обычный_ELEQ_SUSTI DENEBI_axalqalaqis skola " xfId="903"/>
    <cellStyle name="Плохой 2" xfId="894"/>
    <cellStyle name="Процентный 2" xfId="895"/>
    <cellStyle name="Процентный 3" xfId="896"/>
    <cellStyle name="Процентный 3 2" xfId="897"/>
    <cellStyle name="Финансовый 2" xfId="898"/>
    <cellStyle name="Финансовый 2 2" xfId="899"/>
    <cellStyle name="Финансовый 3" xfId="900"/>
    <cellStyle name="Финансовый 4" xfId="901"/>
    <cellStyle name="Финансовый 5" xfId="902"/>
    <cellStyle name="Финансовый 6" xfId="478"/>
  </cellStyles>
  <dxfs count="0"/>
  <tableStyles count="0" defaultTableStyle="TableStyleMedium9" defaultPivotStyle="PivotStyleLight16"/>
  <colors>
    <mruColors>
      <color rgb="FFFED2A2"/>
      <color rgb="FFFFFFCC"/>
      <color rgb="FFFFCCFF"/>
      <color rgb="FF00FF99"/>
      <color rgb="FFFFFF99"/>
      <color rgb="FF66FFCC"/>
      <color rgb="FF9900FF"/>
      <color rgb="FFFF99FF"/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tabSelected="1" zoomScale="80" zoomScaleNormal="80" workbookViewId="0">
      <selection activeCell="D22" sqref="D22"/>
    </sheetView>
  </sheetViews>
  <sheetFormatPr defaultColWidth="8.85546875" defaultRowHeight="15" x14ac:dyDescent="0.25"/>
  <cols>
    <col min="1" max="1" width="8.28515625" style="8" customWidth="1"/>
    <col min="2" max="2" width="20.28515625" style="8" customWidth="1"/>
    <col min="3" max="3" width="42.28515625" style="8" customWidth="1"/>
    <col min="4" max="4" width="17.5703125" style="10" customWidth="1"/>
    <col min="5" max="5" width="25.5703125" style="10" customWidth="1"/>
    <col min="6" max="6" width="22.28515625" style="1" customWidth="1"/>
    <col min="7" max="16384" width="8.85546875" style="1"/>
  </cols>
  <sheetData>
    <row r="1" spans="1:5" ht="25.15" customHeight="1" x14ac:dyDescent="0.25">
      <c r="A1" s="351" t="s">
        <v>41</v>
      </c>
      <c r="B1" s="351"/>
      <c r="C1" s="351"/>
      <c r="D1" s="351"/>
      <c r="E1" s="351"/>
    </row>
    <row r="2" spans="1:5" ht="15.75" x14ac:dyDescent="0.25">
      <c r="A2" s="16"/>
      <c r="B2" s="16"/>
      <c r="C2" s="16"/>
      <c r="D2" s="17"/>
      <c r="E2" s="17"/>
    </row>
    <row r="3" spans="1:5" ht="52.5" customHeight="1" x14ac:dyDescent="0.25">
      <c r="A3" s="351" t="s">
        <v>242</v>
      </c>
      <c r="B3" s="351"/>
      <c r="C3" s="351"/>
      <c r="D3" s="351"/>
      <c r="E3" s="351"/>
    </row>
    <row r="4" spans="1:5" ht="11.45" customHeight="1" x14ac:dyDescent="0.25">
      <c r="A4" s="16"/>
      <c r="B4" s="16"/>
      <c r="C4" s="16"/>
      <c r="D4" s="17"/>
      <c r="E4" s="17"/>
    </row>
    <row r="5" spans="1:5" ht="31.15" customHeight="1" x14ac:dyDescent="0.25">
      <c r="A5" s="352" t="s">
        <v>0</v>
      </c>
      <c r="B5" s="352" t="s">
        <v>42</v>
      </c>
      <c r="C5" s="352" t="s">
        <v>43</v>
      </c>
      <c r="D5" s="353" t="s">
        <v>44</v>
      </c>
      <c r="E5" s="353"/>
    </row>
    <row r="6" spans="1:5" ht="47.25" x14ac:dyDescent="0.25">
      <c r="A6" s="352"/>
      <c r="B6" s="352"/>
      <c r="C6" s="352"/>
      <c r="D6" s="50"/>
      <c r="E6" s="50" t="s">
        <v>162</v>
      </c>
    </row>
    <row r="7" spans="1:5" ht="15.75" x14ac:dyDescent="0.25">
      <c r="A7" s="49">
        <v>1</v>
      </c>
      <c r="B7" s="49">
        <v>2</v>
      </c>
      <c r="C7" s="49">
        <v>3</v>
      </c>
      <c r="D7" s="49">
        <v>4</v>
      </c>
      <c r="E7" s="49">
        <v>7</v>
      </c>
    </row>
    <row r="8" spans="1:5" ht="15.75" x14ac:dyDescent="0.25">
      <c r="A8" s="49">
        <v>1</v>
      </c>
      <c r="B8" s="49" t="s">
        <v>45</v>
      </c>
      <c r="C8" s="124" t="s">
        <v>58</v>
      </c>
      <c r="D8" s="50"/>
      <c r="E8" s="50">
        <f>'#1'!L155</f>
        <v>0</v>
      </c>
    </row>
    <row r="9" spans="1:5" ht="15.75" x14ac:dyDescent="0.25">
      <c r="A9" s="49">
        <v>2</v>
      </c>
      <c r="B9" s="49" t="s">
        <v>46</v>
      </c>
      <c r="C9" s="124" t="s">
        <v>38</v>
      </c>
      <c r="D9" s="50"/>
      <c r="E9" s="50">
        <f>'#2'!L97</f>
        <v>0</v>
      </c>
    </row>
    <row r="10" spans="1:5" ht="47.25" hidden="1" x14ac:dyDescent="0.25">
      <c r="A10" s="49">
        <v>3</v>
      </c>
      <c r="B10" s="291" t="s">
        <v>48</v>
      </c>
      <c r="C10" s="124" t="s">
        <v>109</v>
      </c>
      <c r="D10" s="50"/>
      <c r="E10" s="50"/>
    </row>
    <row r="11" spans="1:5" ht="31.5" hidden="1" x14ac:dyDescent="0.25">
      <c r="A11" s="49">
        <v>4</v>
      </c>
      <c r="B11" s="291" t="s">
        <v>49</v>
      </c>
      <c r="C11" s="124" t="s">
        <v>120</v>
      </c>
      <c r="D11" s="50"/>
      <c r="E11" s="50"/>
    </row>
    <row r="12" spans="1:5" ht="47.25" hidden="1" x14ac:dyDescent="0.25">
      <c r="A12" s="49">
        <v>5</v>
      </c>
      <c r="B12" s="291" t="s">
        <v>55</v>
      </c>
      <c r="C12" s="124" t="s">
        <v>133</v>
      </c>
      <c r="D12" s="50"/>
      <c r="E12" s="50"/>
    </row>
    <row r="13" spans="1:5" ht="31.5" hidden="1" x14ac:dyDescent="0.25">
      <c r="A13" s="291">
        <v>6</v>
      </c>
      <c r="B13" s="291" t="s">
        <v>57</v>
      </c>
      <c r="C13" s="124" t="s">
        <v>101</v>
      </c>
      <c r="D13" s="50"/>
      <c r="E13" s="50"/>
    </row>
    <row r="14" spans="1:5" ht="31.5" hidden="1" x14ac:dyDescent="0.25">
      <c r="A14" s="291">
        <v>7</v>
      </c>
      <c r="B14" s="291" t="s">
        <v>126</v>
      </c>
      <c r="C14" s="124" t="s">
        <v>213</v>
      </c>
      <c r="D14" s="292"/>
      <c r="E14" s="292"/>
    </row>
    <row r="15" spans="1:5" ht="15.75" hidden="1" x14ac:dyDescent="0.25">
      <c r="A15" s="291">
        <v>8</v>
      </c>
      <c r="B15" s="291" t="s">
        <v>214</v>
      </c>
      <c r="C15" s="124" t="s">
        <v>125</v>
      </c>
      <c r="D15" s="50"/>
      <c r="E15" s="50"/>
    </row>
    <row r="16" spans="1:5" ht="15.75" x14ac:dyDescent="0.25">
      <c r="A16" s="49"/>
      <c r="B16" s="49"/>
      <c r="C16" s="49"/>
      <c r="D16" s="50"/>
      <c r="E16" s="50"/>
    </row>
    <row r="17" spans="1:5" ht="15.75" x14ac:dyDescent="0.25">
      <c r="A17" s="270"/>
      <c r="B17" s="270"/>
      <c r="C17" s="177" t="s">
        <v>204</v>
      </c>
      <c r="D17" s="271"/>
      <c r="E17" s="223">
        <f>SUM(E8:E16)</f>
        <v>0</v>
      </c>
    </row>
    <row r="18" spans="1:5" ht="15.75" x14ac:dyDescent="0.25">
      <c r="A18" s="16"/>
      <c r="B18" s="16"/>
      <c r="C18" s="1"/>
      <c r="D18" s="24"/>
      <c r="E18" s="17"/>
    </row>
    <row r="19" spans="1:5" x14ac:dyDescent="0.25">
      <c r="C19" s="19"/>
      <c r="D19" s="21"/>
    </row>
    <row r="20" spans="1:5" ht="15.75" customHeight="1" x14ac:dyDescent="0.25">
      <c r="A20" s="381" t="s">
        <v>244</v>
      </c>
      <c r="B20" s="381"/>
      <c r="C20" s="381"/>
      <c r="D20" s="381"/>
      <c r="E20" s="381"/>
    </row>
  </sheetData>
  <mergeCells count="7">
    <mergeCell ref="A20:E20"/>
    <mergeCell ref="A1:E1"/>
    <mergeCell ref="A3:E3"/>
    <mergeCell ref="A5:A6"/>
    <mergeCell ref="B5:B6"/>
    <mergeCell ref="C5:C6"/>
    <mergeCell ref="D5:E5"/>
  </mergeCells>
  <pageMargins left="1.1299999999999999" right="0.39" top="0.23" bottom="0.23" header="0.19685039370078741" footer="0.16"/>
  <pageSetup paperSize="9" orientation="landscape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159"/>
  <sheetViews>
    <sheetView zoomScale="80" zoomScaleNormal="80" workbookViewId="0">
      <selection sqref="A1:L1"/>
    </sheetView>
  </sheetViews>
  <sheetFormatPr defaultColWidth="8.85546875" defaultRowHeight="15.75" x14ac:dyDescent="0.25"/>
  <cols>
    <col min="1" max="1" width="6.7109375" style="335" customWidth="1"/>
    <col min="2" max="2" width="31" style="16" customWidth="1"/>
    <col min="3" max="3" width="6.7109375" style="7" customWidth="1"/>
    <col min="4" max="4" width="10" style="28" customWidth="1"/>
    <col min="5" max="5" width="11.140625" style="4" customWidth="1"/>
    <col min="6" max="6" width="9.140625" style="17" customWidth="1"/>
    <col min="7" max="7" width="12.5703125" style="17" customWidth="1"/>
    <col min="8" max="8" width="6.85546875" style="17" customWidth="1"/>
    <col min="9" max="9" width="12" style="17" customWidth="1"/>
    <col min="10" max="10" width="6.5703125" style="17" customWidth="1"/>
    <col min="11" max="11" width="10.85546875" style="17" customWidth="1"/>
    <col min="12" max="12" width="15.140625" style="17" customWidth="1"/>
    <col min="13" max="13" width="30.140625" style="25" customWidth="1"/>
    <col min="14" max="16384" width="8.85546875" style="25"/>
  </cols>
  <sheetData>
    <row r="1" spans="1:13" ht="53.45" customHeight="1" x14ac:dyDescent="0.25">
      <c r="A1" s="351" t="str">
        <f>krebsiti!A3</f>
        <v>dmanisis municipalitetis sofel mTisZirSi sacxovrebeli korpusis dasarbazos reabiulitacia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269" t="s">
        <v>211</v>
      </c>
    </row>
    <row r="2" spans="1:13" x14ac:dyDescent="0.25">
      <c r="A2" s="334"/>
      <c r="B2" s="176"/>
      <c r="C2" s="176"/>
      <c r="D2" s="137"/>
      <c r="E2" s="137"/>
      <c r="F2" s="201"/>
      <c r="G2" s="201"/>
      <c r="H2" s="201"/>
      <c r="I2" s="201"/>
      <c r="J2" s="201"/>
      <c r="K2" s="201"/>
      <c r="L2" s="201"/>
    </row>
    <row r="3" spans="1:13" x14ac:dyDescent="0.25">
      <c r="A3" s="351" t="s">
        <v>12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3" x14ac:dyDescent="0.25">
      <c r="A4" s="334"/>
      <c r="B4" s="176"/>
      <c r="C4" s="176"/>
      <c r="D4" s="137"/>
      <c r="E4" s="137"/>
      <c r="F4" s="201"/>
      <c r="G4" s="201"/>
      <c r="H4" s="201"/>
      <c r="I4" s="201"/>
      <c r="J4" s="201"/>
      <c r="K4" s="201"/>
      <c r="L4" s="201"/>
    </row>
    <row r="5" spans="1:13" x14ac:dyDescent="0.25">
      <c r="A5" s="351" t="s">
        <v>58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13" x14ac:dyDescent="0.25">
      <c r="B6" s="176"/>
      <c r="C6" s="151"/>
      <c r="D6" s="145"/>
      <c r="E6" s="137"/>
      <c r="F6" s="201"/>
      <c r="G6" s="201"/>
      <c r="H6" s="201"/>
      <c r="I6" s="201"/>
      <c r="J6" s="201"/>
      <c r="K6" s="201"/>
      <c r="L6" s="201"/>
    </row>
    <row r="7" spans="1:13" ht="30.75" customHeight="1" x14ac:dyDescent="0.25">
      <c r="A7" s="364" t="s">
        <v>0</v>
      </c>
      <c r="B7" s="352" t="s">
        <v>163</v>
      </c>
      <c r="C7" s="366" t="s">
        <v>201</v>
      </c>
      <c r="D7" s="369" t="s">
        <v>85</v>
      </c>
      <c r="E7" s="369"/>
      <c r="F7" s="353" t="s">
        <v>3</v>
      </c>
      <c r="G7" s="353"/>
      <c r="H7" s="353" t="s">
        <v>4</v>
      </c>
      <c r="I7" s="353"/>
      <c r="J7" s="367" t="s">
        <v>25</v>
      </c>
      <c r="K7" s="368"/>
      <c r="L7" s="353" t="s">
        <v>5</v>
      </c>
    </row>
    <row r="8" spans="1:13" ht="47.25" x14ac:dyDescent="0.25">
      <c r="A8" s="364"/>
      <c r="B8" s="352"/>
      <c r="C8" s="366"/>
      <c r="D8" s="147" t="s">
        <v>86</v>
      </c>
      <c r="E8" s="148" t="s">
        <v>18</v>
      </c>
      <c r="F8" s="139" t="s">
        <v>6</v>
      </c>
      <c r="G8" s="139" t="s">
        <v>7</v>
      </c>
      <c r="H8" s="139" t="s">
        <v>6</v>
      </c>
      <c r="I8" s="139" t="s">
        <v>7</v>
      </c>
      <c r="J8" s="139" t="s">
        <v>6</v>
      </c>
      <c r="K8" s="139" t="s">
        <v>7</v>
      </c>
      <c r="L8" s="353"/>
    </row>
    <row r="9" spans="1:13" x14ac:dyDescent="0.25">
      <c r="A9" s="336">
        <v>1</v>
      </c>
      <c r="B9" s="291" t="s">
        <v>112</v>
      </c>
      <c r="C9" s="336" t="s">
        <v>59</v>
      </c>
      <c r="D9" s="328" t="s">
        <v>113</v>
      </c>
      <c r="E9" s="336" t="s">
        <v>34</v>
      </c>
      <c r="F9" s="328" t="s">
        <v>106</v>
      </c>
      <c r="G9" s="336" t="s">
        <v>114</v>
      </c>
      <c r="H9" s="328" t="s">
        <v>35</v>
      </c>
      <c r="I9" s="336" t="s">
        <v>51</v>
      </c>
      <c r="J9" s="328" t="s">
        <v>110</v>
      </c>
      <c r="K9" s="336" t="s">
        <v>153</v>
      </c>
      <c r="L9" s="328" t="s">
        <v>129</v>
      </c>
    </row>
    <row r="10" spans="1:13" s="85" customFormat="1" ht="31.5" x14ac:dyDescent="0.2">
      <c r="A10" s="337" t="s">
        <v>208</v>
      </c>
      <c r="B10" s="177" t="s">
        <v>58</v>
      </c>
      <c r="C10" s="40"/>
      <c r="D10" s="80"/>
      <c r="E10" s="202"/>
      <c r="F10" s="62"/>
      <c r="G10" s="65"/>
      <c r="H10" s="62"/>
      <c r="I10" s="65"/>
      <c r="J10" s="62"/>
      <c r="K10" s="139"/>
      <c r="L10" s="139"/>
      <c r="M10" s="84"/>
    </row>
    <row r="11" spans="1:13" x14ac:dyDescent="0.25">
      <c r="A11" s="338"/>
      <c r="B11" s="325" t="s">
        <v>209</v>
      </c>
      <c r="C11" s="321"/>
      <c r="D11" s="326"/>
      <c r="E11" s="327"/>
      <c r="F11" s="286"/>
      <c r="G11" s="286"/>
      <c r="H11" s="286"/>
      <c r="I11" s="286"/>
      <c r="J11" s="286"/>
      <c r="K11" s="286"/>
      <c r="L11" s="286"/>
    </row>
    <row r="12" spans="1:13" ht="63" x14ac:dyDescent="0.25">
      <c r="A12" s="365" t="s">
        <v>111</v>
      </c>
      <c r="B12" s="100" t="s">
        <v>222</v>
      </c>
      <c r="C12" s="284" t="s">
        <v>14</v>
      </c>
      <c r="D12" s="96"/>
      <c r="E12" s="165">
        <f>2.2*5.3</f>
        <v>11.66</v>
      </c>
      <c r="F12" s="65"/>
      <c r="G12" s="65"/>
      <c r="H12" s="65"/>
      <c r="I12" s="65"/>
      <c r="J12" s="65"/>
      <c r="K12" s="295"/>
      <c r="L12" s="295"/>
    </row>
    <row r="13" spans="1:13" ht="27" x14ac:dyDescent="0.25">
      <c r="A13" s="365"/>
      <c r="B13" s="124" t="s">
        <v>21</v>
      </c>
      <c r="C13" s="296" t="s">
        <v>23</v>
      </c>
      <c r="D13" s="297">
        <v>0.28899999999999998</v>
      </c>
      <c r="E13" s="298">
        <f>E12*D13</f>
        <v>3.3697399999999997</v>
      </c>
      <c r="F13" s="65"/>
      <c r="G13" s="65"/>
      <c r="H13" s="65"/>
      <c r="I13" s="65"/>
      <c r="J13" s="65"/>
      <c r="K13" s="295"/>
      <c r="L13" s="295"/>
    </row>
    <row r="14" spans="1:13" x14ac:dyDescent="0.25">
      <c r="A14" s="365"/>
      <c r="B14" s="124" t="s">
        <v>22</v>
      </c>
      <c r="C14" s="296" t="s">
        <v>19</v>
      </c>
      <c r="D14" s="297">
        <v>6.2799999999999995E-2</v>
      </c>
      <c r="E14" s="298">
        <f>E12*D14</f>
        <v>0.7322479999999999</v>
      </c>
      <c r="F14" s="65"/>
      <c r="G14" s="65"/>
      <c r="H14" s="65"/>
      <c r="I14" s="65"/>
      <c r="J14" s="65"/>
      <c r="K14" s="295"/>
      <c r="L14" s="295"/>
    </row>
    <row r="15" spans="1:13" ht="31.5" x14ac:dyDescent="0.25">
      <c r="A15" s="361" t="s">
        <v>112</v>
      </c>
      <c r="B15" s="100" t="s">
        <v>217</v>
      </c>
      <c r="C15" s="284" t="s">
        <v>14</v>
      </c>
      <c r="D15" s="96"/>
      <c r="E15" s="165">
        <f>(2.2+5.3*2)*(0.6+2.8+0.2+2.8)</f>
        <v>81.920000000000016</v>
      </c>
      <c r="F15" s="286"/>
      <c r="G15" s="286"/>
      <c r="H15" s="286"/>
      <c r="I15" s="286"/>
      <c r="J15" s="286"/>
      <c r="K15" s="286"/>
      <c r="L15" s="286"/>
    </row>
    <row r="16" spans="1:13" ht="27" x14ac:dyDescent="0.25">
      <c r="A16" s="362"/>
      <c r="B16" s="124" t="s">
        <v>21</v>
      </c>
      <c r="C16" s="296" t="s">
        <v>23</v>
      </c>
      <c r="D16" s="297">
        <v>0.186</v>
      </c>
      <c r="E16" s="298">
        <f>E15*D16</f>
        <v>15.237120000000003</v>
      </c>
      <c r="F16" s="65"/>
      <c r="G16" s="65"/>
      <c r="H16" s="65"/>
      <c r="I16" s="65"/>
      <c r="J16" s="65"/>
      <c r="K16" s="295"/>
      <c r="L16" s="295"/>
    </row>
    <row r="17" spans="1:13" x14ac:dyDescent="0.25">
      <c r="A17" s="363"/>
      <c r="B17" s="124" t="s">
        <v>22</v>
      </c>
      <c r="C17" s="296" t="s">
        <v>19</v>
      </c>
      <c r="D17" s="297">
        <v>1.6000000000000001E-3</v>
      </c>
      <c r="E17" s="298">
        <f>E15*D17</f>
        <v>0.13107200000000002</v>
      </c>
      <c r="F17" s="65"/>
      <c r="G17" s="65"/>
      <c r="H17" s="65"/>
      <c r="I17" s="65"/>
      <c r="J17" s="65"/>
      <c r="K17" s="295"/>
      <c r="L17" s="295"/>
    </row>
    <row r="18" spans="1:13" ht="47.25" x14ac:dyDescent="0.25">
      <c r="A18" s="361" t="s">
        <v>59</v>
      </c>
      <c r="B18" s="100" t="s">
        <v>223</v>
      </c>
      <c r="C18" s="290" t="s">
        <v>52</v>
      </c>
      <c r="D18" s="287"/>
      <c r="E18" s="288">
        <v>1</v>
      </c>
      <c r="F18" s="286"/>
      <c r="G18" s="286"/>
      <c r="H18" s="286"/>
      <c r="I18" s="286"/>
      <c r="J18" s="286"/>
      <c r="K18" s="286"/>
      <c r="L18" s="289"/>
    </row>
    <row r="19" spans="1:13" ht="27" x14ac:dyDescent="0.25">
      <c r="A19" s="363"/>
      <c r="B19" s="124" t="s">
        <v>21</v>
      </c>
      <c r="C19" s="304" t="s">
        <v>23</v>
      </c>
      <c r="D19" s="310">
        <v>1</v>
      </c>
      <c r="E19" s="311">
        <f>E18*D19</f>
        <v>1</v>
      </c>
      <c r="F19" s="65"/>
      <c r="G19" s="65"/>
      <c r="H19" s="65"/>
      <c r="I19" s="65"/>
      <c r="J19" s="65"/>
      <c r="K19" s="300"/>
      <c r="L19" s="300"/>
    </row>
    <row r="20" spans="1:13" x14ac:dyDescent="0.25">
      <c r="A20" s="339"/>
      <c r="B20" s="124"/>
      <c r="C20" s="304"/>
      <c r="D20" s="310"/>
      <c r="E20" s="311"/>
      <c r="F20" s="300"/>
      <c r="G20" s="300"/>
      <c r="H20" s="300"/>
      <c r="I20" s="300"/>
      <c r="J20" s="300"/>
      <c r="K20" s="300"/>
      <c r="L20" s="300"/>
    </row>
    <row r="21" spans="1:13" ht="63" x14ac:dyDescent="0.25">
      <c r="A21" s="364" t="s">
        <v>113</v>
      </c>
      <c r="B21" s="100" t="s">
        <v>210</v>
      </c>
      <c r="C21" s="290" t="s">
        <v>13</v>
      </c>
      <c r="D21" s="150"/>
      <c r="E21" s="163">
        <f>E12*0.07+E15*0.03+E18*1</f>
        <v>4.2738000000000005</v>
      </c>
      <c r="F21" s="65"/>
      <c r="G21" s="65"/>
      <c r="H21" s="65"/>
      <c r="I21" s="65"/>
      <c r="J21" s="65"/>
      <c r="K21" s="289"/>
      <c r="L21" s="289"/>
    </row>
    <row r="22" spans="1:13" ht="27" x14ac:dyDescent="0.25">
      <c r="A22" s="364"/>
      <c r="B22" s="179" t="s">
        <v>27</v>
      </c>
      <c r="C22" s="82" t="s">
        <v>23</v>
      </c>
      <c r="D22" s="83">
        <v>1.85</v>
      </c>
      <c r="E22" s="204">
        <f>E21*D22</f>
        <v>7.9065300000000009</v>
      </c>
      <c r="F22" s="106"/>
      <c r="G22" s="65"/>
      <c r="H22" s="106"/>
      <c r="I22" s="65"/>
      <c r="J22" s="65"/>
      <c r="K22" s="289"/>
      <c r="L22" s="289"/>
    </row>
    <row r="23" spans="1:13" ht="47.25" x14ac:dyDescent="0.25">
      <c r="A23" s="364"/>
      <c r="B23" s="180" t="s">
        <v>64</v>
      </c>
      <c r="C23" s="290" t="s">
        <v>16</v>
      </c>
      <c r="D23" s="83"/>
      <c r="E23" s="112">
        <f>E12*0.07*0.65+E15*0.03*2.4+E18*1*0.65</f>
        <v>7.0787700000000005</v>
      </c>
      <c r="F23" s="106"/>
      <c r="G23" s="65"/>
      <c r="H23" s="106"/>
      <c r="I23" s="65"/>
      <c r="J23" s="106"/>
      <c r="K23" s="289"/>
      <c r="L23" s="289"/>
    </row>
    <row r="24" spans="1:13" ht="27" x14ac:dyDescent="0.25">
      <c r="A24" s="364"/>
      <c r="B24" s="179" t="s">
        <v>31</v>
      </c>
      <c r="C24" s="82" t="s">
        <v>23</v>
      </c>
      <c r="D24" s="83">
        <v>0.53</v>
      </c>
      <c r="E24" s="204">
        <f>E23*D24</f>
        <v>3.7517481000000004</v>
      </c>
      <c r="F24" s="106"/>
      <c r="G24" s="65"/>
      <c r="H24" s="106"/>
      <c r="I24" s="65"/>
      <c r="J24" s="106"/>
      <c r="K24" s="289"/>
      <c r="L24" s="289"/>
    </row>
    <row r="25" spans="1:13" ht="31.5" x14ac:dyDescent="0.25">
      <c r="A25" s="364"/>
      <c r="B25" s="181" t="s">
        <v>200</v>
      </c>
      <c r="C25" s="290" t="s">
        <v>16</v>
      </c>
      <c r="D25" s="83"/>
      <c r="E25" s="112">
        <f>E23</f>
        <v>7.0787700000000005</v>
      </c>
      <c r="F25" s="106"/>
      <c r="G25" s="65"/>
      <c r="H25" s="106"/>
      <c r="I25" s="65"/>
      <c r="J25" s="106"/>
      <c r="K25" s="289"/>
      <c r="L25" s="289"/>
    </row>
    <row r="26" spans="1:13" s="85" customFormat="1" x14ac:dyDescent="0.2">
      <c r="A26" s="340"/>
      <c r="B26" s="185"/>
      <c r="C26" s="97"/>
      <c r="D26" s="46"/>
      <c r="E26" s="163"/>
      <c r="F26" s="62"/>
      <c r="G26" s="65"/>
      <c r="H26" s="62"/>
      <c r="I26" s="65"/>
      <c r="J26" s="62"/>
      <c r="K26" s="299"/>
      <c r="L26" s="299"/>
      <c r="M26" s="84"/>
    </row>
    <row r="27" spans="1:13" s="85" customFormat="1" ht="31.5" x14ac:dyDescent="0.2">
      <c r="A27" s="338"/>
      <c r="B27" s="325" t="s">
        <v>220</v>
      </c>
      <c r="C27" s="321"/>
      <c r="D27" s="326"/>
      <c r="E27" s="327"/>
      <c r="F27" s="62"/>
      <c r="G27" s="65"/>
      <c r="H27" s="62"/>
      <c r="I27" s="65"/>
      <c r="J27" s="62"/>
      <c r="K27" s="299"/>
      <c r="L27" s="299"/>
      <c r="M27" s="84"/>
    </row>
    <row r="28" spans="1:13" s="85" customFormat="1" ht="31.5" x14ac:dyDescent="0.2">
      <c r="A28" s="341"/>
      <c r="B28" s="322" t="s">
        <v>151</v>
      </c>
      <c r="C28" s="320"/>
      <c r="D28" s="323"/>
      <c r="E28" s="324"/>
      <c r="F28" s="62"/>
      <c r="G28" s="65"/>
      <c r="H28" s="62"/>
      <c r="I28" s="65"/>
      <c r="J28" s="62"/>
      <c r="K28" s="65"/>
      <c r="L28" s="65"/>
      <c r="M28" s="84"/>
    </row>
    <row r="29" spans="1:13" s="85" customFormat="1" ht="47.25" x14ac:dyDescent="0.2">
      <c r="A29" s="342"/>
      <c r="B29" s="182" t="s">
        <v>224</v>
      </c>
      <c r="C29" s="93"/>
      <c r="D29" s="98"/>
      <c r="E29" s="101"/>
      <c r="F29" s="62"/>
      <c r="G29" s="65"/>
      <c r="H29" s="62"/>
      <c r="I29" s="65"/>
      <c r="J29" s="62"/>
      <c r="K29" s="65"/>
      <c r="L29" s="65"/>
      <c r="M29" s="84"/>
    </row>
    <row r="30" spans="1:13" s="85" customFormat="1" ht="31.5" x14ac:dyDescent="0.2">
      <c r="A30" s="354" t="s">
        <v>111</v>
      </c>
      <c r="B30" s="316" t="s">
        <v>202</v>
      </c>
      <c r="C30" s="314" t="s">
        <v>147</v>
      </c>
      <c r="D30" s="30"/>
      <c r="E30" s="60">
        <v>2.46</v>
      </c>
      <c r="F30" s="62"/>
      <c r="G30" s="65"/>
      <c r="H30" s="62"/>
      <c r="I30" s="65"/>
      <c r="J30" s="62"/>
      <c r="K30" s="65"/>
      <c r="L30" s="65"/>
      <c r="M30" s="84"/>
    </row>
    <row r="31" spans="1:13" s="85" customFormat="1" ht="27" x14ac:dyDescent="0.2">
      <c r="A31" s="355"/>
      <c r="B31" s="104" t="s">
        <v>21</v>
      </c>
      <c r="C31" s="94" t="s">
        <v>23</v>
      </c>
      <c r="D31" s="317">
        <v>14.7</v>
      </c>
      <c r="E31" s="318">
        <f>D31*E30</f>
        <v>36.161999999999999</v>
      </c>
      <c r="F31" s="62"/>
      <c r="G31" s="65"/>
      <c r="H31" s="62"/>
      <c r="I31" s="65"/>
      <c r="J31" s="62"/>
      <c r="K31" s="65"/>
      <c r="L31" s="65"/>
      <c r="M31" s="84"/>
    </row>
    <row r="32" spans="1:13" s="85" customFormat="1" x14ac:dyDescent="0.2">
      <c r="A32" s="355"/>
      <c r="B32" s="104" t="s">
        <v>22</v>
      </c>
      <c r="C32" s="95" t="s">
        <v>19</v>
      </c>
      <c r="D32" s="317">
        <v>1.21</v>
      </c>
      <c r="E32" s="318">
        <f>E30*D32</f>
        <v>2.9765999999999999</v>
      </c>
      <c r="F32" s="62"/>
      <c r="G32" s="65"/>
      <c r="H32" s="62"/>
      <c r="I32" s="65"/>
      <c r="J32" s="62"/>
      <c r="K32" s="65"/>
      <c r="L32" s="65"/>
      <c r="M32" s="84"/>
    </row>
    <row r="33" spans="1:13" s="85" customFormat="1" x14ac:dyDescent="0.2">
      <c r="A33" s="355"/>
      <c r="B33" s="104" t="s">
        <v>171</v>
      </c>
      <c r="C33" s="306" t="s">
        <v>148</v>
      </c>
      <c r="D33" s="317">
        <v>1</v>
      </c>
      <c r="E33" s="318">
        <f>D33*E30</f>
        <v>2.46</v>
      </c>
      <c r="F33" s="62"/>
      <c r="G33" s="65"/>
      <c r="H33" s="62"/>
      <c r="I33" s="65"/>
      <c r="J33" s="62"/>
      <c r="K33" s="65"/>
      <c r="L33" s="65"/>
      <c r="M33" s="84"/>
    </row>
    <row r="34" spans="1:13" s="85" customFormat="1" x14ac:dyDescent="0.2">
      <c r="A34" s="355"/>
      <c r="B34" s="119" t="s">
        <v>132</v>
      </c>
      <c r="C34" s="306" t="s">
        <v>149</v>
      </c>
      <c r="D34" s="317">
        <v>2.46</v>
      </c>
      <c r="E34" s="318">
        <f>D34*E30</f>
        <v>6.0515999999999996</v>
      </c>
      <c r="F34" s="62"/>
      <c r="G34" s="65"/>
      <c r="H34" s="62"/>
      <c r="I34" s="65"/>
      <c r="J34" s="62"/>
      <c r="K34" s="65"/>
      <c r="L34" s="65"/>
      <c r="M34" s="84"/>
    </row>
    <row r="35" spans="1:13" s="85" customFormat="1" x14ac:dyDescent="0.2">
      <c r="A35" s="355"/>
      <c r="B35" s="104" t="s">
        <v>92</v>
      </c>
      <c r="C35" s="306" t="s">
        <v>148</v>
      </c>
      <c r="D35" s="317">
        <f>(1.6+0.7)/100</f>
        <v>2.3E-2</v>
      </c>
      <c r="E35" s="318">
        <f>D35*E30</f>
        <v>5.6579999999999998E-2</v>
      </c>
      <c r="F35" s="62"/>
      <c r="G35" s="65"/>
      <c r="H35" s="62"/>
      <c r="I35" s="65"/>
      <c r="J35" s="62"/>
      <c r="K35" s="65"/>
      <c r="L35" s="65"/>
      <c r="M35" s="84"/>
    </row>
    <row r="36" spans="1:13" s="85" customFormat="1" x14ac:dyDescent="0.2">
      <c r="A36" s="355"/>
      <c r="B36" s="104" t="s">
        <v>54</v>
      </c>
      <c r="C36" s="306" t="s">
        <v>15</v>
      </c>
      <c r="D36" s="317">
        <v>3.3</v>
      </c>
      <c r="E36" s="318">
        <f>E30*D36</f>
        <v>8.1180000000000003</v>
      </c>
      <c r="F36" s="62"/>
      <c r="G36" s="65"/>
      <c r="H36" s="62"/>
      <c r="I36" s="65"/>
      <c r="J36" s="62"/>
      <c r="K36" s="65"/>
      <c r="L36" s="65"/>
      <c r="M36" s="84"/>
    </row>
    <row r="37" spans="1:13" s="85" customFormat="1" x14ac:dyDescent="0.2">
      <c r="A37" s="355"/>
      <c r="B37" s="104" t="s">
        <v>30</v>
      </c>
      <c r="C37" s="306" t="s">
        <v>19</v>
      </c>
      <c r="D37" s="317">
        <v>0.9</v>
      </c>
      <c r="E37" s="318">
        <f>D37*E30</f>
        <v>2.214</v>
      </c>
      <c r="F37" s="62"/>
      <c r="G37" s="65"/>
      <c r="H37" s="62"/>
      <c r="I37" s="65"/>
      <c r="J37" s="62"/>
      <c r="K37" s="65"/>
      <c r="L37" s="65"/>
      <c r="M37" s="84"/>
    </row>
    <row r="38" spans="1:13" s="85" customFormat="1" x14ac:dyDescent="0.2">
      <c r="A38" s="355"/>
      <c r="B38" s="184" t="s">
        <v>172</v>
      </c>
      <c r="C38" s="308" t="s">
        <v>91</v>
      </c>
      <c r="D38" s="317"/>
      <c r="E38" s="164">
        <v>0.25800000000000001</v>
      </c>
      <c r="F38" s="109"/>
      <c r="G38" s="65"/>
      <c r="H38" s="62"/>
      <c r="I38" s="65"/>
      <c r="J38" s="62"/>
      <c r="K38" s="65"/>
      <c r="L38" s="65"/>
      <c r="M38" s="84"/>
    </row>
    <row r="39" spans="1:13" s="85" customFormat="1" x14ac:dyDescent="0.2">
      <c r="A39" s="356"/>
      <c r="B39" s="184" t="s">
        <v>173</v>
      </c>
      <c r="C39" s="308" t="s">
        <v>91</v>
      </c>
      <c r="D39" s="317"/>
      <c r="E39" s="164">
        <v>0.17100000000000001</v>
      </c>
      <c r="F39" s="109"/>
      <c r="G39" s="65"/>
      <c r="H39" s="62"/>
      <c r="I39" s="65"/>
      <c r="J39" s="62"/>
      <c r="K39" s="65"/>
      <c r="L39" s="65"/>
      <c r="M39" s="84"/>
    </row>
    <row r="40" spans="1:13" s="85" customFormat="1" ht="47.25" x14ac:dyDescent="0.2">
      <c r="A40" s="358" t="s">
        <v>112</v>
      </c>
      <c r="B40" s="178" t="s">
        <v>225</v>
      </c>
      <c r="C40" s="97" t="s">
        <v>13</v>
      </c>
      <c r="D40" s="46"/>
      <c r="E40" s="163">
        <v>3.87</v>
      </c>
      <c r="F40" s="62"/>
      <c r="G40" s="65"/>
      <c r="H40" s="62"/>
      <c r="I40" s="65"/>
      <c r="J40" s="62"/>
      <c r="K40" s="65"/>
      <c r="L40" s="65"/>
      <c r="M40" s="84"/>
    </row>
    <row r="41" spans="1:13" s="85" customFormat="1" x14ac:dyDescent="0.2">
      <c r="A41" s="359"/>
      <c r="B41" s="119" t="s">
        <v>53</v>
      </c>
      <c r="C41" s="307" t="s">
        <v>65</v>
      </c>
      <c r="D41" s="44">
        <v>13.9</v>
      </c>
      <c r="E41" s="108">
        <f>D41*E40</f>
        <v>53.793000000000006</v>
      </c>
      <c r="F41" s="109"/>
      <c r="G41" s="65"/>
      <c r="H41" s="109"/>
      <c r="I41" s="65"/>
      <c r="J41" s="109"/>
      <c r="K41" s="65"/>
      <c r="L41" s="65"/>
      <c r="M41" s="84"/>
    </row>
    <row r="42" spans="1:13" s="85" customFormat="1" x14ac:dyDescent="0.2">
      <c r="A42" s="359"/>
      <c r="B42" s="113" t="s">
        <v>22</v>
      </c>
      <c r="C42" s="308" t="s">
        <v>19</v>
      </c>
      <c r="D42" s="44">
        <v>1.28</v>
      </c>
      <c r="E42" s="108">
        <f>D42*E40</f>
        <v>4.9536000000000007</v>
      </c>
      <c r="F42" s="109"/>
      <c r="G42" s="65"/>
      <c r="H42" s="109"/>
      <c r="I42" s="65"/>
      <c r="J42" s="109"/>
      <c r="K42" s="65"/>
      <c r="L42" s="65"/>
      <c r="M42" s="84"/>
    </row>
    <row r="43" spans="1:13" s="85" customFormat="1" x14ac:dyDescent="0.2">
      <c r="A43" s="359"/>
      <c r="B43" s="119" t="s">
        <v>61</v>
      </c>
      <c r="C43" s="307" t="s">
        <v>148</v>
      </c>
      <c r="D43" s="44">
        <f>101.5*0.01</f>
        <v>1.0150000000000001</v>
      </c>
      <c r="E43" s="108">
        <f>D43*E40</f>
        <v>3.9280500000000007</v>
      </c>
      <c r="F43" s="109"/>
      <c r="G43" s="65"/>
      <c r="H43" s="109"/>
      <c r="I43" s="65"/>
      <c r="J43" s="109"/>
      <c r="K43" s="65"/>
      <c r="L43" s="65"/>
      <c r="M43" s="84"/>
    </row>
    <row r="44" spans="1:13" s="85" customFormat="1" x14ac:dyDescent="0.2">
      <c r="A44" s="359"/>
      <c r="B44" s="119" t="s">
        <v>132</v>
      </c>
      <c r="C44" s="307" t="s">
        <v>149</v>
      </c>
      <c r="D44" s="44">
        <v>2.29</v>
      </c>
      <c r="E44" s="108">
        <f>D44*E40</f>
        <v>8.8623000000000012</v>
      </c>
      <c r="F44" s="109"/>
      <c r="G44" s="65"/>
      <c r="H44" s="109"/>
      <c r="I44" s="65"/>
      <c r="J44" s="109"/>
      <c r="K44" s="65"/>
      <c r="L44" s="65"/>
      <c r="M44" s="84"/>
    </row>
    <row r="45" spans="1:13" s="85" customFormat="1" x14ac:dyDescent="0.2">
      <c r="A45" s="359"/>
      <c r="B45" s="119" t="s">
        <v>90</v>
      </c>
      <c r="C45" s="307" t="s">
        <v>148</v>
      </c>
      <c r="D45" s="44">
        <f>(1.4+4.29+0.2)/100</f>
        <v>5.8899999999999994E-2</v>
      </c>
      <c r="E45" s="108">
        <f>D45*E40</f>
        <v>0.22794299999999998</v>
      </c>
      <c r="F45" s="109"/>
      <c r="G45" s="65"/>
      <c r="H45" s="109"/>
      <c r="I45" s="65"/>
      <c r="J45" s="109"/>
      <c r="K45" s="65"/>
      <c r="L45" s="65"/>
      <c r="M45" s="84"/>
    </row>
    <row r="46" spans="1:13" s="85" customFormat="1" x14ac:dyDescent="0.2">
      <c r="A46" s="359"/>
      <c r="B46" s="119" t="s">
        <v>54</v>
      </c>
      <c r="C46" s="307" t="s">
        <v>15</v>
      </c>
      <c r="D46" s="44">
        <v>2.5</v>
      </c>
      <c r="E46" s="108">
        <f>E40*D46</f>
        <v>9.6750000000000007</v>
      </c>
      <c r="F46" s="109"/>
      <c r="G46" s="65"/>
      <c r="H46" s="109"/>
      <c r="I46" s="65"/>
      <c r="J46" s="109"/>
      <c r="K46" s="65"/>
      <c r="L46" s="65"/>
      <c r="M46" s="84"/>
    </row>
    <row r="47" spans="1:13" s="85" customFormat="1" x14ac:dyDescent="0.2">
      <c r="A47" s="359"/>
      <c r="B47" s="119" t="s">
        <v>30</v>
      </c>
      <c r="C47" s="307" t="s">
        <v>19</v>
      </c>
      <c r="D47" s="44">
        <v>0.93</v>
      </c>
      <c r="E47" s="108">
        <f>D47*E40</f>
        <v>3.5991000000000004</v>
      </c>
      <c r="F47" s="109"/>
      <c r="G47" s="65"/>
      <c r="H47" s="109"/>
      <c r="I47" s="65"/>
      <c r="J47" s="109"/>
      <c r="K47" s="65"/>
      <c r="L47" s="65"/>
      <c r="M47" s="84"/>
    </row>
    <row r="48" spans="1:13" s="85" customFormat="1" x14ac:dyDescent="0.2">
      <c r="A48" s="359"/>
      <c r="B48" s="154" t="s">
        <v>152</v>
      </c>
      <c r="C48" s="307" t="s">
        <v>88</v>
      </c>
      <c r="D48" s="44"/>
      <c r="E48" s="111">
        <f>0.363+0.166</f>
        <v>0.52900000000000003</v>
      </c>
      <c r="F48" s="109"/>
      <c r="G48" s="65"/>
      <c r="H48" s="109"/>
      <c r="I48" s="65"/>
      <c r="J48" s="109"/>
      <c r="K48" s="65"/>
      <c r="L48" s="65"/>
      <c r="M48" s="84"/>
    </row>
    <row r="49" spans="1:13" s="85" customFormat="1" x14ac:dyDescent="0.2">
      <c r="A49" s="360"/>
      <c r="B49" s="154" t="s">
        <v>174</v>
      </c>
      <c r="C49" s="307" t="s">
        <v>88</v>
      </c>
      <c r="D49" s="44"/>
      <c r="E49" s="111">
        <v>0.16</v>
      </c>
      <c r="F49" s="109"/>
      <c r="G49" s="65"/>
      <c r="H49" s="109"/>
      <c r="I49" s="65"/>
      <c r="J49" s="109"/>
      <c r="K49" s="65"/>
      <c r="L49" s="65"/>
      <c r="M49" s="84"/>
    </row>
    <row r="50" spans="1:13" s="85" customFormat="1" ht="63" x14ac:dyDescent="0.2">
      <c r="A50" s="343"/>
      <c r="B50" s="330" t="s">
        <v>228</v>
      </c>
      <c r="C50" s="331"/>
      <c r="D50" s="293"/>
      <c r="E50" s="332"/>
      <c r="F50" s="109"/>
      <c r="G50" s="65"/>
      <c r="H50" s="109"/>
      <c r="I50" s="65"/>
      <c r="J50" s="109"/>
      <c r="K50" s="65"/>
      <c r="L50" s="65"/>
      <c r="M50" s="84"/>
    </row>
    <row r="51" spans="1:13" s="85" customFormat="1" ht="63" x14ac:dyDescent="0.2">
      <c r="A51" s="354" t="s">
        <v>59</v>
      </c>
      <c r="B51" s="181" t="s">
        <v>227</v>
      </c>
      <c r="C51" s="11" t="s">
        <v>13</v>
      </c>
      <c r="D51" s="88"/>
      <c r="E51" s="112">
        <f>2.2*5.3*0.4</f>
        <v>4.6640000000000006</v>
      </c>
      <c r="F51" s="65"/>
      <c r="G51" s="65"/>
      <c r="H51" s="65"/>
      <c r="I51" s="65"/>
      <c r="J51" s="65"/>
      <c r="K51" s="65"/>
      <c r="L51" s="65"/>
      <c r="M51" s="84"/>
    </row>
    <row r="52" spans="1:13" s="85" customFormat="1" x14ac:dyDescent="0.2">
      <c r="A52" s="355"/>
      <c r="B52" s="107" t="s">
        <v>53</v>
      </c>
      <c r="C52" s="307" t="s">
        <v>65</v>
      </c>
      <c r="D52" s="44">
        <v>3.16</v>
      </c>
      <c r="E52" s="108">
        <f>D52*E51</f>
        <v>14.738240000000003</v>
      </c>
      <c r="F52" s="109"/>
      <c r="G52" s="65"/>
      <c r="H52" s="109"/>
      <c r="I52" s="65"/>
      <c r="J52" s="109"/>
      <c r="K52" s="300"/>
      <c r="L52" s="300"/>
      <c r="M52" s="84"/>
    </row>
    <row r="53" spans="1:13" s="85" customFormat="1" x14ac:dyDescent="0.2">
      <c r="A53" s="355"/>
      <c r="B53" s="104" t="s">
        <v>22</v>
      </c>
      <c r="C53" s="308" t="s">
        <v>19</v>
      </c>
      <c r="D53" s="44">
        <v>0</v>
      </c>
      <c r="E53" s="108">
        <f>D53*E51</f>
        <v>0</v>
      </c>
      <c r="F53" s="109"/>
      <c r="G53" s="65"/>
      <c r="H53" s="109"/>
      <c r="I53" s="65"/>
      <c r="J53" s="109"/>
      <c r="K53" s="300"/>
      <c r="L53" s="300"/>
      <c r="M53" s="84"/>
    </row>
    <row r="54" spans="1:13" s="85" customFormat="1" x14ac:dyDescent="0.2">
      <c r="A54" s="355"/>
      <c r="B54" s="125" t="s">
        <v>218</v>
      </c>
      <c r="C54" s="9" t="s">
        <v>13</v>
      </c>
      <c r="D54" s="86">
        <v>1.25</v>
      </c>
      <c r="E54" s="204">
        <f>E51*D54</f>
        <v>5.830000000000001</v>
      </c>
      <c r="F54" s="65"/>
      <c r="G54" s="65"/>
      <c r="H54" s="65"/>
      <c r="I54" s="65"/>
      <c r="J54" s="65"/>
      <c r="K54" s="65"/>
      <c r="L54" s="65"/>
      <c r="M54" s="84"/>
    </row>
    <row r="55" spans="1:13" s="85" customFormat="1" x14ac:dyDescent="0.2">
      <c r="A55" s="356"/>
      <c r="B55" s="125" t="s">
        <v>30</v>
      </c>
      <c r="C55" s="9" t="s">
        <v>19</v>
      </c>
      <c r="D55" s="86">
        <v>0.01</v>
      </c>
      <c r="E55" s="204">
        <f>E51*D55</f>
        <v>4.6640000000000008E-2</v>
      </c>
      <c r="F55" s="65"/>
      <c r="G55" s="65"/>
      <c r="H55" s="65"/>
      <c r="I55" s="65"/>
      <c r="J55" s="65"/>
      <c r="K55" s="65"/>
      <c r="L55" s="65"/>
      <c r="M55" s="84"/>
    </row>
    <row r="56" spans="1:13" s="85" customFormat="1" ht="47.25" x14ac:dyDescent="0.2">
      <c r="A56" s="354" t="s">
        <v>113</v>
      </c>
      <c r="B56" s="181" t="s">
        <v>239</v>
      </c>
      <c r="C56" s="11" t="s">
        <v>13</v>
      </c>
      <c r="D56" s="88"/>
      <c r="E56" s="112">
        <f>2.2*5.3*0.1</f>
        <v>1.1660000000000001</v>
      </c>
      <c r="F56" s="65"/>
      <c r="G56" s="65"/>
      <c r="H56" s="65"/>
      <c r="I56" s="65"/>
      <c r="J56" s="65"/>
      <c r="K56" s="65"/>
      <c r="L56" s="65"/>
      <c r="M56" s="84"/>
    </row>
    <row r="57" spans="1:13" s="85" customFormat="1" x14ac:dyDescent="0.2">
      <c r="A57" s="355"/>
      <c r="B57" s="107" t="s">
        <v>53</v>
      </c>
      <c r="C57" s="307" t="s">
        <v>65</v>
      </c>
      <c r="D57" s="44">
        <v>3.52</v>
      </c>
      <c r="E57" s="108">
        <f>D57*E56</f>
        <v>4.1043200000000004</v>
      </c>
      <c r="F57" s="109"/>
      <c r="G57" s="65"/>
      <c r="H57" s="109"/>
      <c r="I57" s="65"/>
      <c r="J57" s="109"/>
      <c r="K57" s="300"/>
      <c r="L57" s="300"/>
      <c r="M57" s="84"/>
    </row>
    <row r="58" spans="1:13" s="85" customFormat="1" x14ac:dyDescent="0.2">
      <c r="A58" s="355"/>
      <c r="B58" s="104" t="s">
        <v>22</v>
      </c>
      <c r="C58" s="308" t="s">
        <v>19</v>
      </c>
      <c r="D58" s="44">
        <v>1.06</v>
      </c>
      <c r="E58" s="108">
        <f>D58*E56</f>
        <v>1.2359600000000002</v>
      </c>
      <c r="F58" s="109"/>
      <c r="G58" s="65"/>
      <c r="H58" s="109"/>
      <c r="I58" s="65"/>
      <c r="J58" s="109"/>
      <c r="K58" s="300"/>
      <c r="L58" s="300"/>
      <c r="M58" s="84"/>
    </row>
    <row r="59" spans="1:13" s="85" customFormat="1" x14ac:dyDescent="0.2">
      <c r="A59" s="355"/>
      <c r="B59" s="125" t="s">
        <v>155</v>
      </c>
      <c r="C59" s="9" t="s">
        <v>13</v>
      </c>
      <c r="D59" s="86">
        <f>0.18+0.09+0.97</f>
        <v>1.24</v>
      </c>
      <c r="E59" s="204">
        <f>E56*D59</f>
        <v>1.4458400000000002</v>
      </c>
      <c r="F59" s="65"/>
      <c r="G59" s="65"/>
      <c r="H59" s="65"/>
      <c r="I59" s="65"/>
      <c r="J59" s="65"/>
      <c r="K59" s="65"/>
      <c r="L59" s="65"/>
      <c r="M59" s="84"/>
    </row>
    <row r="60" spans="1:13" s="85" customFormat="1" x14ac:dyDescent="0.2">
      <c r="A60" s="356"/>
      <c r="B60" s="125" t="s">
        <v>30</v>
      </c>
      <c r="C60" s="9" t="s">
        <v>19</v>
      </c>
      <c r="D60" s="86">
        <v>0.02</v>
      </c>
      <c r="E60" s="204">
        <f>E56*D60</f>
        <v>2.3320000000000004E-2</v>
      </c>
      <c r="F60" s="65"/>
      <c r="G60" s="65"/>
      <c r="H60" s="65"/>
      <c r="I60" s="65"/>
      <c r="J60" s="65"/>
      <c r="K60" s="65"/>
      <c r="L60" s="65"/>
      <c r="M60" s="84"/>
    </row>
    <row r="61" spans="1:13" s="85" customFormat="1" ht="31.5" x14ac:dyDescent="0.2">
      <c r="A61" s="355" t="s">
        <v>34</v>
      </c>
      <c r="B61" s="115" t="s">
        <v>219</v>
      </c>
      <c r="C61" s="315" t="s">
        <v>14</v>
      </c>
      <c r="D61" s="87"/>
      <c r="E61" s="60">
        <f>2.2*5.3*0.12</f>
        <v>1.3992</v>
      </c>
      <c r="F61" s="62"/>
      <c r="G61" s="65"/>
      <c r="H61" s="62"/>
      <c r="I61" s="65"/>
      <c r="J61" s="62"/>
      <c r="K61" s="300"/>
      <c r="L61" s="300"/>
      <c r="M61" s="84"/>
    </row>
    <row r="62" spans="1:13" s="85" customFormat="1" x14ac:dyDescent="0.2">
      <c r="A62" s="355"/>
      <c r="B62" s="107" t="s">
        <v>53</v>
      </c>
      <c r="C62" s="307" t="s">
        <v>65</v>
      </c>
      <c r="D62" s="44">
        <f>840*0.01</f>
        <v>8.4</v>
      </c>
      <c r="E62" s="108">
        <f>D62*E61</f>
        <v>11.75328</v>
      </c>
      <c r="F62" s="109"/>
      <c r="G62" s="65"/>
      <c r="H62" s="109"/>
      <c r="I62" s="65"/>
      <c r="J62" s="109"/>
      <c r="K62" s="300"/>
      <c r="L62" s="300"/>
      <c r="M62" s="84"/>
    </row>
    <row r="63" spans="1:13" s="85" customFormat="1" x14ac:dyDescent="0.2">
      <c r="A63" s="355"/>
      <c r="B63" s="104" t="s">
        <v>22</v>
      </c>
      <c r="C63" s="308" t="s">
        <v>19</v>
      </c>
      <c r="D63" s="44">
        <f>81*0.01</f>
        <v>0.81</v>
      </c>
      <c r="E63" s="108">
        <f>D63*E61</f>
        <v>1.1333520000000001</v>
      </c>
      <c r="F63" s="109"/>
      <c r="G63" s="65"/>
      <c r="H63" s="109"/>
      <c r="I63" s="65"/>
      <c r="J63" s="109"/>
      <c r="K63" s="300"/>
      <c r="L63" s="300"/>
      <c r="M63" s="84"/>
    </row>
    <row r="64" spans="1:13" s="85" customFormat="1" x14ac:dyDescent="0.2">
      <c r="A64" s="355"/>
      <c r="B64" s="107" t="s">
        <v>61</v>
      </c>
      <c r="C64" s="307" t="s">
        <v>148</v>
      </c>
      <c r="D64" s="44">
        <f>101.5*0.01</f>
        <v>1.0150000000000001</v>
      </c>
      <c r="E64" s="108">
        <f>D64*E61</f>
        <v>1.4201880000000002</v>
      </c>
      <c r="F64" s="109"/>
      <c r="G64" s="65"/>
      <c r="H64" s="109"/>
      <c r="I64" s="65"/>
      <c r="J64" s="109"/>
      <c r="K64" s="300"/>
      <c r="L64" s="300"/>
      <c r="M64" s="84"/>
    </row>
    <row r="65" spans="1:13" s="85" customFormat="1" x14ac:dyDescent="0.2">
      <c r="A65" s="355"/>
      <c r="B65" s="107" t="s">
        <v>89</v>
      </c>
      <c r="C65" s="307" t="s">
        <v>149</v>
      </c>
      <c r="D65" s="44">
        <f>137*0.01</f>
        <v>1.37</v>
      </c>
      <c r="E65" s="108">
        <f>D65*E61</f>
        <v>1.9169040000000002</v>
      </c>
      <c r="F65" s="109"/>
      <c r="G65" s="65"/>
      <c r="H65" s="109"/>
      <c r="I65" s="65"/>
      <c r="J65" s="109"/>
      <c r="K65" s="300"/>
      <c r="L65" s="300"/>
      <c r="M65" s="84"/>
    </row>
    <row r="66" spans="1:13" s="85" customFormat="1" x14ac:dyDescent="0.2">
      <c r="A66" s="355"/>
      <c r="B66" s="107" t="s">
        <v>90</v>
      </c>
      <c r="C66" s="307" t="s">
        <v>148</v>
      </c>
      <c r="D66" s="44">
        <f>(0.84+2.56+0.26)/100</f>
        <v>3.6600000000000001E-2</v>
      </c>
      <c r="E66" s="108">
        <f>D66*E61</f>
        <v>5.1210720000000001E-2</v>
      </c>
      <c r="F66" s="109"/>
      <c r="G66" s="65"/>
      <c r="H66" s="109"/>
      <c r="I66" s="65"/>
      <c r="J66" s="109"/>
      <c r="K66" s="300"/>
      <c r="L66" s="300"/>
      <c r="M66" s="84"/>
    </row>
    <row r="67" spans="1:13" s="85" customFormat="1" x14ac:dyDescent="0.2">
      <c r="A67" s="355"/>
      <c r="B67" s="107" t="s">
        <v>30</v>
      </c>
      <c r="C67" s="307" t="s">
        <v>19</v>
      </c>
      <c r="D67" s="44">
        <f>0.39*0.01</f>
        <v>3.9000000000000003E-3</v>
      </c>
      <c r="E67" s="108">
        <f>D67*E61</f>
        <v>5.4568800000000008E-3</v>
      </c>
      <c r="F67" s="109"/>
      <c r="G67" s="65"/>
      <c r="H67" s="109"/>
      <c r="I67" s="65"/>
      <c r="J67" s="109"/>
      <c r="K67" s="300"/>
      <c r="L67" s="300"/>
      <c r="M67" s="84"/>
    </row>
    <row r="68" spans="1:13" s="85" customFormat="1" x14ac:dyDescent="0.2">
      <c r="A68" s="355"/>
      <c r="B68" s="110" t="s">
        <v>175</v>
      </c>
      <c r="C68" s="307" t="s">
        <v>88</v>
      </c>
      <c r="D68" s="43"/>
      <c r="E68" s="111">
        <f>(E61/0.12)*16*0.395*1.03/1000</f>
        <v>7.5901936000000003E-2</v>
      </c>
      <c r="F68" s="109"/>
      <c r="G68" s="65"/>
      <c r="H68" s="109"/>
      <c r="I68" s="65"/>
      <c r="J68" s="109"/>
      <c r="K68" s="300"/>
      <c r="L68" s="300"/>
      <c r="M68" s="84"/>
    </row>
    <row r="69" spans="1:13" s="85" customFormat="1" x14ac:dyDescent="0.2">
      <c r="A69" s="356"/>
      <c r="B69" s="110" t="s">
        <v>176</v>
      </c>
      <c r="C69" s="307" t="s">
        <v>88</v>
      </c>
      <c r="D69" s="44"/>
      <c r="E69" s="111">
        <v>0</v>
      </c>
      <c r="F69" s="109"/>
      <c r="G69" s="65"/>
      <c r="H69" s="62"/>
      <c r="I69" s="65"/>
      <c r="J69" s="62"/>
      <c r="K69" s="300"/>
      <c r="L69" s="300"/>
      <c r="M69" s="84"/>
    </row>
    <row r="70" spans="1:13" s="85" customFormat="1" ht="78.75" x14ac:dyDescent="0.2">
      <c r="A70" s="354" t="s">
        <v>106</v>
      </c>
      <c r="B70" s="316" t="s">
        <v>226</v>
      </c>
      <c r="C70" s="314" t="s">
        <v>14</v>
      </c>
      <c r="D70" s="36"/>
      <c r="E70" s="60">
        <f>2.2*5.3+(1.3+1+1.3)*2.2</f>
        <v>19.579999999999998</v>
      </c>
      <c r="F70" s="62"/>
      <c r="G70" s="65"/>
      <c r="H70" s="62"/>
      <c r="I70" s="65"/>
      <c r="J70" s="62"/>
      <c r="K70" s="65"/>
      <c r="L70" s="65"/>
      <c r="M70" s="84"/>
    </row>
    <row r="71" spans="1:13" s="85" customFormat="1" ht="27" x14ac:dyDescent="0.2">
      <c r="A71" s="355"/>
      <c r="B71" s="187" t="s">
        <v>31</v>
      </c>
      <c r="C71" s="9" t="s">
        <v>23</v>
      </c>
      <c r="D71" s="83">
        <f>0.188+0.0034*2</f>
        <v>0.1948</v>
      </c>
      <c r="E71" s="59">
        <f>E70*D71</f>
        <v>3.8141839999999996</v>
      </c>
      <c r="F71" s="62"/>
      <c r="G71" s="65"/>
      <c r="H71" s="109"/>
      <c r="I71" s="65"/>
      <c r="J71" s="62"/>
      <c r="K71" s="65"/>
      <c r="L71" s="65"/>
      <c r="M71" s="84"/>
    </row>
    <row r="72" spans="1:13" s="85" customFormat="1" x14ac:dyDescent="0.2">
      <c r="A72" s="355"/>
      <c r="B72" s="187" t="s">
        <v>28</v>
      </c>
      <c r="C72" s="9" t="s">
        <v>19</v>
      </c>
      <c r="D72" s="83">
        <f>0.0095+0.0023*2</f>
        <v>1.41E-2</v>
      </c>
      <c r="E72" s="59">
        <f>E70*D72</f>
        <v>0.27607799999999999</v>
      </c>
      <c r="F72" s="62"/>
      <c r="G72" s="65"/>
      <c r="H72" s="62"/>
      <c r="I72" s="65"/>
      <c r="J72" s="62"/>
      <c r="K72" s="65"/>
      <c r="L72" s="65"/>
      <c r="M72" s="84"/>
    </row>
    <row r="73" spans="1:13" s="85" customFormat="1" x14ac:dyDescent="0.2">
      <c r="A73" s="355"/>
      <c r="B73" s="116" t="s">
        <v>63</v>
      </c>
      <c r="C73" s="308" t="s">
        <v>13</v>
      </c>
      <c r="D73" s="30">
        <f>0.0204+0.0051*2</f>
        <v>3.0600000000000002E-2</v>
      </c>
      <c r="E73" s="59">
        <f>E70*D73</f>
        <v>0.59914800000000001</v>
      </c>
      <c r="F73" s="62"/>
      <c r="G73" s="65"/>
      <c r="H73" s="62"/>
      <c r="I73" s="65"/>
      <c r="J73" s="62"/>
      <c r="K73" s="65"/>
      <c r="L73" s="65"/>
      <c r="M73" s="84"/>
    </row>
    <row r="74" spans="1:13" s="85" customFormat="1" x14ac:dyDescent="0.2">
      <c r="A74" s="356"/>
      <c r="B74" s="118" t="s">
        <v>26</v>
      </c>
      <c r="C74" s="9" t="s">
        <v>19</v>
      </c>
      <c r="D74" s="86">
        <f>0.0636</f>
        <v>6.3600000000000004E-2</v>
      </c>
      <c r="E74" s="59">
        <f>E70*D74</f>
        <v>1.245288</v>
      </c>
      <c r="F74" s="62"/>
      <c r="G74" s="65"/>
      <c r="H74" s="62"/>
      <c r="I74" s="65"/>
      <c r="J74" s="62"/>
      <c r="K74" s="65"/>
      <c r="L74" s="65"/>
      <c r="M74" s="84"/>
    </row>
    <row r="75" spans="1:13" s="85" customFormat="1" ht="72" customHeight="1" x14ac:dyDescent="0.2">
      <c r="A75" s="344"/>
      <c r="B75" s="333" t="s">
        <v>229</v>
      </c>
      <c r="C75" s="99"/>
      <c r="D75" s="81"/>
      <c r="E75" s="166"/>
      <c r="F75" s="62"/>
      <c r="G75" s="65"/>
      <c r="H75" s="62"/>
      <c r="I75" s="65"/>
      <c r="J75" s="62"/>
      <c r="K75" s="65"/>
      <c r="L75" s="65"/>
      <c r="M75" s="84"/>
    </row>
    <row r="76" spans="1:13" s="85" customFormat="1" ht="78.75" x14ac:dyDescent="0.2">
      <c r="A76" s="361" t="s">
        <v>114</v>
      </c>
      <c r="B76" s="100" t="s">
        <v>230</v>
      </c>
      <c r="C76" s="304" t="s">
        <v>14</v>
      </c>
      <c r="D76" s="310"/>
      <c r="E76" s="163">
        <f>E79+E80</f>
        <v>30.305</v>
      </c>
      <c r="F76" s="65"/>
      <c r="G76" s="65"/>
      <c r="H76" s="65"/>
      <c r="I76" s="65"/>
      <c r="J76" s="65"/>
      <c r="K76" s="65"/>
      <c r="L76" s="65"/>
      <c r="M76" s="84"/>
    </row>
    <row r="77" spans="1:13" s="85" customFormat="1" ht="27" x14ac:dyDescent="0.2">
      <c r="A77" s="362"/>
      <c r="B77" s="124" t="s">
        <v>21</v>
      </c>
      <c r="C77" s="304" t="s">
        <v>23</v>
      </c>
      <c r="D77" s="41">
        <v>1.08</v>
      </c>
      <c r="E77" s="102">
        <f>E76*D77</f>
        <v>32.729400000000005</v>
      </c>
      <c r="F77" s="65"/>
      <c r="G77" s="65"/>
      <c r="H77" s="65"/>
      <c r="I77" s="65"/>
      <c r="J77" s="65"/>
      <c r="K77" s="65"/>
      <c r="L77" s="65"/>
      <c r="M77" s="84"/>
    </row>
    <row r="78" spans="1:13" s="85" customFormat="1" ht="27" x14ac:dyDescent="0.2">
      <c r="A78" s="362"/>
      <c r="B78" s="189" t="s">
        <v>22</v>
      </c>
      <c r="C78" s="309" t="s">
        <v>24</v>
      </c>
      <c r="D78" s="41">
        <v>4.5199999999999997E-2</v>
      </c>
      <c r="E78" s="102">
        <f>E76*D78</f>
        <v>1.3697859999999999</v>
      </c>
      <c r="F78" s="65"/>
      <c r="G78" s="65"/>
      <c r="H78" s="65"/>
      <c r="I78" s="65"/>
      <c r="J78" s="65"/>
      <c r="K78" s="65"/>
      <c r="L78" s="65"/>
      <c r="M78" s="84"/>
    </row>
    <row r="79" spans="1:13" s="85" customFormat="1" hidden="1" x14ac:dyDescent="0.2">
      <c r="A79" s="362"/>
      <c r="B79" s="100" t="s">
        <v>37</v>
      </c>
      <c r="C79" s="304" t="s">
        <v>14</v>
      </c>
      <c r="D79" s="310">
        <v>1.05</v>
      </c>
      <c r="E79" s="163">
        <v>0</v>
      </c>
      <c r="F79" s="65"/>
      <c r="G79" s="65"/>
      <c r="H79" s="65"/>
      <c r="I79" s="65"/>
      <c r="J79" s="65"/>
      <c r="K79" s="65"/>
      <c r="L79" s="65"/>
      <c r="M79" s="84"/>
    </row>
    <row r="80" spans="1:13" s="85" customFormat="1" ht="31.5" x14ac:dyDescent="0.2">
      <c r="A80" s="362"/>
      <c r="B80" s="100" t="s">
        <v>128</v>
      </c>
      <c r="C80" s="304" t="s">
        <v>14</v>
      </c>
      <c r="D80" s="90">
        <v>1.05</v>
      </c>
      <c r="E80" s="206">
        <f>2.2*5.3+   (1.3+1+1.9)*2.2+   (0.3+0.15)*1.1*(3+8+8)</f>
        <v>30.305</v>
      </c>
      <c r="F80" s="207"/>
      <c r="G80" s="65"/>
      <c r="H80" s="207"/>
      <c r="I80" s="65"/>
      <c r="J80" s="207"/>
      <c r="K80" s="65"/>
      <c r="L80" s="65"/>
      <c r="M80" s="84"/>
    </row>
    <row r="81" spans="1:13" s="85" customFormat="1" x14ac:dyDescent="0.2">
      <c r="A81" s="362"/>
      <c r="B81" s="190" t="s">
        <v>100</v>
      </c>
      <c r="C81" s="89" t="s">
        <v>69</v>
      </c>
      <c r="D81" s="47">
        <v>0.3</v>
      </c>
      <c r="E81" s="208">
        <f>E76*D81</f>
        <v>9.0914999999999999</v>
      </c>
      <c r="F81" s="209"/>
      <c r="G81" s="65"/>
      <c r="H81" s="209"/>
      <c r="I81" s="65"/>
      <c r="J81" s="209"/>
      <c r="K81" s="65"/>
      <c r="L81" s="65"/>
      <c r="M81" s="84"/>
    </row>
    <row r="82" spans="1:13" s="85" customFormat="1" x14ac:dyDescent="0.2">
      <c r="A82" s="362"/>
      <c r="B82" s="124" t="s">
        <v>36</v>
      </c>
      <c r="C82" s="304" t="s">
        <v>15</v>
      </c>
      <c r="D82" s="310">
        <v>5</v>
      </c>
      <c r="E82" s="102">
        <f>E76*D82</f>
        <v>151.52500000000001</v>
      </c>
      <c r="F82" s="65"/>
      <c r="G82" s="65"/>
      <c r="H82" s="65"/>
      <c r="I82" s="65"/>
      <c r="J82" s="65"/>
      <c r="K82" s="65"/>
      <c r="L82" s="65"/>
      <c r="M82" s="84"/>
    </row>
    <row r="83" spans="1:13" s="85" customFormat="1" x14ac:dyDescent="0.2">
      <c r="A83" s="363"/>
      <c r="B83" s="126" t="s">
        <v>30</v>
      </c>
      <c r="C83" s="309" t="s">
        <v>19</v>
      </c>
      <c r="D83" s="41">
        <v>4.6600000000000003E-2</v>
      </c>
      <c r="E83" s="102">
        <f>E76*D83</f>
        <v>1.4122130000000002</v>
      </c>
      <c r="F83" s="65"/>
      <c r="G83" s="65"/>
      <c r="H83" s="65"/>
      <c r="I83" s="65"/>
      <c r="J83" s="65"/>
      <c r="K83" s="65"/>
      <c r="L83" s="65"/>
      <c r="M83" s="84"/>
    </row>
    <row r="84" spans="1:13" s="85" customFormat="1" ht="94.5" x14ac:dyDescent="0.2">
      <c r="A84" s="354" t="s">
        <v>35</v>
      </c>
      <c r="B84" s="282" t="s">
        <v>231</v>
      </c>
      <c r="C84" s="319" t="s">
        <v>8</v>
      </c>
      <c r="D84" s="127"/>
      <c r="E84" s="163">
        <f>1.4+0.1+3.1+0.1+3.1+1.2   +2.2</f>
        <v>11.2</v>
      </c>
      <c r="F84" s="62"/>
      <c r="G84" s="62"/>
      <c r="H84" s="62"/>
      <c r="I84" s="62"/>
      <c r="J84" s="62"/>
      <c r="K84" s="62"/>
      <c r="L84" s="62"/>
      <c r="M84" s="84"/>
    </row>
    <row r="85" spans="1:13" s="85" customFormat="1" ht="27" x14ac:dyDescent="0.2">
      <c r="A85" s="355"/>
      <c r="B85" s="78" t="s">
        <v>21</v>
      </c>
      <c r="C85" s="308" t="s">
        <v>23</v>
      </c>
      <c r="D85" s="52">
        <v>1.58</v>
      </c>
      <c r="E85" s="79">
        <f>E84*D85</f>
        <v>17.695999999999998</v>
      </c>
      <c r="F85" s="62"/>
      <c r="G85" s="62"/>
      <c r="H85" s="62"/>
      <c r="I85" s="62"/>
      <c r="J85" s="62"/>
      <c r="K85" s="62"/>
      <c r="L85" s="62"/>
      <c r="M85" s="84"/>
    </row>
    <row r="86" spans="1:13" s="85" customFormat="1" ht="31.5" x14ac:dyDescent="0.2">
      <c r="A86" s="355"/>
      <c r="B86" s="113" t="s">
        <v>156</v>
      </c>
      <c r="C86" s="308" t="s">
        <v>87</v>
      </c>
      <c r="D86" s="317">
        <f>20.5/100</f>
        <v>0.20499999999999999</v>
      </c>
      <c r="E86" s="318">
        <f>E84*D86</f>
        <v>2.2959999999999998</v>
      </c>
      <c r="F86" s="62"/>
      <c r="G86" s="62"/>
      <c r="H86" s="62"/>
      <c r="I86" s="62"/>
      <c r="J86" s="62"/>
      <c r="K86" s="62"/>
      <c r="L86" s="62"/>
      <c r="M86" s="84"/>
    </row>
    <row r="87" spans="1:13" s="85" customFormat="1" x14ac:dyDescent="0.2">
      <c r="A87" s="355"/>
      <c r="B87" s="113" t="s">
        <v>22</v>
      </c>
      <c r="C87" s="308" t="s">
        <v>19</v>
      </c>
      <c r="D87" s="317">
        <f>4*0.01</f>
        <v>0.04</v>
      </c>
      <c r="E87" s="318">
        <f>E84*D87</f>
        <v>0.44799999999999995</v>
      </c>
      <c r="F87" s="62"/>
      <c r="G87" s="62"/>
      <c r="H87" s="62"/>
      <c r="I87" s="62"/>
      <c r="J87" s="62"/>
      <c r="K87" s="62"/>
      <c r="L87" s="62"/>
      <c r="M87" s="84"/>
    </row>
    <row r="88" spans="1:13" s="85" customFormat="1" x14ac:dyDescent="0.2">
      <c r="A88" s="355"/>
      <c r="B88" s="113" t="s">
        <v>157</v>
      </c>
      <c r="C88" s="308" t="s">
        <v>11</v>
      </c>
      <c r="D88" s="317">
        <f>33.3*0.01</f>
        <v>0.33299999999999996</v>
      </c>
      <c r="E88" s="318">
        <f>E84*D88</f>
        <v>3.7295999999999991</v>
      </c>
      <c r="F88" s="62"/>
      <c r="G88" s="62"/>
      <c r="H88" s="62"/>
      <c r="I88" s="62"/>
      <c r="J88" s="62"/>
      <c r="K88" s="62"/>
      <c r="L88" s="62"/>
      <c r="M88" s="84"/>
    </row>
    <row r="89" spans="1:13" s="85" customFormat="1" x14ac:dyDescent="0.2">
      <c r="A89" s="355"/>
      <c r="B89" s="120" t="s">
        <v>158</v>
      </c>
      <c r="C89" s="306" t="s">
        <v>148</v>
      </c>
      <c r="D89" s="317">
        <f>1.41*0.01</f>
        <v>1.41E-2</v>
      </c>
      <c r="E89" s="318">
        <f>E84*D89</f>
        <v>0.15791999999999998</v>
      </c>
      <c r="F89" s="62"/>
      <c r="G89" s="62"/>
      <c r="H89" s="62"/>
      <c r="I89" s="62"/>
      <c r="J89" s="62"/>
      <c r="K89" s="62"/>
      <c r="L89" s="62"/>
      <c r="M89" s="84"/>
    </row>
    <row r="90" spans="1:13" s="85" customFormat="1" x14ac:dyDescent="0.2">
      <c r="A90" s="355"/>
      <c r="B90" s="78" t="s">
        <v>159</v>
      </c>
      <c r="C90" s="312" t="s">
        <v>8</v>
      </c>
      <c r="D90" s="53">
        <v>1</v>
      </c>
      <c r="E90" s="79">
        <f>E84*D90</f>
        <v>11.2</v>
      </c>
      <c r="F90" s="62"/>
      <c r="G90" s="62"/>
      <c r="H90" s="62"/>
      <c r="I90" s="62"/>
      <c r="J90" s="62"/>
      <c r="K90" s="62"/>
      <c r="L90" s="62"/>
      <c r="M90" s="84"/>
    </row>
    <row r="91" spans="1:13" s="85" customFormat="1" ht="31.5" x14ac:dyDescent="0.2">
      <c r="A91" s="355"/>
      <c r="B91" s="120" t="s">
        <v>160</v>
      </c>
      <c r="C91" s="308" t="s">
        <v>69</v>
      </c>
      <c r="D91" s="317">
        <f>0.002*1000*0.01</f>
        <v>0.02</v>
      </c>
      <c r="E91" s="318">
        <f>E84*D91</f>
        <v>0.22399999999999998</v>
      </c>
      <c r="F91" s="62"/>
      <c r="G91" s="62"/>
      <c r="H91" s="62"/>
      <c r="I91" s="62"/>
      <c r="J91" s="62"/>
      <c r="K91" s="62"/>
      <c r="L91" s="62"/>
      <c r="M91" s="84"/>
    </row>
    <row r="92" spans="1:13" s="85" customFormat="1" x14ac:dyDescent="0.2">
      <c r="A92" s="356"/>
      <c r="B92" s="113" t="s">
        <v>30</v>
      </c>
      <c r="C92" s="308" t="s">
        <v>19</v>
      </c>
      <c r="D92" s="317">
        <f>6*0.01</f>
        <v>0.06</v>
      </c>
      <c r="E92" s="318">
        <f>E84*D92</f>
        <v>0.67199999999999993</v>
      </c>
      <c r="F92" s="62"/>
      <c r="G92" s="62"/>
      <c r="H92" s="62"/>
      <c r="I92" s="62"/>
      <c r="J92" s="62"/>
      <c r="K92" s="62"/>
      <c r="L92" s="62"/>
      <c r="M92" s="84"/>
    </row>
    <row r="93" spans="1:13" s="85" customFormat="1" ht="63" x14ac:dyDescent="0.2">
      <c r="A93" s="354" t="s">
        <v>51</v>
      </c>
      <c r="B93" s="117" t="s">
        <v>232</v>
      </c>
      <c r="C93" s="314" t="s">
        <v>150</v>
      </c>
      <c r="D93" s="30"/>
      <c r="E93" s="60">
        <f>2.2*2.2</f>
        <v>4.8400000000000007</v>
      </c>
      <c r="F93" s="65"/>
      <c r="G93" s="65"/>
      <c r="H93" s="65"/>
      <c r="I93" s="65"/>
      <c r="J93" s="65"/>
      <c r="K93" s="65"/>
      <c r="L93" s="65"/>
      <c r="M93" s="84"/>
    </row>
    <row r="94" spans="1:13" s="85" customFormat="1" ht="27" x14ac:dyDescent="0.2">
      <c r="A94" s="355"/>
      <c r="B94" s="120" t="s">
        <v>21</v>
      </c>
      <c r="C94" s="306" t="s">
        <v>94</v>
      </c>
      <c r="D94" s="317">
        <f>111*0.01</f>
        <v>1.1100000000000001</v>
      </c>
      <c r="E94" s="59">
        <f>E93*D94</f>
        <v>5.3724000000000016</v>
      </c>
      <c r="F94" s="65"/>
      <c r="G94" s="65"/>
      <c r="H94" s="65"/>
      <c r="I94" s="65"/>
      <c r="J94" s="65"/>
      <c r="K94" s="65"/>
      <c r="L94" s="65"/>
      <c r="M94" s="84"/>
    </row>
    <row r="95" spans="1:13" s="85" customFormat="1" ht="31.5" x14ac:dyDescent="0.2">
      <c r="A95" s="355"/>
      <c r="B95" s="120" t="s">
        <v>62</v>
      </c>
      <c r="C95" s="306" t="s">
        <v>24</v>
      </c>
      <c r="D95" s="317">
        <f>15.1*0.01</f>
        <v>0.151</v>
      </c>
      <c r="E95" s="59">
        <f>D95*E93</f>
        <v>0.73084000000000005</v>
      </c>
      <c r="F95" s="65"/>
      <c r="G95" s="65"/>
      <c r="H95" s="65"/>
      <c r="I95" s="65"/>
      <c r="J95" s="65"/>
      <c r="K95" s="65"/>
      <c r="L95" s="65"/>
      <c r="M95" s="84"/>
    </row>
    <row r="96" spans="1:13" s="85" customFormat="1" x14ac:dyDescent="0.2">
      <c r="A96" s="355"/>
      <c r="B96" s="113" t="s">
        <v>22</v>
      </c>
      <c r="C96" s="308" t="s">
        <v>19</v>
      </c>
      <c r="D96" s="317">
        <f>51.6*0.01</f>
        <v>0.51600000000000001</v>
      </c>
      <c r="E96" s="318">
        <f>E93*D96</f>
        <v>2.4974400000000005</v>
      </c>
      <c r="F96" s="65"/>
      <c r="G96" s="65"/>
      <c r="H96" s="65"/>
      <c r="I96" s="65"/>
      <c r="J96" s="65"/>
      <c r="K96" s="65"/>
      <c r="L96" s="65"/>
      <c r="M96" s="84"/>
    </row>
    <row r="97" spans="1:13" s="85" customFormat="1" ht="31.5" x14ac:dyDescent="0.2">
      <c r="A97" s="355"/>
      <c r="B97" s="120" t="s">
        <v>95</v>
      </c>
      <c r="C97" s="306" t="s">
        <v>149</v>
      </c>
      <c r="D97" s="317">
        <v>1</v>
      </c>
      <c r="E97" s="59">
        <f>E93*D97</f>
        <v>4.8400000000000007</v>
      </c>
      <c r="F97" s="65"/>
      <c r="G97" s="65"/>
      <c r="H97" s="65"/>
      <c r="I97" s="65"/>
      <c r="J97" s="65"/>
      <c r="K97" s="65"/>
      <c r="L97" s="65"/>
      <c r="M97" s="84"/>
    </row>
    <row r="98" spans="1:13" s="85" customFormat="1" x14ac:dyDescent="0.2">
      <c r="A98" s="355"/>
      <c r="B98" s="120" t="s">
        <v>96</v>
      </c>
      <c r="C98" s="306" t="s">
        <v>69</v>
      </c>
      <c r="D98" s="317">
        <f>6*0.01</f>
        <v>0.06</v>
      </c>
      <c r="E98" s="59">
        <f>D98*E93</f>
        <v>0.29040000000000005</v>
      </c>
      <c r="F98" s="65"/>
      <c r="G98" s="65"/>
      <c r="H98" s="65"/>
      <c r="I98" s="65"/>
      <c r="J98" s="65"/>
      <c r="K98" s="65"/>
      <c r="L98" s="65"/>
      <c r="M98" s="84"/>
    </row>
    <row r="99" spans="1:13" s="85" customFormat="1" x14ac:dyDescent="0.2">
      <c r="A99" s="356"/>
      <c r="B99" s="120" t="s">
        <v>30</v>
      </c>
      <c r="C99" s="306" t="s">
        <v>19</v>
      </c>
      <c r="D99" s="317">
        <f>5.4*0.01</f>
        <v>5.4000000000000006E-2</v>
      </c>
      <c r="E99" s="59">
        <f>D99*E93</f>
        <v>0.26136000000000009</v>
      </c>
      <c r="F99" s="65"/>
      <c r="G99" s="65"/>
      <c r="H99" s="65"/>
      <c r="I99" s="65"/>
      <c r="J99" s="65"/>
      <c r="K99" s="65"/>
      <c r="L99" s="65"/>
      <c r="M99" s="84"/>
    </row>
    <row r="100" spans="1:13" s="85" customFormat="1" ht="78.75" x14ac:dyDescent="0.2">
      <c r="A100" s="357" t="s">
        <v>110</v>
      </c>
      <c r="B100" s="188" t="s">
        <v>233</v>
      </c>
      <c r="C100" s="302" t="s">
        <v>235</v>
      </c>
      <c r="D100" s="41"/>
      <c r="E100" s="167">
        <f>E90*0.9*2+E93*2</f>
        <v>29.840000000000003</v>
      </c>
      <c r="F100" s="65"/>
      <c r="G100" s="65"/>
      <c r="H100" s="65"/>
      <c r="I100" s="65"/>
      <c r="J100" s="65"/>
      <c r="K100" s="65"/>
      <c r="L100" s="65"/>
      <c r="M100" s="84"/>
    </row>
    <row r="101" spans="1:13" s="85" customFormat="1" ht="27" x14ac:dyDescent="0.2">
      <c r="A101" s="357"/>
      <c r="B101" s="126" t="s">
        <v>21</v>
      </c>
      <c r="C101" s="309" t="s">
        <v>23</v>
      </c>
      <c r="D101" s="41">
        <v>0.68</v>
      </c>
      <c r="E101" s="102">
        <f>E100*D101</f>
        <v>20.291200000000003</v>
      </c>
      <c r="F101" s="65"/>
      <c r="G101" s="65"/>
      <c r="H101" s="65"/>
      <c r="I101" s="65"/>
      <c r="J101" s="65"/>
      <c r="K101" s="65"/>
      <c r="L101" s="65"/>
      <c r="M101" s="84"/>
    </row>
    <row r="102" spans="1:13" s="85" customFormat="1" ht="27" x14ac:dyDescent="0.2">
      <c r="A102" s="357"/>
      <c r="B102" s="113" t="s">
        <v>22</v>
      </c>
      <c r="C102" s="309" t="s">
        <v>23</v>
      </c>
      <c r="D102" s="41">
        <f>0.03/100</f>
        <v>2.9999999999999997E-4</v>
      </c>
      <c r="E102" s="102">
        <f>E100*D102</f>
        <v>8.9519999999999999E-3</v>
      </c>
      <c r="F102" s="65"/>
      <c r="G102" s="65"/>
      <c r="H102" s="65"/>
      <c r="I102" s="65"/>
      <c r="J102" s="65"/>
      <c r="K102" s="65"/>
      <c r="L102" s="65"/>
      <c r="M102" s="84"/>
    </row>
    <row r="103" spans="1:13" s="85" customFormat="1" x14ac:dyDescent="0.2">
      <c r="A103" s="357"/>
      <c r="B103" s="126" t="s">
        <v>99</v>
      </c>
      <c r="C103" s="309" t="s">
        <v>15</v>
      </c>
      <c r="D103" s="41">
        <v>0.35</v>
      </c>
      <c r="E103" s="102">
        <f>E100*D103</f>
        <v>10.444000000000001</v>
      </c>
      <c r="F103" s="65"/>
      <c r="G103" s="65"/>
      <c r="H103" s="65"/>
      <c r="I103" s="65"/>
      <c r="J103" s="65"/>
      <c r="K103" s="65"/>
      <c r="L103" s="65"/>
      <c r="M103" s="84"/>
    </row>
    <row r="104" spans="1:13" s="85" customFormat="1" x14ac:dyDescent="0.2">
      <c r="A104" s="357"/>
      <c r="B104" s="126" t="s">
        <v>30</v>
      </c>
      <c r="C104" s="301" t="s">
        <v>19</v>
      </c>
      <c r="D104" s="45">
        <v>0.19</v>
      </c>
      <c r="E104" s="205">
        <f>E100*D104</f>
        <v>5.6696000000000009</v>
      </c>
      <c r="F104" s="65"/>
      <c r="G104" s="65"/>
      <c r="H104" s="65"/>
      <c r="I104" s="65"/>
      <c r="J104" s="65"/>
      <c r="K104" s="65"/>
      <c r="L104" s="65"/>
      <c r="M104" s="84"/>
    </row>
    <row r="105" spans="1:13" s="85" customFormat="1" ht="63" x14ac:dyDescent="0.2">
      <c r="A105" s="354" t="s">
        <v>153</v>
      </c>
      <c r="B105" s="117" t="s">
        <v>221</v>
      </c>
      <c r="C105" s="314" t="s">
        <v>8</v>
      </c>
      <c r="D105" s="30"/>
      <c r="E105" s="60">
        <f>(2.2+2.2*2)*2+(2.2+4*2)*2+(1*2.2*2)*1*4</f>
        <v>51.2</v>
      </c>
      <c r="F105" s="65"/>
      <c r="G105" s="65"/>
      <c r="H105" s="65"/>
      <c r="I105" s="65"/>
      <c r="J105" s="65"/>
      <c r="K105" s="65"/>
      <c r="L105" s="65"/>
      <c r="M105" s="84"/>
    </row>
    <row r="106" spans="1:13" s="85" customFormat="1" x14ac:dyDescent="0.2">
      <c r="A106" s="355"/>
      <c r="B106" s="119" t="s">
        <v>53</v>
      </c>
      <c r="C106" s="307" t="s">
        <v>65</v>
      </c>
      <c r="D106" s="44">
        <v>0.49</v>
      </c>
      <c r="E106" s="108">
        <f>D106*E105</f>
        <v>25.088000000000001</v>
      </c>
      <c r="F106" s="65"/>
      <c r="G106" s="65"/>
      <c r="H106" s="65"/>
      <c r="I106" s="65"/>
      <c r="J106" s="65"/>
      <c r="K106" s="65"/>
      <c r="L106" s="65"/>
      <c r="M106" s="84"/>
    </row>
    <row r="107" spans="1:13" s="85" customFormat="1" x14ac:dyDescent="0.2">
      <c r="A107" s="355"/>
      <c r="B107" s="119" t="s">
        <v>102</v>
      </c>
      <c r="C107" s="307" t="s">
        <v>87</v>
      </c>
      <c r="D107" s="44">
        <v>0</v>
      </c>
      <c r="E107" s="108">
        <f>D107*E105</f>
        <v>0</v>
      </c>
      <c r="F107" s="65"/>
      <c r="G107" s="65"/>
      <c r="H107" s="65"/>
      <c r="I107" s="65"/>
      <c r="J107" s="65"/>
      <c r="K107" s="65"/>
      <c r="L107" s="65"/>
      <c r="M107" s="84"/>
    </row>
    <row r="108" spans="1:13" s="85" customFormat="1" x14ac:dyDescent="0.2">
      <c r="A108" s="355"/>
      <c r="B108" s="119" t="s">
        <v>22</v>
      </c>
      <c r="C108" s="307" t="s">
        <v>19</v>
      </c>
      <c r="D108" s="44">
        <v>1.7999999999999999E-2</v>
      </c>
      <c r="E108" s="108">
        <f>D108*E105</f>
        <v>0.92159999999999997</v>
      </c>
      <c r="F108" s="65"/>
      <c r="G108" s="65"/>
      <c r="H108" s="65"/>
      <c r="I108" s="65"/>
      <c r="J108" s="65"/>
      <c r="K108" s="65"/>
      <c r="L108" s="65"/>
      <c r="M108" s="84"/>
    </row>
    <row r="109" spans="1:13" s="85" customFormat="1" ht="31.5" x14ac:dyDescent="0.2">
      <c r="A109" s="356"/>
      <c r="B109" s="119" t="s">
        <v>93</v>
      </c>
      <c r="C109" s="307" t="s">
        <v>148</v>
      </c>
      <c r="D109" s="44">
        <v>1.06E-2</v>
      </c>
      <c r="E109" s="108">
        <f>D109*E105</f>
        <v>0.54271999999999998</v>
      </c>
      <c r="F109" s="65"/>
      <c r="G109" s="65"/>
      <c r="H109" s="65"/>
      <c r="I109" s="65"/>
      <c r="J109" s="65"/>
      <c r="K109" s="65"/>
      <c r="L109" s="65"/>
      <c r="M109" s="84"/>
    </row>
    <row r="110" spans="1:13" s="85" customFormat="1" ht="47.25" x14ac:dyDescent="0.2">
      <c r="A110" s="358" t="s">
        <v>129</v>
      </c>
      <c r="B110" s="282" t="s">
        <v>234</v>
      </c>
      <c r="C110" s="319" t="s">
        <v>14</v>
      </c>
      <c r="D110" s="127"/>
      <c r="E110" s="165">
        <f>(2.2+5.3*2)*(0.6+2.8+0.2+2.8)</f>
        <v>81.920000000000016</v>
      </c>
      <c r="F110" s="62"/>
      <c r="G110" s="65"/>
      <c r="H110" s="62"/>
      <c r="I110" s="65"/>
      <c r="J110" s="62"/>
      <c r="K110" s="65"/>
      <c r="L110" s="65"/>
      <c r="M110" s="84"/>
    </row>
    <row r="111" spans="1:13" s="85" customFormat="1" x14ac:dyDescent="0.2">
      <c r="A111" s="359"/>
      <c r="B111" s="119" t="s">
        <v>53</v>
      </c>
      <c r="C111" s="307" t="s">
        <v>65</v>
      </c>
      <c r="D111" s="44">
        <v>1.01</v>
      </c>
      <c r="E111" s="108">
        <f>D111*E110</f>
        <v>82.739200000000011</v>
      </c>
      <c r="F111" s="65"/>
      <c r="G111" s="65"/>
      <c r="H111" s="65"/>
      <c r="I111" s="65"/>
      <c r="J111" s="65"/>
      <c r="K111" s="65"/>
      <c r="L111" s="65"/>
      <c r="M111" s="84"/>
    </row>
    <row r="112" spans="1:13" s="85" customFormat="1" x14ac:dyDescent="0.2">
      <c r="A112" s="359"/>
      <c r="B112" s="119" t="s">
        <v>103</v>
      </c>
      <c r="C112" s="307" t="s">
        <v>87</v>
      </c>
      <c r="D112" s="44">
        <v>4.1000000000000002E-2</v>
      </c>
      <c r="E112" s="108">
        <f>D112*E110</f>
        <v>3.3587200000000008</v>
      </c>
      <c r="F112" s="65"/>
      <c r="G112" s="65"/>
      <c r="H112" s="65"/>
      <c r="I112" s="65"/>
      <c r="J112" s="65"/>
      <c r="K112" s="65"/>
      <c r="L112" s="65"/>
      <c r="M112" s="84"/>
    </row>
    <row r="113" spans="1:13" s="85" customFormat="1" x14ac:dyDescent="0.2">
      <c r="A113" s="359"/>
      <c r="B113" s="119" t="s">
        <v>22</v>
      </c>
      <c r="C113" s="307" t="s">
        <v>19</v>
      </c>
      <c r="D113" s="44">
        <v>2.7E-2</v>
      </c>
      <c r="E113" s="108">
        <f>D113*E110</f>
        <v>2.2118400000000005</v>
      </c>
      <c r="F113" s="65"/>
      <c r="G113" s="65"/>
      <c r="H113" s="65"/>
      <c r="I113" s="65"/>
      <c r="J113" s="65"/>
      <c r="K113" s="65"/>
      <c r="L113" s="65"/>
      <c r="M113" s="84"/>
    </row>
    <row r="114" spans="1:13" s="85" customFormat="1" ht="31.5" x14ac:dyDescent="0.2">
      <c r="A114" s="359"/>
      <c r="B114" s="119" t="s">
        <v>205</v>
      </c>
      <c r="C114" s="307" t="s">
        <v>148</v>
      </c>
      <c r="D114" s="44">
        <f>0.0212+0.0026</f>
        <v>2.3800000000000002E-2</v>
      </c>
      <c r="E114" s="108">
        <f>D114*E110</f>
        <v>1.9496960000000005</v>
      </c>
      <c r="F114" s="65"/>
      <c r="G114" s="65"/>
      <c r="H114" s="65"/>
      <c r="I114" s="65"/>
      <c r="J114" s="65"/>
      <c r="K114" s="65"/>
      <c r="L114" s="65"/>
      <c r="M114" s="84"/>
    </row>
    <row r="115" spans="1:13" s="85" customFormat="1" ht="31.5" x14ac:dyDescent="0.2">
      <c r="A115" s="359"/>
      <c r="B115" s="125" t="s">
        <v>236</v>
      </c>
      <c r="C115" s="9" t="s">
        <v>14</v>
      </c>
      <c r="D115" s="86"/>
      <c r="E115" s="204">
        <f>E110*22*1.03*0.222/1000</f>
        <v>0.41210019840000006</v>
      </c>
      <c r="F115" s="65"/>
      <c r="G115" s="65"/>
      <c r="H115" s="65"/>
      <c r="I115" s="65"/>
      <c r="J115" s="65"/>
      <c r="K115" s="65"/>
      <c r="L115" s="65"/>
      <c r="M115" s="84"/>
    </row>
    <row r="116" spans="1:13" s="85" customFormat="1" x14ac:dyDescent="0.2">
      <c r="A116" s="360"/>
      <c r="B116" s="125" t="s">
        <v>30</v>
      </c>
      <c r="C116" s="9" t="s">
        <v>19</v>
      </c>
      <c r="D116" s="86">
        <v>3.0000000000000001E-3</v>
      </c>
      <c r="E116" s="204">
        <f>E110*D116</f>
        <v>0.24576000000000006</v>
      </c>
      <c r="F116" s="65"/>
      <c r="G116" s="65"/>
      <c r="H116" s="65"/>
      <c r="I116" s="65"/>
      <c r="J116" s="65"/>
      <c r="K116" s="65"/>
      <c r="L116" s="65"/>
      <c r="M116" s="84"/>
    </row>
    <row r="117" spans="1:13" s="85" customFormat="1" ht="63" x14ac:dyDescent="0.2">
      <c r="A117" s="361" t="s">
        <v>137</v>
      </c>
      <c r="B117" s="100" t="s">
        <v>203</v>
      </c>
      <c r="C117" s="309" t="s">
        <v>14</v>
      </c>
      <c r="D117" s="41"/>
      <c r="E117" s="163">
        <f>2.2*5.3</f>
        <v>11.66</v>
      </c>
      <c r="F117" s="65"/>
      <c r="G117" s="65"/>
      <c r="H117" s="65"/>
      <c r="I117" s="65"/>
      <c r="J117" s="65"/>
      <c r="K117" s="65"/>
      <c r="L117" s="65"/>
      <c r="M117" s="84"/>
    </row>
    <row r="118" spans="1:13" s="85" customFormat="1" x14ac:dyDescent="0.2">
      <c r="A118" s="362"/>
      <c r="B118" s="119" t="s">
        <v>53</v>
      </c>
      <c r="C118" s="307" t="s">
        <v>65</v>
      </c>
      <c r="D118" s="44">
        <f>(261+82.9)*0.01</f>
        <v>3.4390000000000001</v>
      </c>
      <c r="E118" s="108">
        <f>D118*E117</f>
        <v>40.098739999999999</v>
      </c>
      <c r="F118" s="65"/>
      <c r="G118" s="65"/>
      <c r="H118" s="65"/>
      <c r="I118" s="65"/>
      <c r="J118" s="65"/>
      <c r="K118" s="65"/>
      <c r="L118" s="65"/>
      <c r="M118" s="84"/>
    </row>
    <row r="119" spans="1:13" s="85" customFormat="1" x14ac:dyDescent="0.2">
      <c r="A119" s="362"/>
      <c r="B119" s="179" t="s">
        <v>28</v>
      </c>
      <c r="C119" s="307" t="s">
        <v>19</v>
      </c>
      <c r="D119" s="44">
        <f>(3.5+0.39)*0.01</f>
        <v>3.8900000000000004E-2</v>
      </c>
      <c r="E119" s="108">
        <f>D119*E117</f>
        <v>0.45357400000000003</v>
      </c>
      <c r="F119" s="65"/>
      <c r="G119" s="65"/>
      <c r="H119" s="65"/>
      <c r="I119" s="65"/>
      <c r="J119" s="65"/>
      <c r="K119" s="65"/>
      <c r="L119" s="65"/>
      <c r="M119" s="84"/>
    </row>
    <row r="120" spans="1:13" s="85" customFormat="1" x14ac:dyDescent="0.2">
      <c r="A120" s="362"/>
      <c r="B120" s="119" t="s">
        <v>66</v>
      </c>
      <c r="C120" s="307" t="s">
        <v>67</v>
      </c>
      <c r="D120" s="44">
        <v>6.6</v>
      </c>
      <c r="E120" s="108">
        <f>D120*E117</f>
        <v>76.956000000000003</v>
      </c>
      <c r="F120" s="65"/>
      <c r="G120" s="65"/>
      <c r="H120" s="65"/>
      <c r="I120" s="65"/>
      <c r="J120" s="65"/>
      <c r="K120" s="65"/>
      <c r="L120" s="65"/>
      <c r="M120" s="84"/>
    </row>
    <row r="121" spans="1:13" s="85" customFormat="1" x14ac:dyDescent="0.2">
      <c r="A121" s="362"/>
      <c r="B121" s="119" t="s">
        <v>68</v>
      </c>
      <c r="C121" s="307" t="s">
        <v>69</v>
      </c>
      <c r="D121" s="44">
        <v>0.06</v>
      </c>
      <c r="E121" s="108">
        <f>D121*E117</f>
        <v>0.6996</v>
      </c>
      <c r="F121" s="65"/>
      <c r="G121" s="65"/>
      <c r="H121" s="65"/>
      <c r="I121" s="65"/>
      <c r="J121" s="65"/>
      <c r="K121" s="65"/>
      <c r="L121" s="65"/>
      <c r="M121" s="84"/>
    </row>
    <row r="122" spans="1:13" s="85" customFormat="1" ht="31.5" x14ac:dyDescent="0.2">
      <c r="A122" s="362"/>
      <c r="B122" s="119" t="s">
        <v>168</v>
      </c>
      <c r="C122" s="307" t="s">
        <v>149</v>
      </c>
      <c r="D122" s="44">
        <v>1.03</v>
      </c>
      <c r="E122" s="108">
        <f>D122*E117</f>
        <v>12.0098</v>
      </c>
      <c r="F122" s="65"/>
      <c r="G122" s="65"/>
      <c r="H122" s="65"/>
      <c r="I122" s="65"/>
      <c r="J122" s="65"/>
      <c r="K122" s="65"/>
      <c r="L122" s="65"/>
      <c r="M122" s="84"/>
    </row>
    <row r="123" spans="1:13" s="85" customFormat="1" x14ac:dyDescent="0.2">
      <c r="A123" s="363"/>
      <c r="B123" s="119" t="s">
        <v>70</v>
      </c>
      <c r="C123" s="307" t="s">
        <v>19</v>
      </c>
      <c r="D123" s="44">
        <f>(38.9+1.6)*0.01</f>
        <v>0.40500000000000003</v>
      </c>
      <c r="E123" s="108">
        <f>D123*E117</f>
        <v>4.7223000000000006</v>
      </c>
      <c r="F123" s="65"/>
      <c r="G123" s="65"/>
      <c r="H123" s="65"/>
      <c r="I123" s="65"/>
      <c r="J123" s="65"/>
      <c r="K123" s="65"/>
      <c r="L123" s="65"/>
      <c r="M123" s="84"/>
    </row>
    <row r="124" spans="1:13" s="85" customFormat="1" ht="78.75" x14ac:dyDescent="0.2">
      <c r="A124" s="361" t="s">
        <v>136</v>
      </c>
      <c r="B124" s="100" t="s">
        <v>238</v>
      </c>
      <c r="C124" s="309" t="s">
        <v>14</v>
      </c>
      <c r="D124" s="41"/>
      <c r="E124" s="163">
        <f>E117</f>
        <v>11.66</v>
      </c>
      <c r="F124" s="65"/>
      <c r="G124" s="65"/>
      <c r="H124" s="65"/>
      <c r="I124" s="65"/>
      <c r="J124" s="65"/>
      <c r="K124" s="65"/>
      <c r="L124" s="65"/>
      <c r="M124" s="84"/>
    </row>
    <row r="125" spans="1:13" s="85" customFormat="1" ht="27" x14ac:dyDescent="0.2">
      <c r="A125" s="362"/>
      <c r="B125" s="126" t="s">
        <v>21</v>
      </c>
      <c r="C125" s="309" t="s">
        <v>23</v>
      </c>
      <c r="D125" s="41">
        <v>0.53500000000000003</v>
      </c>
      <c r="E125" s="102">
        <f>E124*D125</f>
        <v>6.2381000000000002</v>
      </c>
      <c r="F125" s="65"/>
      <c r="G125" s="65"/>
      <c r="H125" s="65"/>
      <c r="I125" s="65"/>
      <c r="J125" s="65"/>
      <c r="K125" s="65"/>
      <c r="L125" s="65"/>
      <c r="M125" s="84"/>
    </row>
    <row r="126" spans="1:13" s="85" customFormat="1" ht="27" x14ac:dyDescent="0.2">
      <c r="A126" s="362"/>
      <c r="B126" s="126" t="s">
        <v>22</v>
      </c>
      <c r="C126" s="309" t="s">
        <v>24</v>
      </c>
      <c r="D126" s="41">
        <v>1.2E-2</v>
      </c>
      <c r="E126" s="102">
        <f>E124*D126</f>
        <v>0.13992000000000002</v>
      </c>
      <c r="F126" s="65"/>
      <c r="G126" s="65"/>
      <c r="H126" s="65"/>
      <c r="I126" s="65"/>
      <c r="J126" s="65"/>
      <c r="K126" s="65"/>
      <c r="L126" s="65"/>
      <c r="M126" s="84"/>
    </row>
    <row r="127" spans="1:13" s="85" customFormat="1" x14ac:dyDescent="0.2">
      <c r="A127" s="362"/>
      <c r="B127" s="126" t="s">
        <v>74</v>
      </c>
      <c r="C127" s="309" t="s">
        <v>15</v>
      </c>
      <c r="D127" s="41">
        <v>0.37</v>
      </c>
      <c r="E127" s="102">
        <f>E124*D127</f>
        <v>4.3141999999999996</v>
      </c>
      <c r="F127" s="65"/>
      <c r="G127" s="65"/>
      <c r="H127" s="65"/>
      <c r="I127" s="65"/>
      <c r="J127" s="65"/>
      <c r="K127" s="65"/>
      <c r="L127" s="65"/>
      <c r="M127" s="84"/>
    </row>
    <row r="128" spans="1:13" s="85" customFormat="1" x14ac:dyDescent="0.2">
      <c r="A128" s="362"/>
      <c r="B128" s="126" t="s">
        <v>17</v>
      </c>
      <c r="C128" s="309" t="s">
        <v>14</v>
      </c>
      <c r="D128" s="41">
        <v>0.05</v>
      </c>
      <c r="E128" s="102">
        <f>E124*D128</f>
        <v>0.58300000000000007</v>
      </c>
      <c r="F128" s="65"/>
      <c r="G128" s="65"/>
      <c r="H128" s="65"/>
      <c r="I128" s="65"/>
      <c r="J128" s="65"/>
      <c r="K128" s="65"/>
      <c r="L128" s="65"/>
      <c r="M128" s="84"/>
    </row>
    <row r="129" spans="1:13" s="85" customFormat="1" x14ac:dyDescent="0.2">
      <c r="A129" s="362"/>
      <c r="B129" s="124" t="s">
        <v>32</v>
      </c>
      <c r="C129" s="304" t="s">
        <v>15</v>
      </c>
      <c r="D129" s="310">
        <v>0.63</v>
      </c>
      <c r="E129" s="102">
        <f>E124*D129</f>
        <v>7.3458000000000006</v>
      </c>
      <c r="F129" s="65"/>
      <c r="G129" s="65"/>
      <c r="H129" s="65"/>
      <c r="I129" s="65"/>
      <c r="J129" s="65"/>
      <c r="K129" s="65"/>
      <c r="L129" s="65"/>
      <c r="M129" s="84"/>
    </row>
    <row r="130" spans="1:13" s="85" customFormat="1" x14ac:dyDescent="0.2">
      <c r="A130" s="363"/>
      <c r="B130" s="126" t="s">
        <v>30</v>
      </c>
      <c r="C130" s="309" t="s">
        <v>19</v>
      </c>
      <c r="D130" s="41">
        <v>1.6E-2</v>
      </c>
      <c r="E130" s="102">
        <f>E124*D130</f>
        <v>0.18656</v>
      </c>
      <c r="F130" s="65"/>
      <c r="G130" s="65"/>
      <c r="H130" s="65"/>
      <c r="I130" s="65"/>
      <c r="J130" s="65"/>
      <c r="K130" s="65"/>
      <c r="L130" s="65"/>
      <c r="M130" s="84"/>
    </row>
    <row r="131" spans="1:13" s="85" customFormat="1" ht="78.75" x14ac:dyDescent="0.2">
      <c r="A131" s="361" t="s">
        <v>135</v>
      </c>
      <c r="B131" s="100" t="s">
        <v>237</v>
      </c>
      <c r="C131" s="304" t="s">
        <v>14</v>
      </c>
      <c r="D131" s="310"/>
      <c r="E131" s="163">
        <f>E110</f>
        <v>81.920000000000016</v>
      </c>
      <c r="F131" s="65"/>
      <c r="G131" s="65"/>
      <c r="H131" s="65"/>
      <c r="I131" s="65"/>
      <c r="J131" s="65"/>
      <c r="K131" s="300"/>
      <c r="L131" s="300"/>
      <c r="M131" s="84"/>
    </row>
    <row r="132" spans="1:13" s="85" customFormat="1" ht="27" x14ac:dyDescent="0.2">
      <c r="A132" s="362"/>
      <c r="B132" s="124" t="s">
        <v>21</v>
      </c>
      <c r="C132" s="304" t="s">
        <v>23</v>
      </c>
      <c r="D132" s="41">
        <v>0.65800000000000003</v>
      </c>
      <c r="E132" s="102">
        <f>E131*D132</f>
        <v>53.903360000000013</v>
      </c>
      <c r="F132" s="65"/>
      <c r="G132" s="65"/>
      <c r="H132" s="65"/>
      <c r="I132" s="65"/>
      <c r="J132" s="65"/>
      <c r="K132" s="300"/>
      <c r="L132" s="300"/>
      <c r="M132" s="84"/>
    </row>
    <row r="133" spans="1:13" s="85" customFormat="1" ht="27" x14ac:dyDescent="0.2">
      <c r="A133" s="362"/>
      <c r="B133" s="126" t="s">
        <v>22</v>
      </c>
      <c r="C133" s="309" t="s">
        <v>24</v>
      </c>
      <c r="D133" s="41">
        <v>0.01</v>
      </c>
      <c r="E133" s="102">
        <f>E131*D133</f>
        <v>0.81920000000000015</v>
      </c>
      <c r="F133" s="65"/>
      <c r="G133" s="65"/>
      <c r="H133" s="65"/>
      <c r="I133" s="65"/>
      <c r="J133" s="65"/>
      <c r="K133" s="300"/>
      <c r="L133" s="300"/>
      <c r="M133" s="84"/>
    </row>
    <row r="134" spans="1:13" s="85" customFormat="1" ht="15" customHeight="1" x14ac:dyDescent="0.2">
      <c r="A134" s="362"/>
      <c r="B134" s="124" t="s">
        <v>33</v>
      </c>
      <c r="C134" s="304" t="s">
        <v>15</v>
      </c>
      <c r="D134" s="310">
        <v>0.79</v>
      </c>
      <c r="E134" s="59">
        <f>E131*D134</f>
        <v>64.716800000000021</v>
      </c>
      <c r="F134" s="65"/>
      <c r="G134" s="65"/>
      <c r="H134" s="65"/>
      <c r="I134" s="65"/>
      <c r="J134" s="65"/>
      <c r="K134" s="300"/>
      <c r="L134" s="300"/>
      <c r="M134" s="84"/>
    </row>
    <row r="135" spans="1:13" s="85" customFormat="1" x14ac:dyDescent="0.2">
      <c r="A135" s="362"/>
      <c r="B135" s="124" t="s">
        <v>17</v>
      </c>
      <c r="C135" s="304" t="s">
        <v>14</v>
      </c>
      <c r="D135" s="310">
        <v>0.05</v>
      </c>
      <c r="E135" s="102">
        <f>E131*D135</f>
        <v>4.096000000000001</v>
      </c>
      <c r="F135" s="65"/>
      <c r="G135" s="65"/>
      <c r="H135" s="65"/>
      <c r="I135" s="65"/>
      <c r="J135" s="65"/>
      <c r="K135" s="300"/>
      <c r="L135" s="300"/>
      <c r="M135" s="84"/>
    </row>
    <row r="136" spans="1:13" s="85" customFormat="1" x14ac:dyDescent="0.2">
      <c r="A136" s="362"/>
      <c r="B136" s="124" t="s">
        <v>32</v>
      </c>
      <c r="C136" s="304" t="s">
        <v>15</v>
      </c>
      <c r="D136" s="310">
        <v>0.63</v>
      </c>
      <c r="E136" s="102">
        <f>E131*D136</f>
        <v>51.609600000000007</v>
      </c>
      <c r="F136" s="65"/>
      <c r="G136" s="65"/>
      <c r="H136" s="65"/>
      <c r="I136" s="65"/>
      <c r="J136" s="65"/>
      <c r="K136" s="300"/>
      <c r="L136" s="300"/>
      <c r="M136" s="84"/>
    </row>
    <row r="137" spans="1:13" s="85" customFormat="1" x14ac:dyDescent="0.2">
      <c r="A137" s="363"/>
      <c r="B137" s="126" t="s">
        <v>30</v>
      </c>
      <c r="C137" s="309" t="s">
        <v>19</v>
      </c>
      <c r="D137" s="41">
        <v>1.6E-2</v>
      </c>
      <c r="E137" s="102">
        <f>E131*D137</f>
        <v>1.3107200000000003</v>
      </c>
      <c r="F137" s="65"/>
      <c r="G137" s="65"/>
      <c r="H137" s="65"/>
      <c r="I137" s="65"/>
      <c r="J137" s="65"/>
      <c r="K137" s="300"/>
      <c r="L137" s="300"/>
      <c r="M137" s="84"/>
    </row>
    <row r="138" spans="1:13" s="85" customFormat="1" ht="141.75" x14ac:dyDescent="0.2">
      <c r="A138" s="364" t="s">
        <v>134</v>
      </c>
      <c r="B138" s="100" t="s">
        <v>164</v>
      </c>
      <c r="C138" s="304" t="s">
        <v>13</v>
      </c>
      <c r="D138" s="313"/>
      <c r="E138" s="163">
        <v>5</v>
      </c>
      <c r="F138" s="65"/>
      <c r="G138" s="65"/>
      <c r="H138" s="65"/>
      <c r="I138" s="65"/>
      <c r="J138" s="65"/>
      <c r="K138" s="300"/>
      <c r="L138" s="300"/>
      <c r="M138" s="84"/>
    </row>
    <row r="139" spans="1:13" s="85" customFormat="1" ht="27" x14ac:dyDescent="0.2">
      <c r="A139" s="364"/>
      <c r="B139" s="179" t="s">
        <v>27</v>
      </c>
      <c r="C139" s="82" t="s">
        <v>23</v>
      </c>
      <c r="D139" s="83">
        <v>1.85</v>
      </c>
      <c r="E139" s="204">
        <f>E138*D139</f>
        <v>9.25</v>
      </c>
      <c r="F139" s="106"/>
      <c r="G139" s="65"/>
      <c r="H139" s="106"/>
      <c r="I139" s="65"/>
      <c r="J139" s="65"/>
      <c r="K139" s="300"/>
      <c r="L139" s="300"/>
      <c r="M139" s="84"/>
    </row>
    <row r="140" spans="1:13" s="85" customFormat="1" ht="47.25" x14ac:dyDescent="0.2">
      <c r="A140" s="364"/>
      <c r="B140" s="180" t="s">
        <v>64</v>
      </c>
      <c r="C140" s="304" t="s">
        <v>16</v>
      </c>
      <c r="D140" s="83"/>
      <c r="E140" s="112">
        <f>E138*1.65</f>
        <v>8.25</v>
      </c>
      <c r="F140" s="106"/>
      <c r="G140" s="65"/>
      <c r="H140" s="106"/>
      <c r="I140" s="65"/>
      <c r="J140" s="106"/>
      <c r="K140" s="300"/>
      <c r="L140" s="300"/>
      <c r="M140" s="84"/>
    </row>
    <row r="141" spans="1:13" s="85" customFormat="1" ht="27" x14ac:dyDescent="0.2">
      <c r="A141" s="364"/>
      <c r="B141" s="179" t="s">
        <v>31</v>
      </c>
      <c r="C141" s="82" t="s">
        <v>23</v>
      </c>
      <c r="D141" s="83">
        <v>0.53</v>
      </c>
      <c r="E141" s="204">
        <f>E140*D141</f>
        <v>4.3725000000000005</v>
      </c>
      <c r="F141" s="106"/>
      <c r="G141" s="65"/>
      <c r="H141" s="106"/>
      <c r="I141" s="65"/>
      <c r="J141" s="106"/>
      <c r="K141" s="300"/>
      <c r="L141" s="300"/>
      <c r="M141" s="84"/>
    </row>
    <row r="142" spans="1:13" s="85" customFormat="1" ht="31.5" x14ac:dyDescent="0.2">
      <c r="A142" s="364"/>
      <c r="B142" s="181" t="s">
        <v>200</v>
      </c>
      <c r="C142" s="304" t="s">
        <v>16</v>
      </c>
      <c r="D142" s="83"/>
      <c r="E142" s="112">
        <f>E140</f>
        <v>8.25</v>
      </c>
      <c r="F142" s="106"/>
      <c r="G142" s="65"/>
      <c r="H142" s="106"/>
      <c r="I142" s="65"/>
      <c r="J142" s="106"/>
      <c r="K142" s="300"/>
      <c r="L142" s="300"/>
      <c r="M142" s="84"/>
    </row>
    <row r="143" spans="1:13" s="85" customFormat="1" x14ac:dyDescent="0.2">
      <c r="A143" s="345"/>
      <c r="B143" s="329"/>
      <c r="C143" s="319"/>
      <c r="D143" s="127"/>
      <c r="E143" s="163"/>
      <c r="F143" s="62"/>
      <c r="G143" s="65"/>
      <c r="H143" s="62"/>
      <c r="I143" s="65"/>
      <c r="J143" s="62"/>
      <c r="K143" s="65"/>
      <c r="L143" s="65"/>
      <c r="M143" s="84"/>
    </row>
    <row r="144" spans="1:13" s="85" customFormat="1" x14ac:dyDescent="0.2">
      <c r="A144" s="303"/>
      <c r="B144" s="194"/>
      <c r="C144" s="149"/>
      <c r="D144" s="30"/>
      <c r="E144" s="59"/>
      <c r="F144" s="62"/>
      <c r="G144" s="65"/>
      <c r="H144" s="62"/>
      <c r="I144" s="65"/>
      <c r="J144" s="62"/>
      <c r="K144" s="139"/>
      <c r="L144" s="139"/>
      <c r="M144" s="84"/>
    </row>
    <row r="145" spans="1:13" ht="31.5" x14ac:dyDescent="0.25">
      <c r="A145" s="346"/>
      <c r="B145" s="14" t="s">
        <v>161</v>
      </c>
      <c r="C145" s="15"/>
      <c r="D145" s="31"/>
      <c r="E145" s="210"/>
      <c r="F145" s="12"/>
      <c r="G145" s="12"/>
      <c r="H145" s="12"/>
      <c r="I145" s="12"/>
      <c r="J145" s="12"/>
      <c r="K145" s="12"/>
      <c r="L145" s="12"/>
      <c r="M145" s="33">
        <f>G145+I145+K145</f>
        <v>0</v>
      </c>
    </row>
    <row r="146" spans="1:13" ht="31.5" x14ac:dyDescent="0.25">
      <c r="A146" s="347"/>
      <c r="B146" s="195" t="s">
        <v>165</v>
      </c>
      <c r="C146" s="128"/>
      <c r="D146" s="129"/>
      <c r="E146" s="211" t="s">
        <v>243</v>
      </c>
      <c r="F146" s="212"/>
      <c r="G146" s="212"/>
      <c r="H146" s="212"/>
      <c r="I146" s="212"/>
      <c r="J146" s="212"/>
      <c r="K146" s="212"/>
      <c r="L146" s="207"/>
      <c r="M146" s="33"/>
    </row>
    <row r="147" spans="1:13" x14ac:dyDescent="0.25">
      <c r="A147" s="347"/>
      <c r="B147" s="196" t="s">
        <v>47</v>
      </c>
      <c r="C147" s="128"/>
      <c r="D147" s="129"/>
      <c r="E147" s="213"/>
      <c r="F147" s="212"/>
      <c r="G147" s="212"/>
      <c r="H147" s="212"/>
      <c r="I147" s="212"/>
      <c r="J147" s="212"/>
      <c r="K147" s="212"/>
      <c r="L147" s="207"/>
    </row>
    <row r="148" spans="1:13" x14ac:dyDescent="0.25">
      <c r="A148" s="348"/>
      <c r="B148" s="197" t="s">
        <v>50</v>
      </c>
      <c r="C148" s="5"/>
      <c r="D148" s="91"/>
      <c r="E148" s="214" t="s">
        <v>243</v>
      </c>
      <c r="F148" s="215"/>
      <c r="G148" s="215"/>
      <c r="H148" s="215"/>
      <c r="I148" s="215"/>
      <c r="J148" s="215"/>
      <c r="K148" s="215"/>
      <c r="L148" s="215"/>
    </row>
    <row r="149" spans="1:13" x14ac:dyDescent="0.25">
      <c r="A149" s="349"/>
      <c r="B149" s="196" t="s">
        <v>47</v>
      </c>
      <c r="C149" s="6"/>
      <c r="D149" s="48"/>
      <c r="E149" s="216"/>
      <c r="F149" s="217"/>
      <c r="G149" s="217"/>
      <c r="H149" s="217"/>
      <c r="I149" s="217"/>
      <c r="J149" s="217"/>
      <c r="K149" s="217"/>
      <c r="L149" s="217"/>
    </row>
    <row r="150" spans="1:13" x14ac:dyDescent="0.25">
      <c r="A150" s="349"/>
      <c r="B150" s="198" t="s">
        <v>40</v>
      </c>
      <c r="C150" s="6"/>
      <c r="D150" s="48"/>
      <c r="E150" s="216" t="s">
        <v>243</v>
      </c>
      <c r="F150" s="217"/>
      <c r="G150" s="217"/>
      <c r="H150" s="217"/>
      <c r="I150" s="217"/>
      <c r="J150" s="217"/>
      <c r="K150" s="217"/>
      <c r="L150" s="217"/>
    </row>
    <row r="151" spans="1:13" x14ac:dyDescent="0.25">
      <c r="A151" s="350"/>
      <c r="B151" s="199" t="s">
        <v>47</v>
      </c>
      <c r="C151" s="54"/>
      <c r="D151" s="55"/>
      <c r="E151" s="218"/>
      <c r="F151" s="219"/>
      <c r="G151" s="219"/>
      <c r="H151" s="219"/>
      <c r="I151" s="219"/>
      <c r="J151" s="219"/>
      <c r="K151" s="219"/>
      <c r="L151" s="220"/>
    </row>
    <row r="152" spans="1:13" ht="31.5" x14ac:dyDescent="0.25">
      <c r="A152" s="349"/>
      <c r="B152" s="198" t="s">
        <v>9</v>
      </c>
      <c r="C152" s="6"/>
      <c r="D152" s="48"/>
      <c r="E152" s="221" t="s">
        <v>97</v>
      </c>
      <c r="F152" s="217"/>
      <c r="G152" s="217"/>
      <c r="H152" s="217"/>
      <c r="I152" s="217"/>
      <c r="J152" s="217"/>
      <c r="K152" s="217"/>
      <c r="L152" s="217"/>
    </row>
    <row r="153" spans="1:13" x14ac:dyDescent="0.25">
      <c r="A153" s="349"/>
      <c r="B153" s="196" t="s">
        <v>47</v>
      </c>
      <c r="C153" s="6"/>
      <c r="D153" s="48"/>
      <c r="E153" s="222"/>
      <c r="F153" s="217"/>
      <c r="G153" s="217"/>
      <c r="H153" s="217"/>
      <c r="I153" s="217"/>
      <c r="J153" s="217"/>
      <c r="K153" s="217"/>
      <c r="L153" s="217"/>
    </row>
    <row r="154" spans="1:13" x14ac:dyDescent="0.25">
      <c r="A154" s="349"/>
      <c r="B154" s="198" t="s">
        <v>10</v>
      </c>
      <c r="C154" s="6"/>
      <c r="D154" s="48"/>
      <c r="E154" s="221" t="s">
        <v>98</v>
      </c>
      <c r="F154" s="217"/>
      <c r="G154" s="217"/>
      <c r="H154" s="217"/>
      <c r="I154" s="217"/>
      <c r="J154" s="217"/>
      <c r="K154" s="217"/>
      <c r="L154" s="217"/>
    </row>
    <row r="155" spans="1:13" ht="31.5" x14ac:dyDescent="0.25">
      <c r="A155" s="346"/>
      <c r="B155" s="14" t="s">
        <v>167</v>
      </c>
      <c r="C155" s="15"/>
      <c r="D155" s="31"/>
      <c r="E155" s="210"/>
      <c r="F155" s="12"/>
      <c r="G155" s="12"/>
      <c r="H155" s="12"/>
      <c r="I155" s="12"/>
      <c r="J155" s="12"/>
      <c r="K155" s="12"/>
      <c r="L155" s="223"/>
    </row>
    <row r="157" spans="1:13" x14ac:dyDescent="0.25">
      <c r="B157" s="51"/>
      <c r="C157" s="92"/>
      <c r="D157" s="38"/>
    </row>
    <row r="158" spans="1:13" x14ac:dyDescent="0.25">
      <c r="B158" s="200"/>
      <c r="C158" s="23"/>
      <c r="D158" s="56"/>
    </row>
    <row r="159" spans="1:13" x14ac:dyDescent="0.25">
      <c r="B159" s="268"/>
      <c r="C159" s="268"/>
      <c r="D159" s="268"/>
    </row>
  </sheetData>
  <mergeCells count="31">
    <mergeCell ref="A1:L1"/>
    <mergeCell ref="A3:L3"/>
    <mergeCell ref="A5:L5"/>
    <mergeCell ref="A7:A8"/>
    <mergeCell ref="B7:B8"/>
    <mergeCell ref="C7:C8"/>
    <mergeCell ref="F7:G7"/>
    <mergeCell ref="H7:I7"/>
    <mergeCell ref="J7:K7"/>
    <mergeCell ref="L7:L8"/>
    <mergeCell ref="D7:E7"/>
    <mergeCell ref="A12:A14"/>
    <mergeCell ref="A15:A17"/>
    <mergeCell ref="A18:A19"/>
    <mergeCell ref="A30:A39"/>
    <mergeCell ref="A40:A49"/>
    <mergeCell ref="A124:A130"/>
    <mergeCell ref="A131:A137"/>
    <mergeCell ref="A138:A142"/>
    <mergeCell ref="A105:A109"/>
    <mergeCell ref="A21:A25"/>
    <mergeCell ref="A51:A55"/>
    <mergeCell ref="A56:A60"/>
    <mergeCell ref="A61:A69"/>
    <mergeCell ref="A70:A74"/>
    <mergeCell ref="A76:A83"/>
    <mergeCell ref="A84:A92"/>
    <mergeCell ref="A93:A99"/>
    <mergeCell ref="A100:A104"/>
    <mergeCell ref="A110:A116"/>
    <mergeCell ref="A117:A123"/>
  </mergeCells>
  <pageMargins left="0.35433070866141736" right="0.08" top="0.65" bottom="0.47" header="0.35" footer="0.26"/>
  <pageSetup paperSize="9" orientation="landscape" r:id="rId1"/>
  <headerFooter>
    <oddHeader>&amp;R&amp;P--&amp;N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106"/>
  <sheetViews>
    <sheetView topLeftCell="A11" zoomScale="80" zoomScaleNormal="80" workbookViewId="0">
      <selection activeCell="M90" sqref="M90"/>
    </sheetView>
  </sheetViews>
  <sheetFormatPr defaultColWidth="8.85546875" defaultRowHeight="15.75" x14ac:dyDescent="0.25"/>
  <cols>
    <col min="1" max="1" width="5.85546875" style="7" customWidth="1"/>
    <col min="2" max="2" width="31.140625" style="16" customWidth="1"/>
    <col min="3" max="3" width="7.140625" style="7" customWidth="1"/>
    <col min="4" max="4" width="8.42578125" style="28" customWidth="1"/>
    <col min="5" max="5" width="9.85546875" style="264" bestFit="1" customWidth="1"/>
    <col min="6" max="6" width="9" style="17" customWidth="1"/>
    <col min="7" max="7" width="11.140625" style="17" customWidth="1"/>
    <col min="8" max="8" width="7" style="17" customWidth="1"/>
    <col min="9" max="9" width="10.140625" style="17" customWidth="1"/>
    <col min="10" max="10" width="7.28515625" style="17" customWidth="1"/>
    <col min="11" max="11" width="11" style="17" customWidth="1"/>
    <col min="12" max="12" width="11.5703125" style="17" customWidth="1"/>
    <col min="13" max="13" width="38.5703125" style="2" customWidth="1"/>
    <col min="14" max="16384" width="8.85546875" style="2"/>
  </cols>
  <sheetData>
    <row r="1" spans="1:13" ht="46.9" customHeight="1" x14ac:dyDescent="0.25">
      <c r="A1" s="351" t="str">
        <f>krebsiti!A3</f>
        <v>dmanisis municipalitetis sofel mTisZirSi sacxovrebeli korpusis dasarbazos reabiulitacia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" t="s">
        <v>211</v>
      </c>
    </row>
    <row r="2" spans="1:13" x14ac:dyDescent="0.25">
      <c r="A2" s="16"/>
      <c r="B2" s="176"/>
      <c r="C2" s="176"/>
      <c r="D2" s="137"/>
      <c r="E2" s="247"/>
      <c r="F2" s="201"/>
      <c r="G2" s="201"/>
      <c r="H2" s="201"/>
      <c r="I2" s="201"/>
      <c r="J2" s="201"/>
      <c r="K2" s="201"/>
      <c r="L2" s="201"/>
    </row>
    <row r="3" spans="1:13" x14ac:dyDescent="0.2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3" x14ac:dyDescent="0.25">
      <c r="A4" s="16"/>
      <c r="B4" s="176"/>
      <c r="C4" s="176"/>
      <c r="D4" s="137"/>
      <c r="E4" s="247"/>
      <c r="F4" s="201"/>
      <c r="G4" s="201"/>
      <c r="H4" s="201"/>
      <c r="I4" s="201"/>
      <c r="J4" s="201"/>
      <c r="K4" s="201"/>
      <c r="L4" s="201"/>
    </row>
    <row r="5" spans="1:13" x14ac:dyDescent="0.25">
      <c r="A5" s="351" t="s">
        <v>198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13" x14ac:dyDescent="0.25">
      <c r="A6" s="3"/>
      <c r="B6" s="8"/>
      <c r="C6" s="3"/>
      <c r="D6" s="29"/>
      <c r="E6" s="248"/>
      <c r="F6" s="10"/>
      <c r="G6" s="10"/>
      <c r="H6" s="10"/>
      <c r="I6" s="10"/>
      <c r="J6" s="10"/>
      <c r="K6" s="10"/>
      <c r="L6" s="10"/>
    </row>
    <row r="7" spans="1:13" ht="43.15" customHeight="1" x14ac:dyDescent="0.25">
      <c r="A7" s="370" t="s">
        <v>0</v>
      </c>
      <c r="B7" s="376" t="s">
        <v>1</v>
      </c>
      <c r="C7" s="370" t="s">
        <v>2</v>
      </c>
      <c r="D7" s="380" t="s">
        <v>85</v>
      </c>
      <c r="E7" s="380"/>
      <c r="F7" s="367" t="s">
        <v>3</v>
      </c>
      <c r="G7" s="368"/>
      <c r="H7" s="367" t="s">
        <v>4</v>
      </c>
      <c r="I7" s="368"/>
      <c r="J7" s="367" t="s">
        <v>25</v>
      </c>
      <c r="K7" s="368"/>
      <c r="L7" s="378" t="s">
        <v>5</v>
      </c>
    </row>
    <row r="8" spans="1:13" ht="31.5" x14ac:dyDescent="0.25">
      <c r="A8" s="372"/>
      <c r="B8" s="377"/>
      <c r="C8" s="372"/>
      <c r="D8" s="147" t="s">
        <v>86</v>
      </c>
      <c r="E8" s="148" t="s">
        <v>18</v>
      </c>
      <c r="F8" s="139" t="s">
        <v>6</v>
      </c>
      <c r="G8" s="139" t="s">
        <v>7</v>
      </c>
      <c r="H8" s="139" t="s">
        <v>6</v>
      </c>
      <c r="I8" s="139" t="s">
        <v>7</v>
      </c>
      <c r="J8" s="139" t="s">
        <v>6</v>
      </c>
      <c r="K8" s="139" t="s">
        <v>7</v>
      </c>
      <c r="L8" s="379"/>
    </row>
    <row r="9" spans="1:13" x14ac:dyDescent="0.25">
      <c r="A9" s="140">
        <v>1</v>
      </c>
      <c r="B9" s="225" t="s">
        <v>112</v>
      </c>
      <c r="C9" s="140" t="s">
        <v>59</v>
      </c>
      <c r="D9" s="152">
        <v>4</v>
      </c>
      <c r="E9" s="249">
        <v>5</v>
      </c>
      <c r="F9" s="152">
        <v>6</v>
      </c>
      <c r="G9" s="249">
        <v>7</v>
      </c>
      <c r="H9" s="152">
        <v>8</v>
      </c>
      <c r="I9" s="249">
        <v>9</v>
      </c>
      <c r="J9" s="152">
        <v>10</v>
      </c>
      <c r="K9" s="249">
        <v>11</v>
      </c>
      <c r="L9" s="152">
        <v>12</v>
      </c>
    </row>
    <row r="10" spans="1:13" ht="27" x14ac:dyDescent="0.25">
      <c r="A10" s="40" t="s">
        <v>207</v>
      </c>
      <c r="B10" s="177" t="s">
        <v>84</v>
      </c>
      <c r="C10" s="40"/>
      <c r="D10" s="80"/>
      <c r="E10" s="285"/>
      <c r="F10" s="139"/>
      <c r="G10" s="139"/>
      <c r="H10" s="139"/>
      <c r="I10" s="139"/>
      <c r="J10" s="139"/>
      <c r="K10" s="139"/>
      <c r="L10" s="139"/>
    </row>
    <row r="11" spans="1:13" ht="31.5" x14ac:dyDescent="0.25">
      <c r="A11" s="283" t="s">
        <v>112</v>
      </c>
      <c r="B11" s="114" t="s">
        <v>131</v>
      </c>
      <c r="C11" s="141"/>
      <c r="D11" s="37"/>
      <c r="E11" s="251"/>
      <c r="F11" s="103"/>
      <c r="G11" s="139"/>
      <c r="H11" s="252"/>
      <c r="I11" s="139"/>
      <c r="J11" s="253"/>
      <c r="K11" s="139"/>
      <c r="L11" s="139"/>
    </row>
    <row r="12" spans="1:13" ht="31.5" x14ac:dyDescent="0.25">
      <c r="A12" s="142" t="s">
        <v>127</v>
      </c>
      <c r="B12" s="227" t="s">
        <v>117</v>
      </c>
      <c r="C12" s="149" t="s">
        <v>76</v>
      </c>
      <c r="D12" s="30"/>
      <c r="E12" s="60">
        <f>SUM(E14:E16)</f>
        <v>100</v>
      </c>
      <c r="F12" s="103"/>
      <c r="G12" s="139"/>
      <c r="H12" s="103"/>
      <c r="I12" s="139"/>
      <c r="J12" s="103"/>
      <c r="K12" s="139"/>
      <c r="L12" s="139"/>
    </row>
    <row r="13" spans="1:13" x14ac:dyDescent="0.25">
      <c r="A13" s="143"/>
      <c r="B13" s="113" t="s">
        <v>31</v>
      </c>
      <c r="C13" s="149" t="s">
        <v>75</v>
      </c>
      <c r="D13" s="30">
        <v>0.13900000000000001</v>
      </c>
      <c r="E13" s="59">
        <f>E12*D13</f>
        <v>13.900000000000002</v>
      </c>
      <c r="F13" s="62"/>
      <c r="G13" s="139"/>
      <c r="H13" s="62"/>
      <c r="I13" s="139"/>
      <c r="J13" s="62"/>
      <c r="K13" s="139"/>
      <c r="L13" s="139"/>
    </row>
    <row r="14" spans="1:13" ht="81" x14ac:dyDescent="0.25">
      <c r="A14" s="143"/>
      <c r="B14" s="113" t="s">
        <v>177</v>
      </c>
      <c r="C14" s="149" t="s">
        <v>73</v>
      </c>
      <c r="D14" s="30"/>
      <c r="E14" s="59">
        <v>100</v>
      </c>
      <c r="F14" s="62"/>
      <c r="G14" s="139"/>
      <c r="H14" s="250"/>
      <c r="I14" s="139"/>
      <c r="J14" s="62"/>
      <c r="K14" s="139"/>
      <c r="L14" s="139"/>
    </row>
    <row r="15" spans="1:13" ht="81" hidden="1" x14ac:dyDescent="0.25">
      <c r="A15" s="143"/>
      <c r="B15" s="113" t="s">
        <v>178</v>
      </c>
      <c r="C15" s="149" t="s">
        <v>73</v>
      </c>
      <c r="D15" s="30"/>
      <c r="E15" s="59">
        <v>0</v>
      </c>
      <c r="F15" s="62"/>
      <c r="G15" s="139"/>
      <c r="H15" s="250"/>
      <c r="I15" s="139"/>
      <c r="J15" s="62"/>
      <c r="K15" s="139"/>
      <c r="L15" s="139"/>
    </row>
    <row r="16" spans="1:13" ht="47.25" hidden="1" customHeight="1" x14ac:dyDescent="0.25">
      <c r="A16" s="143"/>
      <c r="B16" s="113" t="s">
        <v>121</v>
      </c>
      <c r="C16" s="275" t="s">
        <v>73</v>
      </c>
      <c r="D16" s="86"/>
      <c r="E16" s="59"/>
      <c r="F16" s="62"/>
      <c r="G16" s="273"/>
      <c r="H16" s="250"/>
      <c r="I16" s="273"/>
      <c r="J16" s="62"/>
      <c r="K16" s="273"/>
      <c r="L16" s="273"/>
    </row>
    <row r="17" spans="1:12" ht="47.25" hidden="1" customHeight="1" x14ac:dyDescent="0.25">
      <c r="A17" s="143"/>
      <c r="B17" s="113" t="s">
        <v>122</v>
      </c>
      <c r="C17" s="9" t="s">
        <v>11</v>
      </c>
      <c r="D17" s="86"/>
      <c r="E17" s="59"/>
      <c r="F17" s="62"/>
      <c r="G17" s="139"/>
      <c r="H17" s="62"/>
      <c r="I17" s="139"/>
      <c r="J17" s="62"/>
      <c r="K17" s="139"/>
      <c r="L17" s="139"/>
    </row>
    <row r="18" spans="1:12" ht="47.25" hidden="1" customHeight="1" x14ac:dyDescent="0.25">
      <c r="A18" s="143"/>
      <c r="B18" s="113" t="s">
        <v>123</v>
      </c>
      <c r="C18" s="9" t="s">
        <v>11</v>
      </c>
      <c r="D18" s="86"/>
      <c r="E18" s="59"/>
      <c r="F18" s="62"/>
      <c r="G18" s="139"/>
      <c r="H18" s="62"/>
      <c r="I18" s="139"/>
      <c r="J18" s="62"/>
      <c r="K18" s="139"/>
      <c r="L18" s="139"/>
    </row>
    <row r="19" spans="1:12" ht="31.5" hidden="1" customHeight="1" x14ac:dyDescent="0.25">
      <c r="A19" s="143"/>
      <c r="B19" s="113" t="s">
        <v>124</v>
      </c>
      <c r="C19" s="9" t="s">
        <v>11</v>
      </c>
      <c r="D19" s="86"/>
      <c r="E19" s="59"/>
      <c r="F19" s="62"/>
      <c r="G19" s="139"/>
      <c r="H19" s="62"/>
      <c r="I19" s="139"/>
      <c r="J19" s="62"/>
      <c r="K19" s="139"/>
      <c r="L19" s="139"/>
    </row>
    <row r="20" spans="1:12" ht="47.25" hidden="1" customHeight="1" x14ac:dyDescent="0.25">
      <c r="A20" s="143"/>
      <c r="B20" s="113" t="s">
        <v>130</v>
      </c>
      <c r="C20" s="9" t="s">
        <v>11</v>
      </c>
      <c r="D20" s="86"/>
      <c r="E20" s="59"/>
      <c r="F20" s="62"/>
      <c r="G20" s="139"/>
      <c r="H20" s="62"/>
      <c r="I20" s="139"/>
      <c r="J20" s="62"/>
      <c r="K20" s="139"/>
      <c r="L20" s="139"/>
    </row>
    <row r="21" spans="1:12" ht="47.25" hidden="1" customHeight="1" x14ac:dyDescent="0.25">
      <c r="A21" s="143"/>
      <c r="B21" s="125" t="s">
        <v>119</v>
      </c>
      <c r="C21" s="9" t="s">
        <v>20</v>
      </c>
      <c r="D21" s="30"/>
      <c r="E21" s="59"/>
      <c r="F21" s="62"/>
      <c r="G21" s="139"/>
      <c r="H21" s="62"/>
      <c r="I21" s="139"/>
      <c r="J21" s="62"/>
      <c r="K21" s="139"/>
      <c r="L21" s="139"/>
    </row>
    <row r="22" spans="1:12" ht="45.75" hidden="1" customHeight="1" x14ac:dyDescent="0.25">
      <c r="A22" s="143"/>
      <c r="B22" s="126" t="s">
        <v>143</v>
      </c>
      <c r="C22" s="149" t="s">
        <v>8</v>
      </c>
      <c r="D22" s="30"/>
      <c r="E22" s="59"/>
      <c r="F22" s="62"/>
      <c r="G22" s="139"/>
      <c r="H22" s="62"/>
      <c r="I22" s="139"/>
      <c r="J22" s="62"/>
      <c r="K22" s="139"/>
      <c r="L22" s="139"/>
    </row>
    <row r="23" spans="1:12" ht="47.25" hidden="1" x14ac:dyDescent="0.25">
      <c r="A23" s="143"/>
      <c r="B23" s="126" t="s">
        <v>144</v>
      </c>
      <c r="C23" s="149" t="s">
        <v>8</v>
      </c>
      <c r="D23" s="30"/>
      <c r="E23" s="59">
        <v>0</v>
      </c>
      <c r="F23" s="62"/>
      <c r="G23" s="139"/>
      <c r="H23" s="62"/>
      <c r="I23" s="139"/>
      <c r="J23" s="62"/>
      <c r="K23" s="139"/>
      <c r="L23" s="139"/>
    </row>
    <row r="24" spans="1:12" ht="47.25" x14ac:dyDescent="0.25">
      <c r="A24" s="143"/>
      <c r="B24" s="126" t="s">
        <v>145</v>
      </c>
      <c r="C24" s="149" t="s">
        <v>8</v>
      </c>
      <c r="D24" s="30"/>
      <c r="E24" s="59">
        <v>100</v>
      </c>
      <c r="F24" s="62"/>
      <c r="G24" s="139"/>
      <c r="H24" s="62"/>
      <c r="I24" s="139"/>
      <c r="J24" s="62"/>
      <c r="K24" s="139"/>
      <c r="L24" s="139"/>
    </row>
    <row r="25" spans="1:12" ht="47.25" hidden="1" x14ac:dyDescent="0.25">
      <c r="A25" s="143"/>
      <c r="B25" s="126" t="s">
        <v>146</v>
      </c>
      <c r="C25" s="9" t="s">
        <v>8</v>
      </c>
      <c r="D25" s="30"/>
      <c r="E25" s="59">
        <v>0</v>
      </c>
      <c r="F25" s="62"/>
      <c r="G25" s="139"/>
      <c r="H25" s="62"/>
      <c r="I25" s="139"/>
      <c r="J25" s="62"/>
      <c r="K25" s="139"/>
      <c r="L25" s="139"/>
    </row>
    <row r="26" spans="1:12" ht="47.25" hidden="1" x14ac:dyDescent="0.25">
      <c r="A26" s="143"/>
      <c r="B26" s="113" t="s">
        <v>118</v>
      </c>
      <c r="C26" s="9" t="s">
        <v>8</v>
      </c>
      <c r="D26" s="30"/>
      <c r="E26" s="59"/>
      <c r="F26" s="62"/>
      <c r="G26" s="139"/>
      <c r="H26" s="62"/>
      <c r="I26" s="139"/>
      <c r="J26" s="62"/>
      <c r="K26" s="139"/>
      <c r="L26" s="139"/>
    </row>
    <row r="27" spans="1:12" x14ac:dyDescent="0.25">
      <c r="A27" s="305"/>
      <c r="B27" s="113" t="s">
        <v>241</v>
      </c>
      <c r="C27" s="9" t="s">
        <v>8</v>
      </c>
      <c r="D27" s="30"/>
      <c r="E27" s="59">
        <v>18</v>
      </c>
      <c r="F27" s="62"/>
      <c r="G27" s="300"/>
      <c r="H27" s="62"/>
      <c r="I27" s="300"/>
      <c r="J27" s="62"/>
      <c r="K27" s="300"/>
      <c r="L27" s="300"/>
    </row>
    <row r="28" spans="1:12" ht="31.5" x14ac:dyDescent="0.25">
      <c r="A28" s="274"/>
      <c r="B28" s="113" t="s">
        <v>196</v>
      </c>
      <c r="C28" s="9" t="s">
        <v>11</v>
      </c>
      <c r="D28" s="30"/>
      <c r="E28" s="59">
        <v>200</v>
      </c>
      <c r="F28" s="62"/>
      <c r="G28" s="273"/>
      <c r="H28" s="62"/>
      <c r="I28" s="273"/>
      <c r="J28" s="62"/>
      <c r="K28" s="273"/>
      <c r="L28" s="273"/>
    </row>
    <row r="29" spans="1:12" x14ac:dyDescent="0.25">
      <c r="A29" s="144"/>
      <c r="B29" s="113" t="s">
        <v>72</v>
      </c>
      <c r="C29" s="149" t="s">
        <v>71</v>
      </c>
      <c r="D29" s="30">
        <v>9.7000000000000003E-2</v>
      </c>
      <c r="E29" s="59">
        <f>E12*D29</f>
        <v>9.7000000000000011</v>
      </c>
      <c r="F29" s="62"/>
      <c r="G29" s="139"/>
      <c r="H29" s="62"/>
      <c r="I29" s="139"/>
      <c r="J29" s="62"/>
      <c r="K29" s="139"/>
      <c r="L29" s="139"/>
    </row>
    <row r="30" spans="1:12" ht="31.5" hidden="1" x14ac:dyDescent="0.25">
      <c r="A30" s="146" t="s">
        <v>59</v>
      </c>
      <c r="B30" s="228" t="s">
        <v>116</v>
      </c>
      <c r="C30" s="149"/>
      <c r="D30" s="30"/>
      <c r="E30" s="155"/>
      <c r="F30" s="203"/>
      <c r="G30" s="139"/>
      <c r="H30" s="203"/>
      <c r="I30" s="139"/>
      <c r="J30" s="62"/>
      <c r="K30" s="139"/>
      <c r="L30" s="139"/>
    </row>
    <row r="31" spans="1:12" ht="31.5" hidden="1" x14ac:dyDescent="0.25">
      <c r="A31" s="366" t="s">
        <v>105</v>
      </c>
      <c r="B31" s="121" t="s">
        <v>80</v>
      </c>
      <c r="C31" s="156" t="s">
        <v>60</v>
      </c>
      <c r="D31" s="238"/>
      <c r="E31" s="168">
        <f>SUM(E33:E37)</f>
        <v>0</v>
      </c>
      <c r="F31" s="103"/>
      <c r="G31" s="65"/>
      <c r="H31" s="254"/>
      <c r="I31" s="65"/>
      <c r="J31" s="103"/>
      <c r="K31" s="65"/>
      <c r="L31" s="65"/>
    </row>
    <row r="32" spans="1:12" hidden="1" x14ac:dyDescent="0.25">
      <c r="A32" s="366"/>
      <c r="B32" s="193" t="s">
        <v>21</v>
      </c>
      <c r="C32" s="157" t="s">
        <v>23</v>
      </c>
      <c r="D32" s="239">
        <v>0.39200000000000002</v>
      </c>
      <c r="E32" s="169">
        <f>E31*D32</f>
        <v>0</v>
      </c>
      <c r="F32" s="175"/>
      <c r="G32" s="65"/>
      <c r="H32" s="62"/>
      <c r="I32" s="65"/>
      <c r="J32" s="62"/>
      <c r="K32" s="65"/>
      <c r="L32" s="65"/>
    </row>
    <row r="33" spans="1:12" ht="47.25" hidden="1" x14ac:dyDescent="0.25">
      <c r="A33" s="366"/>
      <c r="B33" s="183" t="s">
        <v>182</v>
      </c>
      <c r="C33" s="157" t="s">
        <v>11</v>
      </c>
      <c r="D33" s="239"/>
      <c r="E33" s="102">
        <v>0</v>
      </c>
      <c r="F33" s="175"/>
      <c r="G33" s="65"/>
      <c r="H33" s="62"/>
      <c r="I33" s="65"/>
      <c r="J33" s="62"/>
      <c r="K33" s="65"/>
      <c r="L33" s="65"/>
    </row>
    <row r="34" spans="1:12" ht="63" hidden="1" x14ac:dyDescent="0.25">
      <c r="A34" s="366"/>
      <c r="B34" s="183" t="s">
        <v>183</v>
      </c>
      <c r="C34" s="157" t="s">
        <v>11</v>
      </c>
      <c r="D34" s="239"/>
      <c r="E34" s="102"/>
      <c r="F34" s="175"/>
      <c r="G34" s="65"/>
      <c r="H34" s="62"/>
      <c r="I34" s="65"/>
      <c r="J34" s="62"/>
      <c r="K34" s="65"/>
      <c r="L34" s="65"/>
    </row>
    <row r="35" spans="1:12" ht="47.25" hidden="1" x14ac:dyDescent="0.25">
      <c r="A35" s="366"/>
      <c r="B35" s="183" t="s">
        <v>184</v>
      </c>
      <c r="C35" s="157" t="s">
        <v>11</v>
      </c>
      <c r="D35" s="239"/>
      <c r="E35" s="102"/>
      <c r="F35" s="175"/>
      <c r="G35" s="65"/>
      <c r="H35" s="62"/>
      <c r="I35" s="65"/>
      <c r="J35" s="62"/>
      <c r="K35" s="65"/>
      <c r="L35" s="65"/>
    </row>
    <row r="36" spans="1:12" ht="31.5" hidden="1" x14ac:dyDescent="0.25">
      <c r="A36" s="366"/>
      <c r="B36" s="124" t="s">
        <v>169</v>
      </c>
      <c r="C36" s="157" t="s">
        <v>11</v>
      </c>
      <c r="D36" s="239"/>
      <c r="E36" s="102"/>
      <c r="F36" s="175"/>
      <c r="G36" s="65"/>
      <c r="H36" s="62"/>
      <c r="I36" s="65"/>
      <c r="J36" s="62"/>
      <c r="K36" s="65"/>
      <c r="L36" s="65"/>
    </row>
    <row r="37" spans="1:12" hidden="1" x14ac:dyDescent="0.25">
      <c r="A37" s="366"/>
      <c r="B37" s="124" t="s">
        <v>170</v>
      </c>
      <c r="C37" s="157" t="s">
        <v>11</v>
      </c>
      <c r="D37" s="239"/>
      <c r="E37" s="102"/>
      <c r="F37" s="175"/>
      <c r="G37" s="65"/>
      <c r="H37" s="62"/>
      <c r="I37" s="65"/>
      <c r="J37" s="62"/>
      <c r="K37" s="65"/>
      <c r="L37" s="65"/>
    </row>
    <row r="38" spans="1:12" ht="46.5" hidden="1" x14ac:dyDescent="0.25">
      <c r="A38" s="366"/>
      <c r="B38" s="193" t="s">
        <v>179</v>
      </c>
      <c r="C38" s="157" t="s">
        <v>11</v>
      </c>
      <c r="D38" s="239"/>
      <c r="E38" s="169">
        <f>E31</f>
        <v>0</v>
      </c>
      <c r="F38" s="175"/>
      <c r="G38" s="65"/>
      <c r="H38" s="62"/>
      <c r="I38" s="65"/>
      <c r="J38" s="62"/>
      <c r="K38" s="65"/>
      <c r="L38" s="65"/>
    </row>
    <row r="39" spans="1:12" hidden="1" x14ac:dyDescent="0.25">
      <c r="A39" s="366"/>
      <c r="B39" s="193" t="s">
        <v>30</v>
      </c>
      <c r="C39" s="240" t="s">
        <v>19</v>
      </c>
      <c r="D39" s="241">
        <f>9.4/100</f>
        <v>9.4E-2</v>
      </c>
      <c r="E39" s="155">
        <f>E31*D39</f>
        <v>0</v>
      </c>
      <c r="F39" s="62"/>
      <c r="G39" s="65"/>
      <c r="H39" s="62"/>
      <c r="I39" s="65"/>
      <c r="J39" s="62"/>
      <c r="K39" s="65"/>
      <c r="L39" s="65"/>
    </row>
    <row r="40" spans="1:12" hidden="1" x14ac:dyDescent="0.25">
      <c r="A40" s="370" t="s">
        <v>104</v>
      </c>
      <c r="B40" s="121" t="s">
        <v>79</v>
      </c>
      <c r="C40" s="156" t="s">
        <v>60</v>
      </c>
      <c r="D40" s="238"/>
      <c r="E40" s="168">
        <f>E42+E43+E44+E45</f>
        <v>0</v>
      </c>
      <c r="F40" s="103"/>
      <c r="G40" s="65"/>
      <c r="H40" s="254"/>
      <c r="I40" s="65"/>
      <c r="J40" s="103"/>
      <c r="K40" s="65"/>
      <c r="L40" s="65"/>
    </row>
    <row r="41" spans="1:12" hidden="1" x14ac:dyDescent="0.25">
      <c r="A41" s="371"/>
      <c r="B41" s="183" t="s">
        <v>21</v>
      </c>
      <c r="C41" s="157" t="s">
        <v>23</v>
      </c>
      <c r="D41" s="239">
        <v>0.372</v>
      </c>
      <c r="E41" s="169">
        <f>E40*D41</f>
        <v>0</v>
      </c>
      <c r="F41" s="175"/>
      <c r="G41" s="65"/>
      <c r="H41" s="62"/>
      <c r="I41" s="65"/>
      <c r="J41" s="62"/>
      <c r="K41" s="65"/>
      <c r="L41" s="65"/>
    </row>
    <row r="42" spans="1:12" ht="31.5" hidden="1" x14ac:dyDescent="0.25">
      <c r="A42" s="371"/>
      <c r="B42" s="183" t="s">
        <v>186</v>
      </c>
      <c r="C42" s="157" t="s">
        <v>11</v>
      </c>
      <c r="D42" s="239"/>
      <c r="E42" s="169"/>
      <c r="F42" s="175"/>
      <c r="G42" s="65"/>
      <c r="H42" s="62"/>
      <c r="I42" s="65"/>
      <c r="J42" s="62"/>
      <c r="K42" s="65"/>
      <c r="L42" s="65"/>
    </row>
    <row r="43" spans="1:12" ht="31.5" hidden="1" x14ac:dyDescent="0.25">
      <c r="A43" s="371"/>
      <c r="B43" s="183" t="s">
        <v>185</v>
      </c>
      <c r="C43" s="157" t="s">
        <v>11</v>
      </c>
      <c r="D43" s="239"/>
      <c r="E43" s="169">
        <v>0</v>
      </c>
      <c r="F43" s="175"/>
      <c r="G43" s="65"/>
      <c r="H43" s="62"/>
      <c r="I43" s="65"/>
      <c r="J43" s="62"/>
      <c r="K43" s="65"/>
      <c r="L43" s="65"/>
    </row>
    <row r="44" spans="1:12" ht="47.25" hidden="1" x14ac:dyDescent="0.25">
      <c r="A44" s="371"/>
      <c r="B44" s="124" t="s">
        <v>187</v>
      </c>
      <c r="C44" s="157" t="s">
        <v>11</v>
      </c>
      <c r="D44" s="241"/>
      <c r="E44" s="170"/>
      <c r="F44" s="175"/>
      <c r="G44" s="65"/>
      <c r="H44" s="62"/>
      <c r="I44" s="65"/>
      <c r="J44" s="62"/>
      <c r="K44" s="65"/>
      <c r="L44" s="65"/>
    </row>
    <row r="45" spans="1:12" ht="46.5" hidden="1" x14ac:dyDescent="0.25">
      <c r="A45" s="371"/>
      <c r="B45" s="124" t="s">
        <v>180</v>
      </c>
      <c r="C45" s="157" t="s">
        <v>11</v>
      </c>
      <c r="D45" s="241"/>
      <c r="E45" s="170"/>
      <c r="F45" s="175"/>
      <c r="G45" s="65"/>
      <c r="H45" s="62"/>
      <c r="I45" s="65"/>
      <c r="J45" s="62"/>
      <c r="K45" s="65"/>
      <c r="L45" s="65"/>
    </row>
    <row r="46" spans="1:12" ht="46.5" hidden="1" x14ac:dyDescent="0.25">
      <c r="A46" s="371"/>
      <c r="B46" s="193" t="s">
        <v>179</v>
      </c>
      <c r="C46" s="157" t="s">
        <v>11</v>
      </c>
      <c r="D46" s="239"/>
      <c r="E46" s="169">
        <f>E40</f>
        <v>0</v>
      </c>
      <c r="F46" s="175"/>
      <c r="G46" s="65"/>
      <c r="H46" s="62"/>
      <c r="I46" s="65"/>
      <c r="J46" s="62"/>
      <c r="K46" s="65"/>
      <c r="L46" s="65"/>
    </row>
    <row r="47" spans="1:12" hidden="1" x14ac:dyDescent="0.25">
      <c r="A47" s="372"/>
      <c r="B47" s="183" t="s">
        <v>30</v>
      </c>
      <c r="C47" s="240" t="s">
        <v>19</v>
      </c>
      <c r="D47" s="241">
        <f>12.84/100</f>
        <v>0.12839999999999999</v>
      </c>
      <c r="E47" s="155">
        <f>E40*D47</f>
        <v>0</v>
      </c>
      <c r="F47" s="62"/>
      <c r="G47" s="65"/>
      <c r="H47" s="62"/>
      <c r="I47" s="65"/>
      <c r="J47" s="62"/>
      <c r="K47" s="65"/>
      <c r="L47" s="65"/>
    </row>
    <row r="48" spans="1:12" ht="31.5" hidden="1" x14ac:dyDescent="0.25">
      <c r="A48" s="370" t="s">
        <v>154</v>
      </c>
      <c r="B48" s="227" t="s">
        <v>115</v>
      </c>
      <c r="C48" s="158" t="s">
        <v>60</v>
      </c>
      <c r="D48" s="37"/>
      <c r="E48" s="171">
        <f>E51</f>
        <v>0</v>
      </c>
      <c r="F48" s="252"/>
      <c r="G48" s="65"/>
      <c r="H48" s="252"/>
      <c r="I48" s="65"/>
      <c r="J48" s="252"/>
      <c r="K48" s="65"/>
      <c r="L48" s="65"/>
    </row>
    <row r="49" spans="1:13" hidden="1" x14ac:dyDescent="0.25">
      <c r="A49" s="371"/>
      <c r="B49" s="229" t="s">
        <v>78</v>
      </c>
      <c r="C49" s="158" t="s">
        <v>23</v>
      </c>
      <c r="D49" s="37">
        <v>1.35</v>
      </c>
      <c r="E49" s="255">
        <f>E48*D49</f>
        <v>0</v>
      </c>
      <c r="F49" s="252"/>
      <c r="G49" s="65"/>
      <c r="H49" s="62"/>
      <c r="I49" s="65"/>
      <c r="J49" s="252"/>
      <c r="K49" s="65"/>
      <c r="L49" s="65"/>
    </row>
    <row r="50" spans="1:13" hidden="1" x14ac:dyDescent="0.25">
      <c r="A50" s="371"/>
      <c r="B50" s="229" t="s">
        <v>29</v>
      </c>
      <c r="C50" s="158" t="s">
        <v>19</v>
      </c>
      <c r="D50" s="37">
        <v>3.1E-2</v>
      </c>
      <c r="E50" s="255">
        <f>E48*D50</f>
        <v>0</v>
      </c>
      <c r="F50" s="252"/>
      <c r="G50" s="65"/>
      <c r="H50" s="252"/>
      <c r="I50" s="65"/>
      <c r="J50" s="252"/>
      <c r="K50" s="65"/>
      <c r="L50" s="65"/>
    </row>
    <row r="51" spans="1:13" ht="31.5" hidden="1" x14ac:dyDescent="0.25">
      <c r="A51" s="371"/>
      <c r="B51" s="229" t="s">
        <v>181</v>
      </c>
      <c r="C51" s="159" t="s">
        <v>60</v>
      </c>
      <c r="D51" s="242">
        <v>1</v>
      </c>
      <c r="E51" s="172">
        <v>0</v>
      </c>
      <c r="F51" s="256"/>
      <c r="G51" s="65"/>
      <c r="H51" s="257"/>
      <c r="I51" s="65"/>
      <c r="J51" s="123"/>
      <c r="K51" s="65"/>
      <c r="L51" s="65"/>
    </row>
    <row r="52" spans="1:13" hidden="1" x14ac:dyDescent="0.25">
      <c r="A52" s="371"/>
      <c r="B52" s="183" t="s">
        <v>30</v>
      </c>
      <c r="C52" s="240" t="s">
        <v>19</v>
      </c>
      <c r="D52" s="37">
        <v>0.29099999999999998</v>
      </c>
      <c r="E52" s="255">
        <f>E48*D52</f>
        <v>0</v>
      </c>
      <c r="F52" s="252"/>
      <c r="G52" s="65"/>
      <c r="H52" s="252"/>
      <c r="I52" s="65"/>
      <c r="J52" s="122"/>
      <c r="K52" s="65"/>
      <c r="L52" s="65"/>
    </row>
    <row r="53" spans="1:13" x14ac:dyDescent="0.25">
      <c r="A53" s="370" t="s">
        <v>113</v>
      </c>
      <c r="B53" s="114" t="s">
        <v>81</v>
      </c>
      <c r="C53" s="141" t="s">
        <v>20</v>
      </c>
      <c r="D53" s="150"/>
      <c r="E53" s="60">
        <f>SUM(E57:E65)</f>
        <v>3</v>
      </c>
      <c r="F53" s="62"/>
      <c r="G53" s="65"/>
      <c r="H53" s="62"/>
      <c r="I53" s="65"/>
      <c r="J53" s="62"/>
      <c r="K53" s="65"/>
      <c r="L53" s="65"/>
    </row>
    <row r="54" spans="1:13" x14ac:dyDescent="0.25">
      <c r="A54" s="371"/>
      <c r="B54" s="191" t="s">
        <v>21</v>
      </c>
      <c r="C54" s="157" t="s">
        <v>23</v>
      </c>
      <c r="D54" s="241">
        <f>182/100</f>
        <v>1.82</v>
      </c>
      <c r="E54" s="294">
        <f>E53*D54</f>
        <v>5.46</v>
      </c>
      <c r="F54" s="62"/>
      <c r="G54" s="65"/>
      <c r="H54" s="62"/>
      <c r="I54" s="65"/>
      <c r="J54" s="62"/>
      <c r="K54" s="65"/>
      <c r="L54" s="65"/>
      <c r="M54" s="17"/>
    </row>
    <row r="55" spans="1:13" ht="31.5" x14ac:dyDescent="0.25">
      <c r="A55" s="371"/>
      <c r="B55" s="191" t="s">
        <v>83</v>
      </c>
      <c r="C55" s="157" t="s">
        <v>77</v>
      </c>
      <c r="D55" s="241">
        <f>6.5*0.01</f>
        <v>6.5000000000000002E-2</v>
      </c>
      <c r="E55" s="294">
        <f>E53*D55</f>
        <v>0.19500000000000001</v>
      </c>
      <c r="F55" s="62"/>
      <c r="G55" s="65"/>
      <c r="H55" s="62"/>
      <c r="I55" s="65"/>
      <c r="J55" s="62"/>
      <c r="K55" s="65"/>
      <c r="L55" s="65"/>
      <c r="M55" s="16"/>
    </row>
    <row r="56" spans="1:13" x14ac:dyDescent="0.25">
      <c r="A56" s="371"/>
      <c r="B56" s="191" t="s">
        <v>82</v>
      </c>
      <c r="C56" s="157" t="s">
        <v>77</v>
      </c>
      <c r="D56" s="241">
        <f>17.8*0.01</f>
        <v>0.17800000000000002</v>
      </c>
      <c r="E56" s="294">
        <f>E53*D56</f>
        <v>0.53400000000000003</v>
      </c>
      <c r="F56" s="62"/>
      <c r="G56" s="65"/>
      <c r="H56" s="62"/>
      <c r="I56" s="65"/>
      <c r="J56" s="62"/>
      <c r="K56" s="65"/>
      <c r="L56" s="65"/>
    </row>
    <row r="57" spans="1:13" ht="61.5" hidden="1" x14ac:dyDescent="0.25">
      <c r="A57" s="371"/>
      <c r="B57" s="267" t="s">
        <v>190</v>
      </c>
      <c r="C57" s="157" t="s">
        <v>11</v>
      </c>
      <c r="D57" s="241"/>
      <c r="E57" s="59"/>
      <c r="F57" s="62"/>
      <c r="G57" s="65"/>
      <c r="H57" s="62"/>
      <c r="I57" s="65"/>
      <c r="J57" s="62"/>
      <c r="K57" s="65"/>
      <c r="L57" s="65"/>
    </row>
    <row r="58" spans="1:13" ht="31.5" hidden="1" x14ac:dyDescent="0.25">
      <c r="A58" s="371"/>
      <c r="B58" s="267" t="s">
        <v>188</v>
      </c>
      <c r="C58" s="157" t="s">
        <v>11</v>
      </c>
      <c r="D58" s="241"/>
      <c r="E58" s="59"/>
      <c r="F58" s="62"/>
      <c r="G58" s="65"/>
      <c r="H58" s="62"/>
      <c r="I58" s="65"/>
      <c r="J58" s="62"/>
      <c r="K58" s="65"/>
      <c r="L58" s="65"/>
    </row>
    <row r="59" spans="1:13" ht="46.5" hidden="1" x14ac:dyDescent="0.25">
      <c r="A59" s="371"/>
      <c r="B59" s="124" t="s">
        <v>189</v>
      </c>
      <c r="C59" s="157" t="s">
        <v>11</v>
      </c>
      <c r="D59" s="241"/>
      <c r="E59" s="59"/>
      <c r="F59" s="62"/>
      <c r="G59" s="65"/>
      <c r="H59" s="62"/>
      <c r="I59" s="65"/>
      <c r="J59" s="62"/>
      <c r="K59" s="65"/>
      <c r="L59" s="65"/>
    </row>
    <row r="60" spans="1:13" ht="46.5" hidden="1" x14ac:dyDescent="0.25">
      <c r="A60" s="371"/>
      <c r="B60" s="124" t="s">
        <v>212</v>
      </c>
      <c r="C60" s="157" t="s">
        <v>11</v>
      </c>
      <c r="D60" s="241"/>
      <c r="E60" s="59">
        <v>0</v>
      </c>
      <c r="F60" s="62"/>
      <c r="G60" s="65"/>
      <c r="H60" s="62"/>
      <c r="I60" s="65"/>
      <c r="J60" s="62"/>
      <c r="K60" s="65"/>
      <c r="L60" s="65"/>
    </row>
    <row r="61" spans="1:13" ht="45.75" hidden="1" x14ac:dyDescent="0.25">
      <c r="A61" s="371"/>
      <c r="B61" s="267" t="s">
        <v>215</v>
      </c>
      <c r="C61" s="157" t="s">
        <v>11</v>
      </c>
      <c r="D61" s="241"/>
      <c r="E61" s="59">
        <v>0</v>
      </c>
      <c r="F61" s="62"/>
      <c r="G61" s="65"/>
      <c r="H61" s="62"/>
      <c r="I61" s="65"/>
      <c r="J61" s="62"/>
      <c r="K61" s="65"/>
      <c r="L61" s="65"/>
    </row>
    <row r="62" spans="1:13" ht="61.5" x14ac:dyDescent="0.25">
      <c r="A62" s="371"/>
      <c r="B62" s="267" t="s">
        <v>240</v>
      </c>
      <c r="C62" s="157" t="s">
        <v>11</v>
      </c>
      <c r="D62" s="241"/>
      <c r="E62" s="59">
        <v>3</v>
      </c>
      <c r="F62" s="62"/>
      <c r="G62" s="65"/>
      <c r="H62" s="62"/>
      <c r="I62" s="65"/>
      <c r="J62" s="62"/>
      <c r="K62" s="65"/>
      <c r="L62" s="65"/>
    </row>
    <row r="63" spans="1:13" ht="46.5" hidden="1" x14ac:dyDescent="0.25">
      <c r="A63" s="371"/>
      <c r="B63" s="124" t="s">
        <v>191</v>
      </c>
      <c r="C63" s="157" t="s">
        <v>11</v>
      </c>
      <c r="D63" s="241"/>
      <c r="E63" s="59"/>
      <c r="F63" s="62"/>
      <c r="G63" s="65"/>
      <c r="H63" s="62"/>
      <c r="I63" s="65"/>
      <c r="J63" s="62"/>
      <c r="K63" s="65"/>
      <c r="L63" s="65"/>
    </row>
    <row r="64" spans="1:13" ht="46.5" hidden="1" x14ac:dyDescent="0.25">
      <c r="A64" s="371"/>
      <c r="B64" s="124" t="s">
        <v>192</v>
      </c>
      <c r="C64" s="157" t="s">
        <v>11</v>
      </c>
      <c r="D64" s="241"/>
      <c r="E64" s="59">
        <v>0</v>
      </c>
      <c r="F64" s="62"/>
      <c r="G64" s="65"/>
      <c r="H64" s="62"/>
      <c r="I64" s="65"/>
      <c r="J64" s="62"/>
      <c r="K64" s="65"/>
      <c r="L64" s="65"/>
    </row>
    <row r="65" spans="1:12" ht="46.5" hidden="1" x14ac:dyDescent="0.25">
      <c r="A65" s="371"/>
      <c r="B65" s="124" t="s">
        <v>216</v>
      </c>
      <c r="C65" s="157" t="s">
        <v>11</v>
      </c>
      <c r="D65" s="136"/>
      <c r="E65" s="59">
        <v>0</v>
      </c>
      <c r="F65" s="62"/>
      <c r="G65" s="65"/>
      <c r="H65" s="62"/>
      <c r="I65" s="65"/>
      <c r="J65" s="62"/>
      <c r="K65" s="65"/>
      <c r="L65" s="65"/>
    </row>
    <row r="66" spans="1:12" x14ac:dyDescent="0.25">
      <c r="A66" s="372"/>
      <c r="B66" s="183" t="s">
        <v>30</v>
      </c>
      <c r="C66" s="141" t="s">
        <v>19</v>
      </c>
      <c r="D66" s="27">
        <v>0.13200000000000001</v>
      </c>
      <c r="E66" s="294">
        <f>E53*D66</f>
        <v>0.39600000000000002</v>
      </c>
      <c r="F66" s="62"/>
      <c r="G66" s="65"/>
      <c r="H66" s="62"/>
      <c r="I66" s="65"/>
      <c r="J66" s="62"/>
      <c r="K66" s="65"/>
      <c r="L66" s="65"/>
    </row>
    <row r="67" spans="1:12" ht="63" hidden="1" x14ac:dyDescent="0.25">
      <c r="A67" s="370" t="s">
        <v>106</v>
      </c>
      <c r="B67" s="230" t="s">
        <v>194</v>
      </c>
      <c r="C67" s="158" t="s">
        <v>52</v>
      </c>
      <c r="D67" s="37"/>
      <c r="E67" s="60">
        <f>E69</f>
        <v>0</v>
      </c>
      <c r="F67" s="252"/>
      <c r="G67" s="65"/>
      <c r="H67" s="252"/>
      <c r="I67" s="65"/>
      <c r="J67" s="252"/>
      <c r="K67" s="65"/>
      <c r="L67" s="65"/>
    </row>
    <row r="68" spans="1:12" hidden="1" x14ac:dyDescent="0.25">
      <c r="A68" s="371"/>
      <c r="B68" s="229" t="s">
        <v>78</v>
      </c>
      <c r="C68" s="158" t="s">
        <v>23</v>
      </c>
      <c r="D68" s="37">
        <v>16</v>
      </c>
      <c r="E68" s="255">
        <f>E67*D68</f>
        <v>0</v>
      </c>
      <c r="F68" s="252"/>
      <c r="G68" s="65"/>
      <c r="H68" s="252"/>
      <c r="I68" s="65"/>
      <c r="J68" s="252"/>
      <c r="K68" s="65"/>
      <c r="L68" s="65"/>
    </row>
    <row r="69" spans="1:12" ht="31.5" hidden="1" x14ac:dyDescent="0.25">
      <c r="A69" s="371"/>
      <c r="B69" s="231" t="s">
        <v>193</v>
      </c>
      <c r="C69" s="160" t="s">
        <v>52</v>
      </c>
      <c r="D69" s="243"/>
      <c r="E69" s="173">
        <v>0</v>
      </c>
      <c r="F69" s="252"/>
      <c r="G69" s="65"/>
      <c r="H69" s="252"/>
      <c r="I69" s="65"/>
      <c r="J69" s="252"/>
      <c r="K69" s="65"/>
      <c r="L69" s="65"/>
    </row>
    <row r="70" spans="1:12" ht="31.5" hidden="1" x14ac:dyDescent="0.25">
      <c r="A70" s="371"/>
      <c r="B70" s="272" t="s">
        <v>195</v>
      </c>
      <c r="C70" s="160" t="s">
        <v>52</v>
      </c>
      <c r="D70" s="243"/>
      <c r="E70" s="173">
        <v>0</v>
      </c>
      <c r="F70" s="252"/>
      <c r="G70" s="65"/>
      <c r="H70" s="252"/>
      <c r="I70" s="65"/>
      <c r="J70" s="252"/>
      <c r="K70" s="65"/>
      <c r="L70" s="65"/>
    </row>
    <row r="71" spans="1:12" hidden="1" x14ac:dyDescent="0.25">
      <c r="A71" s="372"/>
      <c r="B71" s="183" t="s">
        <v>30</v>
      </c>
      <c r="C71" s="158" t="s">
        <v>19</v>
      </c>
      <c r="D71" s="37">
        <v>2.97</v>
      </c>
      <c r="E71" s="255">
        <f>E67*D71</f>
        <v>0</v>
      </c>
      <c r="F71" s="252"/>
      <c r="G71" s="65"/>
      <c r="H71" s="252"/>
      <c r="I71" s="65"/>
      <c r="J71" s="123"/>
      <c r="K71" s="65"/>
      <c r="L71" s="65"/>
    </row>
    <row r="72" spans="1:12" hidden="1" x14ac:dyDescent="0.25">
      <c r="A72" s="146"/>
      <c r="B72" s="135"/>
      <c r="C72" s="141"/>
      <c r="D72" s="150"/>
      <c r="E72" s="153"/>
      <c r="F72" s="258"/>
      <c r="G72" s="139"/>
      <c r="H72" s="258"/>
      <c r="I72" s="139"/>
      <c r="J72" s="259"/>
      <c r="K72" s="139"/>
      <c r="L72" s="139"/>
    </row>
    <row r="73" spans="1:12" hidden="1" x14ac:dyDescent="0.25">
      <c r="A73" s="370" t="s">
        <v>114</v>
      </c>
      <c r="B73" s="192" t="s">
        <v>107</v>
      </c>
      <c r="C73" s="161" t="s">
        <v>60</v>
      </c>
      <c r="D73" s="244"/>
      <c r="E73" s="168">
        <f>E76</f>
        <v>0</v>
      </c>
      <c r="F73" s="61"/>
      <c r="G73" s="65"/>
      <c r="H73" s="61"/>
      <c r="I73" s="65"/>
      <c r="J73" s="63"/>
      <c r="K73" s="65"/>
      <c r="L73" s="65"/>
    </row>
    <row r="74" spans="1:12" hidden="1" x14ac:dyDescent="0.25">
      <c r="A74" s="371"/>
      <c r="B74" s="191" t="s">
        <v>21</v>
      </c>
      <c r="C74" s="157" t="s">
        <v>23</v>
      </c>
      <c r="D74" s="241">
        <f>225/100</f>
        <v>2.25</v>
      </c>
      <c r="E74" s="155">
        <f>D74*E73</f>
        <v>0</v>
      </c>
      <c r="F74" s="61"/>
      <c r="G74" s="65"/>
      <c r="H74" s="61"/>
      <c r="I74" s="65"/>
      <c r="J74" s="63"/>
      <c r="K74" s="65"/>
      <c r="L74" s="65"/>
    </row>
    <row r="75" spans="1:12" hidden="1" x14ac:dyDescent="0.25">
      <c r="A75" s="371"/>
      <c r="B75" s="191" t="s">
        <v>22</v>
      </c>
      <c r="C75" s="157" t="s">
        <v>19</v>
      </c>
      <c r="D75" s="241">
        <f>86/100</f>
        <v>0.86</v>
      </c>
      <c r="E75" s="155">
        <f>D75*E73</f>
        <v>0</v>
      </c>
      <c r="F75" s="61"/>
      <c r="G75" s="65"/>
      <c r="H75" s="61"/>
      <c r="I75" s="65"/>
      <c r="J75" s="63"/>
      <c r="K75" s="65"/>
      <c r="L75" s="65"/>
    </row>
    <row r="76" spans="1:12" ht="78.75" hidden="1" x14ac:dyDescent="0.25">
      <c r="A76" s="371"/>
      <c r="B76" s="183" t="s">
        <v>206</v>
      </c>
      <c r="C76" s="162" t="s">
        <v>108</v>
      </c>
      <c r="D76" s="245"/>
      <c r="E76" s="174">
        <v>0</v>
      </c>
      <c r="F76" s="61"/>
      <c r="G76" s="65"/>
      <c r="H76" s="61"/>
      <c r="I76" s="65"/>
      <c r="J76" s="63"/>
      <c r="K76" s="65"/>
      <c r="L76" s="65"/>
    </row>
    <row r="77" spans="1:12" hidden="1" x14ac:dyDescent="0.25">
      <c r="A77" s="371"/>
      <c r="B77" s="34" t="s">
        <v>199</v>
      </c>
      <c r="C77" s="279" t="s">
        <v>52</v>
      </c>
      <c r="D77" s="30"/>
      <c r="E77" s="64">
        <v>1</v>
      </c>
      <c r="F77" s="26"/>
      <c r="G77" s="62"/>
      <c r="H77" s="61"/>
      <c r="I77" s="62"/>
      <c r="J77" s="62"/>
      <c r="K77" s="62"/>
      <c r="L77" s="62"/>
    </row>
    <row r="78" spans="1:12" hidden="1" x14ac:dyDescent="0.25">
      <c r="A78" s="372"/>
      <c r="B78" s="183" t="s">
        <v>30</v>
      </c>
      <c r="C78" s="240" t="s">
        <v>19</v>
      </c>
      <c r="D78" s="246">
        <f>210/100</f>
        <v>2.1</v>
      </c>
      <c r="E78" s="155">
        <f>D78*E73</f>
        <v>0</v>
      </c>
      <c r="F78" s="61"/>
      <c r="G78" s="65"/>
      <c r="H78" s="61"/>
      <c r="I78" s="65"/>
      <c r="J78" s="63"/>
      <c r="K78" s="65"/>
      <c r="L78" s="65"/>
    </row>
    <row r="79" spans="1:12" x14ac:dyDescent="0.25">
      <c r="A79" s="280"/>
      <c r="B79" s="135"/>
      <c r="C79" s="278"/>
      <c r="D79" s="150"/>
      <c r="E79" s="281"/>
      <c r="F79" s="258"/>
      <c r="G79" s="277"/>
      <c r="H79" s="258"/>
      <c r="I79" s="277"/>
      <c r="J79" s="259"/>
      <c r="K79" s="277"/>
      <c r="L79" s="277"/>
    </row>
    <row r="80" spans="1:12" ht="63" hidden="1" x14ac:dyDescent="0.25">
      <c r="A80" s="373" t="s">
        <v>141</v>
      </c>
      <c r="B80" s="67" t="s">
        <v>139</v>
      </c>
      <c r="C80" s="76" t="s">
        <v>8</v>
      </c>
      <c r="D80" s="235"/>
      <c r="E80" s="69">
        <f>E83</f>
        <v>0</v>
      </c>
      <c r="F80" s="70"/>
      <c r="G80" s="71"/>
      <c r="H80" s="71"/>
      <c r="I80" s="71"/>
      <c r="J80" s="71"/>
      <c r="K80" s="71"/>
      <c r="L80" s="71"/>
    </row>
    <row r="81" spans="1:13" hidden="1" x14ac:dyDescent="0.25">
      <c r="A81" s="374"/>
      <c r="B81" s="72" t="s">
        <v>21</v>
      </c>
      <c r="C81" s="68" t="s">
        <v>23</v>
      </c>
      <c r="D81" s="236">
        <v>0.26</v>
      </c>
      <c r="E81" s="74">
        <f>D81*E80</f>
        <v>0</v>
      </c>
      <c r="F81" s="70"/>
      <c r="G81" s="71"/>
      <c r="H81" s="71"/>
      <c r="I81" s="71"/>
      <c r="J81" s="71"/>
      <c r="K81" s="71"/>
      <c r="L81" s="71"/>
    </row>
    <row r="82" spans="1:13" hidden="1" x14ac:dyDescent="0.25">
      <c r="A82" s="374"/>
      <c r="B82" s="75" t="s">
        <v>22</v>
      </c>
      <c r="C82" s="68" t="s">
        <v>19</v>
      </c>
      <c r="D82" s="236">
        <v>1.6E-2</v>
      </c>
      <c r="E82" s="73">
        <f>D82*E80</f>
        <v>0</v>
      </c>
      <c r="F82" s="70"/>
      <c r="G82" s="71"/>
      <c r="H82" s="71"/>
      <c r="I82" s="71"/>
      <c r="J82" s="71"/>
      <c r="K82" s="71"/>
      <c r="L82" s="71"/>
    </row>
    <row r="83" spans="1:13" ht="31.5" hidden="1" x14ac:dyDescent="0.25">
      <c r="A83" s="374"/>
      <c r="B83" s="77" t="s">
        <v>140</v>
      </c>
      <c r="C83" s="76" t="s">
        <v>8</v>
      </c>
      <c r="D83" s="237"/>
      <c r="E83" s="69">
        <v>0</v>
      </c>
      <c r="F83" s="70"/>
      <c r="G83" s="71"/>
      <c r="H83" s="71"/>
      <c r="I83" s="71"/>
      <c r="J83" s="71"/>
      <c r="K83" s="71"/>
      <c r="L83" s="71"/>
    </row>
    <row r="84" spans="1:13" hidden="1" x14ac:dyDescent="0.25">
      <c r="A84" s="375"/>
      <c r="B84" s="72" t="s">
        <v>30</v>
      </c>
      <c r="C84" s="68" t="s">
        <v>19</v>
      </c>
      <c r="D84" s="236">
        <v>0.35299999999999998</v>
      </c>
      <c r="E84" s="74">
        <f>D84*E80</f>
        <v>0</v>
      </c>
      <c r="F84" s="70"/>
      <c r="G84" s="71"/>
      <c r="H84" s="70"/>
      <c r="I84" s="71"/>
      <c r="J84" s="70"/>
      <c r="K84" s="71"/>
      <c r="L84" s="71"/>
    </row>
    <row r="85" spans="1:13" ht="63" hidden="1" x14ac:dyDescent="0.25">
      <c r="A85" s="146" t="s">
        <v>142</v>
      </c>
      <c r="B85" s="186" t="s">
        <v>197</v>
      </c>
      <c r="C85" s="141" t="s">
        <v>11</v>
      </c>
      <c r="D85" s="150"/>
      <c r="E85" s="153">
        <v>0</v>
      </c>
      <c r="F85" s="258"/>
      <c r="G85" s="71"/>
      <c r="H85" s="70"/>
      <c r="I85" s="71"/>
      <c r="J85" s="70"/>
      <c r="K85" s="71"/>
      <c r="L85" s="71"/>
    </row>
    <row r="86" spans="1:13" x14ac:dyDescent="0.25">
      <c r="A86" s="280"/>
      <c r="B86" s="135"/>
      <c r="C86" s="278"/>
      <c r="D86" s="150"/>
      <c r="E86" s="281"/>
      <c r="F86" s="258"/>
      <c r="G86" s="277"/>
      <c r="H86" s="258"/>
      <c r="I86" s="277"/>
      <c r="J86" s="259"/>
      <c r="K86" s="277"/>
      <c r="L86" s="277"/>
    </row>
    <row r="87" spans="1:13" ht="31.5" x14ac:dyDescent="0.25">
      <c r="A87" s="130"/>
      <c r="B87" s="132" t="s">
        <v>161</v>
      </c>
      <c r="C87" s="131"/>
      <c r="D87" s="234"/>
      <c r="E87" s="133"/>
      <c r="F87" s="134"/>
      <c r="G87" s="134"/>
      <c r="H87" s="134"/>
      <c r="I87" s="134"/>
      <c r="J87" s="134"/>
      <c r="K87" s="134"/>
      <c r="L87" s="134"/>
      <c r="M87" s="17">
        <f>G87+I87+K87</f>
        <v>0</v>
      </c>
    </row>
    <row r="88" spans="1:13" ht="63" x14ac:dyDescent="0.25">
      <c r="A88" s="105"/>
      <c r="B88" s="226" t="s">
        <v>138</v>
      </c>
      <c r="C88" s="105"/>
      <c r="D88" s="42"/>
      <c r="E88" s="57" t="s">
        <v>243</v>
      </c>
      <c r="F88" s="66"/>
      <c r="G88" s="66"/>
      <c r="H88" s="66"/>
      <c r="I88" s="66"/>
      <c r="J88" s="66"/>
      <c r="K88" s="66"/>
      <c r="L88" s="58"/>
    </row>
    <row r="89" spans="1:13" x14ac:dyDescent="0.25">
      <c r="A89" s="105"/>
      <c r="B89" s="266" t="s">
        <v>47</v>
      </c>
      <c r="C89" s="105"/>
      <c r="D89" s="42"/>
      <c r="E89" s="224"/>
      <c r="F89" s="66"/>
      <c r="G89" s="66"/>
      <c r="H89" s="66"/>
      <c r="I89" s="22"/>
      <c r="J89" s="66"/>
      <c r="K89" s="66"/>
      <c r="L89" s="58"/>
    </row>
    <row r="90" spans="1:13" ht="47.25" x14ac:dyDescent="0.25">
      <c r="A90" s="149"/>
      <c r="B90" s="138" t="s">
        <v>39</v>
      </c>
      <c r="C90" s="146"/>
      <c r="D90" s="147"/>
      <c r="E90" s="57" t="s">
        <v>243</v>
      </c>
      <c r="F90" s="139"/>
      <c r="G90" s="139"/>
      <c r="H90" s="139"/>
      <c r="I90" s="139"/>
      <c r="J90" s="139"/>
      <c r="K90" s="139"/>
      <c r="L90" s="139"/>
    </row>
    <row r="91" spans="1:13" x14ac:dyDescent="0.25">
      <c r="A91" s="105"/>
      <c r="B91" s="266" t="s">
        <v>47</v>
      </c>
      <c r="C91" s="105"/>
      <c r="D91" s="42"/>
      <c r="E91" s="224"/>
      <c r="F91" s="66"/>
      <c r="G91" s="66"/>
      <c r="H91" s="66"/>
      <c r="I91" s="22"/>
      <c r="J91" s="66"/>
      <c r="K91" s="66"/>
      <c r="L91" s="276"/>
    </row>
    <row r="92" spans="1:13" x14ac:dyDescent="0.25">
      <c r="A92" s="146"/>
      <c r="B92" s="138" t="s">
        <v>40</v>
      </c>
      <c r="C92" s="146"/>
      <c r="D92" s="147"/>
      <c r="E92" s="57" t="s">
        <v>243</v>
      </c>
      <c r="F92" s="139"/>
      <c r="G92" s="139"/>
      <c r="H92" s="139"/>
      <c r="I92" s="139"/>
      <c r="J92" s="139"/>
      <c r="K92" s="139"/>
      <c r="L92" s="139"/>
    </row>
    <row r="93" spans="1:13" x14ac:dyDescent="0.25">
      <c r="A93" s="13"/>
      <c r="B93" s="232" t="s">
        <v>47</v>
      </c>
      <c r="C93" s="13"/>
      <c r="D93" s="32"/>
      <c r="E93" s="260"/>
      <c r="F93" s="261"/>
      <c r="G93" s="261"/>
      <c r="H93" s="261"/>
      <c r="I93" s="261"/>
      <c r="J93" s="261"/>
      <c r="K93" s="261"/>
      <c r="L93" s="220"/>
    </row>
    <row r="94" spans="1:13" ht="31.5" x14ac:dyDescent="0.25">
      <c r="A94" s="146"/>
      <c r="B94" s="138" t="s">
        <v>9</v>
      </c>
      <c r="C94" s="146"/>
      <c r="D94" s="147"/>
      <c r="E94" s="262">
        <v>0.03</v>
      </c>
      <c r="F94" s="139"/>
      <c r="G94" s="139"/>
      <c r="H94" s="139"/>
      <c r="I94" s="139"/>
      <c r="J94" s="139"/>
      <c r="K94" s="139"/>
      <c r="L94" s="139"/>
    </row>
    <row r="95" spans="1:13" x14ac:dyDescent="0.25">
      <c r="A95" s="146"/>
      <c r="B95" s="233" t="s">
        <v>47</v>
      </c>
      <c r="C95" s="146"/>
      <c r="D95" s="147"/>
      <c r="E95" s="263"/>
      <c r="F95" s="139"/>
      <c r="G95" s="139"/>
      <c r="H95" s="139"/>
      <c r="I95" s="139"/>
      <c r="J95" s="139"/>
      <c r="K95" s="139"/>
      <c r="L95" s="139"/>
    </row>
    <row r="96" spans="1:13" x14ac:dyDescent="0.25">
      <c r="A96" s="146"/>
      <c r="B96" s="138" t="s">
        <v>10</v>
      </c>
      <c r="C96" s="146"/>
      <c r="D96" s="147"/>
      <c r="E96" s="262">
        <v>0.18</v>
      </c>
      <c r="F96" s="139"/>
      <c r="G96" s="139"/>
      <c r="H96" s="139"/>
      <c r="I96" s="139"/>
      <c r="J96" s="139"/>
      <c r="K96" s="139"/>
      <c r="L96" s="139"/>
    </row>
    <row r="97" spans="1:12" x14ac:dyDescent="0.25">
      <c r="A97" s="13"/>
      <c r="B97" s="14" t="s">
        <v>166</v>
      </c>
      <c r="C97" s="13"/>
      <c r="D97" s="32"/>
      <c r="E97" s="260"/>
      <c r="F97" s="261"/>
      <c r="G97" s="261"/>
      <c r="H97" s="261"/>
      <c r="I97" s="261"/>
      <c r="J97" s="261"/>
      <c r="K97" s="261"/>
      <c r="L97" s="220"/>
    </row>
    <row r="99" spans="1:12" x14ac:dyDescent="0.2">
      <c r="A99" s="18"/>
      <c r="B99" s="51"/>
      <c r="C99" s="92"/>
      <c r="D99" s="38"/>
      <c r="H99" s="265"/>
      <c r="I99" s="265"/>
    </row>
    <row r="100" spans="1:12" x14ac:dyDescent="0.25">
      <c r="B100" s="19"/>
      <c r="C100" s="20"/>
      <c r="D100" s="39"/>
    </row>
    <row r="101" spans="1:12" x14ac:dyDescent="0.25">
      <c r="B101" s="268"/>
      <c r="C101" s="268"/>
      <c r="D101" s="268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</sheetData>
  <mergeCells count="18">
    <mergeCell ref="A1:L1"/>
    <mergeCell ref="A3:L3"/>
    <mergeCell ref="A5:L5"/>
    <mergeCell ref="A7:A8"/>
    <mergeCell ref="B7:B8"/>
    <mergeCell ref="C7:C8"/>
    <mergeCell ref="F7:G7"/>
    <mergeCell ref="H7:I7"/>
    <mergeCell ref="J7:K7"/>
    <mergeCell ref="L7:L8"/>
    <mergeCell ref="D7:E7"/>
    <mergeCell ref="A73:A78"/>
    <mergeCell ref="A80:A84"/>
    <mergeCell ref="A40:A47"/>
    <mergeCell ref="A31:A39"/>
    <mergeCell ref="A53:A66"/>
    <mergeCell ref="A48:A52"/>
    <mergeCell ref="A67:A71"/>
  </mergeCells>
  <pageMargins left="0.55118110236220474" right="0.14000000000000001" top="0.55000000000000004" bottom="0.49" header="0.4" footer="0.27"/>
  <pageSetup paperSize="9" orientation="landscape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krebsiti</vt:lpstr>
      <vt:lpstr>#1</vt:lpstr>
      <vt:lpstr>#2</vt:lpstr>
      <vt:lpstr>'#1'!Print_Area</vt:lpstr>
      <vt:lpstr>'#2'!Print_Area</vt:lpstr>
      <vt:lpstr>krebsiti!Print_Area</vt:lpstr>
      <vt:lpstr>'#1'!Print_Titles</vt:lpstr>
      <vt:lpstr>'#2'!Print_Titles</vt:lpstr>
      <vt:lpstr>krebsiti!Print_Titles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2021-03-09T10:40:27Z</dcterms:modified>
</cp:coreProperties>
</file>