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 tabRatio="861" activeTab="1"/>
  </bookViews>
  <sheets>
    <sheet name="krebsiti" sheetId="25" r:id="rId1"/>
    <sheet name="#1-1" sheetId="22" r:id="rId2"/>
    <sheet name="#1-2" sheetId="23" r:id="rId3"/>
    <sheet name="#1-3" sheetId="24" r:id="rId4"/>
    <sheet name="#1-4" sheetId="26" r:id="rId5"/>
    <sheet name="#2-1" sheetId="27" r:id="rId6"/>
    <sheet name="#2-2" sheetId="28" r:id="rId7"/>
    <sheet name="#2-3" sheetId="29" r:id="rId8"/>
  </sheets>
  <definedNames>
    <definedName name="_xlnm.Print_Area" localSheetId="1">'#1-1'!$A$1:$M$1267</definedName>
    <definedName name="_xlnm.Print_Area" localSheetId="2">'#1-2'!$A$1:$M$134</definedName>
    <definedName name="_xlnm.Print_Area" localSheetId="3">'#1-3'!$A$1:$M$7</definedName>
    <definedName name="_xlnm.Print_Area" localSheetId="4">'#1-4'!$A$1:$M$59</definedName>
    <definedName name="_xlnm.Print_Area" localSheetId="6">'#2-2'!$A$1:$M$193</definedName>
    <definedName name="_xlnm.Print_Area" localSheetId="7">'#2-3'!$A$1:$M$244</definedName>
    <definedName name="_xlnm.Print_Area" localSheetId="0">krebsiti!$A$1:$G$24</definedName>
    <definedName name="_xlnm.Print_Titles" localSheetId="1">'#1-1'!$7:$7</definedName>
    <definedName name="_xlnm.Print_Titles" localSheetId="2">'#1-2'!$7:$7</definedName>
    <definedName name="_xlnm.Print_Titles" localSheetId="3">'#1-3'!$7:$7</definedName>
    <definedName name="_xlnm.Print_Titles" localSheetId="4">'#1-4'!$7:$7</definedName>
    <definedName name="_xlnm.Print_Titles" localSheetId="6">'#2-2'!$9:$9</definedName>
    <definedName name="_xlnm.Print_Titles" localSheetId="7">'#2-3'!$9:$9</definedName>
    <definedName name="_xlnm.Print_Titles" localSheetId="0">krebsiti!$6:$6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8" i="27" l="1"/>
  <c r="F79" i="27"/>
  <c r="F80" i="27"/>
  <c r="F81" i="27"/>
  <c r="F85" i="27"/>
  <c r="F86" i="27"/>
  <c r="F87" i="27"/>
  <c r="F88" i="27"/>
  <c r="M121" i="23"/>
  <c r="Q1032" i="22" l="1"/>
  <c r="P1032" i="22" s="1"/>
  <c r="Q1033" i="22"/>
  <c r="P1033" i="22" s="1"/>
  <c r="Q1034" i="22"/>
  <c r="Q1035" i="22"/>
  <c r="P1035" i="22" s="1"/>
  <c r="Q1036" i="22"/>
  <c r="P1036" i="22" s="1"/>
  <c r="H66" i="29"/>
  <c r="M66" i="29" s="1"/>
  <c r="H65" i="29"/>
  <c r="M65" i="29" s="1"/>
  <c r="H64" i="29"/>
  <c r="M64" i="29" s="1"/>
  <c r="H63" i="29"/>
  <c r="M63" i="29" s="1"/>
  <c r="H62" i="29"/>
  <c r="M62" i="29" s="1"/>
  <c r="H61" i="29"/>
  <c r="M61" i="29" s="1"/>
  <c r="H60" i="29"/>
  <c r="M60" i="29" s="1"/>
  <c r="H59" i="29"/>
  <c r="M59" i="29" s="1"/>
  <c r="H58" i="29"/>
  <c r="M58" i="29" s="1"/>
  <c r="F55" i="29"/>
  <c r="F56" i="29" s="1"/>
  <c r="J56" i="29" s="1"/>
  <c r="M56" i="29" s="1"/>
  <c r="F70" i="29"/>
  <c r="J70" i="29" s="1"/>
  <c r="M70" i="29" s="1"/>
  <c r="F71" i="29"/>
  <c r="L71" i="29" s="1"/>
  <c r="M71" i="29" s="1"/>
  <c r="F72" i="29"/>
  <c r="H72" i="29" s="1"/>
  <c r="M72" i="29" s="1"/>
  <c r="F73" i="29"/>
  <c r="H73" i="29" s="1"/>
  <c r="M73" i="29" s="1"/>
  <c r="F67" i="29" l="1"/>
  <c r="H67" i="29" s="1"/>
  <c r="M67" i="29" s="1"/>
  <c r="F57" i="29"/>
  <c r="L57" i="29" s="1"/>
  <c r="M57" i="29" s="1"/>
  <c r="F1123" i="22" l="1"/>
  <c r="F1124" i="22" s="1"/>
  <c r="J1124" i="22" s="1"/>
  <c r="M1124" i="22" s="1"/>
  <c r="F1111" i="22"/>
  <c r="F1113" i="22" s="1"/>
  <c r="H1113" i="22" s="1"/>
  <c r="M1113" i="22" s="1"/>
  <c r="F1133" i="22"/>
  <c r="H1133" i="22" s="1"/>
  <c r="M1133" i="22" s="1"/>
  <c r="F1132" i="22"/>
  <c r="H1132" i="22" s="1"/>
  <c r="M1132" i="22" s="1"/>
  <c r="F1131" i="22"/>
  <c r="H1131" i="22" s="1"/>
  <c r="M1131" i="22" s="1"/>
  <c r="F1130" i="22"/>
  <c r="H1130" i="22" s="1"/>
  <c r="M1130" i="22" s="1"/>
  <c r="F1129" i="22"/>
  <c r="J1129" i="22" s="1"/>
  <c r="M1129" i="22" s="1"/>
  <c r="E1121" i="22"/>
  <c r="F1120" i="22"/>
  <c r="F1122" i="22" s="1"/>
  <c r="H1122" i="22" s="1"/>
  <c r="M1122" i="22" s="1"/>
  <c r="E1119" i="22"/>
  <c r="H1118" i="22"/>
  <c r="M1118" i="22" s="1"/>
  <c r="E1117" i="22"/>
  <c r="D1117" i="22"/>
  <c r="E1116" i="22"/>
  <c r="E1115" i="22"/>
  <c r="F1114" i="22"/>
  <c r="E1112" i="22"/>
  <c r="F1108" i="22"/>
  <c r="F1109" i="22" s="1"/>
  <c r="J1109" i="22" s="1"/>
  <c r="M1109" i="22" s="1"/>
  <c r="F1106" i="22"/>
  <c r="F1107" i="22" s="1"/>
  <c r="J1107" i="22" s="1"/>
  <c r="M1107" i="22" s="1"/>
  <c r="F1104" i="22"/>
  <c r="H1104" i="22" s="1"/>
  <c r="F1096" i="22"/>
  <c r="F1090" i="22"/>
  <c r="J1104" i="22" l="1"/>
  <c r="M1104" i="22" s="1"/>
  <c r="F1116" i="22"/>
  <c r="L1116" i="22" s="1"/>
  <c r="M1116" i="22" s="1"/>
  <c r="F1121" i="22"/>
  <c r="J1121" i="22" s="1"/>
  <c r="M1121" i="22" s="1"/>
  <c r="F1125" i="22"/>
  <c r="F1112" i="22"/>
  <c r="J1112" i="22" s="1"/>
  <c r="M1112" i="22" s="1"/>
  <c r="F1117" i="22"/>
  <c r="H1117" i="22" s="1"/>
  <c r="M1117" i="22" s="1"/>
  <c r="F1110" i="22"/>
  <c r="L1110" i="22" s="1"/>
  <c r="M1110" i="22" s="1"/>
  <c r="F1119" i="22"/>
  <c r="H1119" i="22" s="1"/>
  <c r="M1119" i="22" s="1"/>
  <c r="F1115" i="22"/>
  <c r="J1115" i="22" s="1"/>
  <c r="M1115" i="22" s="1"/>
  <c r="F1080" i="22"/>
  <c r="F1081" i="22" s="1"/>
  <c r="J1081" i="22" s="1"/>
  <c r="M1081" i="22" s="1"/>
  <c r="F1099" i="22"/>
  <c r="F1100" i="22" s="1"/>
  <c r="J1100" i="22" s="1"/>
  <c r="M1100" i="22" s="1"/>
  <c r="H1097" i="22"/>
  <c r="M1097" i="22" s="1"/>
  <c r="H1096" i="22"/>
  <c r="M1096" i="22" s="1"/>
  <c r="F1094" i="22"/>
  <c r="H1094" i="22" s="1"/>
  <c r="M1094" i="22" s="1"/>
  <c r="F1093" i="22"/>
  <c r="H1093" i="22" s="1"/>
  <c r="M1093" i="22" s="1"/>
  <c r="F1098" i="22"/>
  <c r="H1098" i="22" s="1"/>
  <c r="M1098" i="22" s="1"/>
  <c r="E1088" i="22"/>
  <c r="F1085" i="22"/>
  <c r="F1087" i="22" s="1"/>
  <c r="L1087" i="22" s="1"/>
  <c r="M1087" i="22" s="1"/>
  <c r="F1126" i="22" l="1"/>
  <c r="J1126" i="22" s="1"/>
  <c r="M1126" i="22" s="1"/>
  <c r="F1127" i="22"/>
  <c r="L1127" i="22" s="1"/>
  <c r="M1127" i="22" s="1"/>
  <c r="F1102" i="22"/>
  <c r="H1102" i="22" s="1"/>
  <c r="M1102" i="22" s="1"/>
  <c r="F1103" i="22"/>
  <c r="H1103" i="22" s="1"/>
  <c r="M1103" i="22" s="1"/>
  <c r="F1088" i="22"/>
  <c r="H1088" i="22" s="1"/>
  <c r="M1088" i="22" s="1"/>
  <c r="F1082" i="22"/>
  <c r="F1086" i="22"/>
  <c r="J1086" i="22" s="1"/>
  <c r="M1086" i="22" s="1"/>
  <c r="F1092" i="22"/>
  <c r="L1092" i="22" s="1"/>
  <c r="M1092" i="22" s="1"/>
  <c r="F1101" i="22"/>
  <c r="L1101" i="22" s="1"/>
  <c r="M1101" i="22" s="1"/>
  <c r="F1089" i="22"/>
  <c r="H1089" i="22" s="1"/>
  <c r="M1089" i="22" s="1"/>
  <c r="F1091" i="22"/>
  <c r="J1091" i="22" s="1"/>
  <c r="M1091" i="22" s="1"/>
  <c r="F1095" i="22"/>
  <c r="H1095" i="22" s="1"/>
  <c r="M1095" i="22" s="1"/>
  <c r="F1084" i="22" l="1"/>
  <c r="L1084" i="22" s="1"/>
  <c r="M1084" i="22" s="1"/>
  <c r="F1083" i="22"/>
  <c r="J1083" i="22" s="1"/>
  <c r="M1083" i="22" s="1"/>
  <c r="F1051" i="22" l="1"/>
  <c r="H1051" i="22" s="1"/>
  <c r="M1051" i="22" s="1"/>
  <c r="E1065" i="22"/>
  <c r="E1064" i="22"/>
  <c r="E1062" i="22"/>
  <c r="F1062" i="22" s="1"/>
  <c r="H1062" i="22" s="1"/>
  <c r="M1062" i="22" s="1"/>
  <c r="F1061" i="22"/>
  <c r="H1061" i="22" s="1"/>
  <c r="M1061" i="22" s="1"/>
  <c r="E1060" i="22"/>
  <c r="F1060" i="22" s="1"/>
  <c r="H1060" i="22" s="1"/>
  <c r="M1060" i="22" s="1"/>
  <c r="H1059" i="22"/>
  <c r="M1059" i="22" s="1"/>
  <c r="E1058" i="22"/>
  <c r="F1058" i="22" s="1"/>
  <c r="L1058" i="22" s="1"/>
  <c r="M1058" i="22" s="1"/>
  <c r="E1057" i="22"/>
  <c r="F1057" i="22" s="1"/>
  <c r="J1057" i="22" s="1"/>
  <c r="M1057" i="22" s="1"/>
  <c r="M1056" i="22"/>
  <c r="E1055" i="22"/>
  <c r="F1055" i="22" s="1"/>
  <c r="H1055" i="22" s="1"/>
  <c r="M1055" i="22" s="1"/>
  <c r="F1054" i="22"/>
  <c r="H1054" i="22" s="1"/>
  <c r="M1054" i="22" s="1"/>
  <c r="E1053" i="22"/>
  <c r="F1053" i="22" s="1"/>
  <c r="H1053" i="22" s="1"/>
  <c r="M1053" i="22" s="1"/>
  <c r="E1052" i="22"/>
  <c r="F1052" i="22" s="1"/>
  <c r="H1052" i="22" s="1"/>
  <c r="M1052" i="22" s="1"/>
  <c r="E1050" i="22"/>
  <c r="F1050" i="22" s="1"/>
  <c r="L1050" i="22" s="1"/>
  <c r="M1050" i="22" s="1"/>
  <c r="E1049" i="22"/>
  <c r="F1049" i="22" s="1"/>
  <c r="L1049" i="22" s="1"/>
  <c r="M1049" i="22" s="1"/>
  <c r="E1048" i="22"/>
  <c r="F1048" i="22" s="1"/>
  <c r="J1048" i="22" s="1"/>
  <c r="M1048" i="22" s="1"/>
  <c r="F1045" i="22"/>
  <c r="H1045" i="22" s="1"/>
  <c r="M1045" i="22" s="1"/>
  <c r="E1035" i="22"/>
  <c r="F1044" i="22" s="1"/>
  <c r="H1044" i="22" s="1"/>
  <c r="M1044" i="22" s="1"/>
  <c r="E1034" i="22"/>
  <c r="F1043" i="22" s="1"/>
  <c r="H1043" i="22" s="1"/>
  <c r="M1043" i="22" s="1"/>
  <c r="E1033" i="22"/>
  <c r="F1042" i="22" s="1"/>
  <c r="H1042" i="22" s="1"/>
  <c r="M1042" i="22" s="1"/>
  <c r="E1032" i="22"/>
  <c r="F1041" i="22" s="1"/>
  <c r="H1041" i="22" s="1"/>
  <c r="M1041" i="22" s="1"/>
  <c r="E1031" i="22"/>
  <c r="E1029" i="22"/>
  <c r="E1028" i="22"/>
  <c r="D1027" i="22"/>
  <c r="E1026" i="22"/>
  <c r="E1025" i="22"/>
  <c r="E1024" i="22"/>
  <c r="F1022" i="22"/>
  <c r="F1016" i="22"/>
  <c r="F1018" i="22" s="1"/>
  <c r="L1018" i="22" s="1"/>
  <c r="M1018" i="22" s="1"/>
  <c r="F1003" i="22"/>
  <c r="F1004" i="22" s="1"/>
  <c r="F996" i="22"/>
  <c r="F1010" i="22" s="1"/>
  <c r="F994" i="22"/>
  <c r="F995" i="22" s="1"/>
  <c r="J995" i="22" s="1"/>
  <c r="M995" i="22" s="1"/>
  <c r="F992" i="22"/>
  <c r="H992" i="22" s="1"/>
  <c r="M992" i="22" s="1"/>
  <c r="F991" i="22"/>
  <c r="H991" i="22" s="1"/>
  <c r="M991" i="22" s="1"/>
  <c r="F985" i="22"/>
  <c r="F990" i="22" s="1"/>
  <c r="H990" i="22" s="1"/>
  <c r="M990" i="22" s="1"/>
  <c r="E983" i="22"/>
  <c r="F980" i="22"/>
  <c r="F975" i="22"/>
  <c r="F976" i="22" s="1"/>
  <c r="J976" i="22" s="1"/>
  <c r="M976" i="22" s="1"/>
  <c r="F1071" i="22"/>
  <c r="F1074" i="22" s="1"/>
  <c r="H1074" i="22" s="1"/>
  <c r="M1074" i="22" s="1"/>
  <c r="F1137" i="22"/>
  <c r="F1138" i="22" s="1"/>
  <c r="J1138" i="22" s="1"/>
  <c r="M1138" i="22" s="1"/>
  <c r="F1140" i="22"/>
  <c r="J1140" i="22" s="1"/>
  <c r="M1140" i="22" s="1"/>
  <c r="F1141" i="22"/>
  <c r="L1141" i="22" s="1"/>
  <c r="M1141" i="22" s="1"/>
  <c r="F1143" i="22"/>
  <c r="J1143" i="22" s="1"/>
  <c r="M1143" i="22" s="1"/>
  <c r="F1144" i="22"/>
  <c r="F1145" i="22" s="1"/>
  <c r="J1145" i="22" s="1"/>
  <c r="M1145" i="22" s="1"/>
  <c r="E1147" i="22"/>
  <c r="F1149" i="22"/>
  <c r="F1152" i="22" s="1"/>
  <c r="H1152" i="22" s="1"/>
  <c r="M1152" i="22" s="1"/>
  <c r="E1154" i="22"/>
  <c r="F258" i="29"/>
  <c r="H258" i="29" s="1"/>
  <c r="M258" i="29" s="1"/>
  <c r="F355" i="29"/>
  <c r="F76" i="29"/>
  <c r="F121" i="27"/>
  <c r="E114" i="27"/>
  <c r="E109" i="27"/>
  <c r="E96" i="27"/>
  <c r="E77" i="27"/>
  <c r="F63" i="27"/>
  <c r="F59" i="27" s="1"/>
  <c r="E57" i="27"/>
  <c r="E68" i="27"/>
  <c r="E67" i="27"/>
  <c r="E65" i="27"/>
  <c r="E64" i="27"/>
  <c r="H63" i="27"/>
  <c r="M63" i="27" s="1"/>
  <c r="E62" i="27"/>
  <c r="E61" i="27"/>
  <c r="E60" i="27"/>
  <c r="F1156" i="22" l="1"/>
  <c r="H1156" i="22" s="1"/>
  <c r="M1156" i="22" s="1"/>
  <c r="F1150" i="22"/>
  <c r="J1150" i="22" s="1"/>
  <c r="M1150" i="22" s="1"/>
  <c r="F1036" i="22"/>
  <c r="F1046" i="22" s="1"/>
  <c r="H1046" i="22" s="1"/>
  <c r="M1046" i="22" s="1"/>
  <c r="F1063" i="22"/>
  <c r="F1154" i="22"/>
  <c r="H1154" i="22" s="1"/>
  <c r="M1154" i="22" s="1"/>
  <c r="F1146" i="22"/>
  <c r="L1146" i="22" s="1"/>
  <c r="M1146" i="22" s="1"/>
  <c r="F1020" i="22"/>
  <c r="H1020" i="22" s="1"/>
  <c r="M1020" i="22" s="1"/>
  <c r="F1076" i="22"/>
  <c r="H1076" i="22" s="1"/>
  <c r="M1076" i="22" s="1"/>
  <c r="F1073" i="22"/>
  <c r="L1073" i="22" s="1"/>
  <c r="M1073" i="22" s="1"/>
  <c r="F1147" i="22"/>
  <c r="H1147" i="22" s="1"/>
  <c r="M1147" i="22" s="1"/>
  <c r="F1075" i="22"/>
  <c r="H1075" i="22" s="1"/>
  <c r="M1075" i="22" s="1"/>
  <c r="F983" i="22"/>
  <c r="H983" i="22" s="1"/>
  <c r="M983" i="22" s="1"/>
  <c r="F999" i="22"/>
  <c r="L999" i="22" s="1"/>
  <c r="M999" i="22" s="1"/>
  <c r="F1029" i="22"/>
  <c r="H1029" i="22" s="1"/>
  <c r="M1029" i="22" s="1"/>
  <c r="F1155" i="22"/>
  <c r="H1155" i="22" s="1"/>
  <c r="M1155" i="22" s="1"/>
  <c r="F1072" i="22"/>
  <c r="J1072" i="22" s="1"/>
  <c r="M1072" i="22" s="1"/>
  <c r="F981" i="22"/>
  <c r="J981" i="22" s="1"/>
  <c r="M981" i="22" s="1"/>
  <c r="F989" i="22"/>
  <c r="H989" i="22" s="1"/>
  <c r="M989" i="22" s="1"/>
  <c r="F1000" i="22"/>
  <c r="H1000" i="22" s="1"/>
  <c r="M1000" i="22" s="1"/>
  <c r="F1019" i="22"/>
  <c r="H1019" i="22" s="1"/>
  <c r="M1019" i="22" s="1"/>
  <c r="F1040" i="22"/>
  <c r="H1040" i="22" s="1"/>
  <c r="M1040" i="22" s="1"/>
  <c r="F1153" i="22"/>
  <c r="H1153" i="22" s="1"/>
  <c r="M1153" i="22" s="1"/>
  <c r="F988" i="22"/>
  <c r="H988" i="22" s="1"/>
  <c r="M988" i="22" s="1"/>
  <c r="F1012" i="22"/>
  <c r="L1012" i="22" s="1"/>
  <c r="M1012" i="22" s="1"/>
  <c r="F1013" i="22"/>
  <c r="H1013" i="22" s="1"/>
  <c r="M1013" i="22" s="1"/>
  <c r="F1014" i="22"/>
  <c r="H1014" i="22" s="1"/>
  <c r="M1014" i="22" s="1"/>
  <c r="F1015" i="22"/>
  <c r="H1015" i="22" s="1"/>
  <c r="M1015" i="22" s="1"/>
  <c r="F1011" i="22"/>
  <c r="J1011" i="22" s="1"/>
  <c r="M1011" i="22" s="1"/>
  <c r="F1006" i="22"/>
  <c r="L1006" i="22" s="1"/>
  <c r="M1006" i="22" s="1"/>
  <c r="F1007" i="22"/>
  <c r="H1007" i="22" s="1"/>
  <c r="M1007" i="22" s="1"/>
  <c r="F1008" i="22"/>
  <c r="H1008" i="22" s="1"/>
  <c r="M1008" i="22" s="1"/>
  <c r="F1009" i="22"/>
  <c r="H1009" i="22" s="1"/>
  <c r="M1009" i="22" s="1"/>
  <c r="F1005" i="22"/>
  <c r="J1005" i="22" s="1"/>
  <c r="M1005" i="22" s="1"/>
  <c r="F987" i="22"/>
  <c r="L987" i="22" s="1"/>
  <c r="M987" i="22" s="1"/>
  <c r="F984" i="22"/>
  <c r="H984" i="22" s="1"/>
  <c r="M984" i="22" s="1"/>
  <c r="F986" i="22"/>
  <c r="J986" i="22" s="1"/>
  <c r="M986" i="22" s="1"/>
  <c r="F993" i="22"/>
  <c r="H993" i="22" s="1"/>
  <c r="M993" i="22" s="1"/>
  <c r="F997" i="22"/>
  <c r="J997" i="22" s="1"/>
  <c r="M997" i="22" s="1"/>
  <c r="F1001" i="22"/>
  <c r="H1001" i="22" s="1"/>
  <c r="M1001" i="22" s="1"/>
  <c r="F1017" i="22"/>
  <c r="J1017" i="22" s="1"/>
  <c r="M1017" i="22" s="1"/>
  <c r="F1021" i="22"/>
  <c r="H1021" i="22" s="1"/>
  <c r="M1021" i="22" s="1"/>
  <c r="F1023" i="22"/>
  <c r="J1023" i="22" s="1"/>
  <c r="M1023" i="22" s="1"/>
  <c r="F1024" i="22"/>
  <c r="L1024" i="22" s="1"/>
  <c r="M1024" i="22" s="1"/>
  <c r="F1025" i="22"/>
  <c r="L1025" i="22" s="1"/>
  <c r="M1025" i="22" s="1"/>
  <c r="F1026" i="22"/>
  <c r="H1026" i="22" s="1"/>
  <c r="M1026" i="22" s="1"/>
  <c r="F1027" i="22"/>
  <c r="H1027" i="22" s="1"/>
  <c r="M1027" i="22" s="1"/>
  <c r="F1028" i="22"/>
  <c r="H1028" i="22" s="1"/>
  <c r="M1028" i="22" s="1"/>
  <c r="F982" i="22"/>
  <c r="L982" i="22" s="1"/>
  <c r="M982" i="22" s="1"/>
  <c r="F977" i="22"/>
  <c r="F998" i="22"/>
  <c r="L998" i="22" s="1"/>
  <c r="M998" i="22" s="1"/>
  <c r="F1002" i="22"/>
  <c r="H1002" i="22" s="1"/>
  <c r="M1002" i="22" s="1"/>
  <c r="F1148" i="22"/>
  <c r="H1148" i="22" s="1"/>
  <c r="M1148" i="22" s="1"/>
  <c r="F1151" i="22"/>
  <c r="L1151" i="22" s="1"/>
  <c r="M1151" i="22" s="1"/>
  <c r="F62" i="27"/>
  <c r="L62" i="27" s="1"/>
  <c r="M62" i="27" s="1"/>
  <c r="F66" i="27"/>
  <c r="F71" i="27" s="1"/>
  <c r="H71" i="27" s="1"/>
  <c r="F61" i="27"/>
  <c r="L61" i="27" s="1"/>
  <c r="M61" i="27" s="1"/>
  <c r="F65" i="27"/>
  <c r="H65" i="27" s="1"/>
  <c r="M65" i="27" s="1"/>
  <c r="F64" i="27"/>
  <c r="H64" i="27" s="1"/>
  <c r="M64" i="27" s="1"/>
  <c r="F60" i="27"/>
  <c r="J60" i="27" s="1"/>
  <c r="M60" i="27" s="1"/>
  <c r="F69" i="27" l="1"/>
  <c r="H69" i="27" s="1"/>
  <c r="M69" i="27" s="1"/>
  <c r="F1038" i="22"/>
  <c r="L1038" i="22" s="1"/>
  <c r="M1038" i="22" s="1"/>
  <c r="F1037" i="22"/>
  <c r="J1037" i="22" s="1"/>
  <c r="M1037" i="22" s="1"/>
  <c r="N1076" i="22"/>
  <c r="F978" i="22"/>
  <c r="J978" i="22" s="1"/>
  <c r="M978" i="22" s="1"/>
  <c r="F979" i="22"/>
  <c r="L979" i="22" s="1"/>
  <c r="M979" i="22" s="1"/>
  <c r="F1066" i="22"/>
  <c r="H1066" i="22" s="1"/>
  <c r="M1066" i="22" s="1"/>
  <c r="F1067" i="22"/>
  <c r="H1067" i="22" s="1"/>
  <c r="M1067" i="22" s="1"/>
  <c r="F1068" i="22"/>
  <c r="H1068" i="22" s="1"/>
  <c r="M1068" i="22" s="1"/>
  <c r="F1065" i="22"/>
  <c r="L1065" i="22" s="1"/>
  <c r="M1065" i="22" s="1"/>
  <c r="F1064" i="22"/>
  <c r="J1064" i="22" s="1"/>
  <c r="M1064" i="22" s="1"/>
  <c r="F68" i="27"/>
  <c r="L68" i="27" s="1"/>
  <c r="M68" i="27" s="1"/>
  <c r="F70" i="27"/>
  <c r="H70" i="27" s="1"/>
  <c r="M70" i="27" s="1"/>
  <c r="F67" i="27"/>
  <c r="J67" i="27" s="1"/>
  <c r="M67" i="27" s="1"/>
  <c r="N1036" i="22" l="1"/>
  <c r="E26" i="27"/>
  <c r="E29" i="27" s="1"/>
  <c r="E11" i="27"/>
  <c r="F225" i="22"/>
  <c r="F229" i="22" s="1"/>
  <c r="H229" i="22" s="1"/>
  <c r="M229" i="22" s="1"/>
  <c r="H224" i="22"/>
  <c r="M224" i="22" s="1"/>
  <c r="F218" i="22"/>
  <c r="F219" i="22" s="1"/>
  <c r="E216" i="22"/>
  <c r="F213" i="22"/>
  <c r="F214" i="22" s="1"/>
  <c r="J214" i="22" s="1"/>
  <c r="M214" i="22" s="1"/>
  <c r="F208" i="22"/>
  <c r="F210" i="22" s="1"/>
  <c r="F200" i="22"/>
  <c r="F204" i="22" s="1"/>
  <c r="H204" i="22" s="1"/>
  <c r="M204" i="22" s="1"/>
  <c r="F226" i="22" l="1"/>
  <c r="J226" i="22" s="1"/>
  <c r="M226" i="22" s="1"/>
  <c r="F228" i="22"/>
  <c r="H228" i="22" s="1"/>
  <c r="M228" i="22" s="1"/>
  <c r="F230" i="22"/>
  <c r="H230" i="22" s="1"/>
  <c r="M230" i="22" s="1"/>
  <c r="F209" i="22"/>
  <c r="J209" i="22" s="1"/>
  <c r="M209" i="22" s="1"/>
  <c r="F216" i="22"/>
  <c r="H216" i="22" s="1"/>
  <c r="M216" i="22" s="1"/>
  <c r="F217" i="22"/>
  <c r="H217" i="22" s="1"/>
  <c r="M217" i="22" s="1"/>
  <c r="F220" i="22"/>
  <c r="J220" i="22" s="1"/>
  <c r="M220" i="22" s="1"/>
  <c r="F222" i="22"/>
  <c r="H222" i="22" s="1"/>
  <c r="M222" i="22" s="1"/>
  <c r="F221" i="22"/>
  <c r="H221" i="22" s="1"/>
  <c r="M221" i="22" s="1"/>
  <c r="F212" i="22"/>
  <c r="L212" i="22" s="1"/>
  <c r="M212" i="22" s="1"/>
  <c r="F211" i="22"/>
  <c r="J211" i="22" s="1"/>
  <c r="M211" i="22" s="1"/>
  <c r="F215" i="22"/>
  <c r="L215" i="22" s="1"/>
  <c r="M215" i="22" s="1"/>
  <c r="F223" i="22"/>
  <c r="H223" i="22" s="1"/>
  <c r="M223" i="22" s="1"/>
  <c r="F227" i="22"/>
  <c r="L227" i="22" s="1"/>
  <c r="M227" i="22" s="1"/>
  <c r="F201" i="22"/>
  <c r="J201" i="22" s="1"/>
  <c r="M201" i="22" s="1"/>
  <c r="F203" i="22"/>
  <c r="H203" i="22" s="1"/>
  <c r="M203" i="22" s="1"/>
  <c r="F205" i="22"/>
  <c r="H205" i="22" s="1"/>
  <c r="M205" i="22" s="1"/>
  <c r="F202" i="22"/>
  <c r="L202" i="22" s="1"/>
  <c r="M202" i="22" s="1"/>
  <c r="H43" i="26" l="1"/>
  <c r="M43" i="26" s="1"/>
  <c r="F815" i="22" l="1"/>
  <c r="F794" i="22"/>
  <c r="F795" i="22" s="1"/>
  <c r="F790" i="22"/>
  <c r="F780" i="22"/>
  <c r="F761" i="22"/>
  <c r="F751" i="22"/>
  <c r="F756" i="22" l="1"/>
  <c r="J18" i="26" l="1"/>
  <c r="H85" i="23"/>
  <c r="M85" i="23" s="1"/>
  <c r="F48" i="23"/>
  <c r="F44" i="23"/>
  <c r="F39" i="23"/>
  <c r="F34" i="23"/>
  <c r="F28" i="23"/>
  <c r="F23" i="23"/>
  <c r="F20" i="23"/>
  <c r="F16" i="23"/>
  <c r="F383" i="29"/>
  <c r="F286" i="29"/>
  <c r="F82" i="29"/>
  <c r="F30" i="29"/>
  <c r="J30" i="29" s="1"/>
  <c r="M30" i="29" s="1"/>
  <c r="F24" i="29"/>
  <c r="F19" i="29"/>
  <c r="F21" i="29" s="1"/>
  <c r="L21" i="29" s="1"/>
  <c r="M21" i="29" s="1"/>
  <c r="H22" i="29"/>
  <c r="F571" i="29"/>
  <c r="H571" i="29" s="1"/>
  <c r="E569" i="29"/>
  <c r="F566" i="29"/>
  <c r="F570" i="29" s="1"/>
  <c r="H570" i="29" s="1"/>
  <c r="M570" i="29" s="1"/>
  <c r="F561" i="29"/>
  <c r="F563" i="29" s="1"/>
  <c r="L563" i="29" s="1"/>
  <c r="M563" i="29" s="1"/>
  <c r="F560" i="29"/>
  <c r="H560" i="29" s="1"/>
  <c r="M560" i="29" s="1"/>
  <c r="F559" i="29"/>
  <c r="H559" i="29" s="1"/>
  <c r="M559" i="29" s="1"/>
  <c r="E558" i="29"/>
  <c r="E557" i="29"/>
  <c r="E556" i="29"/>
  <c r="E555" i="29"/>
  <c r="F550" i="29"/>
  <c r="F552" i="29" s="1"/>
  <c r="L552" i="29" s="1"/>
  <c r="M552" i="29" s="1"/>
  <c r="E548" i="29"/>
  <c r="F545" i="29"/>
  <c r="F546" i="29" s="1"/>
  <c r="J546" i="29" s="1"/>
  <c r="M546" i="29" s="1"/>
  <c r="E539" i="29"/>
  <c r="E538" i="29"/>
  <c r="E537" i="29"/>
  <c r="E536" i="29"/>
  <c r="F535" i="29"/>
  <c r="F540" i="29" s="1"/>
  <c r="F532" i="29"/>
  <c r="H532" i="29" s="1"/>
  <c r="M532" i="29" s="1"/>
  <c r="F531" i="29"/>
  <c r="H531" i="29" s="1"/>
  <c r="M531" i="29" s="1"/>
  <c r="F529" i="29"/>
  <c r="H529" i="29" s="1"/>
  <c r="M529" i="29" s="1"/>
  <c r="F528" i="29"/>
  <c r="J528" i="29" s="1"/>
  <c r="M528" i="29" s="1"/>
  <c r="F526" i="29"/>
  <c r="H526" i="29" s="1"/>
  <c r="M526" i="29" s="1"/>
  <c r="F525" i="29"/>
  <c r="H525" i="29" s="1"/>
  <c r="M525" i="29" s="1"/>
  <c r="F524" i="29"/>
  <c r="H524" i="29" s="1"/>
  <c r="M524" i="29" s="1"/>
  <c r="F523" i="29"/>
  <c r="H523" i="29" s="1"/>
  <c r="M523" i="29" s="1"/>
  <c r="F522" i="29"/>
  <c r="L522" i="29" s="1"/>
  <c r="M522" i="29" s="1"/>
  <c r="F521" i="29"/>
  <c r="J521" i="29" s="1"/>
  <c r="M521" i="29" s="1"/>
  <c r="M520" i="29"/>
  <c r="E512" i="29"/>
  <c r="H509" i="29"/>
  <c r="M509" i="29" s="1"/>
  <c r="F508" i="29"/>
  <c r="H508" i="29" s="1"/>
  <c r="M508" i="29" s="1"/>
  <c r="M505" i="29"/>
  <c r="F505" i="29"/>
  <c r="F513" i="29" s="1"/>
  <c r="H513" i="29" s="1"/>
  <c r="M513" i="29" s="1"/>
  <c r="F503" i="29"/>
  <c r="F504" i="29" s="1"/>
  <c r="J504" i="29" s="1"/>
  <c r="M504" i="29" s="1"/>
  <c r="M502" i="29"/>
  <c r="M501" i="29"/>
  <c r="M500" i="29"/>
  <c r="F497" i="29"/>
  <c r="F496" i="29" s="1"/>
  <c r="M496" i="29"/>
  <c r="E495" i="29"/>
  <c r="H494" i="29"/>
  <c r="M494" i="29" s="1"/>
  <c r="H493" i="29"/>
  <c r="M493" i="29" s="1"/>
  <c r="H492" i="29"/>
  <c r="M492" i="29" s="1"/>
  <c r="H491" i="29"/>
  <c r="M491" i="29" s="1"/>
  <c r="H490" i="29"/>
  <c r="M490" i="29" s="1"/>
  <c r="D490" i="29"/>
  <c r="H489" i="29"/>
  <c r="M489" i="29" s="1"/>
  <c r="D489" i="29"/>
  <c r="E487" i="29"/>
  <c r="F486" i="29"/>
  <c r="F488" i="29" s="1"/>
  <c r="L488" i="29" s="1"/>
  <c r="M488" i="29" s="1"/>
  <c r="F484" i="29"/>
  <c r="F485" i="29" s="1"/>
  <c r="J485" i="29" s="1"/>
  <c r="M485" i="29" s="1"/>
  <c r="E482" i="29"/>
  <c r="F481" i="29"/>
  <c r="F483" i="29" s="1"/>
  <c r="H483" i="29" s="1"/>
  <c r="M483" i="29" s="1"/>
  <c r="F479" i="29"/>
  <c r="F480" i="29" s="1"/>
  <c r="F478" i="29"/>
  <c r="H478" i="29" s="1"/>
  <c r="M478" i="29" s="1"/>
  <c r="F477" i="29"/>
  <c r="L477" i="29" s="1"/>
  <c r="M477" i="29" s="1"/>
  <c r="F476" i="29"/>
  <c r="L476" i="29" s="1"/>
  <c r="M476" i="29" s="1"/>
  <c r="F475" i="29"/>
  <c r="J475" i="29" s="1"/>
  <c r="M475" i="29" s="1"/>
  <c r="M472" i="29"/>
  <c r="F471" i="29"/>
  <c r="H471" i="29" s="1"/>
  <c r="M471" i="29" s="1"/>
  <c r="F470" i="29"/>
  <c r="H470" i="29" s="1"/>
  <c r="M470" i="29" s="1"/>
  <c r="F469" i="29"/>
  <c r="L469" i="29" s="1"/>
  <c r="M469" i="29" s="1"/>
  <c r="F468" i="29"/>
  <c r="J468" i="29" s="1"/>
  <c r="M468" i="29" s="1"/>
  <c r="M467" i="29"/>
  <c r="M464" i="29"/>
  <c r="E459" i="29"/>
  <c r="M453" i="29"/>
  <c r="F453" i="29"/>
  <c r="F457" i="29" s="1"/>
  <c r="H457" i="29" s="1"/>
  <c r="M457" i="29" s="1"/>
  <c r="F451" i="29"/>
  <c r="F452" i="29" s="1"/>
  <c r="J452" i="29" s="1"/>
  <c r="M452" i="29" s="1"/>
  <c r="F449" i="29"/>
  <c r="H449" i="29" s="1"/>
  <c r="M449" i="29" s="1"/>
  <c r="F448" i="29"/>
  <c r="H448" i="29" s="1"/>
  <c r="M448" i="29" s="1"/>
  <c r="F447" i="29"/>
  <c r="H447" i="29" s="1"/>
  <c r="M447" i="29" s="1"/>
  <c r="H446" i="29"/>
  <c r="M446" i="29" s="1"/>
  <c r="H445" i="29"/>
  <c r="M445" i="29" s="1"/>
  <c r="H444" i="29"/>
  <c r="M444" i="29" s="1"/>
  <c r="H443" i="29"/>
  <c r="M443" i="29" s="1"/>
  <c r="H442" i="29"/>
  <c r="M442" i="29" s="1"/>
  <c r="H441" i="29"/>
  <c r="M441" i="29" s="1"/>
  <c r="H440" i="29"/>
  <c r="M440" i="29" s="1"/>
  <c r="F439" i="29"/>
  <c r="L439" i="29" s="1"/>
  <c r="M439" i="29" s="1"/>
  <c r="F438" i="29"/>
  <c r="L438" i="29" s="1"/>
  <c r="H435" i="29"/>
  <c r="M435" i="29" s="1"/>
  <c r="F432" i="29"/>
  <c r="F434" i="29" s="1"/>
  <c r="L434" i="29" s="1"/>
  <c r="M434" i="29" s="1"/>
  <c r="H430" i="29"/>
  <c r="M430" i="29" s="1"/>
  <c r="F427" i="29"/>
  <c r="F429" i="29" s="1"/>
  <c r="L429" i="29" s="1"/>
  <c r="M429" i="29" s="1"/>
  <c r="E426" i="29"/>
  <c r="H425" i="29"/>
  <c r="M425" i="29" s="1"/>
  <c r="H424" i="29"/>
  <c r="M424" i="29" s="1"/>
  <c r="H423" i="29"/>
  <c r="M423" i="29" s="1"/>
  <c r="H422" i="29"/>
  <c r="M422" i="29" s="1"/>
  <c r="H421" i="29"/>
  <c r="M421" i="29" s="1"/>
  <c r="H420" i="29"/>
  <c r="M420" i="29" s="1"/>
  <c r="H419" i="29"/>
  <c r="M419" i="29" s="1"/>
  <c r="H418" i="29"/>
  <c r="M418" i="29" s="1"/>
  <c r="H417" i="29"/>
  <c r="M417" i="29" s="1"/>
  <c r="H416" i="29"/>
  <c r="M416" i="29" s="1"/>
  <c r="H415" i="29"/>
  <c r="M415" i="29" s="1"/>
  <c r="E414" i="29"/>
  <c r="E413" i="29"/>
  <c r="H410" i="29"/>
  <c r="M410" i="29" s="1"/>
  <c r="H409" i="29"/>
  <c r="M409" i="29" s="1"/>
  <c r="H408" i="29"/>
  <c r="M408" i="29" s="1"/>
  <c r="F405" i="29"/>
  <c r="F407" i="29" s="1"/>
  <c r="L407" i="29" s="1"/>
  <c r="M407" i="29" s="1"/>
  <c r="H403" i="29"/>
  <c r="M403" i="29" s="1"/>
  <c r="H401" i="29"/>
  <c r="M401" i="29" s="1"/>
  <c r="H400" i="29"/>
  <c r="M400" i="29" s="1"/>
  <c r="H399" i="29"/>
  <c r="M399" i="29" s="1"/>
  <c r="H398" i="29"/>
  <c r="M398" i="29" s="1"/>
  <c r="H397" i="29"/>
  <c r="M397" i="29" s="1"/>
  <c r="F394" i="29"/>
  <c r="F404" i="29" s="1"/>
  <c r="H404" i="29" s="1"/>
  <c r="M404" i="29" s="1"/>
  <c r="F391" i="29"/>
  <c r="F390" i="29" s="1"/>
  <c r="F392" i="29" s="1"/>
  <c r="J392" i="29" s="1"/>
  <c r="M392" i="29" s="1"/>
  <c r="F388" i="29"/>
  <c r="F389" i="29" s="1"/>
  <c r="J389" i="29" s="1"/>
  <c r="E386" i="29"/>
  <c r="F385" i="29"/>
  <c r="F387" i="29" s="1"/>
  <c r="H387" i="29" s="1"/>
  <c r="M387" i="29" s="1"/>
  <c r="F384" i="29"/>
  <c r="J384" i="29" s="1"/>
  <c r="M384" i="29" s="1"/>
  <c r="F382" i="29"/>
  <c r="H382" i="29" s="1"/>
  <c r="F381" i="29"/>
  <c r="L381" i="29" s="1"/>
  <c r="M381" i="29" s="1"/>
  <c r="F380" i="29"/>
  <c r="L380" i="29" s="1"/>
  <c r="F379" i="29"/>
  <c r="J379" i="29" s="1"/>
  <c r="M379" i="29" s="1"/>
  <c r="E365" i="29"/>
  <c r="M360" i="29"/>
  <c r="E360" i="29"/>
  <c r="F360" i="29" s="1"/>
  <c r="F362" i="29" s="1"/>
  <c r="L362" i="29" s="1"/>
  <c r="M362" i="29" s="1"/>
  <c r="F359" i="29"/>
  <c r="L359" i="29" s="1"/>
  <c r="M359" i="29" s="1"/>
  <c r="F358" i="29"/>
  <c r="J358" i="29" s="1"/>
  <c r="M358" i="29" s="1"/>
  <c r="E356" i="29"/>
  <c r="H354" i="29"/>
  <c r="M354" i="29" s="1"/>
  <c r="H353" i="29"/>
  <c r="M353" i="29" s="1"/>
  <c r="H352" i="29"/>
  <c r="M352" i="29" s="1"/>
  <c r="H351" i="29"/>
  <c r="M351" i="29" s="1"/>
  <c r="H350" i="29"/>
  <c r="M350" i="29" s="1"/>
  <c r="H349" i="29"/>
  <c r="M349" i="29" s="1"/>
  <c r="H348" i="29"/>
  <c r="M348" i="29" s="1"/>
  <c r="H347" i="29"/>
  <c r="M347" i="29" s="1"/>
  <c r="H346" i="29"/>
  <c r="M346" i="29" s="1"/>
  <c r="H345" i="29"/>
  <c r="M345" i="29" s="1"/>
  <c r="H344" i="29"/>
  <c r="M344" i="29" s="1"/>
  <c r="H343" i="29"/>
  <c r="M343" i="29" s="1"/>
  <c r="H342" i="29"/>
  <c r="M342" i="29" s="1"/>
  <c r="H341" i="29"/>
  <c r="M341" i="29" s="1"/>
  <c r="H340" i="29"/>
  <c r="M340" i="29" s="1"/>
  <c r="H339" i="29"/>
  <c r="M339" i="29" s="1"/>
  <c r="H338" i="29"/>
  <c r="M338" i="29" s="1"/>
  <c r="H337" i="29"/>
  <c r="M337" i="29" s="1"/>
  <c r="H336" i="29"/>
  <c r="M336" i="29" s="1"/>
  <c r="H335" i="29"/>
  <c r="M335" i="29" s="1"/>
  <c r="H334" i="29"/>
  <c r="M334" i="29" s="1"/>
  <c r="H333" i="29"/>
  <c r="M333" i="29" s="1"/>
  <c r="H332" i="29"/>
  <c r="M332" i="29" s="1"/>
  <c r="H331" i="29"/>
  <c r="M331" i="29" s="1"/>
  <c r="H330" i="29"/>
  <c r="M330" i="29" s="1"/>
  <c r="H329" i="29"/>
  <c r="M329" i="29" s="1"/>
  <c r="H328" i="29"/>
  <c r="M328" i="29" s="1"/>
  <c r="H327" i="29"/>
  <c r="M327" i="29" s="1"/>
  <c r="H326" i="29"/>
  <c r="M326" i="29" s="1"/>
  <c r="H325" i="29"/>
  <c r="M325" i="29" s="1"/>
  <c r="H324" i="29"/>
  <c r="M324" i="29" s="1"/>
  <c r="H323" i="29"/>
  <c r="M323" i="29" s="1"/>
  <c r="H322" i="29"/>
  <c r="M322" i="29" s="1"/>
  <c r="H321" i="29"/>
  <c r="M321" i="29" s="1"/>
  <c r="H320" i="29"/>
  <c r="M320" i="29" s="1"/>
  <c r="H319" i="29"/>
  <c r="M319" i="29" s="1"/>
  <c r="H318" i="29"/>
  <c r="M318" i="29" s="1"/>
  <c r="E317" i="29"/>
  <c r="E316" i="29"/>
  <c r="M315" i="29"/>
  <c r="H313" i="29"/>
  <c r="M313" i="29" s="1"/>
  <c r="F310" i="29"/>
  <c r="H310" i="29" s="1"/>
  <c r="M310" i="29" s="1"/>
  <c r="H308" i="29"/>
  <c r="M308" i="29" s="1"/>
  <c r="H307" i="29"/>
  <c r="M307" i="29" s="1"/>
  <c r="F304" i="29"/>
  <c r="F309" i="29" s="1"/>
  <c r="H309" i="29" s="1"/>
  <c r="M309" i="29" s="1"/>
  <c r="E303" i="29"/>
  <c r="E302" i="29"/>
  <c r="H301" i="29"/>
  <c r="M301" i="29" s="1"/>
  <c r="E300" i="29"/>
  <c r="E299" i="29"/>
  <c r="F298" i="29"/>
  <c r="E297" i="29"/>
  <c r="E296" i="29"/>
  <c r="H295" i="29"/>
  <c r="M295" i="29" s="1"/>
  <c r="E294" i="29"/>
  <c r="E293" i="29"/>
  <c r="F292" i="29"/>
  <c r="E290" i="29"/>
  <c r="H289" i="29"/>
  <c r="M289" i="29" s="1"/>
  <c r="F284" i="29"/>
  <c r="H284" i="29" s="1"/>
  <c r="M284" i="29" s="1"/>
  <c r="F283" i="29"/>
  <c r="L283" i="29" s="1"/>
  <c r="M283" i="29" s="1"/>
  <c r="F282" i="29"/>
  <c r="J282" i="29" s="1"/>
  <c r="M282" i="29" s="1"/>
  <c r="F280" i="29"/>
  <c r="F279" i="29"/>
  <c r="H279" i="29" s="1"/>
  <c r="F278" i="29"/>
  <c r="L278" i="29" s="1"/>
  <c r="F277" i="29"/>
  <c r="N276" i="29"/>
  <c r="L276" i="29"/>
  <c r="J276" i="29"/>
  <c r="H276" i="29"/>
  <c r="G274" i="29"/>
  <c r="E269" i="29"/>
  <c r="E264" i="29"/>
  <c r="F264" i="29" s="1"/>
  <c r="F263" i="29"/>
  <c r="L263" i="29" s="1"/>
  <c r="M263" i="29" s="1"/>
  <c r="F262" i="29"/>
  <c r="J262" i="29" s="1"/>
  <c r="M262" i="29" s="1"/>
  <c r="J260" i="29"/>
  <c r="H260" i="29"/>
  <c r="E259" i="29"/>
  <c r="H257" i="29"/>
  <c r="M257" i="29" s="1"/>
  <c r="H256" i="29"/>
  <c r="M256" i="29" s="1"/>
  <c r="H255" i="29"/>
  <c r="M255" i="29" s="1"/>
  <c r="H254" i="29"/>
  <c r="M254" i="29" s="1"/>
  <c r="H253" i="29"/>
  <c r="M253" i="29" s="1"/>
  <c r="H252" i="29"/>
  <c r="M252" i="29" s="1"/>
  <c r="H251" i="29"/>
  <c r="M251" i="29" s="1"/>
  <c r="H250" i="29"/>
  <c r="M250" i="29" s="1"/>
  <c r="H249" i="29"/>
  <c r="M249" i="29" s="1"/>
  <c r="H248" i="29"/>
  <c r="M248" i="29" s="1"/>
  <c r="H247" i="29"/>
  <c r="M247" i="29" s="1"/>
  <c r="H246" i="29"/>
  <c r="M246" i="29" s="1"/>
  <c r="H245" i="29"/>
  <c r="M245" i="29" s="1"/>
  <c r="H244" i="29"/>
  <c r="M244" i="29" s="1"/>
  <c r="H243" i="29"/>
  <c r="M243" i="29" s="1"/>
  <c r="H242" i="29"/>
  <c r="M242" i="29" s="1"/>
  <c r="H241" i="29"/>
  <c r="M241" i="29" s="1"/>
  <c r="H240" i="29"/>
  <c r="M240" i="29" s="1"/>
  <c r="H239" i="29"/>
  <c r="M239" i="29" s="1"/>
  <c r="H238" i="29"/>
  <c r="M238" i="29" s="1"/>
  <c r="H237" i="29"/>
  <c r="M237" i="29" s="1"/>
  <c r="H236" i="29"/>
  <c r="M236" i="29" s="1"/>
  <c r="H235" i="29"/>
  <c r="M235" i="29" s="1"/>
  <c r="H234" i="29"/>
  <c r="M234" i="29" s="1"/>
  <c r="H233" i="29"/>
  <c r="M233" i="29" s="1"/>
  <c r="H232" i="29"/>
  <c r="M232" i="29" s="1"/>
  <c r="H231" i="29"/>
  <c r="M231" i="29" s="1"/>
  <c r="H230" i="29"/>
  <c r="M230" i="29" s="1"/>
  <c r="H229" i="29"/>
  <c r="M229" i="29" s="1"/>
  <c r="H228" i="29"/>
  <c r="M228" i="29" s="1"/>
  <c r="H227" i="29"/>
  <c r="M227" i="29" s="1"/>
  <c r="H226" i="29"/>
  <c r="M226" i="29" s="1"/>
  <c r="H225" i="29"/>
  <c r="M225" i="29" s="1"/>
  <c r="H224" i="29"/>
  <c r="M224" i="29" s="1"/>
  <c r="H223" i="29"/>
  <c r="M223" i="29" s="1"/>
  <c r="H222" i="29"/>
  <c r="M222" i="29" s="1"/>
  <c r="H221" i="29"/>
  <c r="M221" i="29" s="1"/>
  <c r="H220" i="29"/>
  <c r="M220" i="29" s="1"/>
  <c r="H219" i="29"/>
  <c r="M219" i="29" s="1"/>
  <c r="H218" i="29"/>
  <c r="M218" i="29" s="1"/>
  <c r="H217" i="29"/>
  <c r="M217" i="29" s="1"/>
  <c r="H216" i="29"/>
  <c r="M216" i="29" s="1"/>
  <c r="H215" i="29"/>
  <c r="M215" i="29" s="1"/>
  <c r="H214" i="29"/>
  <c r="M214" i="29" s="1"/>
  <c r="H213" i="29"/>
  <c r="M213" i="29" s="1"/>
  <c r="H212" i="29"/>
  <c r="M212" i="29" s="1"/>
  <c r="H211" i="29"/>
  <c r="M211" i="29" s="1"/>
  <c r="H210" i="29"/>
  <c r="M210" i="29" s="1"/>
  <c r="H209" i="29"/>
  <c r="M209" i="29" s="1"/>
  <c r="H208" i="29"/>
  <c r="M208" i="29" s="1"/>
  <c r="H207" i="29"/>
  <c r="M207" i="29" s="1"/>
  <c r="H206" i="29"/>
  <c r="M206" i="29" s="1"/>
  <c r="H205" i="29"/>
  <c r="M205" i="29" s="1"/>
  <c r="H204" i="29"/>
  <c r="M204" i="29" s="1"/>
  <c r="H203" i="29"/>
  <c r="M203" i="29" s="1"/>
  <c r="H202" i="29"/>
  <c r="M202" i="29" s="1"/>
  <c r="H201" i="29"/>
  <c r="M201" i="29" s="1"/>
  <c r="H200" i="29"/>
  <c r="M200" i="29" s="1"/>
  <c r="H199" i="29"/>
  <c r="M199" i="29" s="1"/>
  <c r="H198" i="29"/>
  <c r="M198" i="29" s="1"/>
  <c r="H197" i="29"/>
  <c r="M197" i="29" s="1"/>
  <c r="H196" i="29"/>
  <c r="M196" i="29" s="1"/>
  <c r="H195" i="29"/>
  <c r="M195" i="29" s="1"/>
  <c r="H194" i="29"/>
  <c r="M194" i="29" s="1"/>
  <c r="H193" i="29"/>
  <c r="M193" i="29" s="1"/>
  <c r="H192" i="29"/>
  <c r="M192" i="29" s="1"/>
  <c r="H191" i="29"/>
  <c r="M191" i="29" s="1"/>
  <c r="H190" i="29"/>
  <c r="M190" i="29" s="1"/>
  <c r="H189" i="29"/>
  <c r="M189" i="29" s="1"/>
  <c r="H188" i="29"/>
  <c r="M188" i="29" s="1"/>
  <c r="H187" i="29"/>
  <c r="M187" i="29" s="1"/>
  <c r="E186" i="29"/>
  <c r="E185" i="29"/>
  <c r="H182" i="29"/>
  <c r="M182" i="29" s="1"/>
  <c r="H181" i="29"/>
  <c r="M181" i="29" s="1"/>
  <c r="H180" i="29"/>
  <c r="M180" i="29" s="1"/>
  <c r="H179" i="29"/>
  <c r="M179" i="29" s="1"/>
  <c r="H178" i="29"/>
  <c r="M178" i="29" s="1"/>
  <c r="H177" i="29"/>
  <c r="M177" i="29" s="1"/>
  <c r="H176" i="29"/>
  <c r="M176" i="29" s="1"/>
  <c r="H175" i="29"/>
  <c r="M175" i="29" s="1"/>
  <c r="H174" i="29"/>
  <c r="M174" i="29" s="1"/>
  <c r="H173" i="29"/>
  <c r="M173" i="29" s="1"/>
  <c r="F170" i="29"/>
  <c r="F172" i="29" s="1"/>
  <c r="L172" i="29" s="1"/>
  <c r="M172" i="29" s="1"/>
  <c r="H168" i="29"/>
  <c r="M168" i="29" s="1"/>
  <c r="H167" i="29"/>
  <c r="M167" i="29" s="1"/>
  <c r="H166" i="29"/>
  <c r="M166" i="29" s="1"/>
  <c r="H165" i="29"/>
  <c r="M165" i="29" s="1"/>
  <c r="H164" i="29"/>
  <c r="M164" i="29" s="1"/>
  <c r="H163" i="29"/>
  <c r="M163" i="29" s="1"/>
  <c r="E162" i="29"/>
  <c r="E161" i="29"/>
  <c r="F160" i="29"/>
  <c r="F169" i="29" s="1"/>
  <c r="H169" i="29" s="1"/>
  <c r="M169" i="29" s="1"/>
  <c r="H158" i="29"/>
  <c r="M158" i="29" s="1"/>
  <c r="H157" i="29"/>
  <c r="M157" i="29" s="1"/>
  <c r="H156" i="29"/>
  <c r="M156" i="29" s="1"/>
  <c r="F153" i="29"/>
  <c r="F155" i="29" s="1"/>
  <c r="L155" i="29" s="1"/>
  <c r="M155" i="29" s="1"/>
  <c r="H151" i="29"/>
  <c r="M151" i="29" s="1"/>
  <c r="F148" i="29"/>
  <c r="F150" i="29" s="1"/>
  <c r="L150" i="29" s="1"/>
  <c r="M150" i="29" s="1"/>
  <c r="H145" i="29"/>
  <c r="M145" i="29" s="1"/>
  <c r="F142" i="29"/>
  <c r="F147" i="29" s="1"/>
  <c r="H147" i="29" s="1"/>
  <c r="M147" i="29" s="1"/>
  <c r="H139" i="29"/>
  <c r="M139" i="29" s="1"/>
  <c r="F136" i="29"/>
  <c r="H133" i="29"/>
  <c r="M133" i="29" s="1"/>
  <c r="F130" i="29"/>
  <c r="F135" i="29" s="1"/>
  <c r="H135" i="29" s="1"/>
  <c r="M135" i="29" s="1"/>
  <c r="H127" i="29"/>
  <c r="M127" i="29" s="1"/>
  <c r="F124" i="29"/>
  <c r="F128" i="29" s="1"/>
  <c r="H128" i="29" s="1"/>
  <c r="M128" i="29" s="1"/>
  <c r="E123" i="29"/>
  <c r="H121" i="29"/>
  <c r="M121" i="29" s="1"/>
  <c r="E120" i="29"/>
  <c r="E119" i="29"/>
  <c r="F118" i="29"/>
  <c r="E117" i="29"/>
  <c r="H115" i="29"/>
  <c r="M115" i="29" s="1"/>
  <c r="E114" i="29"/>
  <c r="E113" i="29"/>
  <c r="F112" i="29"/>
  <c r="F116" i="29" s="1"/>
  <c r="H116" i="29" s="1"/>
  <c r="M116" i="29" s="1"/>
  <c r="H109" i="29"/>
  <c r="M109" i="29" s="1"/>
  <c r="F106" i="29"/>
  <c r="F110" i="29" s="1"/>
  <c r="H110" i="29" s="1"/>
  <c r="M110" i="29" s="1"/>
  <c r="H103" i="29"/>
  <c r="M103" i="29" s="1"/>
  <c r="F100" i="29"/>
  <c r="F105" i="29" s="1"/>
  <c r="H105" i="29" s="1"/>
  <c r="M105" i="29" s="1"/>
  <c r="H97" i="29"/>
  <c r="M97" i="29" s="1"/>
  <c r="F94" i="29"/>
  <c r="F99" i="29" s="1"/>
  <c r="H99" i="29" s="1"/>
  <c r="M99" i="29" s="1"/>
  <c r="H91" i="29"/>
  <c r="M91" i="29" s="1"/>
  <c r="F88" i="29"/>
  <c r="F93" i="29" s="1"/>
  <c r="H93" i="29" s="1"/>
  <c r="M93" i="29" s="1"/>
  <c r="E87" i="29"/>
  <c r="H85" i="29"/>
  <c r="M85" i="29" s="1"/>
  <c r="E84" i="29"/>
  <c r="F84" i="29" s="1"/>
  <c r="L84" i="29" s="1"/>
  <c r="M84" i="29" s="1"/>
  <c r="E83" i="29"/>
  <c r="E81" i="29"/>
  <c r="H79" i="29"/>
  <c r="M79" i="29" s="1"/>
  <c r="E78" i="29"/>
  <c r="E77" i="29"/>
  <c r="J54" i="29"/>
  <c r="H54" i="29"/>
  <c r="H45" i="29"/>
  <c r="M45" i="29" s="1"/>
  <c r="H44" i="29"/>
  <c r="M44" i="29" s="1"/>
  <c r="F41" i="29"/>
  <c r="F43" i="29" s="1"/>
  <c r="L43" i="29" s="1"/>
  <c r="M43" i="29" s="1"/>
  <c r="H39" i="29"/>
  <c r="M39" i="29" s="1"/>
  <c r="F36" i="29"/>
  <c r="F40" i="29" s="1"/>
  <c r="H40" i="29" s="1"/>
  <c r="M40" i="29" s="1"/>
  <c r="F35" i="29"/>
  <c r="J35" i="29" s="1"/>
  <c r="F34" i="29"/>
  <c r="J34" i="29" s="1"/>
  <c r="F33" i="29"/>
  <c r="H33" i="29" s="1"/>
  <c r="F32" i="29"/>
  <c r="L32" i="29" s="1"/>
  <c r="L31" i="29"/>
  <c r="J31" i="29"/>
  <c r="H31" i="29"/>
  <c r="G29" i="29"/>
  <c r="H29" i="29" s="1"/>
  <c r="M29" i="29" s="1"/>
  <c r="H27" i="29"/>
  <c r="M27" i="29" s="1"/>
  <c r="F28" i="29"/>
  <c r="H28" i="29" s="1"/>
  <c r="M28" i="29" s="1"/>
  <c r="L17" i="29"/>
  <c r="J17" i="29"/>
  <c r="H17" i="29"/>
  <c r="H16" i="29"/>
  <c r="M16" i="29" s="1"/>
  <c r="F13" i="29"/>
  <c r="F15" i="29" s="1"/>
  <c r="L15" i="29" s="1"/>
  <c r="A1" i="29"/>
  <c r="H163" i="28"/>
  <c r="M163" i="28" s="1"/>
  <c r="H161" i="28"/>
  <c r="M161" i="28" s="1"/>
  <c r="F158" i="28"/>
  <c r="F160" i="28" s="1"/>
  <c r="L160" i="28" s="1"/>
  <c r="M160" i="28" s="1"/>
  <c r="H157" i="28"/>
  <c r="M157" i="28" s="1"/>
  <c r="H155" i="28"/>
  <c r="M155" i="28" s="1"/>
  <c r="F152" i="28"/>
  <c r="F154" i="28" s="1"/>
  <c r="L154" i="28" s="1"/>
  <c r="M154" i="28" s="1"/>
  <c r="H150" i="28"/>
  <c r="M150" i="28" s="1"/>
  <c r="F147" i="28"/>
  <c r="F149" i="28" s="1"/>
  <c r="L149" i="28" s="1"/>
  <c r="M149" i="28" s="1"/>
  <c r="E145" i="28"/>
  <c r="H144" i="28"/>
  <c r="M144" i="28" s="1"/>
  <c r="H143" i="28"/>
  <c r="M143" i="28" s="1"/>
  <c r="E142" i="28"/>
  <c r="E141" i="28"/>
  <c r="F140" i="28"/>
  <c r="F138" i="28"/>
  <c r="H138" i="28" s="1"/>
  <c r="M138" i="28" s="1"/>
  <c r="H137" i="28"/>
  <c r="M137" i="28" s="1"/>
  <c r="H136" i="28"/>
  <c r="M136" i="28" s="1"/>
  <c r="F135" i="28"/>
  <c r="J135" i="28" s="1"/>
  <c r="M135" i="28" s="1"/>
  <c r="H132" i="28"/>
  <c r="M132" i="28" s="1"/>
  <c r="L131" i="28"/>
  <c r="J131" i="28"/>
  <c r="H131" i="28"/>
  <c r="M131" i="28" s="1"/>
  <c r="F128" i="28"/>
  <c r="F130" i="28" s="1"/>
  <c r="L130" i="28" s="1"/>
  <c r="M130" i="28" s="1"/>
  <c r="H125" i="28"/>
  <c r="M125" i="28" s="1"/>
  <c r="H124" i="28"/>
  <c r="M124" i="28" s="1"/>
  <c r="H123" i="28"/>
  <c r="M123" i="28" s="1"/>
  <c r="H122" i="28"/>
  <c r="M122" i="28" s="1"/>
  <c r="H121" i="28"/>
  <c r="M121" i="28" s="1"/>
  <c r="H120" i="28"/>
  <c r="M120" i="28" s="1"/>
  <c r="H119" i="28"/>
  <c r="M119" i="28" s="1"/>
  <c r="H118" i="28"/>
  <c r="M118" i="28" s="1"/>
  <c r="H117" i="28"/>
  <c r="M117" i="28" s="1"/>
  <c r="H116" i="28"/>
  <c r="M116" i="28" s="1"/>
  <c r="H115" i="28"/>
  <c r="M115" i="28" s="1"/>
  <c r="H114" i="28"/>
  <c r="M114" i="28" s="1"/>
  <c r="H113" i="28"/>
  <c r="M113" i="28" s="1"/>
  <c r="H112" i="28"/>
  <c r="M112" i="28" s="1"/>
  <c r="H111" i="28"/>
  <c r="M111" i="28" s="1"/>
  <c r="H110" i="28"/>
  <c r="M110" i="28" s="1"/>
  <c r="H109" i="28"/>
  <c r="M109" i="28" s="1"/>
  <c r="E108" i="28"/>
  <c r="E107" i="28"/>
  <c r="E106" i="28"/>
  <c r="F105" i="28"/>
  <c r="F127" i="28" s="1"/>
  <c r="H127" i="28" s="1"/>
  <c r="M127" i="28" s="1"/>
  <c r="H103" i="28"/>
  <c r="M103" i="28" s="1"/>
  <c r="F100" i="28"/>
  <c r="F104" i="28" s="1"/>
  <c r="H104" i="28" s="1"/>
  <c r="M104" i="28" s="1"/>
  <c r="E99" i="28"/>
  <c r="H97" i="28"/>
  <c r="M97" i="28" s="1"/>
  <c r="H96" i="28"/>
  <c r="M96" i="28" s="1"/>
  <c r="H95" i="28"/>
  <c r="M95" i="28" s="1"/>
  <c r="H94" i="28"/>
  <c r="M94" i="28" s="1"/>
  <c r="F92" i="28"/>
  <c r="E91" i="28"/>
  <c r="H89" i="28"/>
  <c r="M89" i="28" s="1"/>
  <c r="H88" i="28"/>
  <c r="M88" i="28" s="1"/>
  <c r="H87" i="28"/>
  <c r="M87" i="28" s="1"/>
  <c r="H86" i="28"/>
  <c r="M86" i="28" s="1"/>
  <c r="H85" i="28"/>
  <c r="M85" i="28" s="1"/>
  <c r="F83" i="28"/>
  <c r="F84" i="28" s="1"/>
  <c r="J84" i="28" s="1"/>
  <c r="M84" i="28" s="1"/>
  <c r="H80" i="28"/>
  <c r="M80" i="28" s="1"/>
  <c r="H79" i="28"/>
  <c r="M79" i="28" s="1"/>
  <c r="H78" i="28"/>
  <c r="M78" i="28" s="1"/>
  <c r="H77" i="28"/>
  <c r="M77" i="28" s="1"/>
  <c r="H76" i="28"/>
  <c r="M76" i="28" s="1"/>
  <c r="H75" i="28"/>
  <c r="M75" i="28" s="1"/>
  <c r="H74" i="28"/>
  <c r="M74" i="28" s="1"/>
  <c r="H73" i="28"/>
  <c r="M73" i="28" s="1"/>
  <c r="H72" i="28"/>
  <c r="M72" i="28" s="1"/>
  <c r="H71" i="28"/>
  <c r="M71" i="28" s="1"/>
  <c r="H70" i="28"/>
  <c r="M70" i="28" s="1"/>
  <c r="H69" i="28"/>
  <c r="M69" i="28" s="1"/>
  <c r="H68" i="28"/>
  <c r="M68" i="28" s="1"/>
  <c r="H67" i="28"/>
  <c r="M67" i="28" s="1"/>
  <c r="H66" i="28"/>
  <c r="M66" i="28" s="1"/>
  <c r="H65" i="28"/>
  <c r="M65" i="28" s="1"/>
  <c r="H64" i="28"/>
  <c r="M64" i="28" s="1"/>
  <c r="H63" i="28"/>
  <c r="M63" i="28" s="1"/>
  <c r="H62" i="28"/>
  <c r="M62" i="28" s="1"/>
  <c r="H61" i="28"/>
  <c r="M61" i="28" s="1"/>
  <c r="H60" i="28"/>
  <c r="M60" i="28" s="1"/>
  <c r="H59" i="28"/>
  <c r="M59" i="28" s="1"/>
  <c r="H58" i="28"/>
  <c r="M58" i="28" s="1"/>
  <c r="H57" i="28"/>
  <c r="M57" i="28" s="1"/>
  <c r="H56" i="28"/>
  <c r="M56" i="28" s="1"/>
  <c r="H55" i="28"/>
  <c r="M55" i="28" s="1"/>
  <c r="H54" i="28"/>
  <c r="M54" i="28" s="1"/>
  <c r="H53" i="28"/>
  <c r="M53" i="28" s="1"/>
  <c r="H52" i="28"/>
  <c r="M52" i="28" s="1"/>
  <c r="F50" i="28"/>
  <c r="F81" i="28" s="1"/>
  <c r="H81" i="28" s="1"/>
  <c r="M81" i="28" s="1"/>
  <c r="H48" i="28"/>
  <c r="M48" i="28" s="1"/>
  <c r="H47" i="28"/>
  <c r="M47" i="28" s="1"/>
  <c r="H46" i="28"/>
  <c r="M46" i="28" s="1"/>
  <c r="H45" i="28"/>
  <c r="M45" i="28" s="1"/>
  <c r="H44" i="28"/>
  <c r="M44" i="28" s="1"/>
  <c r="H43" i="28"/>
  <c r="M43" i="28" s="1"/>
  <c r="H42" i="28"/>
  <c r="M42" i="28" s="1"/>
  <c r="H41" i="28"/>
  <c r="M41" i="28" s="1"/>
  <c r="H40" i="28"/>
  <c r="M40" i="28" s="1"/>
  <c r="H39" i="28"/>
  <c r="M39" i="28" s="1"/>
  <c r="H38" i="28"/>
  <c r="M38" i="28" s="1"/>
  <c r="H37" i="28"/>
  <c r="M37" i="28" s="1"/>
  <c r="H36" i="28"/>
  <c r="M36" i="28" s="1"/>
  <c r="H35" i="28"/>
  <c r="M35" i="28" s="1"/>
  <c r="H34" i="28"/>
  <c r="M34" i="28" s="1"/>
  <c r="H33" i="28"/>
  <c r="M33" i="28" s="1"/>
  <c r="H32" i="28"/>
  <c r="M32" i="28" s="1"/>
  <c r="H31" i="28"/>
  <c r="M31" i="28" s="1"/>
  <c r="H30" i="28"/>
  <c r="M30" i="28" s="1"/>
  <c r="H29" i="28"/>
  <c r="M29" i="28" s="1"/>
  <c r="H28" i="28"/>
  <c r="M28" i="28" s="1"/>
  <c r="H27" i="28"/>
  <c r="M27" i="28" s="1"/>
  <c r="H26" i="28"/>
  <c r="M26" i="28" s="1"/>
  <c r="H25" i="28"/>
  <c r="M25" i="28" s="1"/>
  <c r="H24" i="28"/>
  <c r="M24" i="28" s="1"/>
  <c r="H23" i="28"/>
  <c r="M23" i="28" s="1"/>
  <c r="H22" i="28"/>
  <c r="M22" i="28" s="1"/>
  <c r="H21" i="28"/>
  <c r="M21" i="28" s="1"/>
  <c r="H20" i="28"/>
  <c r="M20" i="28" s="1"/>
  <c r="H19" i="28"/>
  <c r="M19" i="28" s="1"/>
  <c r="H18" i="28"/>
  <c r="M18" i="28" s="1"/>
  <c r="H17" i="28"/>
  <c r="M17" i="28" s="1"/>
  <c r="H16" i="28"/>
  <c r="M16" i="28" s="1"/>
  <c r="H15" i="28"/>
  <c r="M15" i="28" s="1"/>
  <c r="F12" i="28"/>
  <c r="F14" i="28" s="1"/>
  <c r="L14" i="28" s="1"/>
  <c r="M14" i="28" s="1"/>
  <c r="A1" i="28"/>
  <c r="F162" i="28" l="1"/>
  <c r="H162" i="28" s="1"/>
  <c r="M162" i="28" s="1"/>
  <c r="M18" i="26"/>
  <c r="F141" i="28"/>
  <c r="J141" i="28" s="1"/>
  <c r="M141" i="28" s="1"/>
  <c r="F142" i="28"/>
  <c r="L142" i="28" s="1"/>
  <c r="M142" i="28" s="1"/>
  <c r="F271" i="29"/>
  <c r="F274" i="29" s="1"/>
  <c r="H274" i="29" s="1"/>
  <c r="M274" i="29" s="1"/>
  <c r="F145" i="28"/>
  <c r="H145" i="28" s="1"/>
  <c r="M145" i="28" s="1"/>
  <c r="F99" i="28"/>
  <c r="H99" i="28" s="1"/>
  <c r="M99" i="28" s="1"/>
  <c r="F154" i="29"/>
  <c r="J154" i="29" s="1"/>
  <c r="M154" i="29" s="1"/>
  <c r="F159" i="28"/>
  <c r="J159" i="28" s="1"/>
  <c r="M159" i="28" s="1"/>
  <c r="F159" i="29"/>
  <c r="H159" i="29" s="1"/>
  <c r="M159" i="29" s="1"/>
  <c r="F557" i="29"/>
  <c r="H557" i="29" s="1"/>
  <c r="M557" i="29" s="1"/>
  <c r="F386" i="29"/>
  <c r="J386" i="29" s="1"/>
  <c r="M386" i="29" s="1"/>
  <c r="F120" i="29"/>
  <c r="L120" i="29" s="1"/>
  <c r="M120" i="29" s="1"/>
  <c r="F297" i="29"/>
  <c r="H297" i="29" s="1"/>
  <c r="M297" i="29" s="1"/>
  <c r="F426" i="29"/>
  <c r="H426" i="29" s="1"/>
  <c r="M426" i="29" s="1"/>
  <c r="F290" i="29"/>
  <c r="H290" i="29" s="1"/>
  <c r="M290" i="29" s="1"/>
  <c r="F517" i="29"/>
  <c r="F516" i="29" s="1"/>
  <c r="F162" i="29"/>
  <c r="L162" i="29" s="1"/>
  <c r="M162" i="29" s="1"/>
  <c r="F171" i="29"/>
  <c r="J171" i="29" s="1"/>
  <c r="M171" i="29" s="1"/>
  <c r="F303" i="29"/>
  <c r="H303" i="29" s="1"/>
  <c r="M303" i="29" s="1"/>
  <c r="F515" i="29"/>
  <c r="H515" i="29" s="1"/>
  <c r="M515" i="29" s="1"/>
  <c r="M22" i="29"/>
  <c r="J32" i="29"/>
  <c r="H35" i="29"/>
  <c r="F462" i="29"/>
  <c r="H462" i="29" s="1"/>
  <c r="M462" i="29" s="1"/>
  <c r="F551" i="29"/>
  <c r="J551" i="29" s="1"/>
  <c r="M551" i="29" s="1"/>
  <c r="F461" i="29"/>
  <c r="H461" i="29" s="1"/>
  <c r="M461" i="29" s="1"/>
  <c r="L35" i="29"/>
  <c r="F104" i="29"/>
  <c r="H104" i="29" s="1"/>
  <c r="M104" i="29" s="1"/>
  <c r="F161" i="29"/>
  <c r="J161" i="29" s="1"/>
  <c r="M161" i="29" s="1"/>
  <c r="F259" i="29"/>
  <c r="H259" i="29" s="1"/>
  <c r="M259" i="29" s="1"/>
  <c r="F293" i="29"/>
  <c r="J293" i="29" s="1"/>
  <c r="M293" i="29" s="1"/>
  <c r="F305" i="29"/>
  <c r="J305" i="29" s="1"/>
  <c r="M305" i="29" s="1"/>
  <c r="J438" i="29"/>
  <c r="M438" i="29" s="1"/>
  <c r="F456" i="29"/>
  <c r="H456" i="29" s="1"/>
  <c r="M456" i="29" s="1"/>
  <c r="F507" i="29"/>
  <c r="L507" i="29" s="1"/>
  <c r="M507" i="29" s="1"/>
  <c r="F20" i="29"/>
  <c r="J20" i="29" s="1"/>
  <c r="M20" i="29" s="1"/>
  <c r="F23" i="29"/>
  <c r="H23" i="29" s="1"/>
  <c r="M23" i="29" s="1"/>
  <c r="F395" i="29"/>
  <c r="J395" i="29" s="1"/>
  <c r="M395" i="29" s="1"/>
  <c r="F402" i="29"/>
  <c r="H402" i="29" s="1"/>
  <c r="M402" i="29" s="1"/>
  <c r="F183" i="29"/>
  <c r="H183" i="29" s="1"/>
  <c r="M183" i="29" s="1"/>
  <c r="F556" i="29"/>
  <c r="H556" i="29" s="1"/>
  <c r="M556" i="29" s="1"/>
  <c r="F302" i="29"/>
  <c r="H302" i="29" s="1"/>
  <c r="M302" i="29" s="1"/>
  <c r="F132" i="29"/>
  <c r="L132" i="29" s="1"/>
  <c r="M132" i="29" s="1"/>
  <c r="F406" i="29"/>
  <c r="J406" i="29" s="1"/>
  <c r="M406" i="29" s="1"/>
  <c r="F553" i="29"/>
  <c r="H553" i="29" s="1"/>
  <c r="M553" i="29" s="1"/>
  <c r="F565" i="29"/>
  <c r="H565" i="29" s="1"/>
  <c r="M565" i="29" s="1"/>
  <c r="J33" i="29"/>
  <c r="F78" i="29"/>
  <c r="L78" i="29" s="1"/>
  <c r="M78" i="29" s="1"/>
  <c r="F81" i="29"/>
  <c r="H81" i="29" s="1"/>
  <c r="M81" i="29" s="1"/>
  <c r="F101" i="29"/>
  <c r="J101" i="29" s="1"/>
  <c r="M101" i="29" s="1"/>
  <c r="F114" i="29"/>
  <c r="L114" i="29" s="1"/>
  <c r="M114" i="29" s="1"/>
  <c r="F117" i="29"/>
  <c r="H117" i="29" s="1"/>
  <c r="M117" i="29" s="1"/>
  <c r="M276" i="29"/>
  <c r="J279" i="29"/>
  <c r="F311" i="29"/>
  <c r="J311" i="29" s="1"/>
  <c r="M311" i="29" s="1"/>
  <c r="F411" i="29"/>
  <c r="H411" i="29" s="1"/>
  <c r="M411" i="29" s="1"/>
  <c r="F428" i="29"/>
  <c r="J428" i="29" s="1"/>
  <c r="M428" i="29" s="1"/>
  <c r="F431" i="29"/>
  <c r="H431" i="29" s="1"/>
  <c r="M431" i="29" s="1"/>
  <c r="F482" i="29"/>
  <c r="J482" i="29" s="1"/>
  <c r="M482" i="29" s="1"/>
  <c r="F549" i="29"/>
  <c r="H549" i="29" s="1"/>
  <c r="M549" i="29" s="1"/>
  <c r="F554" i="29"/>
  <c r="H554" i="29" s="1"/>
  <c r="M554" i="29" s="1"/>
  <c r="F558" i="29"/>
  <c r="H558" i="29" s="1"/>
  <c r="M558" i="29" s="1"/>
  <c r="F567" i="29"/>
  <c r="J567" i="29" s="1"/>
  <c r="M567" i="29" s="1"/>
  <c r="M31" i="29"/>
  <c r="L33" i="29"/>
  <c r="F86" i="29"/>
  <c r="H86" i="29" s="1"/>
  <c r="M86" i="29" s="1"/>
  <c r="F89" i="29"/>
  <c r="J89" i="29" s="1"/>
  <c r="M89" i="29" s="1"/>
  <c r="L279" i="29"/>
  <c r="F294" i="29"/>
  <c r="L294" i="29" s="1"/>
  <c r="M294" i="29" s="1"/>
  <c r="F296" i="29"/>
  <c r="H296" i="29" s="1"/>
  <c r="M296" i="29" s="1"/>
  <c r="F312" i="29"/>
  <c r="L312" i="29" s="1"/>
  <c r="M312" i="29" s="1"/>
  <c r="F314" i="29"/>
  <c r="H314" i="29" s="1"/>
  <c r="M314" i="29" s="1"/>
  <c r="F506" i="29"/>
  <c r="J506" i="29" s="1"/>
  <c r="M506" i="29" s="1"/>
  <c r="F514" i="29"/>
  <c r="H514" i="29" s="1"/>
  <c r="M514" i="29" s="1"/>
  <c r="F530" i="29"/>
  <c r="H530" i="29" s="1"/>
  <c r="M530" i="29" s="1"/>
  <c r="F555" i="29"/>
  <c r="H555" i="29" s="1"/>
  <c r="M555" i="29" s="1"/>
  <c r="F564" i="29"/>
  <c r="H564" i="29" s="1"/>
  <c r="M564" i="29" s="1"/>
  <c r="F80" i="29"/>
  <c r="H80" i="29" s="1"/>
  <c r="M80" i="29" s="1"/>
  <c r="F152" i="29"/>
  <c r="H152" i="29" s="1"/>
  <c r="M152" i="29" s="1"/>
  <c r="M17" i="29"/>
  <c r="M54" i="29"/>
  <c r="F77" i="29"/>
  <c r="J77" i="29" s="1"/>
  <c r="M77" i="29" s="1"/>
  <c r="F87" i="29"/>
  <c r="H87" i="29" s="1"/>
  <c r="M87" i="29" s="1"/>
  <c r="F92" i="29"/>
  <c r="H92" i="29" s="1"/>
  <c r="M92" i="29" s="1"/>
  <c r="F113" i="29"/>
  <c r="J113" i="29" s="1"/>
  <c r="M113" i="29" s="1"/>
  <c r="F149" i="29"/>
  <c r="J149" i="29" s="1"/>
  <c r="M149" i="29" s="1"/>
  <c r="F433" i="29"/>
  <c r="J433" i="29" s="1"/>
  <c r="M433" i="29" s="1"/>
  <c r="F436" i="29"/>
  <c r="H436" i="29" s="1"/>
  <c r="M436" i="29" s="1"/>
  <c r="F510" i="29"/>
  <c r="H510" i="29" s="1"/>
  <c r="M510" i="29" s="1"/>
  <c r="M15" i="29"/>
  <c r="F26" i="29"/>
  <c r="L26" i="29" s="1"/>
  <c r="M26" i="29" s="1"/>
  <c r="F38" i="29"/>
  <c r="L38" i="29" s="1"/>
  <c r="M38" i="29" s="1"/>
  <c r="F51" i="29"/>
  <c r="H51" i="29" s="1"/>
  <c r="M51" i="29" s="1"/>
  <c r="F96" i="29"/>
  <c r="L96" i="29" s="1"/>
  <c r="M96" i="29" s="1"/>
  <c r="F144" i="29"/>
  <c r="L144" i="29" s="1"/>
  <c r="M144" i="29" s="1"/>
  <c r="F14" i="29"/>
  <c r="J14" i="29" s="1"/>
  <c r="F18" i="29"/>
  <c r="H18" i="29" s="1"/>
  <c r="M18" i="29" s="1"/>
  <c r="F25" i="29"/>
  <c r="J25" i="29" s="1"/>
  <c r="M25" i="29" s="1"/>
  <c r="H32" i="29"/>
  <c r="L34" i="29"/>
  <c r="F37" i="29"/>
  <c r="J37" i="29" s="1"/>
  <c r="M37" i="29" s="1"/>
  <c r="F42" i="29"/>
  <c r="J42" i="29" s="1"/>
  <c r="M42" i="29" s="1"/>
  <c r="F50" i="29"/>
  <c r="F83" i="29"/>
  <c r="J83" i="29" s="1"/>
  <c r="M83" i="29" s="1"/>
  <c r="F90" i="29"/>
  <c r="L90" i="29" s="1"/>
  <c r="M90" i="29" s="1"/>
  <c r="F95" i="29"/>
  <c r="J95" i="29" s="1"/>
  <c r="M95" i="29" s="1"/>
  <c r="F98" i="29"/>
  <c r="H98" i="29" s="1"/>
  <c r="M98" i="29" s="1"/>
  <c r="F119" i="29"/>
  <c r="J119" i="29" s="1"/>
  <c r="M119" i="29" s="1"/>
  <c r="M260" i="29"/>
  <c r="F270" i="29"/>
  <c r="H270" i="29" s="1"/>
  <c r="M270" i="29" s="1"/>
  <c r="F265" i="29"/>
  <c r="J265" i="29" s="1"/>
  <c r="M265" i="29" s="1"/>
  <c r="F269" i="29"/>
  <c r="H269" i="29" s="1"/>
  <c r="M269" i="29" s="1"/>
  <c r="F268" i="29"/>
  <c r="H268" i="29" s="1"/>
  <c r="M268" i="29" s="1"/>
  <c r="F266" i="29"/>
  <c r="L266" i="29" s="1"/>
  <c r="M266" i="29" s="1"/>
  <c r="F267" i="29"/>
  <c r="H267" i="29" s="1"/>
  <c r="M267" i="29" s="1"/>
  <c r="F291" i="29"/>
  <c r="H291" i="29" s="1"/>
  <c r="M291" i="29" s="1"/>
  <c r="F287" i="29"/>
  <c r="J287" i="29" s="1"/>
  <c r="M287" i="29" s="1"/>
  <c r="F288" i="29"/>
  <c r="L288" i="29" s="1"/>
  <c r="M288" i="29" s="1"/>
  <c r="F317" i="29"/>
  <c r="L317" i="29" s="1"/>
  <c r="M317" i="29" s="1"/>
  <c r="F316" i="29"/>
  <c r="J316" i="29" s="1"/>
  <c r="M316" i="29" s="1"/>
  <c r="F356" i="29"/>
  <c r="H356" i="29" s="1"/>
  <c r="M356" i="29" s="1"/>
  <c r="F108" i="29"/>
  <c r="L108" i="29" s="1"/>
  <c r="M108" i="29" s="1"/>
  <c r="F111" i="29"/>
  <c r="H111" i="29" s="1"/>
  <c r="M111" i="29" s="1"/>
  <c r="F141" i="29"/>
  <c r="H141" i="29" s="1"/>
  <c r="M141" i="29" s="1"/>
  <c r="F138" i="29"/>
  <c r="L138" i="29" s="1"/>
  <c r="M138" i="29" s="1"/>
  <c r="F146" i="29"/>
  <c r="H146" i="29" s="1"/>
  <c r="M146" i="29" s="1"/>
  <c r="F143" i="29"/>
  <c r="J143" i="29" s="1"/>
  <c r="M143" i="29" s="1"/>
  <c r="J277" i="29"/>
  <c r="H277" i="29"/>
  <c r="L280" i="29"/>
  <c r="H280" i="29"/>
  <c r="H34" i="29"/>
  <c r="M34" i="29" s="1"/>
  <c r="F46" i="29"/>
  <c r="H46" i="29" s="1"/>
  <c r="M46" i="29" s="1"/>
  <c r="F52" i="29"/>
  <c r="H52" i="29" s="1"/>
  <c r="M52" i="29" s="1"/>
  <c r="F102" i="29"/>
  <c r="L102" i="29" s="1"/>
  <c r="M102" i="29" s="1"/>
  <c r="F107" i="29"/>
  <c r="J107" i="29" s="1"/>
  <c r="M107" i="29" s="1"/>
  <c r="F123" i="29"/>
  <c r="H123" i="29" s="1"/>
  <c r="M123" i="29" s="1"/>
  <c r="F122" i="29"/>
  <c r="H122" i="29" s="1"/>
  <c r="M122" i="29" s="1"/>
  <c r="F129" i="29"/>
  <c r="H129" i="29" s="1"/>
  <c r="M129" i="29" s="1"/>
  <c r="F126" i="29"/>
  <c r="L126" i="29" s="1"/>
  <c r="M126" i="29" s="1"/>
  <c r="F125" i="29"/>
  <c r="F134" i="29"/>
  <c r="H134" i="29" s="1"/>
  <c r="M134" i="29" s="1"/>
  <c r="F131" i="29"/>
  <c r="J131" i="29" s="1"/>
  <c r="M131" i="29" s="1"/>
  <c r="F137" i="29"/>
  <c r="J137" i="29" s="1"/>
  <c r="M137" i="29" s="1"/>
  <c r="F140" i="29"/>
  <c r="H140" i="29" s="1"/>
  <c r="M140" i="29" s="1"/>
  <c r="L277" i="29"/>
  <c r="J280" i="29"/>
  <c r="H278" i="29"/>
  <c r="J278" i="29"/>
  <c r="F185" i="29"/>
  <c r="J185" i="29" s="1"/>
  <c r="M185" i="29" s="1"/>
  <c r="F186" i="29"/>
  <c r="L186" i="29" s="1"/>
  <c r="M186" i="29" s="1"/>
  <c r="F306" i="29"/>
  <c r="L306" i="29" s="1"/>
  <c r="M306" i="29" s="1"/>
  <c r="M389" i="29"/>
  <c r="F365" i="29"/>
  <c r="H365" i="29" s="1"/>
  <c r="M365" i="29" s="1"/>
  <c r="F364" i="29"/>
  <c r="H364" i="29" s="1"/>
  <c r="M364" i="29" s="1"/>
  <c r="F363" i="29"/>
  <c r="H363" i="29" s="1"/>
  <c r="M363" i="29" s="1"/>
  <c r="M382" i="29"/>
  <c r="F300" i="29"/>
  <c r="L300" i="29" s="1"/>
  <c r="M300" i="29" s="1"/>
  <c r="F299" i="29"/>
  <c r="J299" i="29" s="1"/>
  <c r="M299" i="29" s="1"/>
  <c r="M380" i="29"/>
  <c r="F393" i="29"/>
  <c r="L393" i="29" s="1"/>
  <c r="M393" i="29" s="1"/>
  <c r="F361" i="29"/>
  <c r="J361" i="29" s="1"/>
  <c r="M361" i="29" s="1"/>
  <c r="F366" i="29"/>
  <c r="H366" i="29" s="1"/>
  <c r="M366" i="29" s="1"/>
  <c r="F460" i="29"/>
  <c r="H460" i="29" s="1"/>
  <c r="M460" i="29" s="1"/>
  <c r="F455" i="29"/>
  <c r="L455" i="29" s="1"/>
  <c r="M455" i="29" s="1"/>
  <c r="F459" i="29"/>
  <c r="H459" i="29" s="1"/>
  <c r="M459" i="29" s="1"/>
  <c r="F458" i="29"/>
  <c r="H458" i="29" s="1"/>
  <c r="M458" i="29" s="1"/>
  <c r="F454" i="29"/>
  <c r="J454" i="29" s="1"/>
  <c r="M454" i="29" s="1"/>
  <c r="F396" i="29"/>
  <c r="L396" i="29" s="1"/>
  <c r="M396" i="29" s="1"/>
  <c r="F464" i="29"/>
  <c r="F463" i="29" s="1"/>
  <c r="F498" i="29"/>
  <c r="J498" i="29" s="1"/>
  <c r="M498" i="29" s="1"/>
  <c r="F499" i="29"/>
  <c r="L499" i="29" s="1"/>
  <c r="M499" i="29" s="1"/>
  <c r="F542" i="29"/>
  <c r="L542" i="29" s="1"/>
  <c r="M542" i="29" s="1"/>
  <c r="F541" i="29"/>
  <c r="J541" i="29" s="1"/>
  <c r="M541" i="29" s="1"/>
  <c r="F414" i="29"/>
  <c r="L414" i="29" s="1"/>
  <c r="M414" i="29" s="1"/>
  <c r="F413" i="29"/>
  <c r="J413" i="29" s="1"/>
  <c r="M413" i="29" s="1"/>
  <c r="F518" i="29"/>
  <c r="J518" i="29" s="1"/>
  <c r="M518" i="29" s="1"/>
  <c r="F519" i="29"/>
  <c r="L519" i="29" s="1"/>
  <c r="M519" i="29" s="1"/>
  <c r="F511" i="29"/>
  <c r="H511" i="29" s="1"/>
  <c r="M511" i="29" s="1"/>
  <c r="F512" i="29"/>
  <c r="H512" i="29" s="1"/>
  <c r="M512" i="29" s="1"/>
  <c r="F536" i="29"/>
  <c r="J536" i="29" s="1"/>
  <c r="M536" i="29" s="1"/>
  <c r="F537" i="29"/>
  <c r="L537" i="29" s="1"/>
  <c r="M537" i="29" s="1"/>
  <c r="F538" i="29"/>
  <c r="L538" i="29" s="1"/>
  <c r="M538" i="29" s="1"/>
  <c r="F539" i="29"/>
  <c r="H539" i="29" s="1"/>
  <c r="M539" i="29" s="1"/>
  <c r="F562" i="29"/>
  <c r="J562" i="29" s="1"/>
  <c r="M562" i="29" s="1"/>
  <c r="F568" i="29"/>
  <c r="L568" i="29" s="1"/>
  <c r="M568" i="29" s="1"/>
  <c r="F569" i="29"/>
  <c r="H569" i="29" s="1"/>
  <c r="M569" i="29" s="1"/>
  <c r="J571" i="29"/>
  <c r="M571" i="29" s="1"/>
  <c r="F495" i="29"/>
  <c r="H495" i="29" s="1"/>
  <c r="M495" i="29" s="1"/>
  <c r="J480" i="29"/>
  <c r="M480" i="29" s="1"/>
  <c r="F543" i="29"/>
  <c r="F544" i="29" s="1"/>
  <c r="J544" i="29" s="1"/>
  <c r="M544" i="29" s="1"/>
  <c r="F547" i="29"/>
  <c r="L547" i="29" s="1"/>
  <c r="M547" i="29" s="1"/>
  <c r="F548" i="29"/>
  <c r="H548" i="29" s="1"/>
  <c r="M548" i="29" s="1"/>
  <c r="F487" i="29"/>
  <c r="F129" i="28"/>
  <c r="J129" i="28" s="1"/>
  <c r="M129" i="28" s="1"/>
  <c r="F133" i="28"/>
  <c r="H133" i="28" s="1"/>
  <c r="M133" i="28" s="1"/>
  <c r="F51" i="28"/>
  <c r="J51" i="28" s="1"/>
  <c r="M51" i="28" s="1"/>
  <c r="F13" i="28"/>
  <c r="J13" i="28" s="1"/>
  <c r="M13" i="28" s="1"/>
  <c r="F90" i="28"/>
  <c r="H90" i="28" s="1"/>
  <c r="M90" i="28" s="1"/>
  <c r="F91" i="28"/>
  <c r="H91" i="28" s="1"/>
  <c r="M91" i="28" s="1"/>
  <c r="F93" i="28"/>
  <c r="J93" i="28" s="1"/>
  <c r="M93" i="28" s="1"/>
  <c r="F106" i="28"/>
  <c r="J106" i="28" s="1"/>
  <c r="M106" i="28" s="1"/>
  <c r="F107" i="28"/>
  <c r="L107" i="28" s="1"/>
  <c r="M107" i="28" s="1"/>
  <c r="F108" i="28"/>
  <c r="L108" i="28" s="1"/>
  <c r="M108" i="28" s="1"/>
  <c r="F148" i="28"/>
  <c r="J148" i="28" s="1"/>
  <c r="M148" i="28" s="1"/>
  <c r="F151" i="28"/>
  <c r="H151" i="28" s="1"/>
  <c r="M151" i="28" s="1"/>
  <c r="F153" i="28"/>
  <c r="J153" i="28" s="1"/>
  <c r="M153" i="28" s="1"/>
  <c r="F156" i="28"/>
  <c r="H156" i="28" s="1"/>
  <c r="M156" i="28" s="1"/>
  <c r="F102" i="28"/>
  <c r="L102" i="28" s="1"/>
  <c r="F98" i="28"/>
  <c r="H98" i="28" s="1"/>
  <c r="M98" i="28" s="1"/>
  <c r="F101" i="28"/>
  <c r="J101" i="28" s="1"/>
  <c r="M101" i="28" s="1"/>
  <c r="F272" i="29" l="1"/>
  <c r="J272" i="29" s="1"/>
  <c r="M272" i="29" s="1"/>
  <c r="M32" i="29"/>
  <c r="M279" i="29"/>
  <c r="F275" i="29"/>
  <c r="H275" i="29" s="1"/>
  <c r="M275" i="29" s="1"/>
  <c r="F273" i="29"/>
  <c r="L273" i="29" s="1"/>
  <c r="M273" i="29" s="1"/>
  <c r="M35" i="29"/>
  <c r="M33" i="29"/>
  <c r="M278" i="29"/>
  <c r="F465" i="29"/>
  <c r="J465" i="29" s="1"/>
  <c r="F466" i="29"/>
  <c r="L466" i="29" s="1"/>
  <c r="M466" i="29" s="1"/>
  <c r="H574" i="29"/>
  <c r="J125" i="29"/>
  <c r="L125" i="29"/>
  <c r="M280" i="29"/>
  <c r="F47" i="29"/>
  <c r="H50" i="29"/>
  <c r="M50" i="29" s="1"/>
  <c r="M277" i="29"/>
  <c r="L574" i="29"/>
  <c r="J487" i="29"/>
  <c r="M14" i="29"/>
  <c r="J165" i="28"/>
  <c r="M174" i="28" s="1"/>
  <c r="L165" i="28"/>
  <c r="M102" i="28"/>
  <c r="M165" i="28" s="1"/>
  <c r="H165" i="28"/>
  <c r="M125" i="29" l="1"/>
  <c r="M575" i="29"/>
  <c r="M487" i="29"/>
  <c r="M465" i="29"/>
  <c r="J574" i="29"/>
  <c r="N574" i="29" s="1"/>
  <c r="F48" i="29"/>
  <c r="J48" i="29" s="1"/>
  <c r="F53" i="29"/>
  <c r="H53" i="29" s="1"/>
  <c r="M53" i="29" s="1"/>
  <c r="F49" i="29"/>
  <c r="L49" i="29" s="1"/>
  <c r="M168" i="28"/>
  <c r="N165" i="28"/>
  <c r="M166" i="28"/>
  <c r="M167" i="28" s="1"/>
  <c r="M169" i="28" l="1"/>
  <c r="M170" i="28" s="1"/>
  <c r="M171" i="28" s="1"/>
  <c r="M574" i="29"/>
  <c r="M577" i="29" s="1"/>
  <c r="M49" i="29"/>
  <c r="L369" i="29"/>
  <c r="M48" i="29"/>
  <c r="J369" i="29"/>
  <c r="M585" i="29" s="1"/>
  <c r="H369" i="29"/>
  <c r="M369" i="29" l="1"/>
  <c r="M372" i="29" s="1"/>
  <c r="M576" i="29"/>
  <c r="M578" i="29" s="1"/>
  <c r="M370" i="29"/>
  <c r="N369" i="29"/>
  <c r="M172" i="28"/>
  <c r="M173" i="28" s="1"/>
  <c r="M175" i="28" s="1"/>
  <c r="M371" i="29" l="1"/>
  <c r="M373" i="29" s="1"/>
  <c r="M579" i="29"/>
  <c r="M580" i="29" s="1"/>
  <c r="M176" i="28"/>
  <c r="M177" i="28" s="1"/>
  <c r="G28" i="25" s="1"/>
  <c r="M374" i="29" l="1"/>
  <c r="M375" i="29" s="1"/>
  <c r="M582" i="29" s="1"/>
  <c r="M583" i="29" l="1"/>
  <c r="M584" i="29" s="1"/>
  <c r="M586" i="29" s="1"/>
  <c r="M587" i="29" l="1"/>
  <c r="M588" i="29" s="1"/>
  <c r="G29" i="25" s="1"/>
  <c r="O281" i="22" l="1"/>
  <c r="F392" i="22"/>
  <c r="H392" i="22" s="1"/>
  <c r="M392" i="22" s="1"/>
  <c r="F386" i="22"/>
  <c r="F393" i="22" s="1"/>
  <c r="F385" i="22"/>
  <c r="O385" i="22"/>
  <c r="O386" i="22"/>
  <c r="O388" i="22" s="1"/>
  <c r="F361" i="22"/>
  <c r="F362" i="22" s="1"/>
  <c r="F350" i="22"/>
  <c r="F351" i="22" s="1"/>
  <c r="F339" i="22"/>
  <c r="F340" i="22" s="1"/>
  <c r="F359" i="22"/>
  <c r="F360" i="22" s="1"/>
  <c r="F357" i="22"/>
  <c r="F358" i="22" s="1"/>
  <c r="F356" i="22"/>
  <c r="F354" i="22"/>
  <c r="F355" i="22" s="1"/>
  <c r="F352" i="22"/>
  <c r="F353" i="22" s="1"/>
  <c r="F335" i="22"/>
  <c r="F348" i="22"/>
  <c r="F349" i="22" s="1"/>
  <c r="F346" i="22"/>
  <c r="F347" i="22" s="1"/>
  <c r="F345" i="22"/>
  <c r="F334" i="22"/>
  <c r="F343" i="22"/>
  <c r="F344" i="22" s="1"/>
  <c r="F341" i="22"/>
  <c r="F342" i="22" s="1"/>
  <c r="F337" i="22"/>
  <c r="F338" i="22" s="1"/>
  <c r="F336" i="22"/>
  <c r="F332" i="22"/>
  <c r="F333" i="22" s="1"/>
  <c r="F330" i="22"/>
  <c r="F331" i="22" s="1"/>
  <c r="F329" i="22"/>
  <c r="F327" i="22"/>
  <c r="F328" i="22" s="1"/>
  <c r="F325" i="22"/>
  <c r="F326" i="22" s="1"/>
  <c r="F324" i="22"/>
  <c r="F322" i="22"/>
  <c r="F320" i="22"/>
  <c r="F321" i="22" s="1"/>
  <c r="F312" i="22"/>
  <c r="F262" i="22"/>
  <c r="E396" i="22"/>
  <c r="H376" i="22"/>
  <c r="M376" i="22" s="1"/>
  <c r="F391" i="22" l="1"/>
  <c r="H391" i="22" s="1"/>
  <c r="M391" i="22" s="1"/>
  <c r="F373" i="22"/>
  <c r="H373" i="22" s="1"/>
  <c r="M373" i="22" s="1"/>
  <c r="F371" i="22"/>
  <c r="H371" i="22" s="1"/>
  <c r="M371" i="22" s="1"/>
  <c r="F372" i="22"/>
  <c r="H372" i="22" s="1"/>
  <c r="M372" i="22" s="1"/>
  <c r="F369" i="22"/>
  <c r="H369" i="22" s="1"/>
  <c r="M369" i="22" s="1"/>
  <c r="F374" i="22"/>
  <c r="H374" i="22" s="1"/>
  <c r="M374" i="22" s="1"/>
  <c r="F379" i="22"/>
  <c r="F384" i="22" s="1"/>
  <c r="H384" i="22" s="1"/>
  <c r="M384" i="22" s="1"/>
  <c r="F387" i="22"/>
  <c r="F323" i="22"/>
  <c r="F364" i="22" s="1"/>
  <c r="F388" i="22"/>
  <c r="J388" i="22" s="1"/>
  <c r="M388" i="22" s="1"/>
  <c r="F383" i="22" l="1"/>
  <c r="H383" i="22" s="1"/>
  <c r="M383" i="22" s="1"/>
  <c r="F382" i="22"/>
  <c r="H382" i="22" s="1"/>
  <c r="M382" i="22" s="1"/>
  <c r="F381" i="22"/>
  <c r="L381" i="22" s="1"/>
  <c r="M381" i="22" s="1"/>
  <c r="F380" i="22"/>
  <c r="J380" i="22" s="1"/>
  <c r="M380" i="22" s="1"/>
  <c r="F370" i="22"/>
  <c r="H370" i="22" s="1"/>
  <c r="M370" i="22" s="1"/>
  <c r="F394" i="22"/>
  <c r="J394" i="22" s="1"/>
  <c r="M394" i="22" s="1"/>
  <c r="F396" i="22"/>
  <c r="H396" i="22" s="1"/>
  <c r="M396" i="22" s="1"/>
  <c r="F395" i="22"/>
  <c r="H395" i="22" s="1"/>
  <c r="M395" i="22" s="1"/>
  <c r="F389" i="22"/>
  <c r="L389" i="22" s="1"/>
  <c r="M389" i="22" s="1"/>
  <c r="F390" i="22"/>
  <c r="H390" i="22" s="1"/>
  <c r="M390" i="22" s="1"/>
  <c r="F377" i="22"/>
  <c r="H377" i="22" s="1"/>
  <c r="M377" i="22" s="1"/>
  <c r="F367" i="22"/>
  <c r="L367" i="22" s="1"/>
  <c r="M367" i="22" s="1"/>
  <c r="F378" i="22"/>
  <c r="H378" i="22" s="1"/>
  <c r="M378" i="22" s="1"/>
  <c r="F375" i="22"/>
  <c r="H375" i="22" s="1"/>
  <c r="M375" i="22" s="1"/>
  <c r="F368" i="22"/>
  <c r="L368" i="22" s="1"/>
  <c r="M368" i="22" s="1"/>
  <c r="F365" i="22"/>
  <c r="J365" i="22" s="1"/>
  <c r="M365" i="22" s="1"/>
  <c r="F366" i="22"/>
  <c r="L366" i="22" s="1"/>
  <c r="M366" i="22" s="1"/>
  <c r="F1239" i="22" l="1"/>
  <c r="F1158" i="22"/>
  <c r="F1178" i="22"/>
  <c r="F1169" i="22"/>
  <c r="F306" i="22" l="1"/>
  <c r="F300" i="22"/>
  <c r="F282" i="22"/>
  <c r="F281" i="22"/>
  <c r="F272" i="22"/>
  <c r="F267" i="22"/>
  <c r="H57" i="27"/>
  <c r="M57" i="27" s="1"/>
  <c r="F58" i="27"/>
  <c r="H58" i="27" l="1"/>
  <c r="M58" i="27" s="1"/>
  <c r="F53" i="27"/>
  <c r="F55" i="27" l="1"/>
  <c r="L55" i="27" s="1"/>
  <c r="M55" i="27" s="1"/>
  <c r="F56" i="27"/>
  <c r="L56" i="27" s="1"/>
  <c r="M56" i="27" s="1"/>
  <c r="F54" i="27"/>
  <c r="J54" i="27" s="1"/>
  <c r="M54" i="27" s="1"/>
  <c r="F17" i="27"/>
  <c r="J38" i="27" l="1"/>
  <c r="M38" i="27" s="1"/>
  <c r="J39" i="27"/>
  <c r="M39" i="27" s="1"/>
  <c r="J37" i="27"/>
  <c r="M37" i="27" s="1"/>
  <c r="F132" i="27"/>
  <c r="F134" i="27" s="1"/>
  <c r="L134" i="27" s="1"/>
  <c r="M134" i="27" s="1"/>
  <c r="F131" i="27"/>
  <c r="J131" i="27" s="1"/>
  <c r="E120" i="27"/>
  <c r="E116" i="27"/>
  <c r="E115" i="27"/>
  <c r="F118" i="27"/>
  <c r="H118" i="27" s="1"/>
  <c r="M118" i="27" s="1"/>
  <c r="F110" i="27"/>
  <c r="J110" i="27" s="1"/>
  <c r="M110" i="27" s="1"/>
  <c r="E105" i="27"/>
  <c r="E104" i="27"/>
  <c r="F103" i="27"/>
  <c r="F108" i="27" s="1"/>
  <c r="H108" i="27" s="1"/>
  <c r="M108" i="27" s="1"/>
  <c r="F102" i="27"/>
  <c r="H102" i="27" s="1"/>
  <c r="M102" i="27" s="1"/>
  <c r="F91" i="27"/>
  <c r="F95" i="27" s="1"/>
  <c r="H95" i="27" s="1"/>
  <c r="M95" i="27" s="1"/>
  <c r="F84" i="27"/>
  <c r="F90" i="27" s="1"/>
  <c r="H90" i="27" s="1"/>
  <c r="M90" i="27" s="1"/>
  <c r="M83" i="27"/>
  <c r="F72" i="27"/>
  <c r="F73" i="27" s="1"/>
  <c r="J73" i="27" s="1"/>
  <c r="M73" i="27" s="1"/>
  <c r="E52" i="27"/>
  <c r="E51" i="27"/>
  <c r="E50" i="27"/>
  <c r="E49" i="27"/>
  <c r="F48" i="27"/>
  <c r="F32" i="27"/>
  <c r="F27" i="27"/>
  <c r="J27" i="27" s="1"/>
  <c r="M27" i="27" s="1"/>
  <c r="E25" i="27"/>
  <c r="E24" i="27"/>
  <c r="F23" i="27"/>
  <c r="F20" i="27"/>
  <c r="F22" i="27" s="1"/>
  <c r="L22" i="27" s="1"/>
  <c r="M22" i="27" s="1"/>
  <c r="E19" i="27"/>
  <c r="F19" i="27" s="1"/>
  <c r="L19" i="27" s="1"/>
  <c r="M19" i="27" s="1"/>
  <c r="E18" i="27"/>
  <c r="F18" i="27" s="1"/>
  <c r="J18" i="27" s="1"/>
  <c r="M18" i="27" s="1"/>
  <c r="E16" i="27"/>
  <c r="E15" i="27"/>
  <c r="F14" i="27"/>
  <c r="F12" i="27"/>
  <c r="J12" i="27" s="1"/>
  <c r="M12" i="27" s="1"/>
  <c r="A1" i="27"/>
  <c r="F21" i="27" l="1"/>
  <c r="J21" i="27" s="1"/>
  <c r="M21" i="27" s="1"/>
  <c r="F50" i="27"/>
  <c r="L50" i="27" s="1"/>
  <c r="M50" i="27" s="1"/>
  <c r="F41" i="27"/>
  <c r="F42" i="27" s="1"/>
  <c r="J42" i="27" s="1"/>
  <c r="M42" i="27" s="1"/>
  <c r="F43" i="27"/>
  <c r="F15" i="27"/>
  <c r="J15" i="27" s="1"/>
  <c r="M15" i="27" s="1"/>
  <c r="F104" i="27"/>
  <c r="J104" i="27" s="1"/>
  <c r="M104" i="27" s="1"/>
  <c r="F92" i="27"/>
  <c r="J92" i="27" s="1"/>
  <c r="M92" i="27" s="1"/>
  <c r="H81" i="27"/>
  <c r="M81" i="27" s="1"/>
  <c r="F105" i="27"/>
  <c r="L105" i="27" s="1"/>
  <c r="M105" i="27" s="1"/>
  <c r="H87" i="27"/>
  <c r="M87" i="27" s="1"/>
  <c r="L79" i="27"/>
  <c r="M79" i="27" s="1"/>
  <c r="F107" i="27"/>
  <c r="H107" i="27" s="1"/>
  <c r="M107" i="27" s="1"/>
  <c r="F113" i="27"/>
  <c r="H113" i="27" s="1"/>
  <c r="M113" i="27" s="1"/>
  <c r="F117" i="27"/>
  <c r="H117" i="27" s="1"/>
  <c r="M117" i="27" s="1"/>
  <c r="F120" i="27"/>
  <c r="H120" i="27" s="1"/>
  <c r="M120" i="27" s="1"/>
  <c r="F76" i="27"/>
  <c r="H76" i="27" s="1"/>
  <c r="M76" i="27" s="1"/>
  <c r="F93" i="27"/>
  <c r="L93" i="27" s="1"/>
  <c r="M93" i="27" s="1"/>
  <c r="F111" i="27"/>
  <c r="L111" i="27" s="1"/>
  <c r="M111" i="27" s="1"/>
  <c r="F115" i="27"/>
  <c r="J115" i="27" s="1"/>
  <c r="M115" i="27" s="1"/>
  <c r="F127" i="27"/>
  <c r="H127" i="27" s="1"/>
  <c r="M127" i="27" s="1"/>
  <c r="F112" i="27"/>
  <c r="L112" i="27" s="1"/>
  <c r="M112" i="27" s="1"/>
  <c r="F51" i="27"/>
  <c r="H51" i="27" s="1"/>
  <c r="M51" i="27" s="1"/>
  <c r="F25" i="27"/>
  <c r="L25" i="27" s="1"/>
  <c r="M25" i="27" s="1"/>
  <c r="F49" i="27"/>
  <c r="J49" i="27" s="1"/>
  <c r="M49" i="27" s="1"/>
  <c r="F97" i="27"/>
  <c r="J97" i="27" s="1"/>
  <c r="M97" i="27" s="1"/>
  <c r="F116" i="27"/>
  <c r="L116" i="27" s="1"/>
  <c r="M116" i="27" s="1"/>
  <c r="F119" i="27"/>
  <c r="H119" i="27" s="1"/>
  <c r="M119" i="27" s="1"/>
  <c r="F16" i="27"/>
  <c r="L16" i="27" s="1"/>
  <c r="M16" i="27" s="1"/>
  <c r="F31" i="27"/>
  <c r="L31" i="27" s="1"/>
  <c r="M31" i="27" s="1"/>
  <c r="F30" i="27"/>
  <c r="J30" i="27" s="1"/>
  <c r="M30" i="27" s="1"/>
  <c r="F52" i="27"/>
  <c r="H52" i="27" s="1"/>
  <c r="M52" i="27" s="1"/>
  <c r="F99" i="27"/>
  <c r="H99" i="27" s="1"/>
  <c r="M99" i="27" s="1"/>
  <c r="F24" i="27"/>
  <c r="J24" i="27" s="1"/>
  <c r="M24" i="27" s="1"/>
  <c r="F33" i="27"/>
  <c r="J33" i="27" s="1"/>
  <c r="M33" i="27" s="1"/>
  <c r="F35" i="27"/>
  <c r="H35" i="27" s="1"/>
  <c r="F34" i="27"/>
  <c r="L34" i="27" s="1"/>
  <c r="M34" i="27" s="1"/>
  <c r="J85" i="27"/>
  <c r="M85" i="27" s="1"/>
  <c r="F106" i="27"/>
  <c r="H106" i="27" s="1"/>
  <c r="M106" i="27" s="1"/>
  <c r="M131" i="27"/>
  <c r="M82" i="27"/>
  <c r="H88" i="27"/>
  <c r="M88" i="27" s="1"/>
  <c r="F94" i="27"/>
  <c r="H94" i="27" s="1"/>
  <c r="F100" i="27"/>
  <c r="H100" i="27" s="1"/>
  <c r="M100" i="27" s="1"/>
  <c r="F125" i="27"/>
  <c r="H125" i="27" s="1"/>
  <c r="M125" i="27" s="1"/>
  <c r="F133" i="27"/>
  <c r="J133" i="27" s="1"/>
  <c r="M133" i="27" s="1"/>
  <c r="F74" i="27"/>
  <c r="L74" i="27" s="1"/>
  <c r="M74" i="27" s="1"/>
  <c r="L80" i="27"/>
  <c r="M80" i="27" s="1"/>
  <c r="F128" i="27"/>
  <c r="H128" i="27" s="1"/>
  <c r="M128" i="27" s="1"/>
  <c r="L86" i="27"/>
  <c r="M86" i="27" s="1"/>
  <c r="F98" i="27"/>
  <c r="L98" i="27" s="1"/>
  <c r="M98" i="27" s="1"/>
  <c r="F123" i="27"/>
  <c r="L123" i="27" s="1"/>
  <c r="M123" i="27" s="1"/>
  <c r="J78" i="27"/>
  <c r="M78" i="27" s="1"/>
  <c r="F89" i="27"/>
  <c r="H89" i="27" s="1"/>
  <c r="M89" i="27" s="1"/>
  <c r="F101" i="27"/>
  <c r="H101" i="27" s="1"/>
  <c r="M101" i="27" s="1"/>
  <c r="F126" i="27"/>
  <c r="H126" i="27" s="1"/>
  <c r="M126" i="27" s="1"/>
  <c r="F13" i="27"/>
  <c r="L13" i="27" s="1"/>
  <c r="M13" i="27" s="1"/>
  <c r="F75" i="27"/>
  <c r="L75" i="27" s="1"/>
  <c r="M75" i="27" s="1"/>
  <c r="F124" i="27"/>
  <c r="H124" i="27" s="1"/>
  <c r="M124" i="27" s="1"/>
  <c r="M35" i="27" l="1"/>
  <c r="H136" i="27"/>
  <c r="M137" i="27" s="1"/>
  <c r="F122" i="27"/>
  <c r="J122" i="27" s="1"/>
  <c r="M122" i="27" s="1"/>
  <c r="M94" i="27"/>
  <c r="N134" i="27"/>
  <c r="F44" i="27"/>
  <c r="J44" i="27" s="1"/>
  <c r="F45" i="27"/>
  <c r="L45" i="27" s="1"/>
  <c r="M45" i="27" l="1"/>
  <c r="L136" i="27"/>
  <c r="M44" i="27"/>
  <c r="J136" i="27"/>
  <c r="M136" i="27" l="1"/>
  <c r="M138" i="27" s="1"/>
  <c r="M139" i="27" s="1"/>
  <c r="M140" i="27" s="1"/>
  <c r="M141" i="27" s="1"/>
  <c r="M142" i="27" s="1"/>
  <c r="M143" i="27" s="1"/>
  <c r="M144" i="27" s="1"/>
  <c r="M145" i="27"/>
  <c r="N136" i="27"/>
  <c r="M146" i="27" l="1"/>
  <c r="M147" i="27" s="1"/>
  <c r="M148" i="27" s="1"/>
  <c r="G27" i="25" s="1"/>
  <c r="G31" i="25" s="1"/>
  <c r="E1195" i="22" l="1"/>
  <c r="F1195" i="22" s="1"/>
  <c r="H1195" i="22" s="1"/>
  <c r="M1195" i="22" s="1"/>
  <c r="F1194" i="22"/>
  <c r="H1194" i="22" s="1"/>
  <c r="M1194" i="22" s="1"/>
  <c r="E1193" i="22"/>
  <c r="F1193" i="22" s="1"/>
  <c r="H1193" i="22" s="1"/>
  <c r="M1193" i="22" s="1"/>
  <c r="H1192" i="22"/>
  <c r="M1192" i="22" s="1"/>
  <c r="E1191" i="22"/>
  <c r="F1191" i="22" s="1"/>
  <c r="L1191" i="22" s="1"/>
  <c r="M1191" i="22" s="1"/>
  <c r="E1190" i="22"/>
  <c r="F1190" i="22" s="1"/>
  <c r="J1190" i="22" s="1"/>
  <c r="M1190" i="22" s="1"/>
  <c r="E1188" i="22"/>
  <c r="E1187" i="22"/>
  <c r="D1186" i="22"/>
  <c r="E1185" i="22"/>
  <c r="E1184" i="22"/>
  <c r="E1183" i="22"/>
  <c r="F1180" i="22"/>
  <c r="F1181" i="22" s="1"/>
  <c r="F1242" i="22"/>
  <c r="H1242" i="22" s="1"/>
  <c r="M1242" i="22" s="1"/>
  <c r="F1188" i="22" l="1"/>
  <c r="H1188" i="22" s="1"/>
  <c r="M1188" i="22" s="1"/>
  <c r="F1196" i="22"/>
  <c r="F1183" i="22"/>
  <c r="L1183" i="22" s="1"/>
  <c r="M1183" i="22" s="1"/>
  <c r="F1185" i="22"/>
  <c r="H1185" i="22" s="1"/>
  <c r="M1185" i="22" s="1"/>
  <c r="F1187" i="22"/>
  <c r="H1187" i="22" s="1"/>
  <c r="M1187" i="22" s="1"/>
  <c r="F1182" i="22"/>
  <c r="J1182" i="22" s="1"/>
  <c r="M1182" i="22" s="1"/>
  <c r="F1184" i="22"/>
  <c r="L1184" i="22" s="1"/>
  <c r="M1184" i="22" s="1"/>
  <c r="F1186" i="22"/>
  <c r="H1186" i="22" s="1"/>
  <c r="M1186" i="22" s="1"/>
  <c r="F1243" i="22"/>
  <c r="H1243" i="22" s="1"/>
  <c r="M1243" i="22" s="1"/>
  <c r="F1244" i="22"/>
  <c r="H1244" i="22" s="1"/>
  <c r="M1244" i="22" s="1"/>
  <c r="F1240" i="22"/>
  <c r="J1240" i="22" s="1"/>
  <c r="M1240" i="22" s="1"/>
  <c r="F1241" i="22"/>
  <c r="L1241" i="22" s="1"/>
  <c r="M1241" i="22" s="1"/>
  <c r="F1201" i="22" l="1"/>
  <c r="H1201" i="22" s="1"/>
  <c r="M1201" i="22" s="1"/>
  <c r="F1200" i="22"/>
  <c r="H1200" i="22" s="1"/>
  <c r="M1200" i="22" s="1"/>
  <c r="F1199" i="22"/>
  <c r="H1199" i="22" s="1"/>
  <c r="M1199" i="22" s="1"/>
  <c r="F1198" i="22"/>
  <c r="L1198" i="22" s="1"/>
  <c r="M1198" i="22" s="1"/>
  <c r="F1197" i="22"/>
  <c r="J1197" i="22" s="1"/>
  <c r="M1197" i="22" s="1"/>
  <c r="H1178" i="22" l="1"/>
  <c r="M1178" i="22" s="1"/>
  <c r="F1177" i="22"/>
  <c r="E1174" i="22"/>
  <c r="F1174" i="22" l="1"/>
  <c r="H1174" i="22" s="1"/>
  <c r="M1174" i="22" s="1"/>
  <c r="F1175" i="22"/>
  <c r="H1175" i="22" s="1"/>
  <c r="M1175" i="22" s="1"/>
  <c r="F1170" i="22"/>
  <c r="J1170" i="22" s="1"/>
  <c r="M1170" i="22" s="1"/>
  <c r="F1176" i="22"/>
  <c r="H1176" i="22" s="1"/>
  <c r="M1176" i="22" s="1"/>
  <c r="F1171" i="22"/>
  <c r="L1171" i="22" s="1"/>
  <c r="M1171" i="22" s="1"/>
  <c r="F1172" i="22"/>
  <c r="H1172" i="22" s="1"/>
  <c r="M1172" i="22" s="1"/>
  <c r="F1173" i="22"/>
  <c r="H1173" i="22" s="1"/>
  <c r="M1173" i="22" s="1"/>
  <c r="F1165" i="22"/>
  <c r="F1160" i="22"/>
  <c r="H1158" i="22" l="1"/>
  <c r="M1158" i="22" s="1"/>
  <c r="F1157" i="22"/>
  <c r="H1157" i="22" s="1"/>
  <c r="M1157" i="22" s="1"/>
  <c r="F1167" i="22"/>
  <c r="F1168" i="22" s="1"/>
  <c r="J1168" i="22" s="1"/>
  <c r="M1168" i="22" s="1"/>
  <c r="F1232" i="22"/>
  <c r="F1235" i="22" s="1"/>
  <c r="H1235" i="22" s="1"/>
  <c r="M1235" i="22" s="1"/>
  <c r="F1230" i="22"/>
  <c r="H1230" i="22" s="1"/>
  <c r="M1230" i="22" s="1"/>
  <c r="F1220" i="22"/>
  <c r="F1224" i="22" s="1"/>
  <c r="H1224" i="22" s="1"/>
  <c r="M1224" i="22" s="1"/>
  <c r="F1215" i="22"/>
  <c r="F1218" i="22" s="1"/>
  <c r="H1218" i="22" s="1"/>
  <c r="M1218" i="22" s="1"/>
  <c r="F1214" i="22"/>
  <c r="H1214" i="22" s="1"/>
  <c r="M1214" i="22" s="1"/>
  <c r="F1213" i="22"/>
  <c r="H1213" i="22" s="1"/>
  <c r="M1213" i="22" s="1"/>
  <c r="F1212" i="22"/>
  <c r="L1212" i="22" s="1"/>
  <c r="M1212" i="22" s="1"/>
  <c r="F1211" i="22"/>
  <c r="L1211" i="22" s="1"/>
  <c r="M1211" i="22" s="1"/>
  <c r="F1210" i="22"/>
  <c r="J1210" i="22" s="1"/>
  <c r="M1210" i="22" s="1"/>
  <c r="F1208" i="22"/>
  <c r="L1208" i="22" s="1"/>
  <c r="F1207" i="22"/>
  <c r="H1207" i="22" s="1"/>
  <c r="M1207" i="22" s="1"/>
  <c r="F1206" i="22"/>
  <c r="H1206" i="22" s="1"/>
  <c r="M1206" i="22" s="1"/>
  <c r="F1205" i="22"/>
  <c r="L1205" i="22" s="1"/>
  <c r="M1205" i="22" s="1"/>
  <c r="F1204" i="22"/>
  <c r="L1204" i="22" s="1"/>
  <c r="M1204" i="22" s="1"/>
  <c r="F1203" i="22"/>
  <c r="J1203" i="22" s="1"/>
  <c r="M1203" i="22" s="1"/>
  <c r="F1166" i="22"/>
  <c r="J1166" i="22" s="1"/>
  <c r="M1166" i="22" s="1"/>
  <c r="F1163" i="22"/>
  <c r="H1163" i="22" s="1"/>
  <c r="M1163" i="22" s="1"/>
  <c r="H1159" i="22"/>
  <c r="M1159" i="22" s="1"/>
  <c r="H1208" i="22" l="1"/>
  <c r="F1219" i="22"/>
  <c r="H1219" i="22" s="1"/>
  <c r="M1219" i="22" s="1"/>
  <c r="F1222" i="22"/>
  <c r="L1222" i="22" s="1"/>
  <c r="M1222" i="22" s="1"/>
  <c r="F1216" i="22"/>
  <c r="J1216" i="22" s="1"/>
  <c r="M1216" i="22" s="1"/>
  <c r="F1226" i="22"/>
  <c r="J1226" i="22" s="1"/>
  <c r="M1226" i="22" s="1"/>
  <c r="F1228" i="22"/>
  <c r="H1228" i="22" s="1"/>
  <c r="M1228" i="22" s="1"/>
  <c r="F1161" i="22"/>
  <c r="J1161" i="22" s="1"/>
  <c r="M1161" i="22" s="1"/>
  <c r="F1217" i="22"/>
  <c r="L1217" i="22" s="1"/>
  <c r="M1217" i="22" s="1"/>
  <c r="F1223" i="22"/>
  <c r="H1223" i="22" s="1"/>
  <c r="M1223" i="22" s="1"/>
  <c r="F1229" i="22"/>
  <c r="H1229" i="22" s="1"/>
  <c r="M1229" i="22" s="1"/>
  <c r="F1233" i="22"/>
  <c r="J1233" i="22" s="1"/>
  <c r="M1233" i="22" s="1"/>
  <c r="F1164" i="22"/>
  <c r="H1164" i="22" s="1"/>
  <c r="M1164" i="22" s="1"/>
  <c r="F1236" i="22"/>
  <c r="H1236" i="22" s="1"/>
  <c r="M1236" i="22" s="1"/>
  <c r="J1208" i="22"/>
  <c r="F1221" i="22"/>
  <c r="J1221" i="22" s="1"/>
  <c r="M1221" i="22" s="1"/>
  <c r="F1227" i="22"/>
  <c r="L1227" i="22" s="1"/>
  <c r="M1227" i="22" s="1"/>
  <c r="F1162" i="22"/>
  <c r="L1162" i="22" s="1"/>
  <c r="M1162" i="22" s="1"/>
  <c r="F1234" i="22"/>
  <c r="L1234" i="22" s="1"/>
  <c r="M1234" i="22" s="1"/>
  <c r="F1237" i="22"/>
  <c r="H1237" i="22" s="1"/>
  <c r="M1237" i="22" s="1"/>
  <c r="M1208" i="22" l="1"/>
  <c r="N1237" i="22" s="1"/>
  <c r="H1177" i="22"/>
  <c r="M1177" i="22" s="1"/>
  <c r="N1244" i="22" l="1"/>
  <c r="L37" i="22"/>
  <c r="J37" i="22"/>
  <c r="L36" i="22"/>
  <c r="J36" i="22"/>
  <c r="L35" i="22"/>
  <c r="J35" i="22"/>
  <c r="L34" i="22"/>
  <c r="J34" i="22"/>
  <c r="M36" i="22" l="1"/>
  <c r="M37" i="22"/>
  <c r="M35" i="22"/>
  <c r="M34" i="22"/>
  <c r="F967" i="22"/>
  <c r="F969" i="22" s="1"/>
  <c r="L969" i="22" s="1"/>
  <c r="M969" i="22" s="1"/>
  <c r="F939" i="22"/>
  <c r="F962" i="22" s="1"/>
  <c r="O930" i="22"/>
  <c r="F930" i="22"/>
  <c r="F931" i="22" s="1"/>
  <c r="J931" i="22" s="1"/>
  <c r="M931" i="22" s="1"/>
  <c r="F920" i="22"/>
  <c r="H920" i="22" s="1"/>
  <c r="M920" i="22" s="1"/>
  <c r="F919" i="22"/>
  <c r="H919" i="22" s="1"/>
  <c r="M919" i="22" s="1"/>
  <c r="F918" i="22"/>
  <c r="H918" i="22" s="1"/>
  <c r="M918" i="22" s="1"/>
  <c r="F917" i="22"/>
  <c r="H917" i="22" s="1"/>
  <c r="M917" i="22" s="1"/>
  <c r="F916" i="22"/>
  <c r="H916" i="22" s="1"/>
  <c r="M916" i="22" s="1"/>
  <c r="F915" i="22"/>
  <c r="H915" i="22" s="1"/>
  <c r="M915" i="22" s="1"/>
  <c r="F914" i="22"/>
  <c r="H914" i="22" s="1"/>
  <c r="M914" i="22" s="1"/>
  <c r="F913" i="22"/>
  <c r="H913" i="22" s="1"/>
  <c r="M913" i="22" s="1"/>
  <c r="E907" i="22"/>
  <c r="O904" i="22"/>
  <c r="F904" i="22"/>
  <c r="F911" i="22" s="1"/>
  <c r="H911" i="22" s="1"/>
  <c r="M911" i="22" s="1"/>
  <c r="F902" i="22"/>
  <c r="H902" i="22" s="1"/>
  <c r="M902" i="22" s="1"/>
  <c r="F901" i="22"/>
  <c r="H901" i="22" s="1"/>
  <c r="M901" i="22" s="1"/>
  <c r="F894" i="22"/>
  <c r="F899" i="22" s="1"/>
  <c r="H899" i="22" s="1"/>
  <c r="M899" i="22" s="1"/>
  <c r="E892" i="22"/>
  <c r="F889" i="22"/>
  <c r="F884" i="22"/>
  <c r="F886" i="22" s="1"/>
  <c r="F968" i="22" l="1"/>
  <c r="J968" i="22" s="1"/>
  <c r="M968" i="22" s="1"/>
  <c r="F970" i="22"/>
  <c r="H970" i="22" s="1"/>
  <c r="M970" i="22" s="1"/>
  <c r="F892" i="22"/>
  <c r="H892" i="22" s="1"/>
  <c r="M892" i="22" s="1"/>
  <c r="F972" i="22"/>
  <c r="H972" i="22" s="1"/>
  <c r="M972" i="22" s="1"/>
  <c r="F932" i="22"/>
  <c r="L932" i="22" s="1"/>
  <c r="M932" i="22" s="1"/>
  <c r="F885" i="22"/>
  <c r="J885" i="22" s="1"/>
  <c r="M885" i="22" s="1"/>
  <c r="F893" i="22"/>
  <c r="H893" i="22" s="1"/>
  <c r="M893" i="22" s="1"/>
  <c r="F971" i="22"/>
  <c r="H971" i="22" s="1"/>
  <c r="M971" i="22" s="1"/>
  <c r="F895" i="22"/>
  <c r="J895" i="22" s="1"/>
  <c r="M895" i="22" s="1"/>
  <c r="F887" i="22"/>
  <c r="J887" i="22" s="1"/>
  <c r="M887" i="22" s="1"/>
  <c r="F888" i="22"/>
  <c r="L888" i="22" s="1"/>
  <c r="M888" i="22" s="1"/>
  <c r="F964" i="22"/>
  <c r="L964" i="22" s="1"/>
  <c r="M964" i="22" s="1"/>
  <c r="F965" i="22"/>
  <c r="H965" i="22" s="1"/>
  <c r="M965" i="22" s="1"/>
  <c r="F966" i="22"/>
  <c r="H966" i="22" s="1"/>
  <c r="M966" i="22" s="1"/>
  <c r="F963" i="22"/>
  <c r="J963" i="22" s="1"/>
  <c r="M963" i="22" s="1"/>
  <c r="F923" i="22"/>
  <c r="F891" i="22"/>
  <c r="L891" i="22" s="1"/>
  <c r="M891" i="22" s="1"/>
  <c r="F898" i="22"/>
  <c r="H898" i="22" s="1"/>
  <c r="M898" i="22" s="1"/>
  <c r="F890" i="22"/>
  <c r="J890" i="22" s="1"/>
  <c r="M890" i="22" s="1"/>
  <c r="F897" i="22"/>
  <c r="H897" i="22" s="1"/>
  <c r="M897" i="22" s="1"/>
  <c r="F905" i="22"/>
  <c r="J905" i="22" s="1"/>
  <c r="M905" i="22" s="1"/>
  <c r="F910" i="22"/>
  <c r="H910" i="22" s="1"/>
  <c r="M910" i="22" s="1"/>
  <c r="F934" i="22"/>
  <c r="F943" i="22"/>
  <c r="H943" i="22" s="1"/>
  <c r="M943" i="22" s="1"/>
  <c r="F896" i="22"/>
  <c r="L896" i="22" s="1"/>
  <c r="M896" i="22" s="1"/>
  <c r="F900" i="22"/>
  <c r="H900" i="22" s="1"/>
  <c r="M900" i="22" s="1"/>
  <c r="F909" i="22"/>
  <c r="H909" i="22" s="1"/>
  <c r="M909" i="22" s="1"/>
  <c r="F933" i="22"/>
  <c r="H933" i="22" s="1"/>
  <c r="M933" i="22" s="1"/>
  <c r="F942" i="22"/>
  <c r="H942" i="22" s="1"/>
  <c r="M942" i="22" s="1"/>
  <c r="F958" i="22"/>
  <c r="F945" i="22"/>
  <c r="F951" i="22"/>
  <c r="F908" i="22"/>
  <c r="H908" i="22" s="1"/>
  <c r="M908" i="22" s="1"/>
  <c r="F941" i="22"/>
  <c r="L941" i="22" s="1"/>
  <c r="M941" i="22" s="1"/>
  <c r="F906" i="22"/>
  <c r="L906" i="22" s="1"/>
  <c r="M906" i="22" s="1"/>
  <c r="F907" i="22"/>
  <c r="H907" i="22" s="1"/>
  <c r="M907" i="22" s="1"/>
  <c r="F940" i="22"/>
  <c r="J940" i="22" s="1"/>
  <c r="M940" i="22" s="1"/>
  <c r="F944" i="22"/>
  <c r="H944" i="22" s="1"/>
  <c r="M944" i="22" s="1"/>
  <c r="F956" i="22" l="1"/>
  <c r="H956" i="22" s="1"/>
  <c r="M956" i="22" s="1"/>
  <c r="F952" i="22"/>
  <c r="J952" i="22" s="1"/>
  <c r="M952" i="22" s="1"/>
  <c r="F957" i="22"/>
  <c r="H957" i="22" s="1"/>
  <c r="M957" i="22" s="1"/>
  <c r="F954" i="22"/>
  <c r="H954" i="22" s="1"/>
  <c r="M954" i="22" s="1"/>
  <c r="F955" i="22"/>
  <c r="H955" i="22" s="1"/>
  <c r="M955" i="22" s="1"/>
  <c r="F953" i="22"/>
  <c r="L953" i="22" s="1"/>
  <c r="M953" i="22" s="1"/>
  <c r="F950" i="22"/>
  <c r="H950" i="22" s="1"/>
  <c r="M950" i="22" s="1"/>
  <c r="F946" i="22"/>
  <c r="J946" i="22" s="1"/>
  <c r="M946" i="22" s="1"/>
  <c r="F947" i="22"/>
  <c r="L947" i="22" s="1"/>
  <c r="M947" i="22" s="1"/>
  <c r="F948" i="22"/>
  <c r="H948" i="22" s="1"/>
  <c r="M948" i="22" s="1"/>
  <c r="F949" i="22"/>
  <c r="H949" i="22" s="1"/>
  <c r="M949" i="22" s="1"/>
  <c r="F937" i="22"/>
  <c r="H937" i="22" s="1"/>
  <c r="M937" i="22" s="1"/>
  <c r="F935" i="22"/>
  <c r="J935" i="22" s="1"/>
  <c r="M935" i="22" s="1"/>
  <c r="F936" i="22"/>
  <c r="H936" i="22" s="1"/>
  <c r="M936" i="22" s="1"/>
  <c r="F959" i="22"/>
  <c r="J959" i="22" s="1"/>
  <c r="M959" i="22" s="1"/>
  <c r="F960" i="22"/>
  <c r="L960" i="22" s="1"/>
  <c r="M960" i="22" s="1"/>
  <c r="F961" i="22"/>
  <c r="H961" i="22" s="1"/>
  <c r="M961" i="22" s="1"/>
  <c r="F928" i="22"/>
  <c r="H928" i="22" s="1"/>
  <c r="M928" i="22" s="1"/>
  <c r="F924" i="22"/>
  <c r="J924" i="22" s="1"/>
  <c r="M924" i="22" s="1"/>
  <c r="F929" i="22"/>
  <c r="H929" i="22" s="1"/>
  <c r="M929" i="22" s="1"/>
  <c r="F925" i="22"/>
  <c r="L925" i="22" s="1"/>
  <c r="M925" i="22" s="1"/>
  <c r="F926" i="22"/>
  <c r="H926" i="22" s="1"/>
  <c r="M926" i="22" s="1"/>
  <c r="F927" i="22"/>
  <c r="H927" i="22" s="1"/>
  <c r="M927" i="22" s="1"/>
  <c r="N972" i="22" l="1"/>
  <c r="F847" i="22"/>
  <c r="F852" i="22" s="1"/>
  <c r="H852" i="22" s="1"/>
  <c r="M852" i="22" s="1"/>
  <c r="F837" i="22"/>
  <c r="F841" i="22" s="1"/>
  <c r="H841" i="22" s="1"/>
  <c r="M841" i="22" s="1"/>
  <c r="F832" i="22"/>
  <c r="F834" i="22" s="1"/>
  <c r="F826" i="22"/>
  <c r="H826" i="22" s="1"/>
  <c r="F816" i="22"/>
  <c r="F817" i="22" s="1"/>
  <c r="J817" i="22" s="1"/>
  <c r="M817" i="22" s="1"/>
  <c r="F796" i="22"/>
  <c r="F797" i="22" s="1"/>
  <c r="F804" i="22" s="1"/>
  <c r="H804" i="22" s="1"/>
  <c r="M804" i="22" s="1"/>
  <c r="F792" i="22"/>
  <c r="F784" i="22"/>
  <c r="H784" i="22" s="1"/>
  <c r="M784" i="22" s="1"/>
  <c r="F783" i="22"/>
  <c r="H783" i="22" s="1"/>
  <c r="M783" i="22" s="1"/>
  <c r="F779" i="22"/>
  <c r="H779" i="22" s="1"/>
  <c r="M779" i="22" s="1"/>
  <c r="F778" i="22"/>
  <c r="H778" i="22" s="1"/>
  <c r="M778" i="22" s="1"/>
  <c r="F752" i="22"/>
  <c r="J752" i="22" s="1"/>
  <c r="M752" i="22" s="1"/>
  <c r="F760" i="22"/>
  <c r="H760" i="22" s="1"/>
  <c r="M760" i="22" s="1"/>
  <c r="F770" i="22"/>
  <c r="F768" i="22"/>
  <c r="H768" i="22" s="1"/>
  <c r="M768" i="22" s="1"/>
  <c r="F763" i="22"/>
  <c r="L763" i="22" s="1"/>
  <c r="M763" i="22" s="1"/>
  <c r="F736" i="22"/>
  <c r="F737" i="22" s="1"/>
  <c r="J737" i="22" s="1"/>
  <c r="M737" i="22" s="1"/>
  <c r="M866" i="22"/>
  <c r="F862" i="22"/>
  <c r="F870" i="22" s="1"/>
  <c r="F861" i="22"/>
  <c r="F869" i="22" s="1"/>
  <c r="F860" i="22"/>
  <c r="F859" i="22"/>
  <c r="F868" i="22" s="1"/>
  <c r="F858" i="22"/>
  <c r="F856" i="22"/>
  <c r="F854" i="22"/>
  <c r="H854" i="22" s="1"/>
  <c r="M854" i="22" s="1"/>
  <c r="F842" i="22"/>
  <c r="F846" i="22" s="1"/>
  <c r="H846" i="22" s="1"/>
  <c r="M846" i="22" s="1"/>
  <c r="E840" i="22"/>
  <c r="E823" i="22"/>
  <c r="E822" i="22"/>
  <c r="E821" i="22"/>
  <c r="F824" i="22"/>
  <c r="H824" i="22" s="1"/>
  <c r="M824" i="22" s="1"/>
  <c r="M801" i="22"/>
  <c r="E787" i="22"/>
  <c r="H785" i="22"/>
  <c r="M785" i="22" s="1"/>
  <c r="E775" i="22"/>
  <c r="H769" i="22"/>
  <c r="M769" i="22" s="1"/>
  <c r="E759" i="22"/>
  <c r="E750" i="22"/>
  <c r="F750" i="22" s="1"/>
  <c r="H750" i="22" s="1"/>
  <c r="M750" i="22" s="1"/>
  <c r="E749" i="22"/>
  <c r="F749" i="22" s="1"/>
  <c r="L749" i="22" s="1"/>
  <c r="M749" i="22" s="1"/>
  <c r="E748" i="22"/>
  <c r="F748" i="22" s="1"/>
  <c r="J748" i="22" s="1"/>
  <c r="M748" i="22" s="1"/>
  <c r="F746" i="22"/>
  <c r="L746" i="22" s="1"/>
  <c r="M746" i="22" s="1"/>
  <c r="F745" i="22"/>
  <c r="L745" i="22" s="1"/>
  <c r="M745" i="22" s="1"/>
  <c r="F744" i="22"/>
  <c r="L744" i="22" s="1"/>
  <c r="M744" i="22" s="1"/>
  <c r="F743" i="22"/>
  <c r="L743" i="22" s="1"/>
  <c r="M743" i="22" s="1"/>
  <c r="F742" i="22"/>
  <c r="L742" i="22" s="1"/>
  <c r="M742" i="22" s="1"/>
  <c r="F741" i="22"/>
  <c r="L741" i="22" s="1"/>
  <c r="M741" i="22" s="1"/>
  <c r="F740" i="22"/>
  <c r="J740" i="22" s="1"/>
  <c r="M740" i="22" s="1"/>
  <c r="F793" i="22" l="1"/>
  <c r="F803" i="22" s="1"/>
  <c r="H803" i="22" s="1"/>
  <c r="M803" i="22" s="1"/>
  <c r="F809" i="22"/>
  <c r="F766" i="22"/>
  <c r="H766" i="22" s="1"/>
  <c r="M766" i="22" s="1"/>
  <c r="F782" i="22"/>
  <c r="L782" i="22" s="1"/>
  <c r="M782" i="22" s="1"/>
  <c r="F738" i="22"/>
  <c r="L738" i="22" s="1"/>
  <c r="M738" i="22" s="1"/>
  <c r="F840" i="22"/>
  <c r="H840" i="22" s="1"/>
  <c r="M840" i="22" s="1"/>
  <c r="F762" i="22"/>
  <c r="J762" i="22" s="1"/>
  <c r="M762" i="22" s="1"/>
  <c r="F755" i="22"/>
  <c r="L755" i="22" s="1"/>
  <c r="M755" i="22" s="1"/>
  <c r="F775" i="22"/>
  <c r="H775" i="22" s="1"/>
  <c r="M775" i="22" s="1"/>
  <c r="F758" i="22"/>
  <c r="L758" i="22" s="1"/>
  <c r="M758" i="22" s="1"/>
  <c r="J826" i="22"/>
  <c r="M826" i="22" s="1"/>
  <c r="F875" i="22"/>
  <c r="F787" i="22"/>
  <c r="H787" i="22" s="1"/>
  <c r="M787" i="22" s="1"/>
  <c r="H868" i="22"/>
  <c r="M868" i="22" s="1"/>
  <c r="H869" i="22"/>
  <c r="M869" i="22" s="1"/>
  <c r="H870" i="22"/>
  <c r="M870" i="22" s="1"/>
  <c r="F857" i="22"/>
  <c r="F843" i="22"/>
  <c r="J843" i="22" s="1"/>
  <c r="M843" i="22" s="1"/>
  <c r="F833" i="22"/>
  <c r="J833" i="22" s="1"/>
  <c r="M833" i="22" s="1"/>
  <c r="F774" i="22"/>
  <c r="H774" i="22" s="1"/>
  <c r="M774" i="22" s="1"/>
  <c r="F773" i="22"/>
  <c r="H773" i="22" s="1"/>
  <c r="M773" i="22" s="1"/>
  <c r="F771" i="22"/>
  <c r="J771" i="22" s="1"/>
  <c r="M771" i="22" s="1"/>
  <c r="F776" i="22"/>
  <c r="H776" i="22" s="1"/>
  <c r="M776" i="22" s="1"/>
  <c r="F788" i="22"/>
  <c r="H788" i="22" s="1"/>
  <c r="M788" i="22" s="1"/>
  <c r="F781" i="22"/>
  <c r="J781" i="22" s="1"/>
  <c r="M781" i="22" s="1"/>
  <c r="F835" i="22"/>
  <c r="J835" i="22" s="1"/>
  <c r="M835" i="22" s="1"/>
  <c r="F836" i="22"/>
  <c r="L836" i="22" s="1"/>
  <c r="M836" i="22" s="1"/>
  <c r="F765" i="22"/>
  <c r="H765" i="22" s="1"/>
  <c r="M765" i="22" s="1"/>
  <c r="F764" i="22"/>
  <c r="H764" i="22" s="1"/>
  <c r="M764" i="22" s="1"/>
  <c r="F767" i="22"/>
  <c r="H767" i="22" s="1"/>
  <c r="M767" i="22" s="1"/>
  <c r="F772" i="22"/>
  <c r="L772" i="22" s="1"/>
  <c r="M772" i="22" s="1"/>
  <c r="F777" i="22"/>
  <c r="H777" i="22" s="1"/>
  <c r="M777" i="22" s="1"/>
  <c r="F786" i="22"/>
  <c r="H786" i="22" s="1"/>
  <c r="M786" i="22" s="1"/>
  <c r="F759" i="22"/>
  <c r="H759" i="22" s="1"/>
  <c r="M759" i="22" s="1"/>
  <c r="F753" i="22"/>
  <c r="F754" i="22" s="1"/>
  <c r="J754" i="22" s="1"/>
  <c r="M754" i="22" s="1"/>
  <c r="F757" i="22"/>
  <c r="J757" i="22" s="1"/>
  <c r="M757" i="22" s="1"/>
  <c r="F791" i="22"/>
  <c r="F798" i="22" s="1"/>
  <c r="F823" i="22"/>
  <c r="H823" i="22" s="1"/>
  <c r="M823" i="22" s="1"/>
  <c r="F838" i="22"/>
  <c r="J838" i="22" s="1"/>
  <c r="M838" i="22" s="1"/>
  <c r="F845" i="22"/>
  <c r="H845" i="22" s="1"/>
  <c r="M845" i="22" s="1"/>
  <c r="F851" i="22"/>
  <c r="H851" i="22" s="1"/>
  <c r="M851" i="22" s="1"/>
  <c r="F827" i="22"/>
  <c r="F828" i="22" s="1"/>
  <c r="F844" i="22"/>
  <c r="L844" i="22" s="1"/>
  <c r="M844" i="22" s="1"/>
  <c r="F850" i="22"/>
  <c r="H850" i="22" s="1"/>
  <c r="M850" i="22" s="1"/>
  <c r="F818" i="22"/>
  <c r="H818" i="22" s="1"/>
  <c r="M818" i="22" s="1"/>
  <c r="F825" i="22"/>
  <c r="H825" i="22" s="1"/>
  <c r="M825" i="22" s="1"/>
  <c r="F849" i="22"/>
  <c r="L849" i="22" s="1"/>
  <c r="M849" i="22" s="1"/>
  <c r="F853" i="22"/>
  <c r="H853" i="22" s="1"/>
  <c r="M853" i="22" s="1"/>
  <c r="F821" i="22"/>
  <c r="J821" i="22" s="1"/>
  <c r="M821" i="22" s="1"/>
  <c r="F822" i="22"/>
  <c r="F839" i="22"/>
  <c r="L839" i="22" s="1"/>
  <c r="M839" i="22" s="1"/>
  <c r="F848" i="22"/>
  <c r="J848" i="22" s="1"/>
  <c r="M848" i="22" s="1"/>
  <c r="F880" i="22" l="1"/>
  <c r="H880" i="22" s="1"/>
  <c r="M880" i="22" s="1"/>
  <c r="F879" i="22"/>
  <c r="H879" i="22" s="1"/>
  <c r="M879" i="22" s="1"/>
  <c r="F878" i="22"/>
  <c r="H878" i="22" s="1"/>
  <c r="M878" i="22" s="1"/>
  <c r="F877" i="22"/>
  <c r="L877" i="22" s="1"/>
  <c r="M877" i="22" s="1"/>
  <c r="F876" i="22"/>
  <c r="J876" i="22" s="1"/>
  <c r="M876" i="22" s="1"/>
  <c r="F813" i="22"/>
  <c r="H813" i="22" s="1"/>
  <c r="M813" i="22" s="1"/>
  <c r="F812" i="22"/>
  <c r="H812" i="22" s="1"/>
  <c r="M812" i="22" s="1"/>
  <c r="F811" i="22"/>
  <c r="L811" i="22" s="1"/>
  <c r="M811" i="22" s="1"/>
  <c r="F814" i="22"/>
  <c r="H814" i="22" s="1"/>
  <c r="M814" i="22" s="1"/>
  <c r="F810" i="22"/>
  <c r="J810" i="22" s="1"/>
  <c r="M810" i="22" s="1"/>
  <c r="F867" i="22"/>
  <c r="H867" i="22" s="1"/>
  <c r="M867" i="22" s="1"/>
  <c r="F863" i="22"/>
  <c r="F802" i="22"/>
  <c r="H802" i="22" s="1"/>
  <c r="M802" i="22" s="1"/>
  <c r="J828" i="22"/>
  <c r="M828" i="22" s="1"/>
  <c r="F829" i="22"/>
  <c r="H829" i="22" s="1"/>
  <c r="M829" i="22" s="1"/>
  <c r="L822" i="22"/>
  <c r="J822" i="22"/>
  <c r="M822" i="22" l="1"/>
  <c r="F874" i="22"/>
  <c r="H874" i="22" s="1"/>
  <c r="M874" i="22" s="1"/>
  <c r="F873" i="22"/>
  <c r="H873" i="22" s="1"/>
  <c r="M873" i="22" s="1"/>
  <c r="F872" i="22"/>
  <c r="H872" i="22" s="1"/>
  <c r="M872" i="22" s="1"/>
  <c r="F871" i="22"/>
  <c r="H871" i="22" s="1"/>
  <c r="M871" i="22" s="1"/>
  <c r="F866" i="22"/>
  <c r="F864" i="22"/>
  <c r="J864" i="22" s="1"/>
  <c r="M864" i="22" s="1"/>
  <c r="F865" i="22"/>
  <c r="L865" i="22" s="1"/>
  <c r="M865" i="22" s="1"/>
  <c r="F805" i="22"/>
  <c r="H805" i="22" s="1"/>
  <c r="M805" i="22" s="1"/>
  <c r="F807" i="22"/>
  <c r="H807" i="22" s="1"/>
  <c r="M807" i="22" s="1"/>
  <c r="F808" i="22"/>
  <c r="H808" i="22" s="1"/>
  <c r="M808" i="22" s="1"/>
  <c r="F801" i="22"/>
  <c r="F806" i="22"/>
  <c r="H806" i="22" s="1"/>
  <c r="M806" i="22" s="1"/>
  <c r="F800" i="22"/>
  <c r="L800" i="22" s="1"/>
  <c r="M800" i="22" s="1"/>
  <c r="F799" i="22"/>
  <c r="J799" i="22" s="1"/>
  <c r="M799" i="22" s="1"/>
  <c r="N880" i="22" l="1"/>
  <c r="F639" i="22"/>
  <c r="F640" i="22" s="1"/>
  <c r="J640" i="22" s="1"/>
  <c r="M640" i="22" s="1"/>
  <c r="E638" i="22"/>
  <c r="E637" i="22"/>
  <c r="E632" i="22"/>
  <c r="F631" i="22"/>
  <c r="F628" i="22"/>
  <c r="F630" i="22" s="1"/>
  <c r="H630" i="22" s="1"/>
  <c r="M630" i="22" s="1"/>
  <c r="E627" i="22"/>
  <c r="E626" i="22"/>
  <c r="E621" i="22"/>
  <c r="F620" i="22"/>
  <c r="E619" i="22"/>
  <c r="E618" i="22"/>
  <c r="E613" i="22"/>
  <c r="F612" i="22"/>
  <c r="F615" i="22" s="1"/>
  <c r="L615" i="22" s="1"/>
  <c r="M615" i="22" s="1"/>
  <c r="F609" i="22"/>
  <c r="F610" i="22" s="1"/>
  <c r="L610" i="22" s="1"/>
  <c r="M610" i="22" s="1"/>
  <c r="F597" i="22"/>
  <c r="F606" i="22" s="1"/>
  <c r="L606" i="22" s="1"/>
  <c r="M606" i="22" s="1"/>
  <c r="F593" i="22"/>
  <c r="F595" i="22" s="1"/>
  <c r="L595" i="22" s="1"/>
  <c r="M595" i="22" s="1"/>
  <c r="F614" i="22" l="1"/>
  <c r="L614" i="22" s="1"/>
  <c r="M614" i="22" s="1"/>
  <c r="F616" i="22"/>
  <c r="L616" i="22" s="1"/>
  <c r="M616" i="22" s="1"/>
  <c r="F619" i="22"/>
  <c r="H619" i="22" s="1"/>
  <c r="M619" i="22" s="1"/>
  <c r="F626" i="22"/>
  <c r="H626" i="22" s="1"/>
  <c r="M626" i="22" s="1"/>
  <c r="F600" i="22"/>
  <c r="L600" i="22" s="1"/>
  <c r="M600" i="22" s="1"/>
  <c r="F594" i="22"/>
  <c r="J594" i="22" s="1"/>
  <c r="M594" i="22" s="1"/>
  <c r="F604" i="22"/>
  <c r="L604" i="22" s="1"/>
  <c r="M604" i="22" s="1"/>
  <c r="F617" i="22"/>
  <c r="L617" i="22" s="1"/>
  <c r="M617" i="22" s="1"/>
  <c r="F637" i="22"/>
  <c r="H637" i="22" s="1"/>
  <c r="M637" i="22" s="1"/>
  <c r="F596" i="22"/>
  <c r="L596" i="22" s="1"/>
  <c r="M596" i="22" s="1"/>
  <c r="F608" i="22"/>
  <c r="H608" i="22" s="1"/>
  <c r="M608" i="22" s="1"/>
  <c r="F613" i="22"/>
  <c r="J613" i="22" s="1"/>
  <c r="M613" i="22" s="1"/>
  <c r="F618" i="22"/>
  <c r="H618" i="22" s="1"/>
  <c r="M618" i="22" s="1"/>
  <c r="F599" i="22"/>
  <c r="L599" i="22" s="1"/>
  <c r="M599" i="22" s="1"/>
  <c r="F603" i="22"/>
  <c r="L603" i="22" s="1"/>
  <c r="M603" i="22" s="1"/>
  <c r="F622" i="22"/>
  <c r="L622" i="22" s="1"/>
  <c r="M622" i="22" s="1"/>
  <c r="F621" i="22"/>
  <c r="J621" i="22" s="1"/>
  <c r="M621" i="22" s="1"/>
  <c r="F625" i="22"/>
  <c r="L625" i="22" s="1"/>
  <c r="M625" i="22" s="1"/>
  <c r="F627" i="22"/>
  <c r="H627" i="22" s="1"/>
  <c r="M627" i="22" s="1"/>
  <c r="F629" i="22"/>
  <c r="L629" i="22" s="1"/>
  <c r="M629" i="22" s="1"/>
  <c r="F632" i="22"/>
  <c r="J632" i="22" s="1"/>
  <c r="M632" i="22" s="1"/>
  <c r="F638" i="22"/>
  <c r="H638" i="22" s="1"/>
  <c r="M638" i="22" s="1"/>
  <c r="F601" i="22"/>
  <c r="L601" i="22" s="1"/>
  <c r="M601" i="22" s="1"/>
  <c r="F605" i="22"/>
  <c r="L605" i="22" s="1"/>
  <c r="M605" i="22" s="1"/>
  <c r="F624" i="22"/>
  <c r="L624" i="22" s="1"/>
  <c r="M624" i="22" s="1"/>
  <c r="F635" i="22"/>
  <c r="L635" i="22" s="1"/>
  <c r="M635" i="22" s="1"/>
  <c r="F643" i="22"/>
  <c r="H643" i="22" s="1"/>
  <c r="M643" i="22" s="1"/>
  <c r="F611" i="22"/>
  <c r="H611" i="22" s="1"/>
  <c r="M611" i="22" s="1"/>
  <c r="F623" i="22"/>
  <c r="L623" i="22" s="1"/>
  <c r="M623" i="22" s="1"/>
  <c r="F634" i="22"/>
  <c r="L634" i="22" s="1"/>
  <c r="M634" i="22" s="1"/>
  <c r="F642" i="22"/>
  <c r="L642" i="22" s="1"/>
  <c r="M642" i="22" s="1"/>
  <c r="F607" i="22"/>
  <c r="H607" i="22" s="1"/>
  <c r="M607" i="22" s="1"/>
  <c r="F633" i="22"/>
  <c r="L633" i="22" s="1"/>
  <c r="M633" i="22" s="1"/>
  <c r="F641" i="22"/>
  <c r="L641" i="22" s="1"/>
  <c r="M641" i="22" s="1"/>
  <c r="F598" i="22"/>
  <c r="J598" i="22" s="1"/>
  <c r="M598" i="22" s="1"/>
  <c r="F602" i="22"/>
  <c r="L602" i="22" s="1"/>
  <c r="M602" i="22" s="1"/>
  <c r="F636" i="22"/>
  <c r="L636" i="22" s="1"/>
  <c r="M636" i="22" s="1"/>
  <c r="N643" i="22" l="1"/>
  <c r="E256" i="22"/>
  <c r="F254" i="22"/>
  <c r="F257" i="22" s="1"/>
  <c r="H257" i="22" s="1"/>
  <c r="M257" i="22" s="1"/>
  <c r="F253" i="22"/>
  <c r="H253" i="22" s="1"/>
  <c r="M253" i="22" s="1"/>
  <c r="F252" i="22"/>
  <c r="H252" i="22" s="1"/>
  <c r="M252" i="22" s="1"/>
  <c r="E250" i="22"/>
  <c r="F244" i="22"/>
  <c r="F249" i="22" s="1"/>
  <c r="H249" i="22" s="1"/>
  <c r="M249" i="22" s="1"/>
  <c r="E242" i="22"/>
  <c r="F239" i="22"/>
  <c r="F241" i="22" s="1"/>
  <c r="L241" i="22" s="1"/>
  <c r="M241" i="22" s="1"/>
  <c r="F234" i="22"/>
  <c r="F236" i="22" s="1"/>
  <c r="F263" i="22"/>
  <c r="J263" i="22" s="1"/>
  <c r="M263" i="22" s="1"/>
  <c r="F264" i="22"/>
  <c r="H706" i="22"/>
  <c r="M706" i="22" s="1"/>
  <c r="F721" i="22"/>
  <c r="H721" i="22" s="1"/>
  <c r="M721" i="22" s="1"/>
  <c r="F649" i="22"/>
  <c r="F398" i="22"/>
  <c r="F265" i="22" l="1"/>
  <c r="J265" i="22" s="1"/>
  <c r="M265" i="22" s="1"/>
  <c r="F266" i="22"/>
  <c r="L266" i="22" s="1"/>
  <c r="M266" i="22" s="1"/>
  <c r="F258" i="22"/>
  <c r="H258" i="22" s="1"/>
  <c r="M258" i="22" s="1"/>
  <c r="F243" i="22"/>
  <c r="H243" i="22" s="1"/>
  <c r="M243" i="22" s="1"/>
  <c r="F235" i="22"/>
  <c r="J235" i="22" s="1"/>
  <c r="M235" i="22" s="1"/>
  <c r="F259" i="22"/>
  <c r="H259" i="22" s="1"/>
  <c r="M259" i="22" s="1"/>
  <c r="F238" i="22"/>
  <c r="L238" i="22" s="1"/>
  <c r="M238" i="22" s="1"/>
  <c r="F237" i="22"/>
  <c r="J237" i="22" s="1"/>
  <c r="M237" i="22" s="1"/>
  <c r="F245" i="22"/>
  <c r="J245" i="22" s="1"/>
  <c r="M245" i="22" s="1"/>
  <c r="F250" i="22"/>
  <c r="H250" i="22" s="1"/>
  <c r="M250" i="22" s="1"/>
  <c r="F242" i="22"/>
  <c r="H242" i="22" s="1"/>
  <c r="M242" i="22" s="1"/>
  <c r="F248" i="22"/>
  <c r="H248" i="22" s="1"/>
  <c r="M248" i="22" s="1"/>
  <c r="F255" i="22"/>
  <c r="J255" i="22" s="1"/>
  <c r="M255" i="22" s="1"/>
  <c r="F256" i="22"/>
  <c r="L256" i="22" s="1"/>
  <c r="M256" i="22" s="1"/>
  <c r="F240" i="22"/>
  <c r="J240" i="22" s="1"/>
  <c r="M240" i="22" s="1"/>
  <c r="F247" i="22"/>
  <c r="H247" i="22" s="1"/>
  <c r="M247" i="22" s="1"/>
  <c r="F246" i="22"/>
  <c r="L246" i="22" s="1"/>
  <c r="M246" i="22" s="1"/>
  <c r="F251" i="22"/>
  <c r="H251" i="22" s="1"/>
  <c r="M251" i="22" s="1"/>
  <c r="N259" i="22" l="1"/>
  <c r="F196" i="22"/>
  <c r="L196" i="22" s="1"/>
  <c r="M196" i="22" s="1"/>
  <c r="H193" i="22"/>
  <c r="M193" i="22" s="1"/>
  <c r="F187" i="22"/>
  <c r="F188" i="22" s="1"/>
  <c r="F190" i="22" s="1"/>
  <c r="H190" i="22" s="1"/>
  <c r="M190" i="22" s="1"/>
  <c r="E185" i="22"/>
  <c r="F182" i="22"/>
  <c r="F183" i="22" s="1"/>
  <c r="J183" i="22" s="1"/>
  <c r="M183" i="22" s="1"/>
  <c r="F177" i="22"/>
  <c r="F178" i="22" s="1"/>
  <c r="J178" i="22" s="1"/>
  <c r="M178" i="22" s="1"/>
  <c r="L33" i="22"/>
  <c r="J33" i="22"/>
  <c r="F15" i="22"/>
  <c r="F39" i="22" l="1"/>
  <c r="F41" i="22"/>
  <c r="F185" i="22"/>
  <c r="H185" i="22" s="1"/>
  <c r="M185" i="22" s="1"/>
  <c r="F186" i="22"/>
  <c r="H186" i="22" s="1"/>
  <c r="M186" i="22" s="1"/>
  <c r="F198" i="22"/>
  <c r="H198" i="22" s="1"/>
  <c r="M198" i="22" s="1"/>
  <c r="M33" i="22"/>
  <c r="F192" i="22"/>
  <c r="H192" i="22" s="1"/>
  <c r="M192" i="22" s="1"/>
  <c r="F197" i="22"/>
  <c r="H197" i="22" s="1"/>
  <c r="M197" i="22" s="1"/>
  <c r="F199" i="22"/>
  <c r="H199" i="22" s="1"/>
  <c r="M199" i="22" s="1"/>
  <c r="F195" i="22"/>
  <c r="J195" i="22" s="1"/>
  <c r="M195" i="22" s="1"/>
  <c r="F184" i="22"/>
  <c r="L184" i="22" s="1"/>
  <c r="M184" i="22" s="1"/>
  <c r="F189" i="22"/>
  <c r="J189" i="22" s="1"/>
  <c r="M189" i="22" s="1"/>
  <c r="F179" i="22"/>
  <c r="F191" i="22"/>
  <c r="H191" i="22" s="1"/>
  <c r="M191" i="22" s="1"/>
  <c r="L32" i="22"/>
  <c r="J32" i="22"/>
  <c r="F57" i="22"/>
  <c r="M32" i="22" l="1"/>
  <c r="F180" i="22"/>
  <c r="J180" i="22" s="1"/>
  <c r="M180" i="22" s="1"/>
  <c r="F181" i="22"/>
  <c r="L181" i="22" s="1"/>
  <c r="M181" i="22" s="1"/>
  <c r="F169" i="22"/>
  <c r="F171" i="22" s="1"/>
  <c r="L171" i="22" s="1"/>
  <c r="M171" i="22" s="1"/>
  <c r="H168" i="22"/>
  <c r="M168" i="22" s="1"/>
  <c r="F162" i="22"/>
  <c r="F163" i="22" s="1"/>
  <c r="F165" i="22" s="1"/>
  <c r="H165" i="22" s="1"/>
  <c r="M165" i="22" s="1"/>
  <c r="E160" i="22"/>
  <c r="F157" i="22"/>
  <c r="F159" i="22" s="1"/>
  <c r="L159" i="22" s="1"/>
  <c r="M159" i="22" s="1"/>
  <c r="F152" i="22"/>
  <c r="F153" i="22" s="1"/>
  <c r="J153" i="22" s="1"/>
  <c r="M153" i="22" s="1"/>
  <c r="E124" i="22"/>
  <c r="E123" i="22"/>
  <c r="H120" i="22"/>
  <c r="M120" i="22" s="1"/>
  <c r="E119" i="22"/>
  <c r="F117" i="22"/>
  <c r="F122" i="22" s="1"/>
  <c r="H122" i="22" s="1"/>
  <c r="M122" i="22" s="1"/>
  <c r="E115" i="22"/>
  <c r="F112" i="22"/>
  <c r="F114" i="22" s="1"/>
  <c r="L114" i="22" s="1"/>
  <c r="M114" i="22" s="1"/>
  <c r="F107" i="22"/>
  <c r="F108" i="22" s="1"/>
  <c r="J108" i="22" s="1"/>
  <c r="M108" i="22" s="1"/>
  <c r="N199" i="22" l="1"/>
  <c r="F116" i="22"/>
  <c r="H116" i="22" s="1"/>
  <c r="M116" i="22" s="1"/>
  <c r="F161" i="22"/>
  <c r="H161" i="22" s="1"/>
  <c r="M161" i="22" s="1"/>
  <c r="F172" i="22"/>
  <c r="H172" i="22" s="1"/>
  <c r="M172" i="22" s="1"/>
  <c r="F167" i="22"/>
  <c r="H167" i="22" s="1"/>
  <c r="M167" i="22" s="1"/>
  <c r="F173" i="22"/>
  <c r="H173" i="22" s="1"/>
  <c r="M173" i="22" s="1"/>
  <c r="F160" i="22"/>
  <c r="H160" i="22" s="1"/>
  <c r="M160" i="22" s="1"/>
  <c r="F174" i="22"/>
  <c r="H174" i="22" s="1"/>
  <c r="M174" i="22" s="1"/>
  <c r="F170" i="22"/>
  <c r="J170" i="22" s="1"/>
  <c r="M170" i="22" s="1"/>
  <c r="F164" i="22"/>
  <c r="J164" i="22" s="1"/>
  <c r="M164" i="22" s="1"/>
  <c r="F154" i="22"/>
  <c r="F158" i="22"/>
  <c r="J158" i="22" s="1"/>
  <c r="M158" i="22" s="1"/>
  <c r="F166" i="22"/>
  <c r="H166" i="22" s="1"/>
  <c r="M166" i="22" s="1"/>
  <c r="F123" i="22"/>
  <c r="H123" i="22" s="1"/>
  <c r="M123" i="22" s="1"/>
  <c r="F113" i="22"/>
  <c r="J113" i="22" s="1"/>
  <c r="M113" i="22" s="1"/>
  <c r="F119" i="22"/>
  <c r="L119" i="22" s="1"/>
  <c r="M119" i="22" s="1"/>
  <c r="F124" i="22"/>
  <c r="H124" i="22" s="1"/>
  <c r="M124" i="22" s="1"/>
  <c r="F115" i="22"/>
  <c r="H115" i="22" s="1"/>
  <c r="M115" i="22" s="1"/>
  <c r="F109" i="22"/>
  <c r="F118" i="22"/>
  <c r="J118" i="22" s="1"/>
  <c r="M118" i="22" s="1"/>
  <c r="F121" i="22"/>
  <c r="H121" i="22" s="1"/>
  <c r="M121" i="22" s="1"/>
  <c r="F156" i="22" l="1"/>
  <c r="L156" i="22" s="1"/>
  <c r="M156" i="22" s="1"/>
  <c r="F155" i="22"/>
  <c r="J155" i="22" s="1"/>
  <c r="M155" i="22" s="1"/>
  <c r="F110" i="22"/>
  <c r="J110" i="22" s="1"/>
  <c r="M110" i="22" s="1"/>
  <c r="F111" i="22"/>
  <c r="L111" i="22" s="1"/>
  <c r="M111" i="22" s="1"/>
  <c r="N124" i="22" l="1"/>
  <c r="F25" i="24"/>
  <c r="F19" i="24"/>
  <c r="F11" i="24"/>
  <c r="F30" i="24" s="1"/>
  <c r="H111" i="23"/>
  <c r="M111" i="23" s="1"/>
  <c r="H93" i="23"/>
  <c r="M93" i="23" s="1"/>
  <c r="H88" i="23"/>
  <c r="M88" i="23" s="1"/>
  <c r="H94" i="23"/>
  <c r="M94" i="23" s="1"/>
  <c r="F35" i="23"/>
  <c r="J35" i="23" s="1"/>
  <c r="M35" i="23" s="1"/>
  <c r="F18" i="23"/>
  <c r="F43" i="23"/>
  <c r="H43" i="23" s="1"/>
  <c r="M43" i="23" s="1"/>
  <c r="E42" i="23"/>
  <c r="F60" i="23"/>
  <c r="H60" i="23" s="1"/>
  <c r="M60" i="23" s="1"/>
  <c r="F61" i="23"/>
  <c r="H61" i="23" s="1"/>
  <c r="M61" i="23" s="1"/>
  <c r="F62" i="23"/>
  <c r="H62" i="23" s="1"/>
  <c r="M62" i="23" s="1"/>
  <c r="F31" i="23"/>
  <c r="F11" i="23"/>
  <c r="F688" i="22"/>
  <c r="F701" i="22"/>
  <c r="H701" i="22" s="1"/>
  <c r="M701" i="22" s="1"/>
  <c r="F702" i="22"/>
  <c r="H702" i="22" s="1"/>
  <c r="M702" i="22" s="1"/>
  <c r="F703" i="22"/>
  <c r="H703" i="22" s="1"/>
  <c r="M703" i="22" s="1"/>
  <c r="F700" i="22"/>
  <c r="H700" i="22" s="1"/>
  <c r="M700" i="22" s="1"/>
  <c r="F708" i="22"/>
  <c r="H708" i="22" s="1"/>
  <c r="M708" i="22" s="1"/>
  <c r="F717" i="22"/>
  <c r="H717" i="22" s="1"/>
  <c r="M717" i="22" s="1"/>
  <c r="F32" i="24" l="1"/>
  <c r="L32" i="24" s="1"/>
  <c r="M32" i="24" s="1"/>
  <c r="F31" i="24"/>
  <c r="J31" i="24" s="1"/>
  <c r="M31" i="24" s="1"/>
  <c r="F40" i="23"/>
  <c r="J40" i="23" s="1"/>
  <c r="M40" i="23" s="1"/>
  <c r="F42" i="23"/>
  <c r="H42" i="23" s="1"/>
  <c r="M42" i="23" s="1"/>
  <c r="F41" i="23"/>
  <c r="L41" i="23" s="1"/>
  <c r="M41" i="23" s="1"/>
  <c r="F36" i="23"/>
  <c r="F650" i="22"/>
  <c r="F578" i="22"/>
  <c r="H578" i="22" s="1"/>
  <c r="M578" i="22" s="1"/>
  <c r="F566" i="22"/>
  <c r="F564" i="22"/>
  <c r="F565" i="22" s="1"/>
  <c r="F587" i="22"/>
  <c r="F588" i="22" s="1"/>
  <c r="J588" i="22" s="1"/>
  <c r="M588" i="22" s="1"/>
  <c r="H589" i="22"/>
  <c r="M589" i="22" s="1"/>
  <c r="F568" i="22"/>
  <c r="F576" i="22" s="1"/>
  <c r="H576" i="22" s="1"/>
  <c r="M576" i="22" s="1"/>
  <c r="J12" i="26"/>
  <c r="H12" i="26"/>
  <c r="M12" i="26" s="1"/>
  <c r="F558" i="22"/>
  <c r="F559" i="22" s="1"/>
  <c r="J559" i="22" s="1"/>
  <c r="M559" i="22" s="1"/>
  <c r="F552" i="22"/>
  <c r="F556" i="22" s="1"/>
  <c r="H556" i="22" s="1"/>
  <c r="M556" i="22" s="1"/>
  <c r="F546" i="22"/>
  <c r="F551" i="22" s="1"/>
  <c r="H551" i="22" s="1"/>
  <c r="M551" i="22" s="1"/>
  <c r="F544" i="22"/>
  <c r="H544" i="22" s="1"/>
  <c r="M544" i="22" s="1"/>
  <c r="F535" i="22"/>
  <c r="F542" i="22" s="1"/>
  <c r="H542" i="22" s="1"/>
  <c r="M542" i="22" s="1"/>
  <c r="F525" i="22"/>
  <c r="F527" i="22" s="1"/>
  <c r="F514" i="22"/>
  <c r="F517" i="22" s="1"/>
  <c r="H517" i="22" s="1"/>
  <c r="M517" i="22" s="1"/>
  <c r="F475" i="22"/>
  <c r="F456" i="22"/>
  <c r="F427" i="22"/>
  <c r="F400" i="22"/>
  <c r="F402" i="22" s="1"/>
  <c r="F404" i="22" s="1"/>
  <c r="M29" i="22"/>
  <c r="M28" i="22"/>
  <c r="L27" i="22"/>
  <c r="F410" i="22"/>
  <c r="F447" i="22"/>
  <c r="F530" i="22"/>
  <c r="F531" i="22" s="1"/>
  <c r="J531" i="22" s="1"/>
  <c r="M531" i="22" s="1"/>
  <c r="E549" i="22"/>
  <c r="E548" i="22"/>
  <c r="E547" i="22"/>
  <c r="H545" i="22"/>
  <c r="M545" i="22" s="1"/>
  <c r="E540" i="22"/>
  <c r="E533" i="22"/>
  <c r="F522" i="22"/>
  <c r="H522" i="22" s="1"/>
  <c r="M522" i="22" s="1"/>
  <c r="F520" i="22"/>
  <c r="F523" i="22" s="1"/>
  <c r="H523" i="22" s="1"/>
  <c r="M523" i="22" s="1"/>
  <c r="F508" i="22"/>
  <c r="E511" i="22"/>
  <c r="E510" i="22"/>
  <c r="E509" i="22"/>
  <c r="E287" i="22"/>
  <c r="F458" i="22"/>
  <c r="F462" i="22" s="1"/>
  <c r="H462" i="22" s="1"/>
  <c r="M462" i="22" s="1"/>
  <c r="E461" i="22"/>
  <c r="E460" i="22"/>
  <c r="E459" i="22"/>
  <c r="F421" i="22"/>
  <c r="E424" i="22"/>
  <c r="E423" i="22"/>
  <c r="E422" i="22"/>
  <c r="F507" i="22"/>
  <c r="H507" i="22" s="1"/>
  <c r="M507" i="22" s="1"/>
  <c r="F506" i="22"/>
  <c r="H506" i="22" s="1"/>
  <c r="M506" i="22" s="1"/>
  <c r="F497" i="22"/>
  <c r="F505" i="22" s="1"/>
  <c r="H505" i="22" s="1"/>
  <c r="M505" i="22" s="1"/>
  <c r="F487" i="22"/>
  <c r="F488" i="22" s="1"/>
  <c r="J488" i="22" s="1"/>
  <c r="M488" i="22" s="1"/>
  <c r="F492" i="22"/>
  <c r="F493" i="22" s="1"/>
  <c r="J493" i="22" s="1"/>
  <c r="M493" i="22" s="1"/>
  <c r="E502" i="22"/>
  <c r="E495" i="22"/>
  <c r="F316" i="22"/>
  <c r="J316" i="22" s="1"/>
  <c r="M316" i="22" s="1"/>
  <c r="F483" i="22"/>
  <c r="H483" i="22" s="1"/>
  <c r="M483" i="22" s="1"/>
  <c r="F581" i="22" l="1"/>
  <c r="F37" i="23"/>
  <c r="J37" i="23" s="1"/>
  <c r="M37" i="23" s="1"/>
  <c r="F38" i="23"/>
  <c r="L38" i="23" s="1"/>
  <c r="M38" i="23" s="1"/>
  <c r="F590" i="22"/>
  <c r="H590" i="22" s="1"/>
  <c r="M590" i="22" s="1"/>
  <c r="F567" i="22"/>
  <c r="F569" i="22" s="1"/>
  <c r="F575" i="22"/>
  <c r="H575" i="22" s="1"/>
  <c r="M575" i="22" s="1"/>
  <c r="F511" i="22"/>
  <c r="H511" i="22" s="1"/>
  <c r="M511" i="22" s="1"/>
  <c r="F529" i="22"/>
  <c r="L529" i="22" s="1"/>
  <c r="M529" i="22" s="1"/>
  <c r="F528" i="22"/>
  <c r="J528" i="22" s="1"/>
  <c r="M528" i="22" s="1"/>
  <c r="F526" i="22"/>
  <c r="J526" i="22" s="1"/>
  <c r="M526" i="22" s="1"/>
  <c r="J27" i="22"/>
  <c r="M27" i="22" s="1"/>
  <c r="F489" i="22"/>
  <c r="F491" i="22" s="1"/>
  <c r="F317" i="22"/>
  <c r="H317" i="22" s="1"/>
  <c r="M317" i="22" s="1"/>
  <c r="F423" i="22"/>
  <c r="L423" i="22" s="1"/>
  <c r="M423" i="22" s="1"/>
  <c r="F510" i="22"/>
  <c r="L510" i="22" s="1"/>
  <c r="M510" i="22" s="1"/>
  <c r="F540" i="22"/>
  <c r="H540" i="22" s="1"/>
  <c r="M540" i="22" s="1"/>
  <c r="F519" i="22"/>
  <c r="H519" i="22" s="1"/>
  <c r="M519" i="22" s="1"/>
  <c r="F516" i="22"/>
  <c r="L516" i="22" s="1"/>
  <c r="M516" i="22" s="1"/>
  <c r="F515" i="22"/>
  <c r="J515" i="22" s="1"/>
  <c r="M515" i="22" s="1"/>
  <c r="F518" i="22"/>
  <c r="H518" i="22" s="1"/>
  <c r="M518" i="22" s="1"/>
  <c r="F549" i="22"/>
  <c r="H549" i="22" s="1"/>
  <c r="M549" i="22" s="1"/>
  <c r="F550" i="22"/>
  <c r="H550" i="22" s="1"/>
  <c r="M550" i="22" s="1"/>
  <c r="F539" i="22"/>
  <c r="H539" i="22" s="1"/>
  <c r="M539" i="22" s="1"/>
  <c r="F537" i="22"/>
  <c r="L537" i="22" s="1"/>
  <c r="M537" i="22" s="1"/>
  <c r="F534" i="22"/>
  <c r="H534" i="22" s="1"/>
  <c r="M534" i="22" s="1"/>
  <c r="F536" i="22"/>
  <c r="J536" i="22" s="1"/>
  <c r="M536" i="22" s="1"/>
  <c r="F541" i="22"/>
  <c r="H541" i="22" s="1"/>
  <c r="M541" i="22" s="1"/>
  <c r="F547" i="22"/>
  <c r="J547" i="22" s="1"/>
  <c r="M547" i="22" s="1"/>
  <c r="F548" i="22"/>
  <c r="L548" i="22" s="1"/>
  <c r="M548" i="22" s="1"/>
  <c r="F555" i="22"/>
  <c r="H555" i="22" s="1"/>
  <c r="M555" i="22" s="1"/>
  <c r="F533" i="22"/>
  <c r="H533" i="22" s="1"/>
  <c r="M533" i="22" s="1"/>
  <c r="F554" i="22"/>
  <c r="L554" i="22" s="1"/>
  <c r="M554" i="22" s="1"/>
  <c r="F560" i="22"/>
  <c r="H560" i="22" s="1"/>
  <c r="M560" i="22" s="1"/>
  <c r="F532" i="22"/>
  <c r="L532" i="22" s="1"/>
  <c r="M532" i="22" s="1"/>
  <c r="F538" i="22"/>
  <c r="H538" i="22" s="1"/>
  <c r="M538" i="22" s="1"/>
  <c r="F543" i="22"/>
  <c r="H543" i="22" s="1"/>
  <c r="M543" i="22" s="1"/>
  <c r="F553" i="22"/>
  <c r="J553" i="22" s="1"/>
  <c r="M553" i="22" s="1"/>
  <c r="F557" i="22"/>
  <c r="H557" i="22" s="1"/>
  <c r="M557" i="22" s="1"/>
  <c r="F521" i="22"/>
  <c r="J521" i="22" s="1"/>
  <c r="M521" i="22" s="1"/>
  <c r="F513" i="22"/>
  <c r="H513" i="22" s="1"/>
  <c r="M513" i="22" s="1"/>
  <c r="F512" i="22"/>
  <c r="H512" i="22" s="1"/>
  <c r="M512" i="22" s="1"/>
  <c r="F509" i="22"/>
  <c r="J509" i="22" s="1"/>
  <c r="M509" i="22" s="1"/>
  <c r="F496" i="22"/>
  <c r="H496" i="22" s="1"/>
  <c r="M496" i="22" s="1"/>
  <c r="F424" i="22"/>
  <c r="H424" i="22" s="1"/>
  <c r="M424" i="22" s="1"/>
  <c r="F463" i="22"/>
  <c r="H463" i="22" s="1"/>
  <c r="M463" i="22" s="1"/>
  <c r="F459" i="22"/>
  <c r="J459" i="22" s="1"/>
  <c r="M459" i="22" s="1"/>
  <c r="F460" i="22"/>
  <c r="L460" i="22" s="1"/>
  <c r="M460" i="22" s="1"/>
  <c r="F461" i="22"/>
  <c r="H461" i="22" s="1"/>
  <c r="M461" i="22" s="1"/>
  <c r="F426" i="22"/>
  <c r="H426" i="22" s="1"/>
  <c r="M426" i="22" s="1"/>
  <c r="F425" i="22"/>
  <c r="H425" i="22" s="1"/>
  <c r="M425" i="22" s="1"/>
  <c r="F422" i="22"/>
  <c r="J422" i="22" s="1"/>
  <c r="M422" i="22" s="1"/>
  <c r="F495" i="22"/>
  <c r="H495" i="22" s="1"/>
  <c r="M495" i="22" s="1"/>
  <c r="F499" i="22"/>
  <c r="L499" i="22" s="1"/>
  <c r="M499" i="22" s="1"/>
  <c r="F504" i="22"/>
  <c r="H504" i="22" s="1"/>
  <c r="M504" i="22" s="1"/>
  <c r="F498" i="22"/>
  <c r="J498" i="22" s="1"/>
  <c r="M498" i="22" s="1"/>
  <c r="F503" i="22"/>
  <c r="H503" i="22" s="1"/>
  <c r="M503" i="22" s="1"/>
  <c r="F494" i="22"/>
  <c r="L494" i="22" s="1"/>
  <c r="M494" i="22" s="1"/>
  <c r="F501" i="22"/>
  <c r="H501" i="22" s="1"/>
  <c r="M501" i="22" s="1"/>
  <c r="F502" i="22"/>
  <c r="H502" i="22" s="1"/>
  <c r="M502" i="22" s="1"/>
  <c r="F500" i="22"/>
  <c r="H500" i="22" s="1"/>
  <c r="M500" i="22" s="1"/>
  <c r="N560" i="22" l="1"/>
  <c r="F580" i="22"/>
  <c r="F579" i="22"/>
  <c r="H579" i="22" s="1"/>
  <c r="M579" i="22" s="1"/>
  <c r="F577" i="22"/>
  <c r="H577" i="22" s="1"/>
  <c r="M577" i="22" s="1"/>
  <c r="F574" i="22"/>
  <c r="H574" i="22" s="1"/>
  <c r="M574" i="22" s="1"/>
  <c r="F490" i="22"/>
  <c r="J490" i="22" s="1"/>
  <c r="M490" i="22" s="1"/>
  <c r="F584" i="22"/>
  <c r="H584" i="22" s="1"/>
  <c r="M584" i="22" s="1"/>
  <c r="F585" i="22"/>
  <c r="H585" i="22" s="1"/>
  <c r="M585" i="22" s="1"/>
  <c r="F586" i="22"/>
  <c r="H586" i="22" s="1"/>
  <c r="M586" i="22" s="1"/>
  <c r="F582" i="22"/>
  <c r="J582" i="22" s="1"/>
  <c r="M582" i="22" s="1"/>
  <c r="F583" i="22"/>
  <c r="L583" i="22" s="1"/>
  <c r="M583" i="22" s="1"/>
  <c r="F571" i="22"/>
  <c r="L571" i="22" s="1"/>
  <c r="M571" i="22" s="1"/>
  <c r="F572" i="22"/>
  <c r="L572" i="22" s="1"/>
  <c r="M572" i="22" s="1"/>
  <c r="M580" i="22"/>
  <c r="F573" i="22"/>
  <c r="L573" i="22" s="1"/>
  <c r="M573" i="22" s="1"/>
  <c r="F570" i="22"/>
  <c r="J570" i="22" s="1"/>
  <c r="M570" i="22" s="1"/>
  <c r="L491" i="22"/>
  <c r="M491" i="22" s="1"/>
  <c r="N590" i="22" l="1"/>
  <c r="N523" i="22"/>
  <c r="F481" i="22"/>
  <c r="F469" i="22"/>
  <c r="F470" i="22" s="1"/>
  <c r="J470" i="22" s="1"/>
  <c r="M470" i="22" s="1"/>
  <c r="F464" i="22"/>
  <c r="F468" i="22" s="1"/>
  <c r="H468" i="22" s="1"/>
  <c r="M468" i="22" s="1"/>
  <c r="F433" i="22"/>
  <c r="F435" i="22" s="1"/>
  <c r="H435" i="22" s="1"/>
  <c r="M435" i="22" s="1"/>
  <c r="H456" i="22"/>
  <c r="M456" i="22" s="1"/>
  <c r="F442" i="22"/>
  <c r="F443" i="22" s="1"/>
  <c r="J443" i="22" s="1"/>
  <c r="M443" i="22" s="1"/>
  <c r="F405" i="22"/>
  <c r="F455" i="22"/>
  <c r="H455" i="22" s="1"/>
  <c r="M455" i="22" s="1"/>
  <c r="H457" i="22"/>
  <c r="M457" i="22" s="1"/>
  <c r="E452" i="22"/>
  <c r="F437" i="22"/>
  <c r="E445" i="22"/>
  <c r="F430" i="22"/>
  <c r="H430" i="22" s="1"/>
  <c r="M430" i="22" s="1"/>
  <c r="F419" i="22"/>
  <c r="H419" i="22" s="1"/>
  <c r="M419" i="22" s="1"/>
  <c r="F418" i="22"/>
  <c r="H418" i="22" s="1"/>
  <c r="M418" i="22" s="1"/>
  <c r="H474" i="22"/>
  <c r="M474" i="22" s="1"/>
  <c r="H420" i="22"/>
  <c r="M420" i="22" s="1"/>
  <c r="E415" i="22"/>
  <c r="E408" i="22"/>
  <c r="F313" i="22"/>
  <c r="J313" i="22" s="1"/>
  <c r="M313" i="22" s="1"/>
  <c r="F438" i="22" l="1"/>
  <c r="J438" i="22" s="1"/>
  <c r="M438" i="22" s="1"/>
  <c r="F439" i="22"/>
  <c r="F403" i="22"/>
  <c r="J403" i="22" s="1"/>
  <c r="M403" i="22" s="1"/>
  <c r="L404" i="22"/>
  <c r="M404" i="22" s="1"/>
  <c r="F414" i="22"/>
  <c r="H414" i="22" s="1"/>
  <c r="M414" i="22" s="1"/>
  <c r="F465" i="22"/>
  <c r="J465" i="22" s="1"/>
  <c r="M465" i="22" s="1"/>
  <c r="F473" i="22"/>
  <c r="H473" i="22" s="1"/>
  <c r="M473" i="22" s="1"/>
  <c r="F431" i="22"/>
  <c r="H431" i="22" s="1"/>
  <c r="M431" i="22" s="1"/>
  <c r="F484" i="22"/>
  <c r="H484" i="22" s="1"/>
  <c r="M484" i="22" s="1"/>
  <c r="F482" i="22"/>
  <c r="J482" i="22" s="1"/>
  <c r="M482" i="22" s="1"/>
  <c r="F472" i="22"/>
  <c r="H472" i="22" s="1"/>
  <c r="M472" i="22" s="1"/>
  <c r="F446" i="22"/>
  <c r="H446" i="22" s="1"/>
  <c r="M446" i="22" s="1"/>
  <c r="F467" i="22"/>
  <c r="H467" i="22" s="1"/>
  <c r="M467" i="22" s="1"/>
  <c r="F466" i="22"/>
  <c r="L466" i="22" s="1"/>
  <c r="M466" i="22" s="1"/>
  <c r="F449" i="22"/>
  <c r="L449" i="22" s="1"/>
  <c r="M449" i="22" s="1"/>
  <c r="F454" i="22"/>
  <c r="H454" i="22" s="1"/>
  <c r="M454" i="22" s="1"/>
  <c r="F448" i="22"/>
  <c r="J448" i="22" s="1"/>
  <c r="M448" i="22" s="1"/>
  <c r="F453" i="22"/>
  <c r="H453" i="22" s="1"/>
  <c r="M453" i="22" s="1"/>
  <c r="F451" i="22"/>
  <c r="H451" i="22" s="1"/>
  <c r="M451" i="22" s="1"/>
  <c r="F452" i="22"/>
  <c r="H452" i="22" s="1"/>
  <c r="M452" i="22" s="1"/>
  <c r="F450" i="22"/>
  <c r="F445" i="22"/>
  <c r="H445" i="22" s="1"/>
  <c r="M445" i="22" s="1"/>
  <c r="F444" i="22"/>
  <c r="L444" i="22" s="1"/>
  <c r="M444" i="22" s="1"/>
  <c r="F314" i="22"/>
  <c r="H314" i="22" s="1"/>
  <c r="M314" i="22" s="1"/>
  <c r="F429" i="22"/>
  <c r="L429" i="22" s="1"/>
  <c r="M429" i="22" s="1"/>
  <c r="F432" i="22"/>
  <c r="H432" i="22" s="1"/>
  <c r="M432" i="22" s="1"/>
  <c r="F428" i="22"/>
  <c r="J428" i="22" s="1"/>
  <c r="M428" i="22" s="1"/>
  <c r="F409" i="22"/>
  <c r="H409" i="22" s="1"/>
  <c r="M409" i="22" s="1"/>
  <c r="F411" i="22"/>
  <c r="J411" i="22" s="1"/>
  <c r="M411" i="22" s="1"/>
  <c r="F416" i="22"/>
  <c r="H416" i="22" s="1"/>
  <c r="M416" i="22" s="1"/>
  <c r="F413" i="22"/>
  <c r="H413" i="22" s="1"/>
  <c r="M413" i="22" s="1"/>
  <c r="F417" i="22"/>
  <c r="H417" i="22" s="1"/>
  <c r="M417" i="22" s="1"/>
  <c r="F471" i="22"/>
  <c r="H471" i="22" s="1"/>
  <c r="M471" i="22" s="1"/>
  <c r="F408" i="22"/>
  <c r="H408" i="22" s="1"/>
  <c r="M408" i="22" s="1"/>
  <c r="F401" i="22"/>
  <c r="J401" i="22" s="1"/>
  <c r="M401" i="22" s="1"/>
  <c r="F434" i="22"/>
  <c r="F412" i="22"/>
  <c r="L412" i="22" s="1"/>
  <c r="M412" i="22" s="1"/>
  <c r="F415" i="22"/>
  <c r="H415" i="22" s="1"/>
  <c r="M415" i="22" s="1"/>
  <c r="F407" i="22"/>
  <c r="L407" i="22" s="1"/>
  <c r="M407" i="22" s="1"/>
  <c r="F406" i="22"/>
  <c r="J406" i="22" s="1"/>
  <c r="M406" i="22" s="1"/>
  <c r="H298" i="22"/>
  <c r="M298" i="22" s="1"/>
  <c r="H299" i="22"/>
  <c r="M299" i="22" s="1"/>
  <c r="E294" i="22"/>
  <c r="F294" i="22" s="1"/>
  <c r="H294" i="22" s="1"/>
  <c r="M294" i="22" s="1"/>
  <c r="F297" i="22"/>
  <c r="H297" i="22" s="1"/>
  <c r="M297" i="22" s="1"/>
  <c r="F296" i="22"/>
  <c r="H296" i="22" s="1"/>
  <c r="M296" i="22" s="1"/>
  <c r="F295" i="22"/>
  <c r="H295" i="22" s="1"/>
  <c r="M295" i="22" s="1"/>
  <c r="F293" i="22"/>
  <c r="H293" i="22" s="1"/>
  <c r="M293" i="22" s="1"/>
  <c r="F292" i="22"/>
  <c r="H292" i="22" s="1"/>
  <c r="M292" i="22" s="1"/>
  <c r="F291" i="22"/>
  <c r="L291" i="22" s="1"/>
  <c r="M291" i="22" s="1"/>
  <c r="F290" i="22"/>
  <c r="J290" i="22" s="1"/>
  <c r="M290" i="22" s="1"/>
  <c r="F304" i="22"/>
  <c r="H304" i="22" s="1"/>
  <c r="M304" i="22" s="1"/>
  <c r="E303" i="22"/>
  <c r="E302" i="22"/>
  <c r="E301" i="22"/>
  <c r="F309" i="22"/>
  <c r="H309" i="22" s="1"/>
  <c r="M309" i="22" s="1"/>
  <c r="H282" i="22"/>
  <c r="M282" i="22" s="1"/>
  <c r="F271" i="22"/>
  <c r="H271" i="22" s="1"/>
  <c r="M271" i="22" s="1"/>
  <c r="F273" i="22"/>
  <c r="J273" i="22" s="1"/>
  <c r="M273" i="22" s="1"/>
  <c r="E95" i="22"/>
  <c r="E75" i="22"/>
  <c r="E55" i="22"/>
  <c r="E277" i="22"/>
  <c r="E270" i="22"/>
  <c r="E135" i="22"/>
  <c r="F127" i="22"/>
  <c r="F52" i="22"/>
  <c r="F53" i="22" s="1"/>
  <c r="J53" i="22" s="1"/>
  <c r="M53" i="22" s="1"/>
  <c r="F67" i="22"/>
  <c r="F69" i="22" s="1"/>
  <c r="F72" i="22"/>
  <c r="F76" i="22" s="1"/>
  <c r="H76" i="22" s="1"/>
  <c r="M76" i="22" s="1"/>
  <c r="F87" i="22"/>
  <c r="F89" i="22" s="1"/>
  <c r="E104" i="22"/>
  <c r="E103" i="22"/>
  <c r="H100" i="22"/>
  <c r="M100" i="22" s="1"/>
  <c r="E99" i="22"/>
  <c r="F97" i="22"/>
  <c r="F101" i="22" s="1"/>
  <c r="H101" i="22" s="1"/>
  <c r="M101" i="22" s="1"/>
  <c r="F92" i="22"/>
  <c r="F96" i="22" s="1"/>
  <c r="H96" i="22" s="1"/>
  <c r="M96" i="22" s="1"/>
  <c r="E84" i="22"/>
  <c r="E83" i="22"/>
  <c r="H80" i="22"/>
  <c r="M80" i="22" s="1"/>
  <c r="E79" i="22"/>
  <c r="F77" i="22"/>
  <c r="F81" i="22" s="1"/>
  <c r="H81" i="22" s="1"/>
  <c r="M81" i="22" s="1"/>
  <c r="F132" i="22"/>
  <c r="F137" i="22"/>
  <c r="F47" i="22"/>
  <c r="F440" i="22" l="1"/>
  <c r="J440" i="22" s="1"/>
  <c r="M440" i="22" s="1"/>
  <c r="F441" i="22"/>
  <c r="L441" i="22" s="1"/>
  <c r="M441" i="22" s="1"/>
  <c r="J434" i="22"/>
  <c r="M434" i="22" s="1"/>
  <c r="N435" i="22" s="1"/>
  <c r="F285" i="22"/>
  <c r="J285" i="22" s="1"/>
  <c r="M285" i="22" s="1"/>
  <c r="F286" i="22"/>
  <c r="L286" i="22" s="1"/>
  <c r="M286" i="22" s="1"/>
  <c r="F288" i="22"/>
  <c r="H288" i="22" s="1"/>
  <c r="M288" i="22" s="1"/>
  <c r="F287" i="22"/>
  <c r="H287" i="22" s="1"/>
  <c r="M287" i="22" s="1"/>
  <c r="H281" i="22"/>
  <c r="M281" i="22" s="1"/>
  <c r="H450" i="22"/>
  <c r="M450" i="22" s="1"/>
  <c r="F311" i="22"/>
  <c r="H311" i="22" s="1"/>
  <c r="M311" i="22" s="1"/>
  <c r="F307" i="22"/>
  <c r="J307" i="22" s="1"/>
  <c r="M307" i="22" s="1"/>
  <c r="F308" i="22"/>
  <c r="L308" i="22" s="1"/>
  <c r="M308" i="22" s="1"/>
  <c r="F310" i="22"/>
  <c r="H310" i="22" s="1"/>
  <c r="M310" i="22" s="1"/>
  <c r="F305" i="22"/>
  <c r="H305" i="22" s="1"/>
  <c r="M305" i="22" s="1"/>
  <c r="F301" i="22"/>
  <c r="J301" i="22" s="1"/>
  <c r="M301" i="22" s="1"/>
  <c r="F302" i="22"/>
  <c r="L302" i="22" s="1"/>
  <c r="M302" i="22" s="1"/>
  <c r="F303" i="22"/>
  <c r="H303" i="22" s="1"/>
  <c r="M303" i="22" s="1"/>
  <c r="F99" i="22"/>
  <c r="L99" i="22" s="1"/>
  <c r="M99" i="22" s="1"/>
  <c r="F278" i="22"/>
  <c r="H278" i="22" s="1"/>
  <c r="M278" i="22" s="1"/>
  <c r="F274" i="22"/>
  <c r="L274" i="22" s="1"/>
  <c r="M274" i="22" s="1"/>
  <c r="F277" i="22"/>
  <c r="H277" i="22" s="1"/>
  <c r="M277" i="22" s="1"/>
  <c r="F279" i="22"/>
  <c r="H279" i="22" s="1"/>
  <c r="M279" i="22" s="1"/>
  <c r="F275" i="22"/>
  <c r="H275" i="22" s="1"/>
  <c r="M275" i="22" s="1"/>
  <c r="F280" i="22"/>
  <c r="H280" i="22" s="1"/>
  <c r="M280" i="22" s="1"/>
  <c r="F276" i="22"/>
  <c r="H276" i="22" s="1"/>
  <c r="M276" i="22" s="1"/>
  <c r="F268" i="22"/>
  <c r="J268" i="22" s="1"/>
  <c r="M268" i="22" s="1"/>
  <c r="F98" i="22"/>
  <c r="J98" i="22" s="1"/>
  <c r="M98" i="22" s="1"/>
  <c r="F93" i="22"/>
  <c r="J93" i="22" s="1"/>
  <c r="M93" i="22" s="1"/>
  <c r="F94" i="22"/>
  <c r="L94" i="22" s="1"/>
  <c r="M94" i="22" s="1"/>
  <c r="F95" i="22"/>
  <c r="H95" i="22" s="1"/>
  <c r="M95" i="22" s="1"/>
  <c r="F103" i="22"/>
  <c r="H103" i="22" s="1"/>
  <c r="M103" i="22" s="1"/>
  <c r="F73" i="22"/>
  <c r="J73" i="22" s="1"/>
  <c r="M73" i="22" s="1"/>
  <c r="F104" i="22"/>
  <c r="H104" i="22" s="1"/>
  <c r="M104" i="22" s="1"/>
  <c r="F54" i="22"/>
  <c r="L54" i="22" s="1"/>
  <c r="M54" i="22" s="1"/>
  <c r="F74" i="22"/>
  <c r="L74" i="22" s="1"/>
  <c r="M74" i="22" s="1"/>
  <c r="F270" i="22"/>
  <c r="H270" i="22" s="1"/>
  <c r="M270" i="22" s="1"/>
  <c r="F55" i="22"/>
  <c r="H55" i="22" s="1"/>
  <c r="F75" i="22"/>
  <c r="H75" i="22" s="1"/>
  <c r="M75" i="22" s="1"/>
  <c r="F102" i="22"/>
  <c r="H102" i="22" s="1"/>
  <c r="M102" i="22" s="1"/>
  <c r="F56" i="22"/>
  <c r="H56" i="22" s="1"/>
  <c r="M56" i="22" s="1"/>
  <c r="F83" i="22"/>
  <c r="H83" i="22" s="1"/>
  <c r="M83" i="22" s="1"/>
  <c r="F269" i="22"/>
  <c r="L269" i="22" s="1"/>
  <c r="M269" i="22" s="1"/>
  <c r="F79" i="22"/>
  <c r="L79" i="22" s="1"/>
  <c r="M79" i="22" s="1"/>
  <c r="F82" i="22"/>
  <c r="H82" i="22" s="1"/>
  <c r="M82" i="22" s="1"/>
  <c r="F84" i="22"/>
  <c r="H84" i="22" s="1"/>
  <c r="M84" i="22" s="1"/>
  <c r="F78" i="22"/>
  <c r="J78" i="22" s="1"/>
  <c r="M78" i="22" s="1"/>
  <c r="F88" i="22"/>
  <c r="J88" i="22" s="1"/>
  <c r="M88" i="22" s="1"/>
  <c r="F91" i="22"/>
  <c r="L91" i="22" s="1"/>
  <c r="M91" i="22" s="1"/>
  <c r="F90" i="22"/>
  <c r="J90" i="22" s="1"/>
  <c r="M90" i="22" s="1"/>
  <c r="F68" i="22"/>
  <c r="J68" i="22" s="1"/>
  <c r="M68" i="22" s="1"/>
  <c r="F71" i="22"/>
  <c r="L71" i="22" s="1"/>
  <c r="M71" i="22" s="1"/>
  <c r="F70" i="22"/>
  <c r="J70" i="22" s="1"/>
  <c r="M70" i="22" s="1"/>
  <c r="M55" i="22" l="1"/>
  <c r="N396" i="22"/>
  <c r="N104" i="22"/>
  <c r="N317" i="22"/>
  <c r="N84" i="22"/>
  <c r="F477" i="22"/>
  <c r="L477" i="22" s="1"/>
  <c r="M477" i="22" s="1"/>
  <c r="F478" i="22"/>
  <c r="H478" i="22" s="1"/>
  <c r="M478" i="22" s="1"/>
  <c r="F476" i="22"/>
  <c r="J476" i="22" s="1"/>
  <c r="M476" i="22" s="1"/>
  <c r="F480" i="22"/>
  <c r="H480" i="22" s="1"/>
  <c r="M480" i="22" s="1"/>
  <c r="F479" i="22"/>
  <c r="H479" i="22" s="1"/>
  <c r="M479" i="22" s="1"/>
  <c r="N484" i="22" l="1"/>
  <c r="F61" i="22"/>
  <c r="F11" i="22" l="1"/>
  <c r="J11" i="22" s="1"/>
  <c r="M11" i="22" s="1"/>
  <c r="F138" i="22" l="1"/>
  <c r="H60" i="22"/>
  <c r="M60" i="22" l="1"/>
  <c r="F64" i="23"/>
  <c r="F33" i="24" l="1"/>
  <c r="H37" i="24"/>
  <c r="M37" i="24" s="1"/>
  <c r="F16" i="24"/>
  <c r="F18" i="24" s="1"/>
  <c r="H18" i="24" s="1"/>
  <c r="H23" i="24"/>
  <c r="M23" i="24" s="1"/>
  <c r="F76" i="24"/>
  <c r="H76" i="24" s="1"/>
  <c r="M76" i="24" s="1"/>
  <c r="F75" i="24"/>
  <c r="H75" i="24" s="1"/>
  <c r="M75" i="24" s="1"/>
  <c r="F74" i="24"/>
  <c r="H74" i="24" s="1"/>
  <c r="M74" i="24" s="1"/>
  <c r="F73" i="24"/>
  <c r="H73" i="24" s="1"/>
  <c r="M73" i="24" s="1"/>
  <c r="F72" i="24"/>
  <c r="J72" i="24" s="1"/>
  <c r="M72" i="24" s="1"/>
  <c r="F66" i="24"/>
  <c r="F67" i="24" s="1"/>
  <c r="J67" i="24" s="1"/>
  <c r="M67" i="24" s="1"/>
  <c r="E64" i="24"/>
  <c r="F63" i="24"/>
  <c r="F65" i="24" s="1"/>
  <c r="H65" i="24" s="1"/>
  <c r="M65" i="24" s="1"/>
  <c r="E62" i="24"/>
  <c r="H61" i="24"/>
  <c r="M61" i="24" s="1"/>
  <c r="E60" i="24"/>
  <c r="D60" i="24"/>
  <c r="E59" i="24"/>
  <c r="E58" i="24"/>
  <c r="F57" i="24"/>
  <c r="E55" i="24"/>
  <c r="F54" i="24"/>
  <c r="F56" i="24" s="1"/>
  <c r="H56" i="24" s="1"/>
  <c r="M56" i="24" s="1"/>
  <c r="F51" i="24"/>
  <c r="F53" i="24" s="1"/>
  <c r="L53" i="24" s="1"/>
  <c r="M53" i="24" s="1"/>
  <c r="F49" i="24"/>
  <c r="F50" i="24" s="1"/>
  <c r="J50" i="24" s="1"/>
  <c r="M50" i="24" s="1"/>
  <c r="F47" i="24"/>
  <c r="H47" i="24" s="1"/>
  <c r="M47" i="24" s="1"/>
  <c r="F46" i="24"/>
  <c r="H46" i="24" s="1"/>
  <c r="M46" i="24" s="1"/>
  <c r="F45" i="24"/>
  <c r="L45" i="24" s="1"/>
  <c r="M45" i="24" s="1"/>
  <c r="F44" i="24"/>
  <c r="J44" i="24" s="1"/>
  <c r="M44" i="24" s="1"/>
  <c r="H36" i="24"/>
  <c r="M36" i="24" s="1"/>
  <c r="F35" i="24"/>
  <c r="L35" i="24" s="1"/>
  <c r="M35" i="24" s="1"/>
  <c r="E28" i="24"/>
  <c r="F27" i="24"/>
  <c r="F29" i="24" s="1"/>
  <c r="H29" i="24" s="1"/>
  <c r="M29" i="24" s="1"/>
  <c r="F21" i="24"/>
  <c r="L21" i="24" s="1"/>
  <c r="M21" i="24" s="1"/>
  <c r="E17" i="24"/>
  <c r="F13" i="24"/>
  <c r="F15" i="24" s="1"/>
  <c r="L15" i="24" s="1"/>
  <c r="F62" i="24" l="1"/>
  <c r="H62" i="24" s="1"/>
  <c r="M62" i="24" s="1"/>
  <c r="F64" i="24"/>
  <c r="J64" i="24" s="1"/>
  <c r="M64" i="24" s="1"/>
  <c r="F14" i="24"/>
  <c r="J14" i="24" s="1"/>
  <c r="M14" i="24" s="1"/>
  <c r="F28" i="24"/>
  <c r="J28" i="24" s="1"/>
  <c r="M28" i="24" s="1"/>
  <c r="F39" i="24"/>
  <c r="F40" i="24" s="1"/>
  <c r="J40" i="24" s="1"/>
  <c r="M40" i="24" s="1"/>
  <c r="F26" i="24"/>
  <c r="J26" i="24" s="1"/>
  <c r="M26" i="24" s="1"/>
  <c r="F60" i="24"/>
  <c r="H60" i="24" s="1"/>
  <c r="M60" i="24" s="1"/>
  <c r="F55" i="24"/>
  <c r="J55" i="24" s="1"/>
  <c r="M55" i="24" s="1"/>
  <c r="H22" i="24"/>
  <c r="M22" i="24" s="1"/>
  <c r="F12" i="24"/>
  <c r="J12" i="24" s="1"/>
  <c r="M12" i="24" s="1"/>
  <c r="F24" i="24"/>
  <c r="H24" i="24" s="1"/>
  <c r="M24" i="24" s="1"/>
  <c r="F17" i="24"/>
  <c r="J17" i="24" s="1"/>
  <c r="M17" i="24" s="1"/>
  <c r="M15" i="24"/>
  <c r="M18" i="24"/>
  <c r="F20" i="24"/>
  <c r="J20" i="24" s="1"/>
  <c r="M20" i="24" s="1"/>
  <c r="F34" i="24"/>
  <c r="J34" i="24" s="1"/>
  <c r="M34" i="24" s="1"/>
  <c r="F38" i="24"/>
  <c r="H38" i="24" s="1"/>
  <c r="M38" i="24" s="1"/>
  <c r="F52" i="24"/>
  <c r="J52" i="24" s="1"/>
  <c r="M52" i="24" s="1"/>
  <c r="F58" i="24"/>
  <c r="J58" i="24" s="1"/>
  <c r="M58" i="24" s="1"/>
  <c r="F59" i="24"/>
  <c r="L59" i="24" s="1"/>
  <c r="M59" i="24" s="1"/>
  <c r="F68" i="24"/>
  <c r="F70" i="24" s="1"/>
  <c r="L70" i="24" s="1"/>
  <c r="M70" i="24" s="1"/>
  <c r="F42" i="24" l="1"/>
  <c r="F41" i="24"/>
  <c r="H41" i="24" s="1"/>
  <c r="M41" i="24" s="1"/>
  <c r="F69" i="24"/>
  <c r="J69" i="24" s="1"/>
  <c r="M69" i="24" s="1"/>
  <c r="H77" i="24" l="1"/>
  <c r="M78" i="24" s="1"/>
  <c r="L77" i="24"/>
  <c r="M77" i="24"/>
  <c r="J77" i="24"/>
  <c r="M86" i="24" s="1"/>
  <c r="M79" i="24" l="1"/>
  <c r="M80" i="24" s="1"/>
  <c r="M81" i="24" s="1"/>
  <c r="M82" i="24" s="1"/>
  <c r="M83" i="24" s="1"/>
  <c r="M84" i="24" l="1"/>
  <c r="M85" i="24" s="1"/>
  <c r="M87" i="24" s="1"/>
  <c r="M88" i="24" l="1"/>
  <c r="M89" i="24" s="1"/>
  <c r="D20" i="25" s="1"/>
  <c r="G20" i="25" s="1"/>
  <c r="H143" i="22" l="1"/>
  <c r="M143" i="22" s="1"/>
  <c r="F726" i="22" l="1"/>
  <c r="H726" i="22" s="1"/>
  <c r="M726" i="22" s="1"/>
  <c r="F136" i="22"/>
  <c r="H136" i="22" s="1"/>
  <c r="M136" i="22" s="1"/>
  <c r="F129" i="22"/>
  <c r="F144" i="22"/>
  <c r="F147" i="22" s="1"/>
  <c r="H147" i="22" s="1"/>
  <c r="M147" i="22" s="1"/>
  <c r="F141" i="22" l="1"/>
  <c r="H141" i="22" s="1"/>
  <c r="M141" i="22" s="1"/>
  <c r="F142" i="22"/>
  <c r="H142" i="22" s="1"/>
  <c r="M142" i="22" s="1"/>
  <c r="F128" i="22"/>
  <c r="J128" i="22" s="1"/>
  <c r="M128" i="22" s="1"/>
  <c r="F148" i="22"/>
  <c r="F130" i="22"/>
  <c r="J130" i="22" s="1"/>
  <c r="M130" i="22" s="1"/>
  <c r="F131" i="22"/>
  <c r="L131" i="22" s="1"/>
  <c r="M131" i="22" s="1"/>
  <c r="F140" i="22"/>
  <c r="H140" i="22" s="1"/>
  <c r="M140" i="22" s="1"/>
  <c r="F134" i="22"/>
  <c r="L134" i="22" s="1"/>
  <c r="M134" i="22" s="1"/>
  <c r="F135" i="22"/>
  <c r="H135" i="22" s="1"/>
  <c r="M135" i="22" s="1"/>
  <c r="F146" i="22"/>
  <c r="L146" i="22" s="1"/>
  <c r="M146" i="22" s="1"/>
  <c r="F133" i="22"/>
  <c r="J133" i="22" s="1"/>
  <c r="M133" i="22" s="1"/>
  <c r="F145" i="22"/>
  <c r="J145" i="22" s="1"/>
  <c r="F149" i="22"/>
  <c r="H149" i="22" s="1"/>
  <c r="M149" i="22" s="1"/>
  <c r="H148" i="22" l="1"/>
  <c r="M148" i="22" s="1"/>
  <c r="F139" i="22"/>
  <c r="J139" i="22" s="1"/>
  <c r="M139" i="22" s="1"/>
  <c r="M145" i="22"/>
  <c r="N149" i="22" l="1"/>
  <c r="F31" i="22"/>
  <c r="J31" i="22" s="1"/>
  <c r="M31" i="22" s="1"/>
  <c r="F25" i="22" l="1"/>
  <c r="J25" i="22" s="1"/>
  <c r="M25" i="22" s="1"/>
  <c r="F26" i="22"/>
  <c r="L26" i="22" s="1"/>
  <c r="M26" i="22" s="1"/>
  <c r="F21" i="22"/>
  <c r="F22" i="22" s="1"/>
  <c r="J22" i="22" s="1"/>
  <c r="M22" i="22" s="1"/>
  <c r="F20" i="22"/>
  <c r="L20" i="22" s="1"/>
  <c r="M20" i="22" s="1"/>
  <c r="F19" i="22"/>
  <c r="J19" i="22" s="1"/>
  <c r="M19" i="22" s="1"/>
  <c r="F14" i="22"/>
  <c r="L14" i="22" s="1"/>
  <c r="F13" i="22"/>
  <c r="J13" i="22" s="1"/>
  <c r="M13" i="22" s="1"/>
  <c r="M14" i="22" l="1"/>
  <c r="F16" i="22"/>
  <c r="J16" i="22" s="1"/>
  <c r="M16" i="22" s="1"/>
  <c r="F42" i="22"/>
  <c r="J42" i="22" s="1"/>
  <c r="M42" i="22" s="1"/>
  <c r="F40" i="22"/>
  <c r="J40" i="22" s="1"/>
  <c r="F23" i="22"/>
  <c r="L23" i="22" s="1"/>
  <c r="M23" i="22" s="1"/>
  <c r="F17" i="22"/>
  <c r="L17" i="22" s="1"/>
  <c r="M17" i="22" s="1"/>
  <c r="M40" i="22" l="1"/>
  <c r="F43" i="22"/>
  <c r="L43" i="22" s="1"/>
  <c r="M43" i="22" s="1"/>
  <c r="N43" i="22" l="1"/>
  <c r="F652" i="22"/>
  <c r="F95" i="23" l="1"/>
  <c r="F98" i="23" l="1"/>
  <c r="H97" i="23"/>
  <c r="M97" i="23" s="1"/>
  <c r="E96" i="23"/>
  <c r="F96" i="23" l="1"/>
  <c r="J96" i="23" s="1"/>
  <c r="M96" i="23" s="1"/>
  <c r="H83" i="23" l="1"/>
  <c r="M83" i="23" s="1"/>
  <c r="F106" i="23"/>
  <c r="F110" i="23" s="1"/>
  <c r="H110" i="23" s="1"/>
  <c r="M110" i="23" s="1"/>
  <c r="H71" i="23"/>
  <c r="M71" i="23" s="1"/>
  <c r="H66" i="23"/>
  <c r="M66" i="23" s="1"/>
  <c r="F59" i="23"/>
  <c r="F56" i="23" s="1"/>
  <c r="F647" i="22" l="1"/>
  <c r="G14" i="26" l="1"/>
  <c r="H14" i="26" s="1"/>
  <c r="G19" i="26"/>
  <c r="G17" i="26"/>
  <c r="G16" i="26"/>
  <c r="G15" i="26"/>
  <c r="H15" i="26" l="1"/>
  <c r="H16" i="26"/>
  <c r="H17" i="26"/>
  <c r="H19" i="26"/>
  <c r="J19" i="26"/>
  <c r="M19" i="26" l="1"/>
  <c r="H69" i="23" l="1"/>
  <c r="M69" i="23" s="1"/>
  <c r="F100" i="23" l="1"/>
  <c r="F113" i="23" l="1"/>
  <c r="F114" i="23" s="1"/>
  <c r="J114" i="23" s="1"/>
  <c r="M114" i="23" s="1"/>
  <c r="H116" i="23"/>
  <c r="M116" i="23" s="1"/>
  <c r="F104" i="23"/>
  <c r="H104" i="23" s="1"/>
  <c r="M104" i="23" s="1"/>
  <c r="H103" i="23"/>
  <c r="M103" i="23" s="1"/>
  <c r="F102" i="23"/>
  <c r="L102" i="23" s="1"/>
  <c r="M102" i="23" s="1"/>
  <c r="F101" i="23"/>
  <c r="J101" i="23" s="1"/>
  <c r="M101" i="23" s="1"/>
  <c r="F112" i="23"/>
  <c r="H112" i="23" s="1"/>
  <c r="M112" i="23" s="1"/>
  <c r="H105" i="23"/>
  <c r="M105" i="23" s="1"/>
  <c r="H109" i="23"/>
  <c r="M109" i="23" s="1"/>
  <c r="F108" i="23"/>
  <c r="L108" i="23" s="1"/>
  <c r="M108" i="23" s="1"/>
  <c r="F107" i="23"/>
  <c r="J107" i="23" s="1"/>
  <c r="M107" i="23" s="1"/>
  <c r="H68" i="23"/>
  <c r="M68" i="23" s="1"/>
  <c r="H67" i="23"/>
  <c r="M67" i="23" s="1"/>
  <c r="F65" i="23"/>
  <c r="J65" i="23" s="1"/>
  <c r="M65" i="23" s="1"/>
  <c r="F26" i="23"/>
  <c r="H26" i="23" s="1"/>
  <c r="M26" i="23" s="1"/>
  <c r="F25" i="23"/>
  <c r="L25" i="23" s="1"/>
  <c r="M25" i="23" s="1"/>
  <c r="F1248" i="22"/>
  <c r="F695" i="22"/>
  <c r="F705" i="22"/>
  <c r="H649" i="22"/>
  <c r="F115" i="23" l="1"/>
  <c r="L115" i="23" s="1"/>
  <c r="M115" i="23" s="1"/>
  <c r="F117" i="23"/>
  <c r="H117" i="23" s="1"/>
  <c r="M117" i="23" s="1"/>
  <c r="F24" i="23"/>
  <c r="J24" i="23" s="1"/>
  <c r="M24" i="23" s="1"/>
  <c r="F27" i="23"/>
  <c r="H27" i="23" s="1"/>
  <c r="M27" i="23" s="1"/>
  <c r="A1" i="26" l="1"/>
  <c r="A1" i="24"/>
  <c r="A1" i="23"/>
  <c r="A1" i="22"/>
  <c r="J17" i="26" l="1"/>
  <c r="J16" i="26"/>
  <c r="J15" i="26"/>
  <c r="J14" i="26"/>
  <c r="M17" i="26" l="1"/>
  <c r="M15" i="26"/>
  <c r="M14" i="26"/>
  <c r="M16" i="26"/>
  <c r="L40" i="26" l="1"/>
  <c r="J40" i="26"/>
  <c r="H40" i="26"/>
  <c r="L38" i="26"/>
  <c r="J38" i="26"/>
  <c r="H38" i="26"/>
  <c r="L36" i="26"/>
  <c r="J36" i="26"/>
  <c r="H36" i="26"/>
  <c r="L34" i="26"/>
  <c r="J34" i="26"/>
  <c r="H34" i="26"/>
  <c r="L32" i="26"/>
  <c r="J32" i="26"/>
  <c r="H32" i="26"/>
  <c r="L30" i="26"/>
  <c r="J30" i="26"/>
  <c r="H30" i="26"/>
  <c r="L28" i="26"/>
  <c r="J28" i="26"/>
  <c r="H28" i="26"/>
  <c r="L26" i="26"/>
  <c r="J26" i="26"/>
  <c r="H26" i="26"/>
  <c r="L24" i="26"/>
  <c r="J24" i="26"/>
  <c r="H24" i="26"/>
  <c r="L22" i="26"/>
  <c r="J22" i="26"/>
  <c r="H22" i="26"/>
  <c r="J11" i="26"/>
  <c r="H11" i="26"/>
  <c r="J10" i="26"/>
  <c r="H10" i="26"/>
  <c r="J9" i="26"/>
  <c r="H9" i="26"/>
  <c r="L8" i="26"/>
  <c r="J8" i="26"/>
  <c r="H8" i="26"/>
  <c r="H92" i="23"/>
  <c r="M92" i="23" s="1"/>
  <c r="H84" i="23"/>
  <c r="M84" i="23" s="1"/>
  <c r="H91" i="23"/>
  <c r="M91" i="23" s="1"/>
  <c r="H90" i="23"/>
  <c r="M90" i="23" s="1"/>
  <c r="H89" i="23"/>
  <c r="M89" i="23" s="1"/>
  <c r="H87" i="23"/>
  <c r="M87" i="23" s="1"/>
  <c r="H86" i="23"/>
  <c r="M86" i="23" s="1"/>
  <c r="H82" i="23"/>
  <c r="M82" i="23" s="1"/>
  <c r="F81" i="23"/>
  <c r="L81" i="23" s="1"/>
  <c r="M81" i="23" s="1"/>
  <c r="F80" i="23"/>
  <c r="J80" i="23" s="1"/>
  <c r="M80" i="23" s="1"/>
  <c r="F78" i="23"/>
  <c r="H78" i="23" s="1"/>
  <c r="F77" i="23"/>
  <c r="H77" i="23" s="1"/>
  <c r="F76" i="23"/>
  <c r="H76" i="23" s="1"/>
  <c r="F75" i="23"/>
  <c r="F74" i="23"/>
  <c r="J74" i="23" s="1"/>
  <c r="H59" i="23"/>
  <c r="F57" i="23"/>
  <c r="J57" i="23" s="1"/>
  <c r="M57" i="23" s="1"/>
  <c r="H48" i="23"/>
  <c r="M48" i="23" s="1"/>
  <c r="F49" i="23"/>
  <c r="H49" i="23" s="1"/>
  <c r="M49" i="23" s="1"/>
  <c r="F32" i="23"/>
  <c r="J32" i="23" s="1"/>
  <c r="M32" i="23" s="1"/>
  <c r="F30" i="23"/>
  <c r="H30" i="23" s="1"/>
  <c r="M30" i="23" s="1"/>
  <c r="E29" i="23"/>
  <c r="F29" i="23" s="1"/>
  <c r="J29" i="23" s="1"/>
  <c r="M29" i="23" s="1"/>
  <c r="F21" i="23"/>
  <c r="J21" i="23" s="1"/>
  <c r="M21" i="23" s="1"/>
  <c r="F22" i="23"/>
  <c r="H22" i="23" s="1"/>
  <c r="F19" i="23"/>
  <c r="J19" i="23" s="1"/>
  <c r="M19" i="23" s="1"/>
  <c r="F17" i="23"/>
  <c r="J17" i="23" s="1"/>
  <c r="F1250" i="22"/>
  <c r="L1250" i="22" s="1"/>
  <c r="M1250" i="22" s="1"/>
  <c r="F1247" i="22"/>
  <c r="J1247" i="22" s="1"/>
  <c r="M1247" i="22" s="1"/>
  <c r="F733" i="22"/>
  <c r="H733" i="22" s="1"/>
  <c r="M733" i="22" s="1"/>
  <c r="F732" i="22"/>
  <c r="H732" i="22" s="1"/>
  <c r="M732" i="22" s="1"/>
  <c r="F731" i="22"/>
  <c r="H731" i="22" s="1"/>
  <c r="M731" i="22" s="1"/>
  <c r="F729" i="22"/>
  <c r="F730" i="22" s="1"/>
  <c r="J730" i="22" s="1"/>
  <c r="M730" i="22" s="1"/>
  <c r="F725" i="22"/>
  <c r="H725" i="22" s="1"/>
  <c r="M725" i="22" s="1"/>
  <c r="F724" i="22"/>
  <c r="H724" i="22" s="1"/>
  <c r="M724" i="22" s="1"/>
  <c r="F723" i="22"/>
  <c r="H723" i="22" s="1"/>
  <c r="M723" i="22" s="1"/>
  <c r="F722" i="22"/>
  <c r="H722" i="22" s="1"/>
  <c r="M722" i="22" s="1"/>
  <c r="F720" i="22"/>
  <c r="H720" i="22" s="1"/>
  <c r="M720" i="22" s="1"/>
  <c r="F719" i="22"/>
  <c r="H719" i="22" s="1"/>
  <c r="M719" i="22" s="1"/>
  <c r="F718" i="22"/>
  <c r="H718" i="22" s="1"/>
  <c r="M718" i="22" s="1"/>
  <c r="F716" i="22"/>
  <c r="H716" i="22" s="1"/>
  <c r="M716" i="22" s="1"/>
  <c r="F715" i="22"/>
  <c r="H715" i="22" s="1"/>
  <c r="M715" i="22" s="1"/>
  <c r="F714" i="22"/>
  <c r="H714" i="22" s="1"/>
  <c r="M714" i="22" s="1"/>
  <c r="F713" i="22"/>
  <c r="H713" i="22" s="1"/>
  <c r="M713" i="22" s="1"/>
  <c r="F712" i="22"/>
  <c r="H712" i="22" s="1"/>
  <c r="M712" i="22" s="1"/>
  <c r="F711" i="22"/>
  <c r="H711" i="22" s="1"/>
  <c r="M711" i="22" s="1"/>
  <c r="F710" i="22"/>
  <c r="H710" i="22" s="1"/>
  <c r="M710" i="22" s="1"/>
  <c r="F709" i="22"/>
  <c r="H709" i="22" s="1"/>
  <c r="M709" i="22" s="1"/>
  <c r="F707" i="22"/>
  <c r="H707" i="22" s="1"/>
  <c r="M707" i="22" s="1"/>
  <c r="H705" i="22"/>
  <c r="M705" i="22" s="1"/>
  <c r="F704" i="22"/>
  <c r="H704" i="22" s="1"/>
  <c r="M704" i="22" s="1"/>
  <c r="F699" i="22"/>
  <c r="H699" i="22" s="1"/>
  <c r="M699" i="22" s="1"/>
  <c r="F698" i="22"/>
  <c r="H698" i="22" s="1"/>
  <c r="M698" i="22" s="1"/>
  <c r="F697" i="22"/>
  <c r="H697" i="22" s="1"/>
  <c r="M697" i="22" s="1"/>
  <c r="H695" i="22"/>
  <c r="M695" i="22" s="1"/>
  <c r="F696" i="22"/>
  <c r="H696" i="22" s="1"/>
  <c r="M696" i="22" s="1"/>
  <c r="F690" i="22"/>
  <c r="F694" i="22" s="1"/>
  <c r="E654" i="22"/>
  <c r="F654" i="22" s="1"/>
  <c r="H654" i="22" s="1"/>
  <c r="M654" i="22" s="1"/>
  <c r="E653" i="22"/>
  <c r="F653" i="22" s="1"/>
  <c r="J653" i="22" s="1"/>
  <c r="M653" i="22" s="1"/>
  <c r="E64" i="22"/>
  <c r="E63" i="22"/>
  <c r="E59" i="22"/>
  <c r="E648" i="22"/>
  <c r="L649" i="22"/>
  <c r="M649" i="22" s="1"/>
  <c r="L44" i="26" l="1"/>
  <c r="H44" i="26"/>
  <c r="J44" i="26"/>
  <c r="M11" i="26"/>
  <c r="F58" i="22"/>
  <c r="J58" i="22" s="1"/>
  <c r="M58" i="22" s="1"/>
  <c r="M59" i="23"/>
  <c r="L75" i="23"/>
  <c r="H98" i="23"/>
  <c r="M98" i="23" s="1"/>
  <c r="M10" i="26"/>
  <c r="F48" i="22"/>
  <c r="J48" i="22" s="1"/>
  <c r="F49" i="22"/>
  <c r="M26" i="26"/>
  <c r="M40" i="26"/>
  <c r="M8" i="26"/>
  <c r="M9" i="26"/>
  <c r="M22" i="26"/>
  <c r="M30" i="26"/>
  <c r="M38" i="26"/>
  <c r="M28" i="26"/>
  <c r="M36" i="26"/>
  <c r="M34" i="26"/>
  <c r="M24" i="26"/>
  <c r="M32" i="26"/>
  <c r="F45" i="23"/>
  <c r="J45" i="23" s="1"/>
  <c r="M45" i="23" s="1"/>
  <c r="F47" i="23"/>
  <c r="H47" i="23" s="1"/>
  <c r="M47" i="23" s="1"/>
  <c r="F59" i="22"/>
  <c r="L59" i="22" s="1"/>
  <c r="M59" i="22" s="1"/>
  <c r="F648" i="22"/>
  <c r="J648" i="22" s="1"/>
  <c r="M648" i="22" s="1"/>
  <c r="F689" i="22"/>
  <c r="J689" i="22" s="1"/>
  <c r="M689" i="22" s="1"/>
  <c r="M22" i="23"/>
  <c r="F63" i="23"/>
  <c r="H63" i="23" s="1"/>
  <c r="M63" i="23" s="1"/>
  <c r="F58" i="23"/>
  <c r="L58" i="23" s="1"/>
  <c r="M58" i="23" s="1"/>
  <c r="M17" i="23"/>
  <c r="F46" i="23"/>
  <c r="L46" i="23" s="1"/>
  <c r="M46" i="23" s="1"/>
  <c r="F651" i="22"/>
  <c r="J651" i="22" s="1"/>
  <c r="M651" i="22" s="1"/>
  <c r="F727" i="22"/>
  <c r="H727" i="22" s="1"/>
  <c r="M727" i="22" s="1"/>
  <c r="F692" i="22"/>
  <c r="L692" i="22" s="1"/>
  <c r="M692" i="22" s="1"/>
  <c r="F728" i="22"/>
  <c r="H728" i="22" s="1"/>
  <c r="M728" i="22" s="1"/>
  <c r="F693" i="22"/>
  <c r="L693" i="22" s="1"/>
  <c r="M693" i="22" s="1"/>
  <c r="F691" i="22"/>
  <c r="J691" i="22" s="1"/>
  <c r="M691" i="22" s="1"/>
  <c r="F62" i="22"/>
  <c r="H62" i="22" s="1"/>
  <c r="M62" i="22" s="1"/>
  <c r="F63" i="22"/>
  <c r="H63" i="22" s="1"/>
  <c r="M63" i="22" s="1"/>
  <c r="F64" i="22"/>
  <c r="H64" i="22" s="1"/>
  <c r="M64" i="22" s="1"/>
  <c r="F1249" i="22"/>
  <c r="J1249" i="22" s="1"/>
  <c r="M1249" i="22" s="1"/>
  <c r="N1250" i="22" s="1"/>
  <c r="M44" i="26" l="1"/>
  <c r="M48" i="22"/>
  <c r="N728" i="22"/>
  <c r="M118" i="23"/>
  <c r="H118" i="23"/>
  <c r="M119" i="23" s="1"/>
  <c r="H61" i="22"/>
  <c r="N44" i="26"/>
  <c r="M45" i="26"/>
  <c r="M53" i="26"/>
  <c r="M47" i="26"/>
  <c r="M50" i="23"/>
  <c r="F50" i="22"/>
  <c r="J50" i="22" s="1"/>
  <c r="M50" i="22" s="1"/>
  <c r="F51" i="22"/>
  <c r="L51" i="22" s="1"/>
  <c r="J50" i="23"/>
  <c r="J118" i="23"/>
  <c r="M128" i="23" s="1"/>
  <c r="L118" i="23"/>
  <c r="H50" i="23"/>
  <c r="L50" i="23"/>
  <c r="M51" i="22" l="1"/>
  <c r="L1252" i="22"/>
  <c r="M61" i="22"/>
  <c r="H1252" i="22"/>
  <c r="M1253" i="22" s="1"/>
  <c r="J1252" i="22"/>
  <c r="M48" i="26"/>
  <c r="M49" i="26" s="1"/>
  <c r="M50" i="26" s="1"/>
  <c r="M122" i="23"/>
  <c r="N50" i="23"/>
  <c r="N118" i="23"/>
  <c r="M51" i="23"/>
  <c r="M52" i="23" s="1"/>
  <c r="M53" i="23" s="1"/>
  <c r="M1252" i="22" l="1"/>
  <c r="M1254" i="22" s="1"/>
  <c r="M1255" i="22" s="1"/>
  <c r="M1256" i="22" s="1"/>
  <c r="M1257" i="22" s="1"/>
  <c r="M1258" i="22" s="1"/>
  <c r="M1259" i="22" s="1"/>
  <c r="M1260" i="22" s="1"/>
  <c r="N64" i="22"/>
  <c r="M51" i="26"/>
  <c r="M52" i="26" s="1"/>
  <c r="M54" i="26" s="1"/>
  <c r="M1261" i="22"/>
  <c r="N1252" i="22"/>
  <c r="M54" i="23"/>
  <c r="M123" i="23" s="1"/>
  <c r="M124" i="23" l="1"/>
  <c r="M125" i="23" s="1"/>
  <c r="M55" i="26"/>
  <c r="M56" i="26" s="1"/>
  <c r="D21" i="25" s="1"/>
  <c r="G21" i="25" s="1"/>
  <c r="M1262" i="22"/>
  <c r="M1263" i="22" s="1"/>
  <c r="M1264" i="22" s="1"/>
  <c r="D18" i="25" s="1"/>
  <c r="G18" i="25" s="1"/>
  <c r="G14" i="25"/>
  <c r="G10" i="25"/>
  <c r="M126" i="23" l="1"/>
  <c r="M127" i="23" s="1"/>
  <c r="M129" i="23" s="1"/>
  <c r="M130" i="23" l="1"/>
  <c r="M131" i="23" s="1"/>
  <c r="D19" i="25" s="1"/>
  <c r="G19" i="25" s="1"/>
  <c r="G24" i="25" s="1"/>
  <c r="G15" i="25"/>
  <c r="G9" i="25"/>
  <c r="G8" i="25" l="1"/>
  <c r="G13" i="25" l="1"/>
</calcChain>
</file>

<file path=xl/sharedStrings.xml><?xml version="1.0" encoding="utf-8"?>
<sst xmlns="http://schemas.openxmlformats.org/spreadsheetml/2006/main" count="5661" uniqueCount="1433">
  <si>
    <t>##</t>
  </si>
  <si>
    <t>gauTvaliswinebeli xarjebi</t>
  </si>
  <si>
    <t>kg</t>
  </si>
  <si>
    <t>sul</t>
  </si>
  <si>
    <t>lari</t>
  </si>
  <si>
    <t>sxva manqanebi</t>
  </si>
  <si>
    <t>kac/sT</t>
  </si>
  <si>
    <t>sxva masalebi</t>
  </si>
  <si>
    <t>I</t>
  </si>
  <si>
    <t>IV</t>
  </si>
  <si>
    <t>VI</t>
  </si>
  <si>
    <t>m3</t>
  </si>
  <si>
    <t>erTeulze</t>
  </si>
  <si>
    <t>SromiTi resursebi</t>
  </si>
  <si>
    <t>k/sT</t>
  </si>
  <si>
    <t>m/sT</t>
  </si>
  <si>
    <t>sxva xarjebi</t>
  </si>
  <si>
    <t>manqanebi</t>
  </si>
  <si>
    <t>sabazro</t>
  </si>
  <si>
    <t>jami</t>
  </si>
  <si>
    <t>კ/სთ</t>
  </si>
  <si>
    <t>ლარი</t>
  </si>
  <si>
    <t>cali</t>
  </si>
  <si>
    <t>15-164-8</t>
  </si>
  <si>
    <t>saerTo samSeneblo samuSaoebi</t>
  </si>
  <si>
    <t>manqana-meqanizmebi</t>
  </si>
  <si>
    <t>სულ</t>
  </si>
  <si>
    <r>
      <t>m</t>
    </r>
    <r>
      <rPr>
        <b/>
        <vertAlign val="superscript"/>
        <sz val="10"/>
        <rFont val="AcadNusx"/>
      </rPr>
      <t>2</t>
    </r>
  </si>
  <si>
    <t>1554</t>
  </si>
  <si>
    <r>
      <t>m</t>
    </r>
    <r>
      <rPr>
        <vertAlign val="superscript"/>
        <sz val="10"/>
        <rFont val="AcadNusx"/>
      </rPr>
      <t>3</t>
    </r>
  </si>
  <si>
    <t>RorRi</t>
  </si>
  <si>
    <t>1-80-7</t>
  </si>
  <si>
    <r>
      <t>m</t>
    </r>
    <r>
      <rPr>
        <b/>
        <vertAlign val="superscript"/>
        <sz val="10"/>
        <rFont val="AcadNusx"/>
      </rPr>
      <t>3</t>
    </r>
  </si>
  <si>
    <t xml:space="preserve">SromiTi resursebi                                                </t>
  </si>
  <si>
    <t xml:space="preserve">kac/sT                                                               </t>
  </si>
  <si>
    <t>11-1-6</t>
  </si>
  <si>
    <t>Sromis danaxarjebi</t>
  </si>
  <si>
    <t>kbm</t>
  </si>
  <si>
    <t>tn</t>
  </si>
  <si>
    <t>xis masala</t>
  </si>
  <si>
    <t>8</t>
  </si>
  <si>
    <t>g/m</t>
  </si>
  <si>
    <t>0471</t>
  </si>
  <si>
    <t>manq/sT</t>
  </si>
  <si>
    <t>avtoamwe krani 25tn</t>
  </si>
  <si>
    <t>eleqtrodi</t>
  </si>
  <si>
    <t>9</t>
  </si>
  <si>
    <t>kvm</t>
  </si>
  <si>
    <t>10</t>
  </si>
  <si>
    <t>antikoroziuli saRebavi</t>
  </si>
  <si>
    <t>sxva masala</t>
  </si>
  <si>
    <t>1,1</t>
  </si>
  <si>
    <t>c</t>
  </si>
  <si>
    <t>12</t>
  </si>
  <si>
    <t xml:space="preserve">Sromis danaxarjebi </t>
  </si>
  <si>
    <t>samSeneblo nagvis datvirTva xeliT avtoTviTmclelze</t>
  </si>
  <si>
    <t xml:space="preserve">Sromis danaxarjebi  </t>
  </si>
  <si>
    <t>3%</t>
  </si>
  <si>
    <t>18%</t>
  </si>
  <si>
    <t>1-80-3</t>
  </si>
  <si>
    <t>23-1-1.</t>
  </si>
  <si>
    <t>22-8-2.</t>
  </si>
  <si>
    <t>grZ.m.</t>
  </si>
  <si>
    <t>1-81-3</t>
  </si>
  <si>
    <t>6-1-1.</t>
  </si>
  <si>
    <t xml:space="preserve">8-370-3     </t>
  </si>
  <si>
    <t>ც</t>
  </si>
  <si>
    <t>შრომითი რესურსები</t>
  </si>
  <si>
    <t>კაც/სთ</t>
  </si>
  <si>
    <t>1,4</t>
  </si>
  <si>
    <t>8-414-3</t>
  </si>
  <si>
    <t xml:space="preserve">damcavi yuTi </t>
  </si>
  <si>
    <t>2</t>
  </si>
  <si>
    <t>damiwebis konturis mowyoba</t>
  </si>
  <si>
    <t>СНиП
IV-6-82
8-471-1</t>
  </si>
  <si>
    <t>СНиП
IV-6-82
8-472-2</t>
  </si>
  <si>
    <t>horizontaluri damiwebis konturis mowyoba</t>
  </si>
  <si>
    <r>
      <t xml:space="preserve">დამიწების მოთუთიებული სალტე </t>
    </r>
    <r>
      <rPr>
        <sz val="11"/>
        <rFont val="Calibri"/>
        <family val="2"/>
        <charset val="204"/>
        <scheme val="minor"/>
      </rPr>
      <t>40x4მმ</t>
    </r>
  </si>
  <si>
    <t>gegmiuri dagroveba</t>
  </si>
  <si>
    <t>inventaris SeZena montaJi</t>
  </si>
  <si>
    <t>kompl</t>
  </si>
  <si>
    <t>kg.</t>
  </si>
  <si>
    <t>7</t>
  </si>
  <si>
    <t>კბმ</t>
  </si>
  <si>
    <t>11-1-11</t>
  </si>
  <si>
    <t>1,2</t>
  </si>
  <si>
    <t>0465</t>
  </si>
  <si>
    <t>4</t>
  </si>
  <si>
    <t>cementis xsnari m-200</t>
  </si>
  <si>
    <t>5</t>
  </si>
  <si>
    <t>6</t>
  </si>
  <si>
    <t>Е1-22</t>
  </si>
  <si>
    <t>II</t>
  </si>
  <si>
    <t>1</t>
  </si>
  <si>
    <t>3</t>
  </si>
  <si>
    <t>21-18-1.</t>
  </si>
  <si>
    <t>გრძ.მ.</t>
  </si>
  <si>
    <t>სხვა მასალები</t>
  </si>
  <si>
    <t>ავტომატური ამომრთველი 10ა</t>
  </si>
  <si>
    <t>Senobis Sida da gare wyalsadenisa da kanalizaciis qselis montaJi</t>
  </si>
  <si>
    <t>შრომის დანახარჯი</t>
  </si>
  <si>
    <t>სხვა მანქანები</t>
  </si>
  <si>
    <t>მ</t>
  </si>
  <si>
    <t xml:space="preserve"> სხვა მანქანები</t>
  </si>
  <si>
    <t>16–12–1</t>
  </si>
  <si>
    <t>სხვა მასალა</t>
  </si>
  <si>
    <t>16-22</t>
  </si>
  <si>
    <t>milsadenis gidravlikuri gamocda</t>
  </si>
  <si>
    <t>100 g/m</t>
  </si>
  <si>
    <t>wyali</t>
  </si>
  <si>
    <t>კგ</t>
  </si>
  <si>
    <t>III kategoriis gruntis damuSaveba xeliT, milis montaJisaTvis</t>
  </si>
  <si>
    <t>23-1-1</t>
  </si>
  <si>
    <t xml:space="preserve">wyalsadenis pl milis qveS qviSis safaris mowyoba  </t>
  </si>
  <si>
    <t>qviSa Savi</t>
  </si>
  <si>
    <t>სფერული ვენტილის მონტაჟი</t>
  </si>
  <si>
    <t>23-1-2</t>
  </si>
  <si>
    <t>tranSeis Sevseba RorRiT</t>
  </si>
  <si>
    <t>gazinTuli ZenZi</t>
  </si>
  <si>
    <t>22-28-1 gam.</t>
  </si>
  <si>
    <t>fasonuri nawilebi</t>
  </si>
  <si>
    <t xml:space="preserve">tranSeas mowyoba xeliT milebis montaJisaTvis </t>
  </si>
  <si>
    <r>
      <t xml:space="preserve">qviSis safaris mowyoba milis irgvliv </t>
    </r>
    <r>
      <rPr>
        <sz val="11"/>
        <rFont val="Arial"/>
        <family val="2"/>
        <charset val="204"/>
      </rPr>
      <t>(H=30</t>
    </r>
    <r>
      <rPr>
        <sz val="11"/>
        <rFont val="AcadNusx"/>
      </rPr>
      <t>sm</t>
    </r>
    <r>
      <rPr>
        <sz val="11"/>
        <rFont val="Arial"/>
        <family val="2"/>
        <charset val="204"/>
      </rPr>
      <t>.)</t>
    </r>
  </si>
  <si>
    <t>22-8-1</t>
  </si>
  <si>
    <t xml:space="preserve"> 23-1-2 </t>
  </si>
  <si>
    <t>23-22-2</t>
  </si>
  <si>
    <t>SeWra</t>
  </si>
  <si>
    <t>betoni ბ.7,5  (m-100)</t>
  </si>
  <si>
    <t>s k v e r i</t>
  </si>
  <si>
    <t>skveri #1</t>
  </si>
  <si>
    <t>skveris teritoriaze demontaJis   samuSaoebi</t>
  </si>
  <si>
    <t>27-9-7</t>
  </si>
  <si>
    <t>46-31-2</t>
  </si>
  <si>
    <t>46-29-1</t>
  </si>
  <si>
    <t xml:space="preserve">filiT mopirketebis qveS betonis safuZvlis demontaJi </t>
  </si>
  <si>
    <t>46-23-3</t>
  </si>
  <si>
    <t>Е20-1-255</t>
  </si>
  <si>
    <t>snf 15</t>
  </si>
  <si>
    <t>teritoriis keTilmowyoba</t>
  </si>
  <si>
    <t>damatebiTi noyieri gruntis Semotana skveris teritoriaze</t>
  </si>
  <si>
    <t>srf 15</t>
  </si>
  <si>
    <t>damatebiTi gruntisGgaSla skveris teritoriaze</t>
  </si>
  <si>
    <t>4,1</t>
  </si>
  <si>
    <t>4,2</t>
  </si>
  <si>
    <t>4,3</t>
  </si>
  <si>
    <t xml:space="preserve">betoni b.25 </t>
  </si>
  <si>
    <t>4,4</t>
  </si>
  <si>
    <t>27-19-2</t>
  </si>
  <si>
    <t>qviSa-cementis xsnari  m.100</t>
  </si>
  <si>
    <t xml:space="preserve">betoni b-15  </t>
  </si>
  <si>
    <t>11-20-1</t>
  </si>
  <si>
    <t>III kategoriis gruntis damuSaveba qvabulisaTvis xeliT</t>
  </si>
  <si>
    <t>gamwvaneba - gazonis mowyoba</t>
  </si>
  <si>
    <t>48-18-4</t>
  </si>
  <si>
    <t>teritoriaze balaxis daTesva</t>
  </si>
  <si>
    <t>balaxis Tesli</t>
  </si>
  <si>
    <t>mravalwlovani da yvavilovani mcenareebis dargva</t>
  </si>
  <si>
    <r>
      <t xml:space="preserve">kviparosi, arizoniki,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=2,5-3,0m</t>
    </r>
  </si>
  <si>
    <r>
      <t xml:space="preserve">irmis rqa,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=2,00m</t>
    </r>
  </si>
  <si>
    <r>
      <t xml:space="preserve">tuia, </t>
    </r>
    <r>
      <rPr>
        <sz val="11"/>
        <rFont val="AcadNusx"/>
      </rPr>
      <t xml:space="preserve">burTisebri oqrosferi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=0,5-1,0m</t>
    </r>
  </si>
  <si>
    <t>tagetesi/begonia                 0kvm (1kvm--60c)</t>
  </si>
  <si>
    <r>
      <t xml:space="preserve">parTenociusi  </t>
    </r>
    <r>
      <rPr>
        <sz val="11"/>
        <rFont val="AcadNusx"/>
      </rPr>
      <t>0,5-1,0m</t>
    </r>
  </si>
  <si>
    <t>iaponuri priala kvido</t>
  </si>
  <si>
    <t>tyemali wiTelfoTola kultivari</t>
  </si>
  <si>
    <t>himalais kedari mtirala forma</t>
  </si>
  <si>
    <t>Zaxveli maradmwvane</t>
  </si>
  <si>
    <t>himalais kedari</t>
  </si>
  <si>
    <t>didyvavila kultivari magnolia</t>
  </si>
  <si>
    <t>iaponuri sofora mtirala forma</t>
  </si>
  <si>
    <t>maradmwvane bza konusis formis</t>
  </si>
  <si>
    <t>Cveulebrivi ifani burTis forma</t>
  </si>
  <si>
    <t>kazakuli Rvia kultivari</t>
  </si>
  <si>
    <t>iaponuri kvido kultivari</t>
  </si>
  <si>
    <t>leilandis kupresociparisi spiralis forma</t>
  </si>
  <si>
    <t>Cveulebrivi uTxovari</t>
  </si>
  <si>
    <t>fitosporumi</t>
  </si>
  <si>
    <t>48-5-6</t>
  </si>
  <si>
    <t>xeebisa da buCqebis dasargavi teritoriss momzadeba xeliT</t>
  </si>
  <si>
    <t>48-7-2</t>
  </si>
  <si>
    <t>xeebisa da buCqebis dargva</t>
  </si>
  <si>
    <t>mosarwyav mosdarecxi 600 l</t>
  </si>
  <si>
    <t>amwe  saavtomobilo svlaze 5t</t>
  </si>
  <si>
    <t>xeebi da buCqebi</t>
  </si>
  <si>
    <t>nekerCxali (leka) burTisebri forma</t>
  </si>
  <si>
    <t>48-19</t>
  </si>
  <si>
    <t>yvavilnaris dargva</t>
  </si>
  <si>
    <t>tagetesi/begonia</t>
  </si>
  <si>
    <t>სულ პირდაპირი დანახარჯები</t>
  </si>
  <si>
    <t>samSeneblo masalis transportirebis xrjebi  (samSeneblo masalis Rirebulebidan)</t>
  </si>
  <si>
    <t>skveris teritoriis gare el montaJi</t>
  </si>
  <si>
    <t>#2-1</t>
  </si>
  <si>
    <t>I სამშენებლო სამუSაოები</t>
  </si>
  <si>
    <t>ქვაბულის მოწყობა სკვერის განათების ანძების ჩასაბეტონებლად (ხელით)</t>
  </si>
  <si>
    <t>ქვიშის საფარის მოწყობა მილებისთვის</t>
  </si>
  <si>
    <t>კუბ.მ</t>
  </si>
  <si>
    <t>გრძ/მ</t>
  </si>
  <si>
    <t>მანქანები</t>
  </si>
  <si>
    <t>8-281-3,</t>
  </si>
  <si>
    <t>კაბელის დაფარვა სასიგნალო ლენტით</t>
  </si>
  <si>
    <t>სასიგნალო ლენტი</t>
  </si>
  <si>
    <t>გრუნტის უკან ჩაყრა ხელით და მოსწორება</t>
  </si>
  <si>
    <t>სკვერის განათების ანძების დაბეტონება</t>
  </si>
  <si>
    <t xml:space="preserve">ბეტონი ბ.25 </t>
  </si>
  <si>
    <t>არმატურა Ф8 АIII ბ.150</t>
  </si>
  <si>
    <t>ტნ</t>
  </si>
  <si>
    <t xml:space="preserve">სხვა მასალა </t>
  </si>
  <si>
    <t>ზედნადები ხარჯები</t>
  </si>
  <si>
    <t>სულ I თავი</t>
  </si>
  <si>
    <t>II სამონტაჟო სამუშაოები</t>
  </si>
  <si>
    <t>სკვერის გარე განათების დეკორატიული ლამპიონების მონტაჟი</t>
  </si>
  <si>
    <t>სპილენძის სადენების montaJi</t>
  </si>
  <si>
    <t>0,0097</t>
  </si>
  <si>
    <t>8.14.56</t>
  </si>
  <si>
    <t>8.14.328</t>
  </si>
  <si>
    <t>21-27-4</t>
  </si>
  <si>
    <t>მანქ /სთ</t>
  </si>
  <si>
    <t>damiwebis Wa</t>
  </si>
  <si>
    <t>ზედნადები ხარჯები                                  (მუშა მოსამსახურეთა ძირითადი ხელფასიდან)</t>
  </si>
  <si>
    <t>სულ II თავი</t>
  </si>
  <si>
    <t>სულ  I და  II თავი</t>
  </si>
  <si>
    <r>
      <t xml:space="preserve">მილი პლ. d-20*2,9                  </t>
    </r>
    <r>
      <rPr>
        <sz val="11"/>
        <rFont val="Calibri"/>
        <family val="2"/>
        <charset val="204"/>
        <scheme val="minor"/>
      </rPr>
      <t xml:space="preserve"> DIZAIN PN20</t>
    </r>
  </si>
  <si>
    <t>სფერული ვენტილი დ= 20 მმ</t>
  </si>
  <si>
    <r>
      <t xml:space="preserve">arsebul wylis qselSi SeWra </t>
    </r>
    <r>
      <rPr>
        <sz val="11"/>
        <rFont val="AcadNusx"/>
      </rPr>
      <t>(makompleqtebeli nawilebiT)</t>
    </r>
  </si>
  <si>
    <t>kalaTburTis farebi  SeZena montaJi  (orgminiT)</t>
  </si>
  <si>
    <t>komp.</t>
  </si>
  <si>
    <t>urnebi SeZena montaJi</t>
  </si>
  <si>
    <t>wylis dasalevi "soko"</t>
  </si>
  <si>
    <t>atraqcionebis montaJi (ix.eskizebi)</t>
  </si>
  <si>
    <t>sportuli trenaJorebi</t>
  </si>
  <si>
    <t>S.p.s.`mailendi~-s invoisi p.3</t>
  </si>
  <si>
    <t xml:space="preserve">ტრენაჟორი „ნიჩბოსანი“ 
miwodeba-montaJi (Sesabamisi masalebisa da samuSaoebis Rirebulebis gaTvaliswinebiT) eskizis Sesabamisad                 </t>
  </si>
  <si>
    <t>გაბარიტული ზომები: სიგრძე სმ. 124 სიგანე, სმ. 79 სიმაღლე, სმ. 102მომხმარებლის მაქსიმალური წონა, კგ. 150</t>
  </si>
  <si>
    <t xml:space="preserve">ტრენაჟორი „სხეულის ამზიდი“   
miwodeba-montaJi (Sesabamisi masalebisa da samuSaoebis Rirebulebis gaTvaliswinebiT) eskizis Sesabamisad </t>
  </si>
  <si>
    <t>გაბარიტული ზომები: სიგრძე სმ. 101,5 სიგანე, სმ. 78 სიმაღლე, სმ. 180,5მომხმარებლის მაქსიმალური წონა, კგ. 150</t>
  </si>
  <si>
    <t xml:space="preserve">ტრენაჟორი „აზიდვა მკერდიდან“ 
miwodeba-montaJi (Sesabamisi masalebisa da samuSaoebis Rirebulebis gaTvaliswinebiT) eskizis Sesabamisad               </t>
  </si>
  <si>
    <t>გაბარიტული ზომები: სიგრძე სმ. 108 სიგანე, სმ. 78 სიმაღლე, სმ. 180,5მომხმარებლის მაქსიმალური წონა, კგ. 150</t>
  </si>
  <si>
    <t xml:space="preserve">ტრენაჟორი „მიზიდვა მკერდისაკენ“
miwodeba-montaJi (Sesabamisi masalebisa da samuSaoebis Rirebulebis gaTvaliswinebiT) eskizis Sesabamisad               </t>
  </si>
  <si>
    <t>გაბარიტული ზომები: სიგრძე სმ. 106 სიგანე, სმ. 78 სიმაღლე, სმ. 116,5მომხმარებლის მაქსიმალური წონა, კგ. 150</t>
  </si>
  <si>
    <t xml:space="preserve">ტრენაჟორი „აზიდვა ფეხებით“ 
miwodeba-montaJi (Sesabamisi masalebisa da samuSaoebis Rirebulebis gaTvaliswinebiT) eskizis Sesabamisad      </t>
  </si>
  <si>
    <t>გაბარიტული ზომები: სიგრძე სმ. 131 სიგანე, სმ. 54 სიმაღლე, სმ. 126,5 მომხმარებლის მაქსიმალური წონა, კგ. 150</t>
  </si>
  <si>
    <t xml:space="preserve">ტრენაჟორი „ტვისტერი“ 
miwodeba-montaJi (Sesabamisi masalebisa da samuSaoebis Rirebulebis gaTvaliswinebiT) eskizis Sesabamisad                    </t>
  </si>
  <si>
    <t>გაბარიტული ზომები: სიგრძე სმ. 76 სიგანე, სმ. 63,5 სიმაღლე, სმ. 120მომხმარებლის მაქსიმალური წონა, კგ. 150</t>
  </si>
  <si>
    <t xml:space="preserve">ტრენაჟორი „მუცლის კუნთებისათვის“ 
miwodeba-montaJi (Sesabamisi masalebisa da samuSaoebis Rirebulebis gaTvaliswinebiT) eskizis Sesabamisad </t>
  </si>
  <si>
    <t>გაბარიტული ზომები: სიგრძე სმ. 98,2 სიგანე, სმ. 44,3 სიმაღლე, სმ. 54,9მომხმარებლის მაქსიმალური წონა, კგ. 150</t>
  </si>
  <si>
    <t xml:space="preserve">ტრენაჟორი „ელიფტური“       
miwodeba-montaJi (Sesabamisi masalebisa da samuSaoebis Rirebulebis gaTvaliswinebiT) eskizis Sesabamisad </t>
  </si>
  <si>
    <t>გაბარიტული ზომები: სიგრძე სმ. 148,5 სიგანე, სმ. 72,7 სიმაღლე, სმ. 163,5მომხმარებლის მაქსიმალური წონა, კგ. 150</t>
  </si>
  <si>
    <t xml:space="preserve">ტრენაჟორი „ქანქარა - წელის კორექციისთვის"
miwodeba-montaJi (Sesabamisi masalebisa da samuSaoebis Rirebulebis gaTvaliswinebiT) eskizis Sesabamisad </t>
  </si>
  <si>
    <t>გაბარიტული ზომები: სიგრძე სმ. 74 სიგანე, სმ. 76 სიმაღლე, სმ. 120მომხმარებლის მაქსიმალური წონა, კგ. 150</t>
  </si>
  <si>
    <t xml:space="preserve">ტრენაჟორი „ორმხრივი ძელი“  
miwodeba-montaJi (Sesabamisi masalebisa da samuSaoebis Rirebulebis gaTvaliswinebiT) eskizis Sesabamisad                       </t>
  </si>
  <si>
    <t>გაბარიტული ზომები: სიგრძე სმ. 140 სიგანე, სმ. 65 სიმაღლე, სმ. 150მომხმარებლის მაქსიმალური წონა, კგ. 150</t>
  </si>
  <si>
    <t>saxarjTaRricxvo gaangariSebis #</t>
  </si>
  <si>
    <t>samuSaoebisa da danaxarjebis dasaxeleba</t>
  </si>
  <si>
    <t>saxarjTaRricxvo Rirebuleba</t>
  </si>
  <si>
    <t>samSeneblo samuSaoebi</t>
  </si>
  <si>
    <t>samontaJo samuSaoebi</t>
  </si>
  <si>
    <t>mowyobiloba</t>
  </si>
  <si>
    <t>jami        lari</t>
  </si>
  <si>
    <t>sportuli moednis mowyobis samuSaoebi</t>
  </si>
  <si>
    <t>lk 1-1</t>
  </si>
  <si>
    <t>lk 1-2</t>
  </si>
  <si>
    <t xml:space="preserve"> el montaJis samuSaoebi</t>
  </si>
  <si>
    <t>lk 1-3</t>
  </si>
  <si>
    <t>sportuli moednis mimdebared sazogadoebrivi daniSnulebis reteratis mowyobis samuSaoebi</t>
  </si>
  <si>
    <t>lk 2-1</t>
  </si>
  <si>
    <t>lk 2-2</t>
  </si>
  <si>
    <t>Senobis el montaJis samuSaoebi</t>
  </si>
  <si>
    <t>lk 2-3</t>
  </si>
  <si>
    <t>qanCi samSeneblo</t>
  </si>
  <si>
    <t>gruntis xeliT datvirTva avtoTviTmclelze</t>
  </si>
  <si>
    <t>zedmeti gruntis datvirTva xeliT avtoTviTmclelze</t>
  </si>
  <si>
    <t xml:space="preserve">gatana 15 km-ze </t>
  </si>
  <si>
    <t>samSeneblo samuSaoebis damTavrebis Semdeg teritoriis dasufTaveba, samSeneblo narCenebis Segroveba, gamotana, avtoTviTmclelze dasatvirTavad</t>
  </si>
  <si>
    <t>1-80,3</t>
  </si>
  <si>
    <t>საკაბელო თხრილის მოწყობა xeliT</t>
  </si>
  <si>
    <r>
      <rPr>
        <b/>
        <sz val="11"/>
        <rFont val="Calibri"/>
        <family val="2"/>
        <charset val="204"/>
      </rPr>
      <t>PVC ორკედლიანი გოფრირებული მილის</t>
    </r>
    <r>
      <rPr>
        <b/>
        <sz val="11"/>
        <rFont val="AcadNusx"/>
      </rPr>
      <t xml:space="preserve"> </t>
    </r>
    <r>
      <rPr>
        <b/>
        <sz val="11"/>
        <rFont val="Calibri"/>
        <family val="2"/>
        <charset val="204"/>
      </rPr>
      <t xml:space="preserve">Ø63 </t>
    </r>
    <r>
      <rPr>
        <b/>
        <sz val="11"/>
        <rFont val="AcadNusx"/>
      </rPr>
      <t>მმ მოწყობა</t>
    </r>
  </si>
  <si>
    <r>
      <rPr>
        <sz val="11"/>
        <rFont val="Calibri"/>
        <family val="2"/>
        <charset val="204"/>
      </rPr>
      <t>PVCორკედლიანი გოფრირებული მილი</t>
    </r>
    <r>
      <rPr>
        <sz val="11"/>
        <rFont val="AcadNusx"/>
      </rPr>
      <t xml:space="preserve"> </t>
    </r>
    <r>
      <rPr>
        <sz val="11"/>
        <rFont val="Calibri"/>
        <family val="2"/>
        <charset val="204"/>
      </rPr>
      <t>Ø63მმ</t>
    </r>
  </si>
  <si>
    <r>
      <t xml:space="preserve">სადენი </t>
    </r>
    <r>
      <rPr>
        <sz val="11"/>
        <rFont val="Calibri"/>
        <family val="2"/>
        <charset val="204"/>
        <scheme val="minor"/>
      </rPr>
      <t xml:space="preserve">YMS  </t>
    </r>
    <r>
      <rPr>
        <sz val="11"/>
        <rFont val="AcadNusx"/>
      </rPr>
      <t xml:space="preserve">3*2,5  </t>
    </r>
  </si>
  <si>
    <r>
      <t xml:space="preserve">ფოტორელე </t>
    </r>
    <r>
      <rPr>
        <sz val="10"/>
        <rFont val="Calibri"/>
        <family val="2"/>
        <charset val="204"/>
        <scheme val="minor"/>
      </rPr>
      <t>250V  5A</t>
    </r>
  </si>
  <si>
    <t>СНиП
IV-6-82
8-472-8</t>
  </si>
  <si>
    <t>horizontaluri damiwebis konturis mowyoba (mrgvali  foladiT)</t>
  </si>
  <si>
    <r>
      <t xml:space="preserve">მოთუთიებული გამტარი,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8mm</t>
    </r>
  </si>
  <si>
    <t>damiwebis vertikaluri eleqtrodebis montaJi</t>
  </si>
  <si>
    <r>
      <t xml:space="preserve">kanalizaciis pl milis montaJi TxrilSi </t>
    </r>
    <r>
      <rPr>
        <b/>
        <sz val="11"/>
        <rFont val="Arial"/>
        <family val="2"/>
        <charset val="204"/>
      </rPr>
      <t>Ø</t>
    </r>
    <r>
      <rPr>
        <b/>
        <sz val="11"/>
        <rFont val="AcadNusx"/>
      </rPr>
      <t>100mm</t>
    </r>
  </si>
  <si>
    <r>
      <t xml:space="preserve">plastmasis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100*3,2mm</t>
    </r>
  </si>
  <si>
    <t>მილის gadamyvani d-100</t>
  </si>
  <si>
    <t>arsebul kanalizaciis qselSi SeWra (makompleqtebeli nawilebiT)</t>
  </si>
  <si>
    <t xml:space="preserve">cementis xsnari m-200, </t>
  </si>
  <si>
    <r>
      <t xml:space="preserve">sp. sadeni </t>
    </r>
    <r>
      <rPr>
        <sz val="11"/>
        <rFont val="Calibri"/>
        <family val="2"/>
        <charset val="204"/>
        <scheme val="minor"/>
      </rPr>
      <t xml:space="preserve">YMS </t>
    </r>
    <r>
      <rPr>
        <sz val="11"/>
        <rFont val="AcadNusx"/>
      </rPr>
      <t>3*4</t>
    </r>
  </si>
  <si>
    <r>
      <t xml:space="preserve">სადენი </t>
    </r>
    <r>
      <rPr>
        <sz val="11"/>
        <rFont val="Calibri"/>
        <family val="2"/>
        <charset val="204"/>
        <scheme val="minor"/>
      </rPr>
      <t xml:space="preserve">YMS  </t>
    </r>
    <r>
      <rPr>
        <sz val="11"/>
        <rFont val="AcadNusx"/>
      </rPr>
      <t>3*1,5</t>
    </r>
  </si>
  <si>
    <r>
      <t xml:space="preserve">atraqcioni </t>
    </r>
    <r>
      <rPr>
        <b/>
        <sz val="11"/>
        <rFont val="AcadNusx"/>
      </rPr>
      <t>"sabavsvo moedani #42 "</t>
    </r>
    <r>
      <rPr>
        <sz val="11"/>
        <rFont val="AcadNusx"/>
      </rPr>
      <t xml:space="preserve">                               (koSkiT, xidiT, kibiT CamosasrialebliT)</t>
    </r>
  </si>
  <si>
    <r>
      <t xml:space="preserve">atraqcioni </t>
    </r>
    <r>
      <rPr>
        <b/>
        <sz val="11"/>
        <rFont val="AcadNusx"/>
      </rPr>
      <t>"zambara"</t>
    </r>
  </si>
  <si>
    <r>
      <t xml:space="preserve">atraqcioni </t>
    </r>
    <r>
      <rPr>
        <b/>
        <sz val="11"/>
        <rFont val="AcadNusx"/>
      </rPr>
      <t>"saqanela" (erT adgiliani)</t>
    </r>
  </si>
  <si>
    <r>
      <t xml:space="preserve">atraqcioni </t>
    </r>
    <r>
      <rPr>
        <b/>
        <sz val="11"/>
        <rFont val="AcadNusx"/>
      </rPr>
      <t>"saqanela" (or adgiliani)</t>
    </r>
  </si>
  <si>
    <r>
      <rPr>
        <b/>
        <sz val="11"/>
        <rFont val="AcadNusx"/>
      </rPr>
      <t xml:space="preserve">atraqcioni </t>
    </r>
    <r>
      <rPr>
        <sz val="11"/>
        <rFont val="AcadNusx"/>
      </rPr>
      <t>"aiwona-daiwona" (liTonis karksit0</t>
    </r>
  </si>
  <si>
    <t>t</t>
  </si>
  <si>
    <t xml:space="preserve">armatura  АI </t>
  </si>
  <si>
    <t xml:space="preserve">გარე განათების ლამპიონების მონტაჟი  </t>
  </si>
  <si>
    <r>
      <t>რელე</t>
    </r>
    <r>
      <rPr>
        <sz val="10"/>
        <rFont val="Calibri"/>
        <family val="2"/>
        <charset val="204"/>
        <scheme val="minor"/>
      </rPr>
      <t xml:space="preserve"> 250v/5A</t>
    </r>
  </si>
  <si>
    <t>21-26-6 gamoy</t>
  </si>
  <si>
    <r>
      <rPr>
        <sz val="11"/>
        <color theme="1"/>
        <rFont val="AcadNusx"/>
      </rPr>
      <t>dioduri sanati (fanCaturisaTvis)</t>
    </r>
    <r>
      <rPr>
        <sz val="11"/>
        <color theme="1"/>
        <rFont val="Cambria"/>
        <family val="1"/>
        <charset val="204"/>
        <scheme val="major"/>
      </rPr>
      <t xml:space="preserve">  IP 67 250v; 50 vat</t>
    </r>
  </si>
  <si>
    <t>სანათების მონტაჟი -- dioduri sanaTi (fanCaturisaTvis)</t>
  </si>
  <si>
    <t>masalis transportirebis xarjebi</t>
  </si>
  <si>
    <t>zednadebi xarjebi</t>
  </si>
  <si>
    <t>dagrovebiTi sapensio gadasaxadi (xelfasidan)</t>
  </si>
  <si>
    <t>dRg</t>
  </si>
  <si>
    <t>გეგმიური დაგროვება (ZviradRirebuli masalebois gamoklebiT)</t>
  </si>
  <si>
    <t>masalis transportirebis xarjebi (samS masalis Rirebulebidan)</t>
  </si>
  <si>
    <t>zednadebi xarjebi                 (muSa mosamsaxureTa ZiriTadi xelfasidan)</t>
  </si>
  <si>
    <t>gegmiuri dagroveba   (ZviradRirebuli masalebois gamoklebiT)</t>
  </si>
  <si>
    <t xml:space="preserve">ქვიSა </t>
  </si>
  <si>
    <t>olifa</t>
  </si>
  <si>
    <t>3,1</t>
  </si>
  <si>
    <t>betonis 12sm fenilis mowyoba</t>
  </si>
  <si>
    <t>armatura Ф6 АIII b.150</t>
  </si>
  <si>
    <r>
      <t xml:space="preserve">lavanda </t>
    </r>
    <r>
      <rPr>
        <sz val="11"/>
        <rFont val="AcadNusx"/>
      </rPr>
      <t>minimum 30sm buCqSi   15-20 Rero</t>
    </r>
  </si>
  <si>
    <r>
      <t xml:space="preserve">lavanda </t>
    </r>
    <r>
      <rPr>
        <sz val="11"/>
        <rFont val="AcadNusx"/>
      </rPr>
      <t>minimum 30sm buCqSi  15-20 Rero</t>
    </r>
  </si>
  <si>
    <t>evropuli Wyoni kultivari</t>
  </si>
  <si>
    <t>betoni b.25</t>
  </si>
  <si>
    <t>avtoamwe krani 30tn</t>
  </si>
  <si>
    <t>liTonis kv mili 20*40*2</t>
  </si>
  <si>
    <t>ankeri d-8 l=10</t>
  </si>
  <si>
    <t>foladis konstruqcia montaJze misadagebuli</t>
  </si>
  <si>
    <t>qanCi maRali simtkicis</t>
  </si>
  <si>
    <t>sul liT konstruqcia</t>
  </si>
  <si>
    <t xml:space="preserve">liTonis kv mili 40*60*3  </t>
  </si>
  <si>
    <t>liTonis konstruqciis damuSaveba SeRebva antikoroziuli zeTis saRebaviT</t>
  </si>
  <si>
    <t>11-3-5-6</t>
  </si>
  <si>
    <t>Sromis  danaxarji</t>
  </si>
  <si>
    <t>ბიტულინის mastika</t>
  </si>
  <si>
    <t>ბიტუმი დაგრუნტვის</t>
  </si>
  <si>
    <t>sxvadasxva masalebi</t>
  </si>
  <si>
    <t>l</t>
  </si>
  <si>
    <t>SromiTi danaxarji</t>
  </si>
  <si>
    <t>15-5-10</t>
  </si>
  <si>
    <t xml:space="preserve">manqanebi </t>
  </si>
  <si>
    <t>kubm</t>
  </si>
  <si>
    <t>sayalibe fari</t>
  </si>
  <si>
    <t>lokaluri ხ ა რ ჯ თ ა ღ რ ი ც ვ ხ ვ ა #1</t>
  </si>
  <si>
    <t xml:space="preserve">1-81-3 </t>
  </si>
  <si>
    <t>gruntis ukumiyra xeliT</t>
  </si>
  <si>
    <t xml:space="preserve">kanalizaciis gare qseli (d-100 pl)                      </t>
  </si>
  <si>
    <t>d-20  -- 150g/m  d-25  170g/m</t>
  </si>
  <si>
    <t>სფერული ვენტილი დ= 25 მმ</t>
  </si>
  <si>
    <t>gare wyalsadenisa da kanalizaciis qselis montaJi</t>
  </si>
  <si>
    <t>gare eleqtro montaJis samuSaoebi</t>
  </si>
  <si>
    <r>
      <rPr>
        <b/>
        <sz val="11"/>
        <color rgb="FF0000FF"/>
        <rFont val="AcadNusx"/>
      </rPr>
      <t xml:space="preserve">skveri </t>
    </r>
    <r>
      <rPr>
        <sz val="11"/>
        <color theme="1"/>
        <rFont val="AcadNusx"/>
      </rPr>
      <t>-- gare wyalsadenisa da kanalizaciis qselis montaJi</t>
    </r>
  </si>
  <si>
    <r>
      <rPr>
        <b/>
        <sz val="11"/>
        <color rgb="FF0000FF"/>
        <rFont val="AcadNusx"/>
      </rPr>
      <t>skveri --</t>
    </r>
    <r>
      <rPr>
        <sz val="11"/>
        <color theme="1"/>
        <rFont val="AcadNusx"/>
      </rPr>
      <t xml:space="preserve"> teritoriis gare el montaJi </t>
    </r>
  </si>
  <si>
    <r>
      <rPr>
        <b/>
        <sz val="11"/>
        <color rgb="FF0000FF"/>
        <rFont val="AcadNusx"/>
      </rPr>
      <t>skveri --</t>
    </r>
    <r>
      <rPr>
        <sz val="11"/>
        <color theme="1"/>
        <rFont val="AcadNusx"/>
      </rPr>
      <t xml:space="preserve"> saerTo samSeneblo samuSaoebi</t>
    </r>
  </si>
  <si>
    <r>
      <rPr>
        <b/>
        <sz val="11"/>
        <color rgb="FF0000FF"/>
        <rFont val="AcadNusx"/>
      </rPr>
      <t>skveri --</t>
    </r>
    <r>
      <rPr>
        <sz val="11"/>
        <color theme="1"/>
        <rFont val="AcadNusx"/>
      </rPr>
      <t xml:space="preserve"> inventaris SeZena montaJi</t>
    </r>
  </si>
  <si>
    <t>skveris reabilitaciis samuSaoebi</t>
  </si>
  <si>
    <t>#1</t>
  </si>
  <si>
    <t>#2</t>
  </si>
  <si>
    <t>sasmeli wylis dasalevi fantanis wyalsadenisa da kanalizaciis qselisa da skveris sarwyavi qselis montaji</t>
  </si>
  <si>
    <t>tranSeas mowyoba bordiuris  mosawyobad xeliT</t>
  </si>
  <si>
    <t>teritoriis dasufTaveba,  narCenebis Segroveba, gamotana, avtoTviTmclelze dasatvirTavad</t>
  </si>
  <si>
    <t xml:space="preserve">arsebuli dazianebuli betonis bordiuris demontaJi </t>
  </si>
  <si>
    <r>
      <t xml:space="preserve">მილი პლ. d-25*3,5                 </t>
    </r>
    <r>
      <rPr>
        <sz val="11"/>
        <rFont val="Calibri"/>
        <family val="2"/>
        <charset val="204"/>
        <scheme val="minor"/>
      </rPr>
      <t xml:space="preserve"> DIZAIN PN21</t>
    </r>
    <r>
      <rPr>
        <sz val="11"/>
        <color theme="1"/>
        <rFont val="Calibri"/>
        <family val="2"/>
        <charset val="1"/>
        <scheme val="minor"/>
      </rPr>
      <t/>
    </r>
  </si>
  <si>
    <t>III</t>
  </si>
  <si>
    <t>V</t>
  </si>
  <si>
    <t xml:space="preserve">bazaltis filiT mopirkeTebis demontaJi  </t>
  </si>
  <si>
    <t>bunebrivi bazaltis bordiuris montaJi  150X300</t>
  </si>
  <si>
    <t>bunebrivi bazaltis bordiuri -- arsebuli</t>
  </si>
  <si>
    <t>bunebrivi bazaltis bordiuri -- axali</t>
  </si>
  <si>
    <t xml:space="preserve">teritoriisa da bilikebis mopirkeTeba bunebrivi granitis filiT </t>
  </si>
  <si>
    <t>2,1</t>
  </si>
  <si>
    <t>RorRis (0-5mm fraqciis) fenilis mowyoba, sisqiT 10sm</t>
  </si>
  <si>
    <t xml:space="preserve">bilikis mopirketeba bunebrivi granitis filiT, 200X100X30mm </t>
  </si>
  <si>
    <t>bunebrivi bazaltis bordiuris montaJi 150X300</t>
  </si>
  <si>
    <t>bunebrivi bazaltis bordiuris montaJi  300X150 (dawvenili)</t>
  </si>
  <si>
    <t>bunebrivi granitis bordiuris montaJi  100X200</t>
  </si>
  <si>
    <t>bunebrivi granitis bordiuris montaJi 100X200</t>
  </si>
  <si>
    <t>bunebrivi granitis bordiuri -- arsebuli</t>
  </si>
  <si>
    <t xml:space="preserve">bunebrivi granitis bordiuri </t>
  </si>
  <si>
    <t>dekoratiuli klumbis mowyoba</t>
  </si>
  <si>
    <t>RorRi  (0-5mm fraqciis)</t>
  </si>
  <si>
    <t>RorRis (0-5mm fraqciis) fenilis mowyoba bordiuris qveS</t>
  </si>
  <si>
    <t>bunebrivi bazaltis bordiuris montaJi 300X150 (dawvenili)</t>
  </si>
  <si>
    <t>klumbis rk betonis cokolis mowyoba</t>
  </si>
  <si>
    <t>6-11-3</t>
  </si>
  <si>
    <t>armatura Ф8 АIII b.150</t>
  </si>
  <si>
    <t>klumbis rk.betonis kedlebis gidroizolacia</t>
  </si>
  <si>
    <t>rk bet rigelis mowyoba (dekoratiuli iremis qveS)</t>
  </si>
  <si>
    <t>6-15-1 gamoy</t>
  </si>
  <si>
    <t xml:space="preserve">armatura АIII </t>
  </si>
  <si>
    <t xml:space="preserve">sayvavile qoTani </t>
  </si>
  <si>
    <t>klumbis kelebisa da zedapiris mopirketeba bunebrivi granitis filiT</t>
  </si>
  <si>
    <t>noyieri grunti</t>
  </si>
  <si>
    <t>klumbis Sevseba noyieri gruntiT</t>
  </si>
  <si>
    <t>11-1-5</t>
  </si>
  <si>
    <t>1,22kvm Sida farTi</t>
  </si>
  <si>
    <t xml:space="preserve">eqvskuTxa skami </t>
  </si>
  <si>
    <t xml:space="preserve">eqvskuTxa sayvavile qoTani </t>
  </si>
  <si>
    <t>qvabulis mowyoba eqvskuTxa sayvavile qoTnis montaJisaTvis</t>
  </si>
  <si>
    <t>eqvskuTxa sayvavile qoTnis rk.betonis kedlebis mowyoba</t>
  </si>
  <si>
    <t>eqvskuTxa sayvavile qoTnis Sevseba noyieri gruntiT</t>
  </si>
  <si>
    <t>qvabulis mowyoba eqvskuTxa skamis montaJisaTvis</t>
  </si>
  <si>
    <t>eqvskuTxa skamis rk.betonis kedlebis mowyoba</t>
  </si>
  <si>
    <t>eqvskuTxa skamis Sevseba balastiT</t>
  </si>
  <si>
    <t>eqvskuTxa skamis  zedapirze rk.betonis filis mowyoba</t>
  </si>
  <si>
    <t>eqvskuTxa skamis rk.betonis kelebis mopirketeba bunebrivi granitis filiT</t>
  </si>
  <si>
    <t>eqvskuTxa sayvavile qoTnis rk.bet kelebisa da zedapiris mopirketeba bunebrivi granitis filiT</t>
  </si>
  <si>
    <t>granitis fila sisqe 3 sm</t>
  </si>
  <si>
    <t>granitis fila  sisqe 3 sm</t>
  </si>
  <si>
    <t>bunebrivi granitis fila 200X100X30</t>
  </si>
  <si>
    <t>eqvskuTxa dekoratiuli elementebis mowyoba klumbis midebared</t>
  </si>
  <si>
    <t xml:space="preserve">1,6666kvm gare farTi                </t>
  </si>
  <si>
    <t>kv milebiT mowyobili liT karkasi kv.mili 40*20*2</t>
  </si>
  <si>
    <r>
      <t xml:space="preserve">skamis zedapiris mopirketeba maRali xarisxis xis imitaciis polimeruli masaliT </t>
    </r>
    <r>
      <rPr>
        <b/>
        <sz val="11"/>
        <rFont val="Calibri"/>
        <family val="2"/>
        <charset val="204"/>
        <scheme val="minor"/>
      </rPr>
      <t>"TEPPA DECK"</t>
    </r>
  </si>
  <si>
    <r>
      <t xml:space="preserve">maRali xarisxis xis imitaciis polimeruli masaliT </t>
    </r>
    <r>
      <rPr>
        <sz val="11"/>
        <rFont val="Calibri"/>
        <family val="2"/>
        <charset val="204"/>
        <scheme val="minor"/>
      </rPr>
      <t>"TEPPA DECK"</t>
    </r>
  </si>
  <si>
    <t xml:space="preserve">moednis mxares betonis marTuTxa skamebisa da sayvavile qoTnebis mowyoba </t>
  </si>
  <si>
    <t>rk betonis skami</t>
  </si>
  <si>
    <t>qvabulis mowyoba rk.betonis skamis montaJisaTvis</t>
  </si>
  <si>
    <t>rk.betonis skamis mowyoba</t>
  </si>
  <si>
    <t>eqvskuTxa sayvavile qoTnis rk.betonis kedlebis gidroizolacia</t>
  </si>
  <si>
    <t>eqvskuTxa skamis rk.betonis kedlebis gidroizolacia</t>
  </si>
  <si>
    <t>6,1</t>
  </si>
  <si>
    <t>6,2</t>
  </si>
  <si>
    <t>skamis rk.betonis kedlebis gidroizolacia</t>
  </si>
  <si>
    <t>skamis rk.betonis kelebis mopirketeba bunebrivi granitis filiT</t>
  </si>
  <si>
    <t>qvabulis mowyoba sayvavile qoTnis montaJisaTvis</t>
  </si>
  <si>
    <t>snf 15-15</t>
  </si>
  <si>
    <t>narCenebisa da nagavis datvirTva xeliT avtoTviTmclelze</t>
  </si>
  <si>
    <t xml:space="preserve">arsebuli gare ganaTebis lampionebis demontaJi dasawyobeba (damkveTis mier miTiTebul adgilze) </t>
  </si>
  <si>
    <t>rk betonis sayrdenis mowyoba dekoratiuli "iremis" qveS</t>
  </si>
  <si>
    <t>sayvavile qoTnis rk.betonis kedlebis mowyoba</t>
  </si>
  <si>
    <t>sayvavile qoTnis rk.betonis kedlebis gidroizolacia</t>
  </si>
  <si>
    <t>sayvavile qoTnis rk.bet kelebisa da zedapiris mopirketeba bunebrivi granitis filiT</t>
  </si>
  <si>
    <t>sabaRe skamis #1 SeZena montaJi (eskizis mixedviT)</t>
  </si>
  <si>
    <t>dekoratiuli elementi "iremi"</t>
  </si>
  <si>
    <t>liTonis karkasiani sayvavile qoTnebis mowyoba</t>
  </si>
  <si>
    <t>sayvavile qoTnis liTonis karkasis mowyoba</t>
  </si>
  <si>
    <t>kv mili 60*60*2</t>
  </si>
  <si>
    <t>kv mili 40*60*2</t>
  </si>
  <si>
    <r>
      <t xml:space="preserve">sayvavile qoTnebis gare zedapirebis mopirketeba maRali xarisxis xis imitaciis polimeruli masaliT </t>
    </r>
    <r>
      <rPr>
        <b/>
        <sz val="11"/>
        <rFont val="Calibri"/>
        <family val="2"/>
        <charset val="204"/>
        <scheme val="minor"/>
      </rPr>
      <t>"TEPPA DECK"</t>
    </r>
  </si>
  <si>
    <t>ankeri d-8 l=20</t>
  </si>
  <si>
    <t>tagetesi/begonia 0kvm (1kvm--60c)</t>
  </si>
  <si>
    <r>
      <t xml:space="preserve">fotinia kultivari </t>
    </r>
    <r>
      <rPr>
        <b/>
        <sz val="11"/>
        <rFont val="Calibri"/>
        <family val="2"/>
        <charset val="204"/>
        <scheme val="minor"/>
      </rPr>
      <t>"red robin"</t>
    </r>
    <r>
      <rPr>
        <b/>
        <sz val="11"/>
        <rFont val="AcadNusx"/>
      </rPr>
      <t xml:space="preserve">
burTis formis</t>
    </r>
  </si>
  <si>
    <r>
      <t xml:space="preserve">TeTri cru akacia kultivari
</t>
    </r>
    <r>
      <rPr>
        <b/>
        <sz val="11"/>
        <rFont val="Calibri"/>
        <family val="2"/>
        <charset val="204"/>
        <scheme val="minor"/>
      </rPr>
      <t>"umbraculifera"</t>
    </r>
    <r>
      <rPr>
        <b/>
        <sz val="11"/>
        <rFont val="AcadNusx"/>
      </rPr>
      <t xml:space="preserve">
burTisebri forma - 5c</t>
    </r>
  </si>
  <si>
    <r>
      <t xml:space="preserve">wvrilfoTola bza kultivari
</t>
    </r>
    <r>
      <rPr>
        <b/>
        <sz val="11"/>
        <rFont val="Calibri"/>
        <family val="2"/>
        <charset val="204"/>
        <scheme val="minor"/>
      </rPr>
      <t>"faulkner"</t>
    </r>
    <r>
      <rPr>
        <b/>
        <sz val="11"/>
        <rFont val="AcadNusx"/>
      </rPr>
      <t xml:space="preserve"> burTis formis</t>
    </r>
  </si>
  <si>
    <r>
      <t xml:space="preserve">fotinia kultivari </t>
    </r>
    <r>
      <rPr>
        <b/>
        <sz val="11"/>
        <rFont val="Calibri"/>
        <family val="2"/>
        <charset val="204"/>
        <scheme val="minor"/>
      </rPr>
      <t>"red robin"</t>
    </r>
    <r>
      <rPr>
        <b/>
        <sz val="11"/>
        <rFont val="AcadNusx"/>
      </rPr>
      <t>Stampze</t>
    </r>
  </si>
  <si>
    <r>
      <t xml:space="preserve">floqsi </t>
    </r>
    <r>
      <rPr>
        <b/>
        <sz val="11"/>
        <rFont val="Calibri"/>
        <family val="2"/>
        <charset val="204"/>
        <scheme val="minor"/>
      </rPr>
      <t>"EUROPA" -</t>
    </r>
  </si>
  <si>
    <r>
      <t xml:space="preserve">vardi Stambze </t>
    </r>
    <r>
      <rPr>
        <b/>
        <sz val="11"/>
        <rFont val="Calibri"/>
        <family val="2"/>
        <charset val="204"/>
        <scheme val="minor"/>
      </rPr>
      <t>"niccolo paganini"</t>
    </r>
  </si>
  <si>
    <r>
      <t xml:space="preserve">delospera </t>
    </r>
    <r>
      <rPr>
        <b/>
        <sz val="11"/>
        <rFont val="Calibri"/>
        <family val="2"/>
        <charset val="204"/>
        <scheme val="minor"/>
      </rPr>
      <t>"delosperma
cooperi"</t>
    </r>
  </si>
  <si>
    <r>
      <t xml:space="preserve">vardi </t>
    </r>
    <r>
      <rPr>
        <b/>
        <sz val="11"/>
        <rFont val="Calibri"/>
        <family val="2"/>
        <charset val="204"/>
        <scheme val="minor"/>
      </rPr>
      <t>"POMPONELLA"</t>
    </r>
  </si>
  <si>
    <t>#1  H=3,5</t>
  </si>
  <si>
    <t>#2  H=2,0</t>
  </si>
  <si>
    <t>#3  H=5,0</t>
  </si>
  <si>
    <t>განათების ანძების დაბეტონება</t>
  </si>
  <si>
    <t>7,1</t>
  </si>
  <si>
    <t>7,2</t>
  </si>
  <si>
    <t>7,3</t>
  </si>
  <si>
    <t>7,4</t>
  </si>
  <si>
    <t>7,5</t>
  </si>
  <si>
    <r>
      <t xml:space="preserve">Zalovani faris montaJi </t>
    </r>
    <r>
      <rPr>
        <b/>
        <sz val="10"/>
        <rFont val="Calibri"/>
        <family val="2"/>
        <charset val="204"/>
        <scheme val="minor"/>
      </rPr>
      <t xml:space="preserve"> MDB   ELG1</t>
    </r>
  </si>
  <si>
    <r>
      <t xml:space="preserve">avtomaturi amomrTveli          </t>
    </r>
    <r>
      <rPr>
        <sz val="10"/>
        <rFont val="Calibri"/>
        <family val="2"/>
        <charset val="204"/>
        <scheme val="minor"/>
      </rPr>
      <t>3p 32a 6KA</t>
    </r>
  </si>
  <si>
    <r>
      <t xml:space="preserve">avtomaturi amomrTveli          </t>
    </r>
    <r>
      <rPr>
        <sz val="10"/>
        <rFont val="Calibri"/>
        <family val="2"/>
        <charset val="204"/>
        <scheme val="minor"/>
      </rPr>
      <t>1p25a 6KA</t>
    </r>
  </si>
  <si>
    <t>SemaerTebeli furnitura</t>
  </si>
  <si>
    <r>
      <t xml:space="preserve">avtomaturi amomrTveli          </t>
    </r>
    <r>
      <rPr>
        <sz val="10"/>
        <rFont val="Calibri"/>
        <family val="2"/>
        <charset val="204"/>
        <scheme val="minor"/>
      </rPr>
      <t>1p 16a 6KA</t>
    </r>
  </si>
  <si>
    <r>
      <t xml:space="preserve">avtomaturi amomrTveli          </t>
    </r>
    <r>
      <rPr>
        <sz val="10"/>
        <rFont val="Calibri"/>
        <family val="2"/>
        <charset val="204"/>
        <scheme val="minor"/>
      </rPr>
      <t>1p 25a 6KA</t>
    </r>
  </si>
  <si>
    <t>gamanawilebeli kolofi</t>
  </si>
  <si>
    <r>
      <t>faris korpusi, liTonis hermetuli Sesrulebis</t>
    </r>
    <r>
      <rPr>
        <sz val="10"/>
        <rFont val="Calibri"/>
        <family val="2"/>
        <charset val="204"/>
        <scheme val="minor"/>
      </rPr>
      <t xml:space="preserve"> IP 67</t>
    </r>
  </si>
  <si>
    <t>დამიწების მოთუთიებული ღერო,  d-16 sigrZe 3,0m</t>
  </si>
  <si>
    <t>Cxiris Tavi</t>
  </si>
  <si>
    <t>gadabmis elementi</t>
  </si>
  <si>
    <t xml:space="preserve">wyalmomaragebis gare qseli   (d-25) </t>
  </si>
  <si>
    <t>ცივი წყლისათვის პლასტმასის მილების მოntaJi d-20-25</t>
  </si>
  <si>
    <t>27-19-1</t>
  </si>
  <si>
    <t>qvabulis mowyoba anZis montajisaTvis</t>
  </si>
  <si>
    <t xml:space="preserve">bunebrivi bazaltis bordiuri </t>
  </si>
  <si>
    <t>bunebrivi bazaltis bordiuris montaJi 100X200</t>
  </si>
  <si>
    <t>bunebrivi bazaltis bordiuris montaJi  100X200</t>
  </si>
  <si>
    <t xml:space="preserve">teritoriisa da bilikebis mopirkeTeba bunebrivi bazaltis daburCatebuli filiT </t>
  </si>
  <si>
    <t xml:space="preserve">bilikis mopirketeba bunebrivi bazaltis filiT, 100X100X50mm </t>
  </si>
  <si>
    <t xml:space="preserve">arsebuli betonis skamebis demontaJi dasawyobeba (damkveTis mier miTiTebul adgilze) </t>
  </si>
  <si>
    <t>teritoriaze dazianebuli dekoratiuli filiT (bazaltis namsxvrevi fila "bregCea") mopirkeTebis demontaJi</t>
  </si>
  <si>
    <t>arsebuli bazaltis bordiuris demontaJi--  dasawyobeba damkveTis mier miTiTebul adgilze</t>
  </si>
  <si>
    <t>arsebuli xis fanCaturis demontaJi dasawyobeba damkveTis mier mitiTebul adgilze</t>
  </si>
  <si>
    <t>bazaltis filis natexi "bregCea"</t>
  </si>
  <si>
    <t>bunebrivi bazaltis fila 100X100X50</t>
  </si>
  <si>
    <t xml:space="preserve">bilikis mopirketeba bazaltis namcxvrevi filiT ("brgCea")                           (80% fila) </t>
  </si>
  <si>
    <t xml:space="preserve">iaponuri nekerCxali </t>
  </si>
  <si>
    <t>sabavSvo atraqcionebis sivrceebis mowyoba</t>
  </si>
  <si>
    <t>kauCukis safariani rk.betonis filis mowyoba</t>
  </si>
  <si>
    <t>rk.betonis fenilis mosawyobad qvabulis damuSaveba xeliT</t>
  </si>
  <si>
    <t>snf15-15</t>
  </si>
  <si>
    <t>RorRis fenilis mowyoba rk.betonis filis qveS  10sm sisqis</t>
  </si>
  <si>
    <t>6-1-16</t>
  </si>
  <si>
    <t>monoliTuri rk/betonis  filis mowyoba  12sm sisqis</t>
  </si>
  <si>
    <t xml:space="preserve"> kbm</t>
  </si>
  <si>
    <t>sayalibe fari 25mm</t>
  </si>
  <si>
    <t>sayalibe fari 40mm</t>
  </si>
  <si>
    <t>დანამ.3
11-49
გამოყ.</t>
  </si>
  <si>
    <t xml:space="preserve">kauCukis masiuri fenilis mowyoba sisqiT 30mm     </t>
  </si>
  <si>
    <r>
      <t>მ</t>
    </r>
    <r>
      <rPr>
        <b/>
        <vertAlign val="superscript"/>
        <sz val="10"/>
        <rFont val="Sylfaen"/>
        <family val="1"/>
      </rPr>
      <t>2</t>
    </r>
  </si>
  <si>
    <t>Sromis danaxarji</t>
  </si>
  <si>
    <r>
      <t xml:space="preserve">webopva  </t>
    </r>
    <r>
      <rPr>
        <sz val="11"/>
        <rFont val="Calibri"/>
        <family val="2"/>
        <charset val="204"/>
        <scheme val="minor"/>
      </rPr>
      <t>profesional</t>
    </r>
  </si>
  <si>
    <t>kauCukis masiuri fenili 30mm</t>
  </si>
  <si>
    <r>
      <t>მ</t>
    </r>
    <r>
      <rPr>
        <vertAlign val="superscript"/>
        <sz val="10"/>
        <rFont val="Sylfaen"/>
        <family val="1"/>
        <charset val="204"/>
      </rPr>
      <t>2</t>
    </r>
  </si>
  <si>
    <t>ლ</t>
  </si>
  <si>
    <t>zedmeti gruntis transportireba 20km manZilze da gatana</t>
  </si>
  <si>
    <t>asfaltobetonis safaris mowyoba</t>
  </si>
  <si>
    <t>1-32-2,</t>
  </si>
  <si>
    <t>planireba greideriT</t>
  </si>
  <si>
    <t>1011</t>
  </si>
  <si>
    <t>buldozeri 96k.vt.(130cx.Z)</t>
  </si>
  <si>
    <t>1504</t>
  </si>
  <si>
    <t>avtogreideri saSualo tipis 79k.vt.  (108cx.Z)</t>
  </si>
  <si>
    <t>27-7-3</t>
  </si>
  <si>
    <t xml:space="preserve">safuZvlis mowyoba fraqciuli RorRiT (0-40) mm.KsisqiT-20 sm. </t>
  </si>
  <si>
    <t>kub</t>
  </si>
  <si>
    <t>1016</t>
  </si>
  <si>
    <t>buldozeri 79k.vt .(108cx.Z)</t>
  </si>
  <si>
    <t>avtogreideri saSualo tipis 79k.vt. (108cx.Z)</t>
  </si>
  <si>
    <t>1522</t>
  </si>
  <si>
    <t>satkepni sagzao TviTmavali gluvi 8 t</t>
  </si>
  <si>
    <t>1524</t>
  </si>
  <si>
    <t>satkepni sagzao TviTmavali gluvi 16 t</t>
  </si>
  <si>
    <t>1525</t>
  </si>
  <si>
    <t>satkepni sagzao TviTmavali gluvi 18 t</t>
  </si>
  <si>
    <t>satkepni sagzao TviTmavali gluvi 10 t</t>
  </si>
  <si>
    <t>mosarwyavi manqana 6000l.</t>
  </si>
  <si>
    <t>1559</t>
  </si>
  <si>
    <t>RorRisa da xreSis gamnawilebeli</t>
  </si>
  <si>
    <t>fraqciuli RorRi (0-40) mm</t>
  </si>
  <si>
    <t>27-63-1.</t>
  </si>
  <si>
    <t>Txevadi biTumis mosxma 0,6kg/kvm²</t>
  </si>
  <si>
    <t>tona</t>
  </si>
  <si>
    <t>avtogudronatori 3500l</t>
  </si>
  <si>
    <t>Txevadi biTumi, bitumis emulsia</t>
  </si>
  <si>
    <t>27-39-1;         40-1</t>
  </si>
  <si>
    <t>msxvilmarcvlovani forovani a/b cxeli narevi, 6sm sisqiT</t>
  </si>
  <si>
    <t>100kv.m.</t>
  </si>
  <si>
    <t>a/betonis damgebi</t>
  </si>
  <si>
    <t>sagzao mtkepnavi TviTm. gluvi 5t.</t>
  </si>
  <si>
    <t>igive, 10toniani</t>
  </si>
  <si>
    <t>a/betoni msxvilmarcvlovani</t>
  </si>
  <si>
    <t>4*</t>
  </si>
  <si>
    <r>
      <t>wvrilmarcvlovani forovani a/b cxeli narevi, marka II,  tipi `b~</t>
    </r>
    <r>
      <rPr>
        <b/>
        <sz val="11"/>
        <rFont val="Cambria"/>
        <family val="1"/>
        <charset val="204"/>
      </rPr>
      <t xml:space="preserve"> h</t>
    </r>
    <r>
      <rPr>
        <b/>
        <sz val="11"/>
        <rFont val="AcadNusx"/>
      </rPr>
      <t>=5sm</t>
    </r>
  </si>
  <si>
    <t>a/betoni wvrilmarcvlovani  5sm sisqis</t>
  </si>
  <si>
    <r>
      <t>wvrilmarcvlovani forovani a/b cxeli narevi, marka II,  tipi `b~</t>
    </r>
    <r>
      <rPr>
        <b/>
        <sz val="11"/>
        <rFont val="Cambria"/>
        <family val="1"/>
        <charset val="204"/>
      </rPr>
      <t xml:space="preserve"> h</t>
    </r>
    <r>
      <rPr>
        <b/>
        <sz val="11"/>
        <rFont val="AcadNusx"/>
      </rPr>
      <t>=4sm</t>
    </r>
  </si>
  <si>
    <t>a/betoni wvrilmarcvlovani  4sm sisqis</t>
  </si>
  <si>
    <t>27-56-1</t>
  </si>
  <si>
    <t>parkingis daxazva  (fosforis Semcvelisagzao saRebaviT)</t>
  </si>
  <si>
    <t>1553</t>
  </si>
  <si>
    <t>markirebis manqana (sagzao momniSvneli)</t>
  </si>
  <si>
    <t>saRebavi sagzao</t>
  </si>
  <si>
    <t>dasabuTeba</t>
  </si>
  <si>
    <t>samusaos dasaxeleba</t>
  </si>
  <si>
    <t>ganz. erT</t>
  </si>
  <si>
    <t>normatiuli resursebi</t>
  </si>
  <si>
    <t>masala</t>
  </si>
  <si>
    <t>xelfasi</t>
  </si>
  <si>
    <t>sul danaxarjebi</t>
  </si>
  <si>
    <t>11</t>
  </si>
  <si>
    <t>13</t>
  </si>
  <si>
    <t>46-30-1</t>
  </si>
  <si>
    <t>27-8-2,</t>
  </si>
  <si>
    <t>teritoriis mosworeba-planireba avtogreiderebiT arsebuli gruntis gadaadgilebiT</t>
  </si>
  <si>
    <t>avtogreideri saSualo tipis 79 kvt.</t>
  </si>
  <si>
    <t>1521</t>
  </si>
  <si>
    <t>satkepni sagz. TviTmavali gluvi 5 tn.</t>
  </si>
  <si>
    <t>satkepni sagz. TviTmavali gluvi 10 tn.</t>
  </si>
  <si>
    <t>0209</t>
  </si>
  <si>
    <t>traqtori muxluxa svlaze 79 kvt.</t>
  </si>
  <si>
    <t>mosarwyav-mosarecxi manqana 6000l.</t>
  </si>
  <si>
    <t>1-22-15</t>
  </si>
  <si>
    <t>III kategoriis gruntis damuSaveba qvabulisaTvis eqskavatoriთ ციცხვით 0.5-m3</t>
  </si>
  <si>
    <r>
      <t>1000 m</t>
    </r>
    <r>
      <rPr>
        <vertAlign val="superscript"/>
        <sz val="10"/>
        <rFont val="AcadNusx"/>
      </rPr>
      <t>3</t>
    </r>
  </si>
  <si>
    <t>0926</t>
  </si>
  <si>
    <r>
      <t>eqskavatori 0.5 m</t>
    </r>
    <r>
      <rPr>
        <vertAlign val="superscript"/>
        <sz val="11"/>
        <rFont val="AcadNusx"/>
      </rPr>
      <t>3</t>
    </r>
  </si>
  <si>
    <t xml:space="preserve">gruntis damuSaveba qvabulisaTvis xeliT, saproeqto niSnulamde  </t>
  </si>
  <si>
    <t>tn.</t>
  </si>
  <si>
    <t>qvabulis ZirSi fraqciuli RorRis safuZvlis mowyoba sisqiT 15 sm datkepvniT</t>
  </si>
  <si>
    <t>6-1-5</t>
  </si>
  <si>
    <t>monoliTuri rk.betonis wertilovani saZirkvlis mowyoba liTonis dgarebis qveS</t>
  </si>
  <si>
    <t>yalibis fari</t>
  </si>
  <si>
    <r>
      <t>m</t>
    </r>
    <r>
      <rPr>
        <vertAlign val="superscript"/>
        <sz val="10"/>
        <rFont val="AcadNusx"/>
      </rPr>
      <t>2</t>
    </r>
  </si>
  <si>
    <t>xe masala</t>
  </si>
  <si>
    <t>armatura aIII</t>
  </si>
  <si>
    <t>armatura aI</t>
  </si>
  <si>
    <t>6-15-1</t>
  </si>
  <si>
    <t>monoliTuri rk.betonis saZirkvlis koWis mowyoba liTonis dgarebis qveS</t>
  </si>
  <si>
    <t>6-16-1</t>
  </si>
  <si>
    <t>monoliTuri rk.betonis fenilis mowyoba</t>
  </si>
  <si>
    <t>betoni m-25</t>
  </si>
  <si>
    <t>9-17-5</t>
  </si>
  <si>
    <t xml:space="preserve">SemoRobvis liTonis karkasis mowyoba   </t>
  </si>
  <si>
    <t>liTonis dgarebi --             kv mili 100*100*3</t>
  </si>
  <si>
    <t>liTonis ganivebi  --     kv mili 50*30*3</t>
  </si>
  <si>
    <t>karebis CarCo -- kuTxovana #60*60*4</t>
  </si>
  <si>
    <t>s u l</t>
  </si>
  <si>
    <t>foladis konstruqcia</t>
  </si>
  <si>
    <t xml:space="preserve">foladis konstruqcia misadagebuli   montajisaTvis </t>
  </si>
  <si>
    <t>WanWiki uxeSi normaluri da gazrdili simtkicis</t>
  </si>
  <si>
    <t>liTonis detalebois antikoroziuli SeRebva</t>
  </si>
  <si>
    <r>
      <t xml:space="preserve">liTonis dgarebze mavTulbadis montaJi, 45X45 ujrediT
d=4mm </t>
    </r>
    <r>
      <rPr>
        <b/>
        <sz val="11"/>
        <rFont val="Calibri"/>
        <family val="2"/>
        <charset val="204"/>
        <scheme val="minor"/>
      </rPr>
      <t>PVC</t>
    </r>
    <r>
      <rPr>
        <b/>
        <sz val="11"/>
        <rFont val="AcadNusx"/>
      </rPr>
      <t xml:space="preserve"> 1.2mm</t>
    </r>
  </si>
  <si>
    <r>
      <t>mavTulbade 45X45 ujrediT
d=4mm</t>
    </r>
    <r>
      <rPr>
        <sz val="11"/>
        <rFont val="Calibri"/>
        <family val="2"/>
        <charset val="204"/>
        <scheme val="minor"/>
      </rPr>
      <t xml:space="preserve"> PVC</t>
    </r>
    <r>
      <rPr>
        <sz val="11"/>
        <rFont val="AcadNusx"/>
      </rPr>
      <t xml:space="preserve"> mavTuli d-2,7</t>
    </r>
  </si>
  <si>
    <t xml:space="preserve">sportuli moednis safaris mowyoba </t>
  </si>
  <si>
    <t>დანამ3
11-49
გამოყ.</t>
  </si>
  <si>
    <t>sportuli moednis safaris mowyoba masiuri kauCukis feniliT 30მმ</t>
  </si>
  <si>
    <t>masiuri kauCukis fenili 30მმ</t>
  </si>
  <si>
    <t>14</t>
  </si>
  <si>
    <t>sportuli moednis safaris qveS TviTmasworebadi fenilis mowyoba  5mm</t>
  </si>
  <si>
    <t>15</t>
  </si>
  <si>
    <t xml:space="preserve">sportuli moednis fenilis mowyoba polipropinelis multifunqciuri
iatakis 30X30 sm filebiT, sisqiT 14.1mm </t>
  </si>
  <si>
    <t>polipropinelis multifunqciuri
iataki (filebi 30X30 sm sisqiT 14.1mm)</t>
  </si>
  <si>
    <r>
      <t xml:space="preserve">kalaTburTis faris liTonis dgaris montaJi </t>
    </r>
    <r>
      <rPr>
        <sz val="11"/>
        <rFont val="AcadNusx"/>
      </rPr>
      <t>(ix naxazi)</t>
    </r>
  </si>
  <si>
    <t>kalaTburTis faris liTonis dgarissaZirkvlis mosawyobad qvabulis mowyoba xeliT</t>
  </si>
  <si>
    <t>RorRis fenilis mowyoba liTonis dgaris betonis saZirkvlis qveS</t>
  </si>
  <si>
    <t>sxva lasala</t>
  </si>
  <si>
    <t>6-1-1</t>
  </si>
  <si>
    <t>betonis mosamzadebeli fenilis mowyoba liTonis dgaris betonis saZirkvlis qveS</t>
  </si>
  <si>
    <t>betoni b.7,5</t>
  </si>
  <si>
    <t>6-1-3</t>
  </si>
  <si>
    <t xml:space="preserve">liTonis dgaris betonis wertilovani saZirkvlis mowyoba </t>
  </si>
  <si>
    <t xml:space="preserve">betoni b.25    </t>
  </si>
  <si>
    <t>armatura Ф8 А III</t>
  </si>
  <si>
    <t>9-10-12 gamoy</t>
  </si>
  <si>
    <t>kalaTburTis faris liTonis dgaris montaJi</t>
  </si>
  <si>
    <t xml:space="preserve">liTonis dgari --             kv mili 150*150*6 </t>
  </si>
  <si>
    <t>foladis furceli 6mm sisqis</t>
  </si>
  <si>
    <t>foladis furceli 12mm sisqis</t>
  </si>
  <si>
    <t>liTonis ngafarToebulTaviani ankeri d-16mm muSa sigrZe 400mm</t>
  </si>
  <si>
    <t>sul foladis konstruqcia</t>
  </si>
  <si>
    <t>liTonis gafarToebulTaviani ankeri d-16mm muSa sigrZe 400mm</t>
  </si>
  <si>
    <t>kalaTburTis  faris liTonis dgaris antikoroziuli damuSaveba zeTovani saRebaviT</t>
  </si>
  <si>
    <t>sportuli moednis mowyoba              (stritbolis moedani)</t>
  </si>
  <si>
    <t>arsebuli dazianebuli asfaltis safaris demontaJi</t>
  </si>
  <si>
    <t>8*2+6*2+2c ganatebis =28c +2c</t>
  </si>
  <si>
    <t xml:space="preserve">xis Ria fanCaturis ("besetkis") mowyoba </t>
  </si>
  <si>
    <t>xis mzidi konstruqciebis monoliTuri rkinabetonis saZirkvlis filis mowyoba</t>
  </si>
  <si>
    <t>III jgufis gruntis damuSaveba xeliT, qvabulis mowyoba monoliTuri                  saZirkvlis filis mosawyobad,  qvabulis mosworeba saproeqto niSnulze</t>
  </si>
  <si>
    <t>1,3</t>
  </si>
  <si>
    <t>snf                       15-15</t>
  </si>
  <si>
    <t>monoliTuri saZirkvlis filis qveS RorRis fenilis mowyoba, sisqiT 10sm</t>
  </si>
  <si>
    <t>Bkbm</t>
  </si>
  <si>
    <t xml:space="preserve">RorRi </t>
  </si>
  <si>
    <t>1,6</t>
  </si>
  <si>
    <t xml:space="preserve">monoliTuri rk/betonis saZirkvlis filis mowyoba  </t>
  </si>
  <si>
    <t xml:space="preserve">armatura Ф8  АIII </t>
  </si>
  <si>
    <t xml:space="preserve">armatura Ф6  АI </t>
  </si>
  <si>
    <t>fanCaturis xis konstruqciis mowyoba</t>
  </si>
  <si>
    <t>samSeneblo qanCi</t>
  </si>
  <si>
    <t>antiseptikuri pasta</t>
  </si>
  <si>
    <t>naWedi samSeneblo</t>
  </si>
  <si>
    <t>xis dgarebis CabetonebisaTvis garcmis mowyoba foladis furceliT</t>
  </si>
  <si>
    <r>
      <t xml:space="preserve">liTonis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>=6mm   162*112*1c *39c</t>
    </r>
  </si>
  <si>
    <t xml:space="preserve">tn   </t>
  </si>
  <si>
    <r>
      <t xml:space="preserve">liTonis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>=6mm   200*150*2c *39c</t>
    </r>
  </si>
  <si>
    <r>
      <t xml:space="preserve">liTonis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>=6mm   200*112*2c *39c</t>
    </r>
  </si>
  <si>
    <r>
      <t>liTonis ankeri                                            d-12mm</t>
    </r>
    <r>
      <rPr>
        <sz val="11"/>
        <rFont val="Calibri"/>
        <family val="2"/>
        <charset val="204"/>
        <scheme val="minor"/>
      </rPr>
      <t xml:space="preserve"> L</t>
    </r>
    <r>
      <rPr>
        <sz val="11"/>
        <rFont val="AcadNusx"/>
      </rPr>
      <t>=260mm  1c*39c</t>
    </r>
  </si>
  <si>
    <r>
      <t xml:space="preserve">lursmani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>=250mm  4c*39c</t>
    </r>
  </si>
  <si>
    <r>
      <t xml:space="preserve">lursmani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>=200mm  4c*39c</t>
    </r>
  </si>
  <si>
    <t xml:space="preserve">eleqtrodi </t>
  </si>
  <si>
    <t>xis masalis antiseptikuri damuSaveba da cecxldacva</t>
  </si>
  <si>
    <t>10-37-1</t>
  </si>
  <si>
    <t>xis konstruqciis cecxldacva</t>
  </si>
  <si>
    <t>sxva manqana</t>
  </si>
  <si>
    <t>fosformJava amoniumi</t>
  </si>
  <si>
    <t>amoniumis sulfati</t>
  </si>
  <si>
    <t>navTis kontaqti</t>
  </si>
  <si>
    <t>3,2</t>
  </si>
  <si>
    <t>10-39-2</t>
  </si>
  <si>
    <t>xis konsreuqciis antiseptikuri damuSaveba</t>
  </si>
  <si>
    <t>pasta antiseptikuri</t>
  </si>
  <si>
    <t>15-165-7 gamoy</t>
  </si>
  <si>
    <t>xis detalebis damuSaveba gare samuSaoebis xis laqiT</t>
  </si>
  <si>
    <t>4,2,12</t>
  </si>
  <si>
    <t xml:space="preserve">laqi xis zedapirebis gare dafarvisaTvis </t>
  </si>
  <si>
    <t>sxva samuSaoebi</t>
  </si>
  <si>
    <t>fanCaturis saxuravis mowyoba</t>
  </si>
  <si>
    <t>5,1</t>
  </si>
  <si>
    <t>10-36-4</t>
  </si>
  <si>
    <t>xis molartyvis mowyoba</t>
  </si>
  <si>
    <t>xis ficari 3x.25-32mm</t>
  </si>
  <si>
    <t>lursmani</t>
  </si>
  <si>
    <t>5,2</t>
  </si>
  <si>
    <t>dsp-s fenilis mowyoba</t>
  </si>
  <si>
    <t xml:space="preserve">dsp </t>
  </si>
  <si>
    <t>5,3</t>
  </si>
  <si>
    <t>10-37-3</t>
  </si>
  <si>
    <t>xis molartyvis cecxldacva</t>
  </si>
  <si>
    <t>5,4</t>
  </si>
  <si>
    <t>10-39-3</t>
  </si>
  <si>
    <t>xis molartyvis antiseptireba</t>
  </si>
  <si>
    <t>5,5</t>
  </si>
  <si>
    <t>12-1-1</t>
  </si>
  <si>
    <t>saxuravis mowyoba "Singlis feniliT"</t>
  </si>
  <si>
    <t>saxuravis mosapirkeTebeli masala Singli</t>
  </si>
  <si>
    <t>5,6</t>
  </si>
  <si>
    <t>12-8-5</t>
  </si>
  <si>
    <t xml:space="preserve">კეხის მოწყობა  </t>
  </si>
  <si>
    <t>kexi igive masalis</t>
  </si>
  <si>
    <t>გ/მ</t>
  </si>
  <si>
    <t xml:space="preserve">sWvali </t>
  </si>
  <si>
    <t>arsebuli betonis cokolisa da skamebis demontaJi</t>
  </si>
  <si>
    <t>arsebuli sabaRe skamebis (zurgiani) demontaJi dasawyobeba damkveTis mier miTiTebul adgilzaKF</t>
  </si>
  <si>
    <t>arsebuli sanagve urnebis demontaJi dasawyobeba damkveTis mier miTiTebul adgilzaKF</t>
  </si>
  <si>
    <t>27</t>
  </si>
  <si>
    <t>arsebuli liTonis atraqcionebis demontaJi dasawyobeba damkveTis mier miTitebul adgilze (turniki, saqanela, bzriala, sasrialo kibiT)</t>
  </si>
  <si>
    <t>arsebuli atraqcionis demontaJi, dasawyobeba Semdgomi montaJisaTvis (koSki Camosasrialebli, kibiT da saqaneliT)</t>
  </si>
  <si>
    <t>skveris arsebuli liTonis dekoratiuli SemoRobvis   reabilitacia</t>
  </si>
  <si>
    <t>skveris arsebuli liTonis dekoratiuli SemoRobvis   reabilitacia -- gasufTaveba SeRebva antikoroziuli zeTis saRebaviT</t>
  </si>
  <si>
    <t>skveris ukana nawilSi napisamagri kedelis  reabilitacia</t>
  </si>
  <si>
    <t>rk betonis kedlis mowyoba</t>
  </si>
  <si>
    <r>
      <t xml:space="preserve">betoni </t>
    </r>
    <r>
      <rPr>
        <sz val="11"/>
        <rFont val="Arial"/>
        <family val="2"/>
        <charset val="204"/>
      </rPr>
      <t>B25</t>
    </r>
  </si>
  <si>
    <r>
      <t xml:space="preserve">armatura </t>
    </r>
    <r>
      <rPr>
        <sz val="11"/>
        <color rgb="FFFF0000"/>
        <rFont val="Arial"/>
        <family val="2"/>
        <charset val="204"/>
      </rPr>
      <t>A-III</t>
    </r>
  </si>
  <si>
    <r>
      <t xml:space="preserve">armatura </t>
    </r>
    <r>
      <rPr>
        <sz val="11"/>
        <color rgb="FFFF0000"/>
        <rFont val="Arial"/>
        <family val="2"/>
        <charset val="204"/>
      </rPr>
      <t>A-I</t>
    </r>
  </si>
  <si>
    <t>8-4-7</t>
  </si>
  <si>
    <t>rk betonis kedlis gidroizolacia</t>
  </si>
  <si>
    <t>mastika bitumis</t>
  </si>
  <si>
    <t>gruntis ukuCayra</t>
  </si>
  <si>
    <t xml:space="preserve">sayrdeni kedlis keTilmowyoba </t>
  </si>
  <si>
    <t>15-52-2</t>
  </si>
  <si>
    <t>sayrdeni kedlis Siga zedapirebis lesva cementis xsnariT</t>
  </si>
  <si>
    <t>1431</t>
  </si>
  <si>
    <t>xsnartumbo  3kbm/sT</t>
  </si>
  <si>
    <t>cementis xsnari m-100</t>
  </si>
  <si>
    <t>sayrdeni kedlis Siga zedapirebis lesvis moxatva mocemuli eskizis mixedviT (SefrqveviT) grafiti</t>
  </si>
  <si>
    <t>sayrdeni kedlis Siga zedapiris lesva cementis xsnariT</t>
  </si>
  <si>
    <t>15-54</t>
  </si>
  <si>
    <t xml:space="preserve">skveris mxridan sayrdeni kedlis Siga zedapiris SeSxefeba (Sebrizgva) cementis xsnariT </t>
  </si>
  <si>
    <t>15-168-7</t>
  </si>
  <si>
    <t>skveris mxridan sayrdeni kedlis Siga zedapiris SeRebva gare samuSaoebis emulsiuri saRebaviT</t>
  </si>
  <si>
    <t>emulsiuri saRebavi gare samuSaoebis</t>
  </si>
  <si>
    <t>15-5-15</t>
  </si>
  <si>
    <t>skveris wina sayrdeni kedlebis zedapirebis mopirketeba bunebrivi qiT</t>
  </si>
  <si>
    <t>bunebrivi qva                  (fleTili an Tlili)</t>
  </si>
  <si>
    <t>15-5-7</t>
  </si>
  <si>
    <t>sayrdeni kedlis qudis mopirkeTeba bazaltis filiT</t>
  </si>
  <si>
    <t xml:space="preserve">bazaltis fila 30mm sisqis, </t>
  </si>
  <si>
    <t>skveris ukana mxares napirsamagri  sayrdeni kedlis rk.betonis perangis mowyoba</t>
  </si>
  <si>
    <t>sayrdeni  kedlis r.betonis  perangis   saZirkvlis mosawyobad qvabulis mowyoba     xeliT</t>
  </si>
  <si>
    <t>RorRis safuZvlis mowyoba rk.betonis perangis saZirkvlis     qveS</t>
  </si>
  <si>
    <t>zedmeti grumtis gaSla mimdebared</t>
  </si>
  <si>
    <t>napirsamagri kedlis Tavze rk.betonis sartyelis mowyoba</t>
  </si>
  <si>
    <t>6-15-9</t>
  </si>
  <si>
    <t xml:space="preserve">sayrdeni kedlis qudisa da skveris mxridan kedlis zedapiris  mopirkeTeba bazaltis filiT </t>
  </si>
  <si>
    <t>7-21-10 gam.</t>
  </si>
  <si>
    <r>
      <t xml:space="preserve">liTonis moajiris mowyoba - rk.betonis kedelze Caankereba  </t>
    </r>
    <r>
      <rPr>
        <sz val="11"/>
        <rFont val="AcadNusx"/>
      </rPr>
      <t>(moc eskizis mixedviT)</t>
    </r>
  </si>
  <si>
    <t>0470</t>
  </si>
  <si>
    <t>amwe - kranis momsaxureoba 10t</t>
  </si>
  <si>
    <t>4,1,339</t>
  </si>
  <si>
    <r>
      <t xml:space="preserve">betoni </t>
    </r>
    <r>
      <rPr>
        <sz val="11"/>
        <rFont val="Arial"/>
        <family val="2"/>
        <charset val="204"/>
      </rPr>
      <t xml:space="preserve">B7.5 </t>
    </r>
  </si>
  <si>
    <t>1,9,69</t>
  </si>
  <si>
    <t>liTonis Robe</t>
  </si>
  <si>
    <t>1,6,1</t>
  </si>
  <si>
    <t>liTonis konstruqcia samontaJo</t>
  </si>
  <si>
    <r>
      <t xml:space="preserve">sayrdeni kedlis Tavze dekoratiuli liTonis Weduri moajiris mowyoba                   </t>
    </r>
    <r>
      <rPr>
        <b/>
        <sz val="11"/>
        <rFont val="Calibri"/>
        <family val="2"/>
        <scheme val="minor"/>
      </rPr>
      <t>H</t>
    </r>
    <r>
      <rPr>
        <b/>
        <sz val="11"/>
        <rFont val="AcadNusx"/>
      </rPr>
      <t>=0,4m, kedelSi Caankereba</t>
    </r>
  </si>
  <si>
    <t>7-22-8</t>
  </si>
  <si>
    <t xml:space="preserve">liTonis kutikaris damzadeba da montaJi  </t>
  </si>
  <si>
    <t>liTonis karebi (aqsesuarebiT)</t>
  </si>
  <si>
    <r>
      <t xml:space="preserve">betoni </t>
    </r>
    <r>
      <rPr>
        <sz val="11"/>
        <rFont val="Arial"/>
        <family val="2"/>
        <charset val="204"/>
      </rPr>
      <t>B7.5</t>
    </r>
  </si>
  <si>
    <t>liTonis konstruqciebis SeRebva antikoroziuli saRebaviT</t>
  </si>
  <si>
    <r>
      <t xml:space="preserve">skveris teritoriaze arsebuli </t>
    </r>
    <r>
      <rPr>
        <b/>
        <sz val="11"/>
        <rFont val="Calibri"/>
        <family val="2"/>
        <scheme val="minor"/>
      </rPr>
      <t>WC</t>
    </r>
    <r>
      <rPr>
        <b/>
        <sz val="11"/>
        <rFont val="AcadNusx"/>
      </rPr>
      <t xml:space="preserve">-s Senobis reabilitacia </t>
    </r>
  </si>
  <si>
    <t>Senobis fasadis dazianebuli lesvis demontaJi</t>
  </si>
  <si>
    <t>Senobis SigniT dazianebuli metlaxis mopirketebis demontaJi</t>
  </si>
  <si>
    <t>metaloplastmasis dazianebuli karebis blokebis demontaji</t>
  </si>
  <si>
    <t>metaloplastmasis dazianebuli fanjris blokebis demontaji</t>
  </si>
  <si>
    <t>cementis xsnariT moirketebis demontaJi</t>
  </si>
  <si>
    <t>dazianebuli santeqnikuri mowyobilobebis demontaji</t>
  </si>
  <si>
    <t>unitazi</t>
  </si>
  <si>
    <t>xelsabani</t>
  </si>
  <si>
    <t>wylis Semrevi</t>
  </si>
  <si>
    <t>dazianebuli plastikatis Sekiduli Weris demontaJi</t>
  </si>
  <si>
    <t>Sida kedlebis lesva kafeliT mopikeTebis qveS</t>
  </si>
  <si>
    <t>iatakis mopirkeTeba keramogranitis filiT</t>
  </si>
  <si>
    <t>kedlebis mopirkeTeba kafelis filiT</t>
  </si>
  <si>
    <t>46-32-1</t>
  </si>
  <si>
    <t>46-32-3</t>
  </si>
  <si>
    <t>46-31-12-13</t>
  </si>
  <si>
    <t>11-8-1-2</t>
  </si>
  <si>
    <t>iatakebis moWimva cementis xsnariT  m-200 30mm</t>
  </si>
  <si>
    <t>11-36-3</t>
  </si>
  <si>
    <t>keramikuli filis plintusis mowyoba</t>
  </si>
  <si>
    <t>webocementi yinvagamZle</t>
  </si>
  <si>
    <t>fuga (Semavsebeli)</t>
  </si>
  <si>
    <t>11-20-3</t>
  </si>
  <si>
    <t>15-15-3</t>
  </si>
  <si>
    <t xml:space="preserve">kafelis fila                </t>
  </si>
  <si>
    <t>34-59-7
34-61-3
gamoy.</t>
  </si>
  <si>
    <t>plastikatis Sekiduli Weris mowyoba (feradi)</t>
  </si>
  <si>
    <t>liTonis profilebi</t>
  </si>
  <si>
    <t>samSeneblo WanWiki</t>
  </si>
  <si>
    <t>plastikati b=25 feradi</t>
  </si>
  <si>
    <t>xsnaris tumbo  3kbm/sT</t>
  </si>
  <si>
    <t>qviSa-cementis xsnari  m-100</t>
  </si>
  <si>
    <t>mavTulis bade</t>
  </si>
  <si>
    <t>15_55_9</t>
  </si>
  <si>
    <t>15_52_5</t>
  </si>
  <si>
    <t>1430</t>
  </si>
  <si>
    <t>xsnaris tumbo  1 kbm/sT</t>
  </si>
  <si>
    <t xml:space="preserve">fanjrebisa da karebis  ferdoebis Selesva qviSa-cementis xsnariT </t>
  </si>
  <si>
    <t>r21-87</t>
  </si>
  <si>
    <t>samSeneblo narCenebis Segroveba, gamotana, avtoTviTmclelze dasatvirTavad</t>
  </si>
  <si>
    <t>snf 15,15</t>
  </si>
  <si>
    <t>46-15-2</t>
  </si>
  <si>
    <t>cementis sxnaris fenilis moxsna kafeliT mopirketebis qveS</t>
  </si>
  <si>
    <t>demontaJis samuSaoebi</t>
  </si>
  <si>
    <t>15_52_1</t>
  </si>
  <si>
    <t>xsnaris tumbo  3,0kbm/sT</t>
  </si>
  <si>
    <t>damt.3
35-67-3
gamoy.</t>
  </si>
  <si>
    <t>kac.sT.</t>
  </si>
  <si>
    <t>4,1,459</t>
  </si>
  <si>
    <r>
      <rPr>
        <sz val="11"/>
        <rFont val="Calibri"/>
        <family val="2"/>
        <charset val="204"/>
        <scheme val="minor"/>
      </rPr>
      <t>XPS</t>
    </r>
    <r>
      <rPr>
        <sz val="11"/>
        <rFont val="AcadNusx"/>
      </rPr>
      <t>-is safasade kompozituri paneli  30mm sisqis (samagri dubelebiT)</t>
    </r>
  </si>
  <si>
    <t>1,9,49</t>
  </si>
  <si>
    <t>bade samRebro</t>
  </si>
  <si>
    <t>15_168-7</t>
  </si>
  <si>
    <t xml:space="preserve">fasadis kedlebis maRalxarisxovani SeRebva safasade saRebaviT </t>
  </si>
  <si>
    <t>fiTxi fasadis</t>
  </si>
  <si>
    <t>zumfara</t>
  </si>
  <si>
    <t>grunti fasadis</t>
  </si>
  <si>
    <t>wyal-emulsiis saRebavi</t>
  </si>
  <si>
    <t>fasadis kedlebis maRalxarisxovani lesva qviSa-cementis xsnariT</t>
  </si>
  <si>
    <r>
      <t xml:space="preserve">fasadis mopirkeTeba </t>
    </r>
    <r>
      <rPr>
        <b/>
        <sz val="11"/>
        <rFont val="Calibri"/>
        <family val="2"/>
        <charset val="204"/>
        <scheme val="minor"/>
      </rPr>
      <t>XPS</t>
    </r>
    <r>
      <rPr>
        <b/>
        <sz val="11"/>
        <rFont val="AcadNusx"/>
      </rPr>
      <t xml:space="preserve">-is safasade kompozituri paneliT </t>
    </r>
  </si>
  <si>
    <t>borjomis municipalitetis daba waRverSi kulturis saxlis mimdebared skveris mowyobis samuSaoebi</t>
  </si>
  <si>
    <t>r-25-13-5</t>
  </si>
  <si>
    <t>46-15-2 gamoy</t>
  </si>
  <si>
    <t>46-27-6</t>
  </si>
  <si>
    <t xml:space="preserve">gatana 20 km-ze </t>
  </si>
  <si>
    <t>damatebiTi noyieri gruntis Semotana skveris teritoriaze 20km manZilidan</t>
  </si>
  <si>
    <t>gruntis gatana 20km</t>
  </si>
  <si>
    <t xml:space="preserve">samSeneblo nagvis gatana 20 km-ze </t>
  </si>
  <si>
    <t>qviSa-cementis xsnari   m-100</t>
  </si>
  <si>
    <t>keramograniti yinvagamZle</t>
  </si>
  <si>
    <t>Senobis keTilmowyobis samuSaoebi</t>
  </si>
  <si>
    <t>9-14-5</t>
  </si>
  <si>
    <t>amwe saavtomobilo svlaze 6,3t</t>
  </si>
  <si>
    <t>0625</t>
  </si>
  <si>
    <t>jalambari (libiotka) 3t  eleqtroreversiuli</t>
  </si>
  <si>
    <t>metaloplastmasis karebis blokebis mowyoba (feradi-yavisferi,  6 sm sisqis,)</t>
  </si>
  <si>
    <t>metaloplastmasis fanjris blokebis mowyoba (feradi-yavisferi,  6 sm sisqis, ormagi minapaketi)</t>
  </si>
  <si>
    <r>
      <t xml:space="preserve">klumbis irgvliv skamis zedapirebis mopirketeba maRali xarisxis xis imitaciis polimeruli masaliT </t>
    </r>
    <r>
      <rPr>
        <b/>
        <sz val="11"/>
        <rFont val="Calibri"/>
        <family val="2"/>
        <charset val="204"/>
        <scheme val="minor"/>
      </rPr>
      <t>"TEPPA DECK"</t>
    </r>
  </si>
  <si>
    <t>klumbebis garSemo dasajdomi skamebis liTonis karkasis mowyoba</t>
  </si>
  <si>
    <t>3,7/0,15+1=26    3,7/0,6+1=7</t>
  </si>
  <si>
    <t>9-15-2</t>
  </si>
  <si>
    <t>dasajdomi detalis liTonis karkasis mowyoba</t>
  </si>
  <si>
    <t>kv mili 40*60*3</t>
  </si>
  <si>
    <t>kv mili 20*40*2</t>
  </si>
  <si>
    <t>10-3-1</t>
  </si>
  <si>
    <t>skamis zedapirebis mopirketeba xis reakebiT</t>
  </si>
  <si>
    <t>xis reika  70X40</t>
  </si>
  <si>
    <t>7sm (reikis sigane)            +4sm (Sualedi) =11sm</t>
  </si>
  <si>
    <t xml:space="preserve">xis lartya 7*4 </t>
  </si>
  <si>
    <r>
      <t xml:space="preserve">WanWiki da qanCi </t>
    </r>
    <r>
      <rPr>
        <sz val="12"/>
        <rFont val="Calibri"/>
        <family val="2"/>
        <charset val="204"/>
        <scheme val="minor"/>
      </rPr>
      <t xml:space="preserve"> M6</t>
    </r>
    <r>
      <rPr>
        <sz val="12"/>
        <rFont val="AcadNusx"/>
      </rPr>
      <t>mm</t>
    </r>
    <r>
      <rPr>
        <sz val="12"/>
        <rFont val="Calibri"/>
        <family val="2"/>
        <charset val="204"/>
        <scheme val="minor"/>
      </rPr>
      <t xml:space="preserve"> L </t>
    </r>
    <r>
      <rPr>
        <sz val="12"/>
        <rFont val="AcadNusx"/>
      </rPr>
      <t>10sm</t>
    </r>
  </si>
  <si>
    <t>15-165-6 gam.</t>
  </si>
  <si>
    <t>skamis xis zedapirebis damuSaveba da SeRebva xis spec laqiT gare samuSaoebisaTvis (feri SeTanxmdes damkveTTan)</t>
  </si>
  <si>
    <t>xis spec laqiT gare   samuSaoebisaTvis</t>
  </si>
  <si>
    <t>klumba #1</t>
  </si>
  <si>
    <t>klumba #2</t>
  </si>
  <si>
    <t>klumba #3</t>
  </si>
  <si>
    <t>kv mili 40*80*3</t>
  </si>
  <si>
    <t>klumba #4-5</t>
  </si>
  <si>
    <t>klumba #6</t>
  </si>
  <si>
    <t xml:space="preserve">filadis furceli 10mm  150*150 </t>
  </si>
  <si>
    <t xml:space="preserve">liTonis kv mili 40*80*3  </t>
  </si>
  <si>
    <t>liTonis kv mili 20*40-2</t>
  </si>
  <si>
    <t>foladis furceli 10mm</t>
  </si>
  <si>
    <t>ankeri d-8 l=150</t>
  </si>
  <si>
    <t xml:space="preserve">570+5=575c X 45sm </t>
  </si>
  <si>
    <t>liTonis ganivebi  --      kv mili 50*30*3</t>
  </si>
  <si>
    <r>
      <t xml:space="preserve">skveris teritoriaze arsebuli </t>
    </r>
    <r>
      <rPr>
        <b/>
        <sz val="14"/>
        <color rgb="FF0000FF"/>
        <rFont val="Calibri"/>
        <family val="2"/>
        <charset val="204"/>
        <scheme val="minor"/>
      </rPr>
      <t>WC</t>
    </r>
  </si>
  <si>
    <t>eleqtro montaJis samuSaoebi</t>
  </si>
  <si>
    <t>lk #2-1</t>
  </si>
  <si>
    <t>Senobis el montaJi</t>
  </si>
  <si>
    <t>Zalovani farebisa da qvefarebis montaJi</t>
  </si>
  <si>
    <t>8,14*310</t>
  </si>
  <si>
    <r>
      <rPr>
        <b/>
        <sz val="11"/>
        <color theme="1"/>
        <rFont val="Cambria"/>
        <family val="1"/>
        <scheme val="major"/>
      </rPr>
      <t xml:space="preserve">MB </t>
    </r>
    <r>
      <rPr>
        <b/>
        <sz val="11"/>
        <color theme="1"/>
        <rFont val="AcadNusx"/>
      </rPr>
      <t xml:space="preserve">Senobis mTavari </t>
    </r>
    <r>
      <rPr>
        <b/>
        <sz val="11"/>
        <color theme="1"/>
        <rFont val="Cambria"/>
        <family val="1"/>
        <scheme val="major"/>
      </rPr>
      <t xml:space="preserve"> IP55  </t>
    </r>
    <r>
      <rPr>
        <b/>
        <sz val="11"/>
        <color theme="1"/>
        <rFont val="AcadNusx"/>
      </rPr>
      <t>Semomyvan-gamanawilebeli el. karada (ВРУ) 600X600X200 mm (liTonis karada)</t>
    </r>
  </si>
  <si>
    <t>gamTiSi kontaqtebi xelis blokirebiT 500v/300a; el.karada (ВРУ)</t>
  </si>
  <si>
    <t xml:space="preserve">gamTiSi kontaqtebi dnobadi mcvelebiT 400v/150a; el.karada (ВРУ) </t>
  </si>
  <si>
    <t>8,14,63</t>
  </si>
  <si>
    <t>amomrTveli avtomati 400v/200a; el.karada (ВРУ) ВА47-29 3Р С200А</t>
  </si>
  <si>
    <t>diferencirebuli avtomaturi amaomrTveli; 400v/220a; el.karada (ВРУ) АБДТ-220А 4Р 30мА</t>
  </si>
  <si>
    <t>amomrTveli avtomati; 400v/120a; el.karada (ВРУ) ВА47-29 3Р С120А</t>
  </si>
  <si>
    <t>amomrTveli avtomati; 400v/100a; el.karada (ВРУ) ВА47-29 3Р С100А</t>
  </si>
  <si>
    <t>amomrTveli avtomati; 400v/64a el.karada (ВРУ) ВА47-29 3Р С64А</t>
  </si>
  <si>
    <t>amomrTveli avtomati; 400v/50a; el.karada (ВРУ) ВА47-29 3Р С50А</t>
  </si>
  <si>
    <t>amomrTveli avtomati; 400v/32a el.karada (ВРУ) ВА47-29 3Р С32А</t>
  </si>
  <si>
    <t>amomrTveli avtomati; 400v/25 a; el.karada (ВРУ) ВА47-29 3Р С25А</t>
  </si>
  <si>
    <t>amomrTveli avtomati; 400v/25 a; el.karada (ВРУ) ВА47-29 2Р С25А</t>
  </si>
  <si>
    <t>amomrTveli avtomati; 400v/16a; el.karada (ВРУ) ВА47-29 3Р С16А</t>
  </si>
  <si>
    <r>
      <t xml:space="preserve">el.gaman.fari </t>
    </r>
    <r>
      <rPr>
        <b/>
        <sz val="11"/>
        <color theme="1"/>
        <rFont val="Calibri"/>
        <family val="2"/>
        <charset val="204"/>
        <scheme val="minor"/>
      </rPr>
      <t xml:space="preserve">DB  </t>
    </r>
    <r>
      <rPr>
        <b/>
        <sz val="11"/>
        <color theme="1"/>
        <rFont val="AcadNusx"/>
      </rPr>
      <t xml:space="preserve">#1   48 moduliani (samzareulo) 380-220 v; furnitura dacvis klasi </t>
    </r>
    <r>
      <rPr>
        <b/>
        <sz val="11"/>
        <color theme="1"/>
        <rFont val="Calibri"/>
        <family val="2"/>
        <charset val="204"/>
        <scheme val="minor"/>
      </rPr>
      <t xml:space="preserve">IP 67 </t>
    </r>
    <r>
      <rPr>
        <b/>
        <sz val="11"/>
        <color theme="1"/>
        <rFont val="AcadNusx"/>
      </rPr>
      <t>(liTonis karada)</t>
    </r>
  </si>
  <si>
    <t xml:space="preserve">amomrTveli avtomati; 250v/10a; erTpolusa                     ВА47-29 1Р С10А               </t>
  </si>
  <si>
    <t xml:space="preserve">amomrTveli avtomati; 250v/16a; erTpolusa         ВА47-29 1Р С16А </t>
  </si>
  <si>
    <r>
      <t xml:space="preserve">diferencirebuli amorTvis orpolusa avtomati; 250v/16a; erTpolusa                      </t>
    </r>
    <r>
      <rPr>
        <sz val="11"/>
        <color theme="1"/>
        <rFont val="Calibri"/>
        <family val="2"/>
        <charset val="204"/>
        <scheme val="minor"/>
      </rPr>
      <t>ДИФBA4  2P C16A</t>
    </r>
  </si>
  <si>
    <r>
      <t xml:space="preserve">el.gaman.fari </t>
    </r>
    <r>
      <rPr>
        <b/>
        <sz val="11"/>
        <color theme="1"/>
        <rFont val="Calibri"/>
        <family val="2"/>
        <charset val="204"/>
        <scheme val="minor"/>
      </rPr>
      <t xml:space="preserve">DB </t>
    </r>
    <r>
      <rPr>
        <b/>
        <sz val="11"/>
        <color theme="1"/>
        <rFont val="AcadNusx"/>
      </rPr>
      <t xml:space="preserve">#-2  24 moduliani  380-220v; furnitura dacvis klasi </t>
    </r>
    <r>
      <rPr>
        <b/>
        <sz val="11"/>
        <color theme="1"/>
        <rFont val="Calibri"/>
        <family val="2"/>
        <charset val="204"/>
        <scheme val="minor"/>
      </rPr>
      <t xml:space="preserve">IP55  </t>
    </r>
    <r>
      <rPr>
        <b/>
        <sz val="11"/>
        <color theme="1"/>
        <rFont val="AcadNusx"/>
      </rPr>
      <t xml:space="preserve"> (liTonis karada)</t>
    </r>
  </si>
  <si>
    <t>amomrTveli avtomati; 400v/100a; el.karada         ВА47-29 3Р С100А</t>
  </si>
  <si>
    <t xml:space="preserve">amomrTveli avtomati; 250v/10a; erTpolusa          ВА47-29 1Р С10А </t>
  </si>
  <si>
    <t xml:space="preserve">amomrTveli avtomati; 250v/25a; erTpolusa         ВА47-29 1Р С25А </t>
  </si>
  <si>
    <t xml:space="preserve">amomrTveli avtomati; 250v/50a; erTpolusa         ВА47-29 1Р С50А </t>
  </si>
  <si>
    <t xml:space="preserve">amomrTveli avtomati; 400v/25a; sampolusa              ВА47-29 3Р С25А </t>
  </si>
  <si>
    <r>
      <t xml:space="preserve">el.gaman.fari </t>
    </r>
    <r>
      <rPr>
        <b/>
        <sz val="11"/>
        <color theme="1"/>
        <rFont val="Calibri"/>
        <family val="2"/>
        <charset val="204"/>
        <scheme val="minor"/>
      </rPr>
      <t xml:space="preserve">DB </t>
    </r>
    <r>
      <rPr>
        <b/>
        <sz val="11"/>
        <color theme="1"/>
        <rFont val="AcadNusx"/>
      </rPr>
      <t xml:space="preserve">#-3  12 moduliani  380-220v; furnitura dacvis klasi </t>
    </r>
    <r>
      <rPr>
        <b/>
        <sz val="11"/>
        <color theme="1"/>
        <rFont val="Calibri"/>
        <family val="2"/>
        <charset val="204"/>
        <scheme val="minor"/>
      </rPr>
      <t xml:space="preserve">IP55  </t>
    </r>
    <r>
      <rPr>
        <b/>
        <sz val="11"/>
        <color theme="1"/>
        <rFont val="AcadNusx"/>
      </rPr>
      <t>(liTonis karada)</t>
    </r>
  </si>
  <si>
    <t xml:space="preserve">amomrTveli avtomati; 250v/16a; erTpolusa           ВА47-29 1Р С16А </t>
  </si>
  <si>
    <t>Zalovani eleqtro qselis montaJi</t>
  </si>
  <si>
    <t>8,2,86</t>
  </si>
  <si>
    <t>mTavari Zalovani kabeli
aluminis ZarRviani foladis broniT
3X120-1X95 mm2                     АВВГ БР 3*120-1*95</t>
  </si>
  <si>
    <t>mTavari Zalovani kabeli
aluminis ZarRviani miwisqveSa Cadebis
АВВГ 3X70--1X50 mm2</t>
  </si>
  <si>
    <t>mTavari Zalovani kabeli (darbazi)
aluminis ZarRviani miwisqveSa Cadebis
АВВГ 3X50--1X35 mm3</t>
  </si>
  <si>
    <t>mTavari Zalovani kabeli (ambulatoria)
aluminis ZarRviani miwisqveSa Cadebis
АВВГ 3X25--1X16 mm4</t>
  </si>
  <si>
    <t>mTavari Zalovani kabeli (saqvabe)
aluminis ZarRviani miwisqveSa Cadebis
АВВГ 3X10--1X6 mm5</t>
  </si>
  <si>
    <t>8,3,112</t>
  </si>
  <si>
    <t>kabeli spilenZis ZarRviani uwvadi
aratoqsikuri saizolacio masaliT
4*35-1X25 mm2                     ВВГ БР 4*35-1*25</t>
  </si>
  <si>
    <t>8,3,111</t>
  </si>
  <si>
    <t>kabeli spilenZis ZarRviani uwvadi
aratoqsikuri saizolacio masaliT
4*25-1X16 mm2                     ВВГ БР 4*25-1*16</t>
  </si>
  <si>
    <t>8,3,110</t>
  </si>
  <si>
    <t>kabeli spilenZis ZarRviani uwvadi
aratoqsikuri saizolacio masaliT
4*16-1X10 mm2                     ВВГ БР 4*16-1*10</t>
  </si>
  <si>
    <r>
      <t>kabeli spilenZis ZarRviani uwvadi
aratoqsikuri saizolacio masaliT
3X4 mm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                         ВВГ 3X4მმ</t>
    </r>
    <r>
      <rPr>
        <vertAlign val="superscript"/>
        <sz val="11"/>
        <rFont val="AcadNusx"/>
      </rPr>
      <t>2</t>
    </r>
  </si>
  <si>
    <r>
      <t>kabeli spilenZis ZarRviani uwvadi
aratoqsikuri saizolacio masaliT
3X6 mm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                         ВВГ 3X6მმ</t>
    </r>
    <r>
      <rPr>
        <vertAlign val="superscript"/>
        <sz val="11"/>
        <rFont val="AcadNusx"/>
      </rPr>
      <t>2</t>
    </r>
  </si>
  <si>
    <t>8,3,123</t>
  </si>
  <si>
    <r>
      <t>kabeli spilenZis ZarRviani uwvadi
aratoqsikuri saizolacio masaliT
5X6 mm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                         ВВГ 5X6მმ</t>
    </r>
    <r>
      <rPr>
        <vertAlign val="superscript"/>
        <sz val="11"/>
        <rFont val="AcadNusx"/>
      </rPr>
      <t>2</t>
    </r>
  </si>
  <si>
    <r>
      <t>kabeli spilenZis ZarRviani uwvadi
aratoqsikuri saizolacio masaliT
5X4 mm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                         ВВГ 5X4მმ</t>
    </r>
    <r>
      <rPr>
        <vertAlign val="superscript"/>
        <sz val="11"/>
        <rFont val="AcadNusx"/>
      </rPr>
      <t>2</t>
    </r>
  </si>
  <si>
    <t>8,3,73</t>
  </si>
  <si>
    <r>
      <t>kabeli spilenZis ZarRviani uwvadi
aratoqsikuri saizolacio masaliT
5X2,5 mm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                         ВВГ  5X2,5 მმ</t>
    </r>
    <r>
      <rPr>
        <vertAlign val="superscript"/>
        <sz val="11"/>
        <rFont val="AcadNusx"/>
      </rPr>
      <t>2</t>
    </r>
  </si>
  <si>
    <t>8,3,72</t>
  </si>
  <si>
    <r>
      <t>kabeli spilenZis ZarRviani uwvadi
aratoqsikuri saizolacio masaliT
5X1,5 mm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                         ВВГ   5X1,5 მმ</t>
    </r>
    <r>
      <rPr>
        <vertAlign val="superscript"/>
        <sz val="11"/>
        <rFont val="AcadNusx"/>
      </rPr>
      <t>2</t>
    </r>
  </si>
  <si>
    <t>8,3,61</t>
  </si>
  <si>
    <r>
      <t>kabeli spilenZis ZarRviani uwvadi
aratoqsikuri saizolacio masaliT
3X2.5 mm2</t>
    </r>
    <r>
      <rPr>
        <vertAlign val="superscript"/>
        <sz val="11"/>
        <rFont val="AcadNusx"/>
      </rPr>
      <t xml:space="preserve">  </t>
    </r>
    <r>
      <rPr>
        <sz val="11"/>
        <rFont val="AcadNusx"/>
      </rPr>
      <t>ВВГ  3*2,5მმ</t>
    </r>
    <r>
      <rPr>
        <vertAlign val="superscript"/>
        <sz val="11"/>
        <rFont val="AcadNusx"/>
      </rPr>
      <t>2</t>
    </r>
  </si>
  <si>
    <t>8,3,60</t>
  </si>
  <si>
    <r>
      <t>kabeli spilenZis ZarRviani uwvadi
aratoqsikuri saizolacio masaliT
3X1.5 mm2</t>
    </r>
    <r>
      <rPr>
        <vertAlign val="superscript"/>
        <sz val="11"/>
        <rFont val="AcadNusx"/>
      </rPr>
      <t xml:space="preserve">   </t>
    </r>
    <r>
      <rPr>
        <sz val="11"/>
        <rFont val="AcadNusx"/>
      </rPr>
      <t>ВВГ   3*1,5მმ</t>
    </r>
    <r>
      <rPr>
        <vertAlign val="superscript"/>
        <sz val="11"/>
        <rFont val="AcadNusx"/>
      </rPr>
      <t>2</t>
    </r>
  </si>
  <si>
    <t>uJangavi foladis kabelarxi
200X3000 mm</t>
  </si>
  <si>
    <r>
      <t>kabeli spilenZis ZarRviani uwvadi
aratoqsikuri saizolacio masaliT
2X1.5 mm2</t>
    </r>
    <r>
      <rPr>
        <vertAlign val="superscript"/>
        <sz val="11"/>
        <rFont val="AcadNusx"/>
      </rPr>
      <t xml:space="preserve">   </t>
    </r>
    <r>
      <rPr>
        <sz val="11"/>
        <rFont val="AcadNusx"/>
      </rPr>
      <t>ВВГ   2*1,5მმ</t>
    </r>
    <r>
      <rPr>
        <vertAlign val="superscript"/>
        <sz val="11"/>
        <rFont val="AcadNusx"/>
      </rPr>
      <t>2</t>
    </r>
  </si>
  <si>
    <t>uJangavi foladis kabelarxi
100X3000 mm</t>
  </si>
  <si>
    <t>uJangavi foladis kabelarxi
50X3000 mm</t>
  </si>
  <si>
    <t>uJangavi foladis kabelarxis ankeri</t>
  </si>
  <si>
    <t>uJangavi foladis kabelarxis ankeris dubeli d-10mm</t>
  </si>
  <si>
    <t>kabelis plasmasis samagri xamuTiT
∅6 mm</t>
  </si>
  <si>
    <r>
      <t xml:space="preserve">gofrirebuli saizolacio mili d=∅63      </t>
    </r>
    <r>
      <rPr>
        <sz val="11"/>
        <color theme="1"/>
        <rFont val="Cambria"/>
        <family val="1"/>
        <scheme val="major"/>
      </rPr>
      <t>IP 55  ГОСТ14254</t>
    </r>
  </si>
  <si>
    <r>
      <t xml:space="preserve">gofrirebuli saizolacio mili d=∅32 mm  </t>
    </r>
    <r>
      <rPr>
        <sz val="11"/>
        <color theme="1"/>
        <rFont val="Cambria"/>
        <family val="1"/>
        <scheme val="major"/>
      </rPr>
      <t>IP55  ГОСТ14254</t>
    </r>
  </si>
  <si>
    <r>
      <t xml:space="preserve">gofrirebuli saizolacio mili d=∅25 mm  </t>
    </r>
    <r>
      <rPr>
        <sz val="11"/>
        <color theme="1"/>
        <rFont val="Cambria"/>
        <family val="1"/>
        <scheme val="major"/>
      </rPr>
      <t>IP55  ГОСТ14254</t>
    </r>
  </si>
  <si>
    <r>
      <t>gofrirebuli saizolacio mili d=∅20 mm  I</t>
    </r>
    <r>
      <rPr>
        <sz val="11"/>
        <color theme="1"/>
        <rFont val="Cambria"/>
        <family val="1"/>
        <scheme val="major"/>
      </rPr>
      <t>P55  ГОСТ14254</t>
    </r>
  </si>
  <si>
    <t>golfrirebuli saizolacio mili
∅16 mm</t>
  </si>
  <si>
    <t>kabelis plasmasis samagri
xamuTiT ∅6mm   ∅6mm/60mm</t>
  </si>
  <si>
    <t>el.ganaTebis  qselis montaJi</t>
  </si>
  <si>
    <t>21-23-3</t>
  </si>
  <si>
    <t>saStepselo rozetebis montaJi</t>
  </si>
  <si>
    <r>
      <t xml:space="preserve">saStefselo rozeti damiwebiT
250v/16a; dacvis klasi </t>
    </r>
    <r>
      <rPr>
        <sz val="11"/>
        <rFont val="Calibri"/>
        <family val="2"/>
        <charset val="204"/>
        <scheme val="minor"/>
      </rPr>
      <t>IP 45</t>
    </r>
  </si>
  <si>
    <r>
      <t xml:space="preserve">dublirebuli saStefselo rozeti damiwebiT
250v/16a; dacvis klasi </t>
    </r>
    <r>
      <rPr>
        <sz val="11"/>
        <rFont val="Calibri"/>
        <family val="2"/>
        <charset val="204"/>
        <scheme val="minor"/>
      </rPr>
      <t>IP 44</t>
    </r>
  </si>
  <si>
    <r>
      <t xml:space="preserve">saStefselo rozeti damiwebiT
250v/25a; dacvis klasi </t>
    </r>
    <r>
      <rPr>
        <sz val="11"/>
        <rFont val="Calibri"/>
        <family val="2"/>
        <charset val="204"/>
        <scheme val="minor"/>
      </rPr>
      <t>IP 65</t>
    </r>
  </si>
  <si>
    <t>iatakis rozetis kolofi 2 meqanizmze</t>
  </si>
  <si>
    <r>
      <rPr>
        <sz val="11"/>
        <color theme="1"/>
        <rFont val="Cambria"/>
        <family val="1"/>
        <charset val="204"/>
        <scheme val="major"/>
      </rPr>
      <t xml:space="preserve">USB </t>
    </r>
    <r>
      <rPr>
        <sz val="11"/>
        <color theme="1"/>
        <rFont val="AcadNusx"/>
      </rPr>
      <t>ormagi sateni rozeti</t>
    </r>
  </si>
  <si>
    <r>
      <t>saSrefselo komutaciis kolofi dacvis klasi</t>
    </r>
    <r>
      <rPr>
        <sz val="11"/>
        <rFont val="Calibri"/>
        <family val="2"/>
        <charset val="204"/>
        <scheme val="minor"/>
      </rPr>
      <t xml:space="preserve">   IP 20</t>
    </r>
  </si>
  <si>
    <t>21-23-8</t>
  </si>
  <si>
    <t>ჩამრთველების montaJi</t>
  </si>
  <si>
    <r>
      <t xml:space="preserve">erTklaviSiani CamrTveli
250v/10a; dacvis klasi </t>
    </r>
    <r>
      <rPr>
        <sz val="11"/>
        <rFont val="Calibri"/>
        <family val="2"/>
        <charset val="204"/>
        <scheme val="minor"/>
      </rPr>
      <t>IP 4</t>
    </r>
    <r>
      <rPr>
        <sz val="11"/>
        <rFont val="AcadNusx"/>
      </rPr>
      <t>5</t>
    </r>
  </si>
  <si>
    <r>
      <t>orklaviSiani CamrTveli
250v/10a; dacvis klasi</t>
    </r>
    <r>
      <rPr>
        <sz val="11"/>
        <rFont val="Calibri"/>
        <family val="2"/>
        <charset val="204"/>
        <scheme val="minor"/>
      </rPr>
      <t xml:space="preserve"> IP 45</t>
    </r>
  </si>
  <si>
    <r>
      <t>erTklaviSiani reversuli CamrTveli
250v/10a; dacvis klasi</t>
    </r>
    <r>
      <rPr>
        <sz val="11"/>
        <color theme="1"/>
        <rFont val="Calibri"/>
        <family val="2"/>
        <charset val="204"/>
        <scheme val="minor"/>
      </rPr>
      <t xml:space="preserve"> IP 45</t>
    </r>
  </si>
  <si>
    <r>
      <t>or klaviSiani reversuli CamrTveli dacvis klasi</t>
    </r>
    <r>
      <rPr>
        <sz val="11"/>
        <color theme="1"/>
        <rFont val="Calibri"/>
        <family val="2"/>
        <charset val="204"/>
        <scheme val="minor"/>
      </rPr>
      <t xml:space="preserve"> IP 20</t>
    </r>
  </si>
  <si>
    <t>3,3</t>
  </si>
  <si>
    <t>8-414-1</t>
  </si>
  <si>
    <t>gamanawilebeli kolofebis montaJi</t>
  </si>
  <si>
    <r>
      <t>gamanawilebeli kolofi
dacvis klasi</t>
    </r>
    <r>
      <rPr>
        <sz val="11"/>
        <rFont val="Calibri"/>
        <family val="2"/>
        <charset val="204"/>
        <scheme val="minor"/>
      </rPr>
      <t xml:space="preserve"> IP 20</t>
    </r>
  </si>
  <si>
    <t>სანათების მონტაჟი</t>
  </si>
  <si>
    <t>0635</t>
  </si>
  <si>
    <t>amwevi anZuri tvirTamweobiT 0.5 t</t>
  </si>
  <si>
    <t>maq/sT</t>
  </si>
  <si>
    <t>0633</t>
  </si>
  <si>
    <t xml:space="preserve">hidravlikuri amwevi </t>
  </si>
  <si>
    <r>
      <rPr>
        <sz val="11"/>
        <color theme="1"/>
        <rFont val="AcadNusx"/>
      </rPr>
      <t>avariuli wriuli dioduri
∅10 sm sanaTi 220v; 8 vat</t>
    </r>
    <r>
      <rPr>
        <sz val="11"/>
        <color theme="1"/>
        <rFont val="Cambria"/>
        <family val="1"/>
        <charset val="204"/>
        <scheme val="major"/>
      </rPr>
      <t>;                          IP 28</t>
    </r>
  </si>
  <si>
    <r>
      <t xml:space="preserve">Weris wriuli dioduri   d-25sm sanaTi 220v, 18vat                    </t>
    </r>
    <r>
      <rPr>
        <sz val="11"/>
        <color theme="1"/>
        <rFont val="Calibri"/>
        <family val="2"/>
        <charset val="204"/>
        <scheme val="minor"/>
      </rPr>
      <t>IP 20</t>
    </r>
  </si>
  <si>
    <r>
      <rPr>
        <sz val="11"/>
        <color theme="1"/>
        <rFont val="AcadNusx"/>
      </rPr>
      <t>Weris dioduri sanaTi
∅10 sm  220v; 8 vat</t>
    </r>
    <r>
      <rPr>
        <sz val="11"/>
        <color theme="1"/>
        <rFont val="Cambria"/>
        <family val="1"/>
        <charset val="204"/>
        <scheme val="major"/>
      </rPr>
      <t>;     IP 65</t>
    </r>
  </si>
  <si>
    <r>
      <rPr>
        <sz val="11"/>
        <color theme="1"/>
        <rFont val="AcadNusx"/>
      </rPr>
      <t xml:space="preserve">garesamontaJo wriuli dioduri sanaTi bra
∅ 15 sm 220v; 15 vat;  </t>
    </r>
    <r>
      <rPr>
        <sz val="11"/>
        <color theme="1"/>
        <rFont val="Cambria"/>
        <family val="1"/>
        <charset val="204"/>
        <scheme val="major"/>
      </rPr>
      <t xml:space="preserve">                              IP 44</t>
    </r>
  </si>
  <si>
    <r>
      <t xml:space="preserve">Weris dioduri sanaTi   120X20sm 220v, 20vat                                 </t>
    </r>
    <r>
      <rPr>
        <sz val="11"/>
        <color theme="1"/>
        <rFont val="Calibri"/>
        <family val="2"/>
        <charset val="204"/>
        <scheme val="minor"/>
      </rPr>
      <t xml:space="preserve"> IP 65</t>
    </r>
  </si>
  <si>
    <r>
      <t xml:space="preserve">Weris dioduri sanaTi   120X20sm 220v, 40vat                                 </t>
    </r>
    <r>
      <rPr>
        <sz val="11"/>
        <color theme="1"/>
        <rFont val="Calibri"/>
        <family val="2"/>
        <charset val="204"/>
        <scheme val="minor"/>
      </rPr>
      <t xml:space="preserve"> IP 65</t>
    </r>
  </si>
  <si>
    <t>dioduri firi</t>
  </si>
  <si>
    <r>
      <rPr>
        <sz val="11"/>
        <color theme="1"/>
        <rFont val="Calibri"/>
        <family val="2"/>
        <charset val="204"/>
        <scheme val="minor"/>
      </rPr>
      <t xml:space="preserve">LED  </t>
    </r>
    <r>
      <rPr>
        <sz val="11"/>
        <color theme="1"/>
        <rFont val="AcadNusx"/>
      </rPr>
      <t xml:space="preserve">sanaTi  60X60 220v, 40vat </t>
    </r>
    <r>
      <rPr>
        <sz val="11"/>
        <color theme="1"/>
        <rFont val="Cambria"/>
        <family val="1"/>
        <charset val="204"/>
        <scheme val="major"/>
      </rPr>
      <t xml:space="preserve">  IP 65</t>
    </r>
  </si>
  <si>
    <r>
      <rPr>
        <sz val="11"/>
        <color theme="1"/>
        <rFont val="Calibri"/>
        <family val="2"/>
        <charset val="204"/>
        <scheme val="minor"/>
      </rPr>
      <t xml:space="preserve">LED  </t>
    </r>
    <r>
      <rPr>
        <sz val="11"/>
        <color theme="1"/>
        <rFont val="AcadNusx"/>
      </rPr>
      <t xml:space="preserve">sanaTi  25 vat 220v,  </t>
    </r>
    <r>
      <rPr>
        <sz val="11"/>
        <color theme="1"/>
        <rFont val="Cambria"/>
        <family val="1"/>
        <charset val="204"/>
        <scheme val="major"/>
      </rPr>
      <t xml:space="preserve">  IP 65</t>
    </r>
  </si>
  <si>
    <r>
      <rPr>
        <sz val="11"/>
        <color theme="1"/>
        <rFont val="Calibri"/>
        <family val="2"/>
        <charset val="204"/>
        <scheme val="minor"/>
      </rPr>
      <t xml:space="preserve">LED  </t>
    </r>
    <r>
      <rPr>
        <sz val="11"/>
        <color theme="1"/>
        <rFont val="AcadNusx"/>
      </rPr>
      <t xml:space="preserve">sanaTi  avariuli 220v, 14vat </t>
    </r>
    <r>
      <rPr>
        <sz val="11"/>
        <color theme="1"/>
        <rFont val="Cambria"/>
        <family val="1"/>
        <charset val="204"/>
        <scheme val="major"/>
      </rPr>
      <t xml:space="preserve">  IP 65</t>
    </r>
  </si>
  <si>
    <r>
      <rPr>
        <sz val="11"/>
        <color theme="1"/>
        <rFont val="Calibri"/>
        <family val="2"/>
        <charset val="204"/>
        <scheme val="minor"/>
      </rPr>
      <t xml:space="preserve">LED  </t>
    </r>
    <r>
      <rPr>
        <sz val="11"/>
        <color theme="1"/>
        <rFont val="AcadNusx"/>
      </rPr>
      <t xml:space="preserve">sanaTi  1200mm 36vat 220v, </t>
    </r>
    <r>
      <rPr>
        <sz val="11"/>
        <color theme="1"/>
        <rFont val="Cambria"/>
        <family val="1"/>
        <charset val="204"/>
        <scheme val="major"/>
      </rPr>
      <t xml:space="preserve">  IP 65</t>
    </r>
  </si>
  <si>
    <r>
      <rPr>
        <sz val="11"/>
        <color theme="1"/>
        <rFont val="Calibri"/>
        <family val="2"/>
        <charset val="204"/>
        <scheme val="minor"/>
      </rPr>
      <t xml:space="preserve">LED  </t>
    </r>
    <r>
      <rPr>
        <sz val="11"/>
        <color theme="1"/>
        <rFont val="AcadNusx"/>
      </rPr>
      <t xml:space="preserve">sanaTi  wertilovani 10vat 220v, </t>
    </r>
    <r>
      <rPr>
        <sz val="11"/>
        <color theme="1"/>
        <rFont val="Cambria"/>
        <family val="1"/>
        <charset val="204"/>
        <scheme val="major"/>
      </rPr>
      <t xml:space="preserve">  IP 65</t>
    </r>
  </si>
  <si>
    <r>
      <rPr>
        <sz val="11"/>
        <color theme="1"/>
        <rFont val="Calibri"/>
        <family val="2"/>
        <charset val="204"/>
        <scheme val="minor"/>
      </rPr>
      <t xml:space="preserve">LED  </t>
    </r>
    <r>
      <rPr>
        <sz val="11"/>
        <color theme="1"/>
        <rFont val="AcadNusx"/>
      </rPr>
      <t xml:space="preserve">sanaTi,  kedlis bra, 10vat 220v, </t>
    </r>
    <r>
      <rPr>
        <sz val="11"/>
        <color theme="1"/>
        <rFont val="Cambria"/>
        <family val="1"/>
        <charset val="204"/>
        <scheme val="major"/>
      </rPr>
      <t xml:space="preserve">  IP 65</t>
    </r>
  </si>
  <si>
    <r>
      <rPr>
        <sz val="11"/>
        <color theme="1"/>
        <rFont val="Calibri"/>
        <family val="2"/>
        <charset val="204"/>
        <scheme val="minor"/>
      </rPr>
      <t xml:space="preserve">LED  </t>
    </r>
    <r>
      <rPr>
        <sz val="11"/>
        <color theme="1"/>
        <rFont val="AcadNusx"/>
      </rPr>
      <t xml:space="preserve">sanaTi,  kedlis, 10vat 220v, </t>
    </r>
    <r>
      <rPr>
        <sz val="11"/>
        <color theme="1"/>
        <rFont val="Cambria"/>
        <family val="1"/>
        <charset val="204"/>
        <scheme val="major"/>
      </rPr>
      <t xml:space="preserve">  IP 65</t>
    </r>
  </si>
  <si>
    <r>
      <t xml:space="preserve">Weris sanaTi (darbazSi)  5X15 vat  </t>
    </r>
    <r>
      <rPr>
        <sz val="11"/>
        <color theme="1"/>
        <rFont val="Calibri"/>
        <family val="2"/>
        <charset val="204"/>
        <scheme val="minor"/>
      </rPr>
      <t>IP65</t>
    </r>
  </si>
  <si>
    <r>
      <t>Weris sanaTi</t>
    </r>
    <r>
      <rPr>
        <sz val="11"/>
        <color theme="1"/>
        <rFont val="Calibri"/>
        <family val="2"/>
        <charset val="204"/>
        <scheme val="minor"/>
      </rPr>
      <t xml:space="preserve">  1PH -230v</t>
    </r>
    <r>
      <rPr>
        <sz val="11"/>
        <color theme="1"/>
        <rFont val="AcadNusx"/>
      </rPr>
      <t xml:space="preserve"> 25vat</t>
    </r>
  </si>
  <si>
    <t xml:space="preserve">musikaluri ganaTeba </t>
  </si>
  <si>
    <t>20-22-3.</t>
  </si>
  <si>
    <t>haeris gamwovis montaJi</t>
  </si>
  <si>
    <r>
      <t>haeris gamwovi                        220v/150 vat 1200m3/sT                    dacvis klasi</t>
    </r>
    <r>
      <rPr>
        <sz val="11"/>
        <rFont val="Calibri"/>
        <family val="2"/>
        <charset val="204"/>
        <scheme val="minor"/>
      </rPr>
      <t xml:space="preserve"> IP 44</t>
    </r>
  </si>
  <si>
    <r>
      <t>haeris gamwovi 220v/40 vat
250m3/sT; dacvis klasi</t>
    </r>
    <r>
      <rPr>
        <sz val="11"/>
        <rFont val="Calibri"/>
        <family val="2"/>
        <charset val="204"/>
        <scheme val="minor"/>
      </rPr>
      <t xml:space="preserve"> IP 65</t>
    </r>
  </si>
  <si>
    <t>10-276-2gam</t>
  </si>
  <si>
    <r>
      <t>ganaTebis avariuli uwyveti denis
wyaros SeZena montaJi  220v 1000va; (</t>
    </r>
    <r>
      <rPr>
        <b/>
        <sz val="11"/>
        <rFont val="Calibri"/>
        <family val="2"/>
        <charset val="204"/>
        <scheme val="minor"/>
      </rPr>
      <t>UPS</t>
    </r>
    <r>
      <rPr>
        <b/>
        <sz val="11"/>
        <rFont val="AcadNusx"/>
      </rPr>
      <t xml:space="preserve">) </t>
    </r>
    <r>
      <rPr>
        <b/>
        <sz val="11"/>
        <rFont val="Calibri"/>
        <family val="2"/>
        <charset val="204"/>
        <scheme val="minor"/>
      </rPr>
      <t>IP 65</t>
    </r>
    <r>
      <rPr>
        <b/>
        <sz val="11"/>
        <rFont val="AcadNusx"/>
      </rPr>
      <t xml:space="preserve">  </t>
    </r>
  </si>
  <si>
    <r>
      <rPr>
        <sz val="11"/>
        <rFont val="AcadNusx"/>
      </rPr>
      <t xml:space="preserve">uwyveti denis wyaro 250v/1000va </t>
    </r>
    <r>
      <rPr>
        <sz val="11"/>
        <rFont val="Calibri"/>
        <family val="2"/>
        <charset val="204"/>
        <scheme val="minor"/>
      </rPr>
      <t>(UPS)IP 41</t>
    </r>
  </si>
  <si>
    <t>akumlatoris batarea 12 v 100 a/sT</t>
  </si>
  <si>
    <t>8-609-1</t>
  </si>
  <si>
    <t>gare sanaTebis montaJi</t>
  </si>
  <si>
    <t>gare ganaTebis dekoratiuli dioduri sanaTis ori 50vat (gamanawilebeli          kolofiT)</t>
  </si>
  <si>
    <t>კომპლ.</t>
  </si>
  <si>
    <r>
      <t xml:space="preserve">დამიწების მოთუთიებული ღერო, </t>
    </r>
    <r>
      <rPr>
        <b/>
        <sz val="11"/>
        <rFont val="Calibri"/>
        <family val="2"/>
        <charset val="204"/>
        <scheme val="minor"/>
      </rPr>
      <t>50x50x5mm, 2500mm</t>
    </r>
  </si>
  <si>
    <t>proeqtiT</t>
  </si>
  <si>
    <t>horizontaluri damiwebis konturis mowyoba (zolovani foladiT)</t>
  </si>
  <si>
    <r>
      <t xml:space="preserve">დამიწების მოთუთიებული სალტე </t>
    </r>
    <r>
      <rPr>
        <b/>
        <sz val="11"/>
        <rFont val="Calibri"/>
        <family val="2"/>
        <charset val="204"/>
        <scheme val="minor"/>
      </rPr>
      <t>40x4მმ</t>
    </r>
  </si>
  <si>
    <t>antikoroziukli mastika</t>
  </si>
  <si>
    <r>
      <t xml:space="preserve">მოთუთიებული გამტარი, </t>
    </r>
    <r>
      <rPr>
        <b/>
        <sz val="11"/>
        <rFont val="Calibri"/>
        <family val="2"/>
        <charset val="204"/>
        <scheme val="minor"/>
      </rPr>
      <t>Ø</t>
    </r>
    <r>
      <rPr>
        <b/>
        <sz val="11"/>
        <rFont val="AcadNusx"/>
      </rPr>
      <t>8mm</t>
    </r>
  </si>
  <si>
    <r>
      <t xml:space="preserve">mexamridi antena samagri
kroSteinebiT ∅36mm  </t>
    </r>
    <r>
      <rPr>
        <b/>
        <sz val="11"/>
        <rFont val="Calibri"/>
        <family val="2"/>
        <charset val="204"/>
        <scheme val="minor"/>
      </rPr>
      <t>H</t>
    </r>
    <r>
      <rPr>
        <b/>
        <sz val="11"/>
        <rFont val="AcadNusx"/>
      </rPr>
      <t>=300mm</t>
    </r>
  </si>
  <si>
    <t>sul pirdapiri danaxarjebi</t>
  </si>
  <si>
    <t>masalis transportirebis xarjebi (samSeneblo masalebis Rirebulebidan)</t>
  </si>
  <si>
    <t>sul xarjTaRricxva                       #2-2</t>
  </si>
  <si>
    <t>lk #2-2</t>
  </si>
  <si>
    <t>lk #2-3</t>
  </si>
  <si>
    <t>santeqnikuri mowyobilobebis montaJi</t>
  </si>
  <si>
    <t>17-4-1</t>
  </si>
  <si>
    <t xml:space="preserve">უნიტაზebიs muntaJi </t>
  </si>
  <si>
    <t xml:space="preserve">sxva manqana  </t>
  </si>
  <si>
    <t>unitazi Camrecxi avziT, drekadi miliT, d-15, l=0,4m (sabavSvo)</t>
  </si>
  <si>
    <t>კომპ</t>
  </si>
  <si>
    <t>unitazi Camrecxi avziT, drekadi miliT, d-15,  l=0,4m</t>
  </si>
  <si>
    <t>man.</t>
  </si>
  <si>
    <t>17-1-5</t>
  </si>
  <si>
    <t>ხელსაბანebis montaJi</t>
  </si>
  <si>
    <t>xelsabani fexiT qaSanuris, sifoniT, ori drekadi miliT d-15 l=40sm</t>
  </si>
  <si>
    <t>6,1, 18,29,30</t>
  </si>
  <si>
    <t>unitazisa da xelsabanis kompleqti SSmp pirTaTvis (xelCasavlebi aqsesuarebiT)</t>
  </si>
  <si>
    <t>*</t>
  </si>
  <si>
    <t>17-5-1</t>
  </si>
  <si>
    <t>fisuarebis montaJi</t>
  </si>
  <si>
    <t>6,1,33</t>
  </si>
  <si>
    <t>fisuari - sifoniT, fisuaris onkaniT, drekadi miliT d-15 l=40sm</t>
  </si>
  <si>
    <t>17-1-8</t>
  </si>
  <si>
    <t>abazanis montaJi</t>
  </si>
  <si>
    <t>abazana sifoniT, ori drekadi miliT d-15, L-0,4m</t>
  </si>
  <si>
    <t>kompl.</t>
  </si>
  <si>
    <t>17-6-2</t>
  </si>
  <si>
    <t>WyrWlis sarecxelis montaji</t>
  </si>
  <si>
    <t xml:space="preserve">WurWlis sarecxeli, sxmuli marmarilos, orseqciani, laminirebuli karadiT </t>
  </si>
  <si>
    <t xml:space="preserve">WurWlis sarecxeli, sxmuli marmarilos, erTseqciani, laminirebuli karadiT </t>
  </si>
  <si>
    <t>17-3-3</t>
  </si>
  <si>
    <t>wylis შემრევebიs montaJi</t>
  </si>
  <si>
    <t>wylis შემრევი xelsabanis</t>
  </si>
  <si>
    <t>wylis შემრევი duSis</t>
  </si>
  <si>
    <t>wylis შემრევი   samzareulos</t>
  </si>
  <si>
    <t>sarecxis manqanis montaJi 8kg</t>
  </si>
  <si>
    <t>sarke, xelis saSrobi, qaRaldisa da sapnis spenserebi</t>
  </si>
  <si>
    <t>wyalmomaragebis qselis montaJi</t>
  </si>
  <si>
    <t>დამატ.
2- გამოშ.
16-24-2</t>
  </si>
  <si>
    <t xml:space="preserve">პლ მილების მოntaJi d-20 </t>
  </si>
  <si>
    <t xml:space="preserve">მილი პლ. d-20 </t>
  </si>
  <si>
    <t>მილების პლასტმასის სამაგრი დეტალები</t>
  </si>
  <si>
    <t>დამატ.
2- გამოშ.
16-24-3</t>
  </si>
  <si>
    <t xml:space="preserve">პლ მილების მოntaJi d-25 </t>
  </si>
  <si>
    <t xml:space="preserve">მილი პლ. d-25 </t>
  </si>
  <si>
    <t>დამატ.2- გამოშ. 16-24-4</t>
  </si>
  <si>
    <t xml:space="preserve">პლ მილების მოntaJi d-32 </t>
  </si>
  <si>
    <t xml:space="preserve">მილი პლ. d-32 </t>
  </si>
  <si>
    <t>დამატ.2- გამოშ .16-24-5</t>
  </si>
  <si>
    <t xml:space="preserve">პლ მილების მოntaJi d-40 </t>
  </si>
  <si>
    <t xml:space="preserve">მილი პლ. d-40 </t>
  </si>
  <si>
    <t>პლ მილების მოntaJi d-50 (ufolgo)</t>
  </si>
  <si>
    <t>მილი პლ. d-50 (ufolgo)</t>
  </si>
  <si>
    <t>პლ მილების მოntaJi d-63 (ufolgo)</t>
  </si>
  <si>
    <t>მილი პლ. d-63 (ufolgo)</t>
  </si>
  <si>
    <t xml:space="preserve">პლ მილების მოntaJi d-50 </t>
  </si>
  <si>
    <t xml:space="preserve">მილი პლ. d-50 </t>
  </si>
  <si>
    <t xml:space="preserve">პლ მილების მოntaJi d-63 </t>
  </si>
  <si>
    <t xml:space="preserve">მილი პლ. d-63 </t>
  </si>
  <si>
    <t>16-7-4</t>
  </si>
  <si>
    <t>d-50 foladis milis montaJi</t>
  </si>
  <si>
    <t>foladis mili d-50</t>
  </si>
  <si>
    <t>16-7-3</t>
  </si>
  <si>
    <t>foladis milebis montaJi</t>
  </si>
  <si>
    <t>0,37</t>
  </si>
  <si>
    <t>foladis mili d-20</t>
  </si>
  <si>
    <t>foladis mili d-25</t>
  </si>
  <si>
    <t>foladis mili d-32</t>
  </si>
  <si>
    <t>26-2-7</t>
  </si>
  <si>
    <t>plastmasisa da foladis milebis Tboizolaciis mowyoba</t>
  </si>
  <si>
    <t>pl. milebis Tboizolacia    d-20  (sardafSi)</t>
  </si>
  <si>
    <t>pl. milebis Tboizolacia     d-25</t>
  </si>
  <si>
    <t>pl. milebis Tboizolacia     d-32</t>
  </si>
  <si>
    <t>pl. milebis Tboizolacia        d-40</t>
  </si>
  <si>
    <t>pl. milebis Tboizolacia        d-50</t>
  </si>
  <si>
    <t>pl. milebis Tboizolacia          d-63</t>
  </si>
  <si>
    <t>სფერული ვენტილების მონტაჟი</t>
  </si>
  <si>
    <t>kuTxis ventili დ= 20 მმ</t>
  </si>
  <si>
    <t>sferuli ventili დ= 20 მმ</t>
  </si>
  <si>
    <t>sferuli ventili დ= 25 მმ</t>
  </si>
  <si>
    <t>სფერული ვენტილი დ= 32 მმ</t>
  </si>
  <si>
    <t>სფერული ვენტილი დ= 40 მმ</t>
  </si>
  <si>
    <t>სფერული ვენტილი დ= 50 მმ</t>
  </si>
  <si>
    <t>სფერული ვენტილი დ= 63 მმ</t>
  </si>
  <si>
    <t>უკუსარქველი  დ-40</t>
  </si>
  <si>
    <t>ventili TiTberis monikelebuli 3/8"</t>
  </si>
  <si>
    <r>
      <t xml:space="preserve">sarwyavi onkani rezinis  d-20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>=20m sigrZis miliT</t>
    </r>
  </si>
  <si>
    <t>22-23- 1-2-3.</t>
  </si>
  <si>
    <t xml:space="preserve">პოლიეთილენის  ფასონური ნაწილების მოწყობა </t>
  </si>
  <si>
    <t>pl. muxli S/x d-15</t>
  </si>
  <si>
    <t>pl. muxli d-20</t>
  </si>
  <si>
    <t>pl. muxli d-25</t>
  </si>
  <si>
    <t>pl. muxli d-32</t>
  </si>
  <si>
    <t>pl. muxli d-40</t>
  </si>
  <si>
    <t>pl. muxli d-50</t>
  </si>
  <si>
    <t>pl. muxli d-63</t>
  </si>
  <si>
    <t>pl. gadamyvani d-20X20</t>
  </si>
  <si>
    <t>pl. gadamyvani d-25X20</t>
  </si>
  <si>
    <t>pl. gadamyvani d-25X25</t>
  </si>
  <si>
    <t>pl. gadamyvani d-32X20</t>
  </si>
  <si>
    <t>pl. gadamyvani d-32X25</t>
  </si>
  <si>
    <t>pl. gadamyvani d-32X32</t>
  </si>
  <si>
    <t>pl. gadamyvani d-40X20</t>
  </si>
  <si>
    <t>pl. gadamyvani d-40X25</t>
  </si>
  <si>
    <t>pl. gadamyvani d-40X32</t>
  </si>
  <si>
    <t>pl. gadamyvani d-40X40</t>
  </si>
  <si>
    <t>pl. gadamyvani d-50X20</t>
  </si>
  <si>
    <t>pl. gadamyvani d-50X25</t>
  </si>
  <si>
    <t>pl. gadamyvani d-50X32</t>
  </si>
  <si>
    <t>pl. gadamyvani d-50X40</t>
  </si>
  <si>
    <t>pl. gadamyvani d-50X50</t>
  </si>
  <si>
    <t>pl. gadamyvani d-63X20</t>
  </si>
  <si>
    <t>pl. gadamyvani d-63X25</t>
  </si>
  <si>
    <t>pl. gadamyvani d-63X32</t>
  </si>
  <si>
    <t>pl. gadamyvani d-63X40</t>
  </si>
  <si>
    <t>pl. gadamyvani d-63X50</t>
  </si>
  <si>
    <t>pl. gadamyvani d-63X63</t>
  </si>
  <si>
    <t>pl. samkapi d-20*20</t>
  </si>
  <si>
    <t>pl. samkapi d-25*20</t>
  </si>
  <si>
    <t>pl. samkapi d-25*25</t>
  </si>
  <si>
    <t>pl. samkapi d-32*20</t>
  </si>
  <si>
    <t>pl. samkapi d-32*25</t>
  </si>
  <si>
    <t>pl. samkapi d-32*32</t>
  </si>
  <si>
    <t>pl. samkapi d-40*20</t>
  </si>
  <si>
    <t>pl. samkapi d-40*25</t>
  </si>
  <si>
    <t>pl. samkapi d-40*32</t>
  </si>
  <si>
    <t>pl. samkapi d-40*40</t>
  </si>
  <si>
    <t>pl. samkapi d-50*20</t>
  </si>
  <si>
    <t>pl. samkapi d-50*25</t>
  </si>
  <si>
    <t>pl. samkapi d-50*32</t>
  </si>
  <si>
    <t>pl. samkapi d-50*40</t>
  </si>
  <si>
    <t>pl. samkapi d-50*50</t>
  </si>
  <si>
    <t>pl. samkapi d-63*20</t>
  </si>
  <si>
    <t>pl. samkapi d-63*25</t>
  </si>
  <si>
    <t>pl. samkapi d-63*32</t>
  </si>
  <si>
    <t>pl. samkapi d-63*40</t>
  </si>
  <si>
    <t>pl. samkapi d-63*50</t>
  </si>
  <si>
    <t>pl. samkapi d-63*63</t>
  </si>
  <si>
    <t>amerikanka Camxsneli d-20  (d-15)</t>
  </si>
  <si>
    <t>amerikanka Camxsneli d-25  (d-20)</t>
  </si>
  <si>
    <t>amerikanka Camxsneli d-32  (d-25)</t>
  </si>
  <si>
    <t>amerikanka Camxsneli d-63  (d-50)</t>
  </si>
  <si>
    <t>quro polipropileni/liToni d20/1/2"</t>
  </si>
  <si>
    <t>pl. quro d-20</t>
  </si>
  <si>
    <t>pl. quro d-25</t>
  </si>
  <si>
    <t>pl. quro d-32</t>
  </si>
  <si>
    <t>pl. quro d-40</t>
  </si>
  <si>
    <t>pl. quro d-50</t>
  </si>
  <si>
    <t>pl. quro d-63</t>
  </si>
  <si>
    <t>quro S/x d-63(d-50)</t>
  </si>
  <si>
    <t>quro g/x d-63(d-50)</t>
  </si>
  <si>
    <t>pl. milis samagri d-20</t>
  </si>
  <si>
    <t>pl. milis samagri d-25</t>
  </si>
  <si>
    <t>pl. milis samagri d-32</t>
  </si>
  <si>
    <t>pl. milis samagri d-40</t>
  </si>
  <si>
    <t>pl. milis samagri d-50</t>
  </si>
  <si>
    <t>pl. milis samagri d-63</t>
  </si>
  <si>
    <t>betonis lursmani (dubeli)</t>
  </si>
  <si>
    <t>gamomwvari mavtuli milebis dasamagreblad</t>
  </si>
  <si>
    <t>fumi didi</t>
  </si>
  <si>
    <t>saxanZro onkani karadaSi d-50mm onkaniT, d-25m drekadi miliT,13 mm (brandspoitiT), saxanZro luliT da ori cecxlsaqrobiT</t>
  </si>
  <si>
    <t>46-19-3</t>
  </si>
  <si>
    <t>xvrelebis gamotexva</t>
  </si>
  <si>
    <t>adg.</t>
  </si>
  <si>
    <t>46-22-5</t>
  </si>
  <si>
    <t>xvrelebis aRdgena cementis xsnariT</t>
  </si>
  <si>
    <t xml:space="preserve">sxva manqana </t>
  </si>
  <si>
    <t>wvrilmarcvlovani         betoni b.25</t>
  </si>
  <si>
    <t>samSeneblo lursmani</t>
  </si>
  <si>
    <t>foladis milebis SeRebva antikoroziuli saRebaviT 2 fenad</t>
  </si>
  <si>
    <t>antikoroziuli sarebavi</t>
  </si>
  <si>
    <t>16-20-1</t>
  </si>
  <si>
    <t>wyalsadenis qselis daerTeba arsebul gare qselze</t>
  </si>
  <si>
    <t>wert</t>
  </si>
  <si>
    <t>kanalizaciis qselis montaJi</t>
  </si>
  <si>
    <t>16-6-1</t>
  </si>
  <si>
    <t>sakanalizacio plastmasis milebis damontaJeba 50 mm</t>
  </si>
  <si>
    <t>plasmasis mili d=50mm*2,4</t>
  </si>
  <si>
    <t>m</t>
  </si>
  <si>
    <t>სამგრი დეტალები</t>
  </si>
  <si>
    <t>16-6-2</t>
  </si>
  <si>
    <t>sakanalizacio plastmasis milebis damontaJeba 100 mm</t>
  </si>
  <si>
    <t>plasmasis mili d=100mm*3,4</t>
  </si>
  <si>
    <t>sakanalizacio plastmasis milebis damontaJeba 150 mm</t>
  </si>
  <si>
    <t>plasmasis mili d=150mm</t>
  </si>
  <si>
    <t>17-1-10</t>
  </si>
  <si>
    <t>trapebis montaJi</t>
  </si>
  <si>
    <t xml:space="preserve">trapi plastmasis d=100 </t>
  </si>
  <si>
    <t>6,1,41</t>
  </si>
  <si>
    <t>trapi plastmasis d=100 saqvabeSi</t>
  </si>
  <si>
    <t>17-1-9</t>
  </si>
  <si>
    <t>trapi plastmasis d=50mm</t>
  </si>
  <si>
    <t>22-23- 1-2-3. misad</t>
  </si>
  <si>
    <t xml:space="preserve">fasonuri nawilebi </t>
  </si>
  <si>
    <r>
      <t xml:space="preserve">pl. sarini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-45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d-50</t>
    </r>
  </si>
  <si>
    <r>
      <t xml:space="preserve">pl. sarini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-45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</t>
    </r>
  </si>
  <si>
    <r>
      <t xml:space="preserve">pl. sarini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-45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d-150</t>
    </r>
  </si>
  <si>
    <r>
      <t xml:space="preserve">pl. muxli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d-50</t>
    </r>
  </si>
  <si>
    <r>
      <t xml:space="preserve">pl. muxli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-45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d-50</t>
    </r>
  </si>
  <si>
    <r>
      <t xml:space="preserve">pl. muxli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</t>
    </r>
  </si>
  <si>
    <r>
      <t xml:space="preserve">pl. muxli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-45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</t>
    </r>
  </si>
  <si>
    <r>
      <t xml:space="preserve">pl. muxli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d-150</t>
    </r>
  </si>
  <si>
    <r>
      <t xml:space="preserve">pl. muxli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-45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d-150</t>
    </r>
  </si>
  <si>
    <r>
      <t xml:space="preserve">pl. samkapi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d-50*50</t>
    </r>
  </si>
  <si>
    <r>
      <t xml:space="preserve">pl. samkapi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d-100*50</t>
    </r>
  </si>
  <si>
    <r>
      <t xml:space="preserve">pl. samkapi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d-100*100</t>
    </r>
  </si>
  <si>
    <r>
      <t xml:space="preserve">pl. samkapi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-45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d-50*50</t>
    </r>
  </si>
  <si>
    <r>
      <t xml:space="preserve">pl. samkapi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-45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d-100*50</t>
    </r>
  </si>
  <si>
    <r>
      <t xml:space="preserve">pl. samkapi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-45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d-100*100</t>
    </r>
  </si>
  <si>
    <r>
      <t xml:space="preserve">pl. samkapi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-45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d-150*100</t>
    </r>
  </si>
  <si>
    <r>
      <t xml:space="preserve">pl. samkapi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-45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d-150*150</t>
    </r>
  </si>
  <si>
    <t>pl. sacobi d-50</t>
  </si>
  <si>
    <t>pl. sacobi d-100</t>
  </si>
  <si>
    <t>pl. sacobi d-150</t>
  </si>
  <si>
    <t>pl. gadamyvani d-100*50</t>
  </si>
  <si>
    <t>pl. gadamyvani d-150*100</t>
  </si>
  <si>
    <t>pl. gadamyvani d-50*32 (pirsabanTan)</t>
  </si>
  <si>
    <t>pl. muxli (unitazisaTvis)    d-100</t>
  </si>
  <si>
    <t>pl. quro d-100</t>
  </si>
  <si>
    <t>pl. revizia d-100</t>
  </si>
  <si>
    <t>gamwmendi d-100</t>
  </si>
  <si>
    <t>jvaredini or sibrtyeSi          d-100/100</t>
  </si>
  <si>
    <r>
      <t xml:space="preserve">jvaredini </t>
    </r>
    <r>
      <rPr>
        <sz val="11"/>
        <color theme="1"/>
        <rFont val="Calibri"/>
        <family val="2"/>
        <charset val="204"/>
        <scheme val="minor"/>
      </rPr>
      <t>A45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AcadNusx"/>
      </rPr>
      <t xml:space="preserve">                      d-100/100</t>
    </r>
  </si>
  <si>
    <t>pl. milis samagri d-100</t>
  </si>
  <si>
    <t>gamomwvari mavTuli milebis dasamagreblad</t>
  </si>
  <si>
    <t>pl. samkapi ormag sibrtyeSi   d-100*100</t>
  </si>
  <si>
    <t>niJaris sifoni gverdidan mierTebiT (sarecxi manqanisTvis)</t>
  </si>
  <si>
    <t>fskeris wyalgamSvebi          d-100</t>
  </si>
  <si>
    <t xml:space="preserve">sul  I-II-III Tavebi </t>
  </si>
  <si>
    <t>wyalmomaragebis gare qseli</t>
  </si>
  <si>
    <t>tranSeas mowyoba milis montaJisaTvis  (fskeris sigane  0,7m simaRle 1,0m)</t>
  </si>
  <si>
    <r>
      <t>1000 m</t>
    </r>
    <r>
      <rPr>
        <b/>
        <vertAlign val="superscript"/>
        <sz val="10"/>
        <rFont val="AcadNusx"/>
      </rPr>
      <t>3</t>
    </r>
  </si>
  <si>
    <t>eqskavatori 0,5kbm CamCiT</t>
  </si>
  <si>
    <t xml:space="preserve">tranSeas mowyoba xeliT </t>
  </si>
  <si>
    <t xml:space="preserve">xelovnuri qviSovani safenis mowyoba 0,1m sisqeze milis qveS da milis zeviT </t>
  </si>
  <si>
    <t xml:space="preserve">milis montaJis Semdeg tranSeis Sevseba gruntiT - gruntis ukuCayra </t>
  </si>
  <si>
    <t>დამატ.2- გამოშ.16-24-5</t>
  </si>
  <si>
    <r>
      <t xml:space="preserve">წყalsadenis  პლ. მილის მოntaJi                                  d-25  </t>
    </r>
    <r>
      <rPr>
        <b/>
        <sz val="11"/>
        <rFont val="Calibri"/>
        <family val="2"/>
        <charset val="204"/>
        <scheme val="minor"/>
      </rPr>
      <t>PN-16</t>
    </r>
  </si>
  <si>
    <r>
      <t xml:space="preserve">polieTilenis mili                      </t>
    </r>
    <r>
      <rPr>
        <sz val="11"/>
        <rFont val="Calibri"/>
        <family val="2"/>
        <charset val="204"/>
        <scheme val="minor"/>
      </rPr>
      <t xml:space="preserve"> PE d</t>
    </r>
    <r>
      <rPr>
        <sz val="11"/>
        <rFont val="AcadNusx"/>
      </rPr>
      <t>-25mm</t>
    </r>
  </si>
  <si>
    <r>
      <t xml:space="preserve">polieTilenis mili                      </t>
    </r>
    <r>
      <rPr>
        <sz val="11"/>
        <rFont val="Calibri"/>
        <family val="2"/>
        <charset val="204"/>
        <scheme val="minor"/>
      </rPr>
      <t xml:space="preserve"> PP 100 PN-16 d-32</t>
    </r>
  </si>
  <si>
    <r>
      <t xml:space="preserve">polieTilenis mili                      </t>
    </r>
    <r>
      <rPr>
        <sz val="11"/>
        <rFont val="Calibri"/>
        <family val="2"/>
        <charset val="204"/>
        <scheme val="minor"/>
      </rPr>
      <t xml:space="preserve"> PE d</t>
    </r>
    <r>
      <rPr>
        <sz val="11"/>
        <rFont val="AcadNusx"/>
      </rPr>
      <t>-40mm</t>
    </r>
  </si>
  <si>
    <r>
      <t xml:space="preserve">polieTilenis mili                      </t>
    </r>
    <r>
      <rPr>
        <sz val="11"/>
        <rFont val="Calibri"/>
        <family val="2"/>
        <charset val="204"/>
        <scheme val="minor"/>
      </rPr>
      <t xml:space="preserve"> PE d</t>
    </r>
    <r>
      <rPr>
        <sz val="11"/>
        <rFont val="AcadNusx"/>
      </rPr>
      <t>-50mm</t>
    </r>
  </si>
  <si>
    <r>
      <t xml:space="preserve">polieTilenis mili                      </t>
    </r>
    <r>
      <rPr>
        <sz val="11"/>
        <rFont val="Calibri"/>
        <family val="2"/>
        <charset val="204"/>
        <scheme val="minor"/>
      </rPr>
      <t xml:space="preserve"> PE d</t>
    </r>
    <r>
      <rPr>
        <sz val="11"/>
        <rFont val="AcadNusx"/>
      </rPr>
      <t>-63mm</t>
    </r>
  </si>
  <si>
    <t>pl. milis Tboizolacia gubkiT  d-50</t>
  </si>
  <si>
    <t>ვენტილის მონტაჟი</t>
  </si>
  <si>
    <t>სფერული ვენტილი დ=25 მმ</t>
  </si>
  <si>
    <t>სფერული ვენტილი დ=32 მმ</t>
  </si>
  <si>
    <t>სფერული ვენტილი დ=63 მმ</t>
  </si>
  <si>
    <t>22-23- 1-2-3</t>
  </si>
  <si>
    <t>pl gadamyvani d-63*40</t>
  </si>
  <si>
    <t>pl samkapi d-63*63</t>
  </si>
  <si>
    <t>pl muxli d-32</t>
  </si>
  <si>
    <t>pl muxli d-40</t>
  </si>
  <si>
    <t>pl muxli d-50</t>
  </si>
  <si>
    <t>pl muxli d-63</t>
  </si>
  <si>
    <t>unagiri 40X25</t>
  </si>
  <si>
    <t>unagiri 63X32</t>
  </si>
  <si>
    <t>quro polipropilenis d-32</t>
  </si>
  <si>
    <r>
      <t>muxli  polipropilenis d-32  90</t>
    </r>
    <r>
      <rPr>
        <vertAlign val="superscript"/>
        <sz val="11"/>
        <color theme="1"/>
        <rFont val="AcadNusx"/>
      </rPr>
      <t>0</t>
    </r>
  </si>
  <si>
    <t>ukusarqveli  d-32 TiTberis</t>
  </si>
  <si>
    <t>18-8-1</t>
  </si>
  <si>
    <t>tumbos damontaJeba</t>
  </si>
  <si>
    <t xml:space="preserve">SromiTi danaxarji </t>
  </si>
  <si>
    <r>
      <t xml:space="preserve">tumbo marka </t>
    </r>
    <r>
      <rPr>
        <sz val="11"/>
        <color theme="1"/>
        <rFont val="Cambria"/>
        <family val="1"/>
        <charset val="204"/>
        <scheme val="major"/>
      </rPr>
      <t>PKm</t>
    </r>
    <r>
      <rPr>
        <sz val="11"/>
        <color theme="1"/>
        <rFont val="AcadNusx"/>
      </rPr>
      <t>70 kat. "</t>
    </r>
    <r>
      <rPr>
        <sz val="11"/>
        <color theme="1"/>
        <rFont val="Cambria"/>
        <family val="1"/>
        <charset val="204"/>
        <scheme val="major"/>
      </rPr>
      <t>Pedrollo"</t>
    </r>
    <r>
      <rPr>
        <sz val="11"/>
        <color theme="1"/>
        <rFont val="AcadNusx"/>
      </rPr>
      <t xml:space="preserve">  </t>
    </r>
    <r>
      <rPr>
        <sz val="11"/>
        <color theme="1"/>
        <rFont val="Cambria"/>
        <family val="1"/>
        <charset val="204"/>
        <scheme val="major"/>
      </rPr>
      <t>Q-</t>
    </r>
    <r>
      <rPr>
        <sz val="11"/>
        <color theme="1"/>
        <rFont val="AcadNusx"/>
      </rPr>
      <t xml:space="preserve">3.0kbm/dR  </t>
    </r>
    <r>
      <rPr>
        <sz val="11"/>
        <color theme="1"/>
        <rFont val="Cambria"/>
        <family val="1"/>
        <charset val="204"/>
        <scheme val="major"/>
      </rPr>
      <t>h</t>
    </r>
    <r>
      <rPr>
        <sz val="11"/>
        <color theme="1"/>
        <rFont val="AcadNusx"/>
      </rPr>
      <t xml:space="preserve">-8.0m   </t>
    </r>
    <r>
      <rPr>
        <sz val="11"/>
        <color theme="1"/>
        <rFont val="Cambria"/>
        <family val="1"/>
        <charset val="204"/>
        <scheme val="major"/>
      </rPr>
      <t>N</t>
    </r>
    <r>
      <rPr>
        <sz val="11"/>
        <color theme="1"/>
        <rFont val="AcadNusx"/>
      </rPr>
      <t>-0.60kvt erTfaziani</t>
    </r>
  </si>
  <si>
    <t>sxvadasxva masala</t>
  </si>
  <si>
    <t>18-14-1</t>
  </si>
  <si>
    <t>wylis gamwmendi filtris montaJi</t>
  </si>
  <si>
    <t>wylis gamwmendi filtri meqanikuri d-32 TiTberis</t>
  </si>
  <si>
    <t>16-19-1</t>
  </si>
  <si>
    <t>wyalmzomi kvanzis mowyoba</t>
  </si>
  <si>
    <r>
      <t>wylis mricxveli d-</t>
    </r>
    <r>
      <rPr>
        <sz val="11"/>
        <rFont val="Calibri"/>
        <family val="2"/>
      </rPr>
      <t xml:space="preserve"> 25</t>
    </r>
  </si>
  <si>
    <r>
      <t>wylis filtri</t>
    </r>
    <r>
      <rPr>
        <sz val="11"/>
        <rFont val="Calibri"/>
        <family val="2"/>
      </rPr>
      <t xml:space="preserve">  Ø</t>
    </r>
    <r>
      <rPr>
        <sz val="11"/>
        <rFont val="AcadNusx"/>
      </rPr>
      <t>1-1/4"</t>
    </r>
  </si>
  <si>
    <t>pl samkapi d63*63</t>
  </si>
  <si>
    <t>pl ventili d-63</t>
  </si>
  <si>
    <t>pl gadamyvani d-63*32</t>
  </si>
  <si>
    <t>pl adaptori d-32*1 1/2</t>
  </si>
  <si>
    <t>amerikanka (Camxsneli)  d-32</t>
  </si>
  <si>
    <t>WanWiki sayeluriT da qanCiT</t>
  </si>
  <si>
    <t>samagrebi</t>
  </si>
  <si>
    <t xml:space="preserve">anakrebi rk betonis Wis mowyoba </t>
  </si>
  <si>
    <t>11,1</t>
  </si>
  <si>
    <t>anakrebi rk/betonis Wis mosawyobad qvabulis mowyoba</t>
  </si>
  <si>
    <t>11,2</t>
  </si>
  <si>
    <t>23-12-2 gam.</t>
  </si>
  <si>
    <r>
      <t>anakrebi rk/betonis Wis montaJi</t>
    </r>
    <r>
      <rPr>
        <sz val="11"/>
        <rFont val="AcadNusx"/>
      </rPr>
      <t xml:space="preserve"> </t>
    </r>
  </si>
  <si>
    <r>
      <t>anakrebi Wis rgolebi</t>
    </r>
    <r>
      <rPr>
        <sz val="11"/>
        <rFont val="Calibri"/>
        <family val="2"/>
        <charset val="204"/>
        <scheme val="minor"/>
      </rPr>
      <t xml:space="preserve">               Ø</t>
    </r>
    <r>
      <rPr>
        <sz val="11"/>
        <rFont val="AcadNusx"/>
      </rPr>
      <t>1000mm;</t>
    </r>
    <r>
      <rPr>
        <sz val="11"/>
        <rFont val="Calibri"/>
        <family val="2"/>
        <charset val="204"/>
        <scheme val="minor"/>
      </rPr>
      <t xml:space="preserve"> H</t>
    </r>
    <r>
      <rPr>
        <sz val="11"/>
        <rFont val="AcadNusx"/>
      </rPr>
      <t>=1.0m</t>
    </r>
  </si>
  <si>
    <t>Wis Ziri</t>
  </si>
  <si>
    <t>Wis Tavsaxuri cxauriT</t>
  </si>
  <si>
    <t>betoni ბ.15</t>
  </si>
  <si>
    <t>bitumis emulsia</t>
  </si>
  <si>
    <t>11,3</t>
  </si>
  <si>
    <t>gruntis datvirTva xeliT           avtoTviTmclelze</t>
  </si>
  <si>
    <t xml:space="preserve">samSeneblo nagvis gatana 15 km-ze </t>
  </si>
  <si>
    <t>11,4</t>
  </si>
  <si>
    <t>kanalizaciis gare qseli</t>
  </si>
  <si>
    <t>tranSeas gaTxra milebis montaJisaTvis fskeris siganiT 0,7m siRrme 1,0m</t>
  </si>
  <si>
    <t>4,1,435</t>
  </si>
  <si>
    <t>22-8-6</t>
  </si>
  <si>
    <r>
      <t>kanalizaciis plastmasis milis montaJi TxrilSi</t>
    </r>
    <r>
      <rPr>
        <b/>
        <sz val="11"/>
        <rFont val="Calibri"/>
        <family val="2"/>
        <charset val="204"/>
        <scheme val="minor"/>
      </rPr>
      <t xml:space="preserve">  SN4 PP-N d-150</t>
    </r>
  </si>
  <si>
    <t>2.5-167</t>
  </si>
  <si>
    <r>
      <t xml:space="preserve">plastmasis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100mm</t>
    </r>
  </si>
  <si>
    <r>
      <t xml:space="preserve">plastmasis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150mm</t>
    </r>
  </si>
  <si>
    <t>pl quro d-100</t>
  </si>
  <si>
    <t>pl quro d-150</t>
  </si>
  <si>
    <t>ukusarqveli plastmasis TalfaqSi d-150</t>
  </si>
  <si>
    <t>Camketi(захлопка)  d-150</t>
  </si>
  <si>
    <t>kanalizaciis anakrebi rk betonis Wis mowyoba</t>
  </si>
  <si>
    <t>d-1000 h=1,0</t>
  </si>
  <si>
    <t>d-1500 h=1,5</t>
  </si>
  <si>
    <r>
      <t>anakrebi Wis rgolebi</t>
    </r>
    <r>
      <rPr>
        <sz val="11"/>
        <rFont val="Calibri"/>
        <family val="2"/>
        <charset val="204"/>
        <scheme val="minor"/>
      </rPr>
      <t xml:space="preserve">               Ø</t>
    </r>
    <r>
      <rPr>
        <sz val="11"/>
        <rFont val="AcadNusx"/>
      </rPr>
      <t>1000mm;</t>
    </r>
    <r>
      <rPr>
        <sz val="11"/>
        <rFont val="Calibri"/>
        <family val="2"/>
        <charset val="204"/>
        <scheme val="minor"/>
      </rPr>
      <t xml:space="preserve"> H</t>
    </r>
    <r>
      <rPr>
        <sz val="11"/>
        <rFont val="AcadNusx"/>
      </rPr>
      <t>=1.50m</t>
    </r>
  </si>
  <si>
    <t>6,3</t>
  </si>
  <si>
    <t>6,4</t>
  </si>
  <si>
    <t>6-1-2 GAMOY</t>
  </si>
  <si>
    <r>
      <t>betonis saTavisis mowyoba sakanalizacio milis mdinareSi CaSvebis adgilze (zomiT 1,0*0,3*0,6(</t>
    </r>
    <r>
      <rPr>
        <b/>
        <sz val="11"/>
        <rFont val="Calibri"/>
        <family val="2"/>
        <charset val="204"/>
        <scheme val="minor"/>
      </rPr>
      <t>H</t>
    </r>
    <r>
      <rPr>
        <b/>
        <sz val="11"/>
        <rFont val="AcadNusx"/>
      </rPr>
      <t>)  2c</t>
    </r>
  </si>
  <si>
    <t>0,45</t>
  </si>
  <si>
    <t>betoni b.15</t>
  </si>
  <si>
    <t>1,02</t>
  </si>
  <si>
    <t>1,61</t>
  </si>
  <si>
    <t>0,0172</t>
  </si>
  <si>
    <t>0,28</t>
  </si>
  <si>
    <t>axali - saproeqto kanalizaciis qselis SeWra arsebul qselSi (makompleqtebeli nawilebiT)</t>
  </si>
  <si>
    <t>betoni ბ.7,5</t>
  </si>
  <si>
    <t>qviSa xreSi</t>
  </si>
  <si>
    <t>kanalizaciis ormouli Wis -- septikis mowyoba</t>
  </si>
  <si>
    <t xml:space="preserve">qvabulis mowyoba ormouli Wis mosawyobad  </t>
  </si>
  <si>
    <t>zedmeti gruntis transportireba 15km manZilze da gatana</t>
  </si>
  <si>
    <t>1-79-3
კ=0.8</t>
  </si>
  <si>
    <t>gruntis xeliT damatebiT damuSaveba (tranSeis ZirSi)</t>
  </si>
  <si>
    <t>RorRis safuZvlis mowyoba saZirkvlis filis qveS</t>
  </si>
  <si>
    <t>ormouli Wis -- septikis monoliTuri rk.betonis kedlebisa da fskeris mowyoba</t>
  </si>
  <si>
    <t>beroni b.25</t>
  </si>
  <si>
    <t>WanWiki samSeneblo</t>
  </si>
  <si>
    <r>
      <t xml:space="preserve">armatura </t>
    </r>
    <r>
      <rPr>
        <sz val="11"/>
        <color rgb="FFFF0000"/>
        <rFont val="Times New Roman"/>
        <family val="1"/>
        <charset val="204"/>
      </rPr>
      <t xml:space="preserve">A-III </t>
    </r>
  </si>
  <si>
    <r>
      <t>armatura</t>
    </r>
    <r>
      <rPr>
        <sz val="11"/>
        <color rgb="FFFF0000"/>
        <rFont val="Times New Roman"/>
        <family val="1"/>
        <charset val="204"/>
      </rPr>
      <t xml:space="preserve"> A-I</t>
    </r>
  </si>
  <si>
    <t>ormouli Wis -- septikis monoliTuri rk.betonis kedlebis zedapirebis damuSaveba bitumis emulsiiT (hidroizolacia)</t>
  </si>
  <si>
    <t xml:space="preserve">septikis ZirSi RorRis drenaJis mowyoba </t>
  </si>
  <si>
    <t>4.1-119</t>
  </si>
  <si>
    <t xml:space="preserve">ormouli Wis Tavsaxuri </t>
  </si>
  <si>
    <t xml:space="preserve">sul IV-V-VI Tavebi </t>
  </si>
  <si>
    <t xml:space="preserve">sul  I-II-III-IV-V-VI Tavebi </t>
  </si>
  <si>
    <t xml:space="preserve">unitazi Turquli Camrecxi avziT, </t>
  </si>
  <si>
    <r>
      <t xml:space="preserve">sp. sadeni </t>
    </r>
    <r>
      <rPr>
        <sz val="11"/>
        <rFont val="Calibri"/>
        <family val="2"/>
        <charset val="204"/>
        <scheme val="minor"/>
      </rPr>
      <t xml:space="preserve">YMS </t>
    </r>
    <r>
      <rPr>
        <sz val="11"/>
        <rFont val="AcadNusx"/>
      </rPr>
      <t>3*6</t>
    </r>
  </si>
  <si>
    <r>
      <t xml:space="preserve">avtomaturi amomrTveli          </t>
    </r>
    <r>
      <rPr>
        <sz val="10"/>
        <rFont val="Calibri"/>
        <family val="2"/>
        <charset val="204"/>
        <scheme val="minor"/>
      </rPr>
      <t>1p 6a 6KA</t>
    </r>
  </si>
  <si>
    <r>
      <t xml:space="preserve">avtomaturi amomrTveli          </t>
    </r>
    <r>
      <rPr>
        <sz val="10"/>
        <rFont val="Calibri"/>
        <family val="2"/>
        <charset val="204"/>
        <scheme val="minor"/>
      </rPr>
      <t>2p25a 6KA</t>
    </r>
  </si>
  <si>
    <r>
      <t>კონტაქტორი</t>
    </r>
    <r>
      <rPr>
        <sz val="10"/>
        <rFont val="Calibri"/>
        <family val="2"/>
        <charset val="204"/>
        <scheme val="minor"/>
      </rPr>
      <t xml:space="preserve"> , 2P, 25 A</t>
    </r>
  </si>
  <si>
    <r>
      <t>xelis CamrTveli gare montaJis 0-1-2  1X20</t>
    </r>
    <r>
      <rPr>
        <sz val="10"/>
        <rFont val="Calibri"/>
        <family val="2"/>
        <charset val="204"/>
        <scheme val="minor"/>
      </rPr>
      <t>A</t>
    </r>
  </si>
  <si>
    <t>sp moednis dioduri sanaTi 250v 50vat</t>
  </si>
  <si>
    <r>
      <t xml:space="preserve">skveris teritoriaze arsebuli </t>
    </r>
    <r>
      <rPr>
        <b/>
        <sz val="11"/>
        <rFont val="Calibri"/>
        <family val="2"/>
        <charset val="204"/>
        <scheme val="minor"/>
      </rPr>
      <t>WC</t>
    </r>
  </si>
  <si>
    <t>სულ პირდაპირი დანახარჯები #1-1</t>
  </si>
  <si>
    <t>lokaluri ხ ა რ ჯ თ ა ღ რ ი ც ვ ხ ვ ა #1-1</t>
  </si>
  <si>
    <t>sul xarjTaRricxva                       #1-2</t>
  </si>
  <si>
    <t>lokaluri ხ ა რ ჯ თ ა ღ რ ი ც ვ ხ ვ ა # 1-2</t>
  </si>
  <si>
    <t>sul xarjTaRricxva     #1-1</t>
  </si>
  <si>
    <t>lokaluri ხ ა რ ჯ თ ა ღ რ ი ც ვ ხ ვ ა #1-3</t>
  </si>
  <si>
    <t>sul xarjTaRricxva          #1-3</t>
  </si>
  <si>
    <t>sul xarjTaRricxva         #1-3</t>
  </si>
  <si>
    <r>
      <rPr>
        <b/>
        <sz val="11"/>
        <color rgb="FFFF0000"/>
        <rFont val="AcadNusx"/>
      </rPr>
      <t>arsebuli</t>
    </r>
    <r>
      <rPr>
        <b/>
        <sz val="11"/>
        <rFont val="AcadNusx"/>
      </rPr>
      <t xml:space="preserve"> atraqcionis demontaJi, dasawyobeba Semdgomi montaJisaTvis (koSki Camosasrialebli, kibiT da saqaneliT)</t>
    </r>
  </si>
  <si>
    <t>lk #1-1</t>
  </si>
  <si>
    <t>lk #1-2</t>
  </si>
  <si>
    <t>lk #1-3</t>
  </si>
  <si>
    <t>lk #1-4</t>
  </si>
  <si>
    <t>j a m i</t>
  </si>
  <si>
    <t>lokaluri ხ ა რ ჯ თ ა ღ რ ი ც ვ ხ ვ ა #2-1</t>
  </si>
  <si>
    <t>lokaluri ხ ა რ ჯ თ ა ღ რ ი ც ვ ხ ვ ა #2-2</t>
  </si>
  <si>
    <t>სულ პირდაპირი დანახარჯები #2-1</t>
  </si>
  <si>
    <t>sul xarjTaRricxva       #2-1</t>
  </si>
  <si>
    <t>sul xarjTaRricxva #1-4</t>
  </si>
  <si>
    <t>sul pirdapiri danaxarjebi #1-4</t>
  </si>
  <si>
    <t>lokaluri ხ ა რ ჯ თ ა ღ რ ი ც ვ ხ ვ ა #1-4</t>
  </si>
  <si>
    <t>sul pirdapiri danaxarjebi #1-3</t>
  </si>
  <si>
    <t>sul pirdapiri danaxarjebi #2-2</t>
  </si>
  <si>
    <t>sul xarjTaRricxva        #2-2</t>
  </si>
  <si>
    <t>sul xarjTaRricxva                       #2-3</t>
  </si>
  <si>
    <t>sul pirdapiri danaxarjebi  #2-3</t>
  </si>
  <si>
    <t>liTonis dgarebi --             kv mili 150*150*3</t>
  </si>
  <si>
    <t>liTonis skulptura</t>
  </si>
  <si>
    <t>komp</t>
  </si>
  <si>
    <t>Ria scenis iatakis keTilmowyoba</t>
  </si>
  <si>
    <t>xis masala;  (mSrali wiwvovani)</t>
  </si>
  <si>
    <r>
      <t xml:space="preserve">liT armtura    d-12mm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=300mm 2c*39c </t>
    </r>
  </si>
  <si>
    <t>9-5-1
gamy.</t>
  </si>
  <si>
    <t xml:space="preserve">liTonis karebis blokis damzadeba da montaJi  </t>
  </si>
  <si>
    <t>amwe saavtomobilo svlaze 25t</t>
  </si>
  <si>
    <t>sWvali</t>
  </si>
  <si>
    <t>liTonis karebis blokebis antikoroziuli
damuSaveba</t>
  </si>
  <si>
    <t>Senobis SigniT dazianebuli kafelis mopirketebis demontaJi</t>
  </si>
  <si>
    <t>Riobebis Sevseba  metaloplastmasis fanjris blokebiT</t>
  </si>
  <si>
    <t xml:space="preserve">Turquli unitazis montaJi  </t>
  </si>
  <si>
    <t>17-3-4</t>
  </si>
  <si>
    <t>polieTilenis fasonuri nawilebi</t>
  </si>
  <si>
    <t>gruntis damuSaveba xeliT, liTonis moajiris rk.betonis cokolis saZirkvlis mosawyobad</t>
  </si>
  <si>
    <t>RorRis safuZvlis mowyoba liTonis moajiris rk.betonis  cokolis qveS</t>
  </si>
  <si>
    <t>6-1-22</t>
  </si>
  <si>
    <t xml:space="preserve">dekoratiuli Robis qveS rk/betonis cokolis mowyoba </t>
  </si>
  <si>
    <r>
      <t>armatura</t>
    </r>
    <r>
      <rPr>
        <sz val="11"/>
        <color rgb="FFFF0000"/>
        <rFont val="Arial"/>
        <family val="2"/>
        <charset val="204"/>
      </rPr>
      <t xml:space="preserve"> A</t>
    </r>
    <r>
      <rPr>
        <sz val="11"/>
        <color rgb="FFFF0000"/>
        <rFont val="AcadNusx"/>
      </rPr>
      <t xml:space="preserve">-III </t>
    </r>
  </si>
  <si>
    <r>
      <t>armatura</t>
    </r>
    <r>
      <rPr>
        <sz val="11"/>
        <color rgb="FFFF0000"/>
        <rFont val="Arial"/>
        <family val="2"/>
        <charset val="204"/>
      </rPr>
      <t xml:space="preserve"> A</t>
    </r>
    <r>
      <rPr>
        <sz val="11"/>
        <color rgb="FFFF0000"/>
        <rFont val="AcadNusx"/>
      </rPr>
      <t>-I</t>
    </r>
  </si>
  <si>
    <t>15-60-3</t>
  </si>
  <si>
    <t>skveris teritoriaze rk.betonis cokolis Sida da gare zedapiris lesva cementis xsnariT</t>
  </si>
  <si>
    <t>kalmebi</t>
  </si>
  <si>
    <t>15-5-6</t>
  </si>
  <si>
    <t xml:space="preserve">rk.betonis cokolis Tavze bazaltis filiT qudis mowyoba  </t>
  </si>
  <si>
    <t xml:space="preserve">bazaltis fila 30mm sisqis  </t>
  </si>
  <si>
    <t>skveris teritoriaze  rk.betonis cokolisa Sida da gare zedapirebis SeRebva safasade saRebaviT</t>
  </si>
  <si>
    <t xml:space="preserve">saRebavi gare samuSaoebis </t>
  </si>
  <si>
    <t xml:space="preserve">fiTxi gare samuSaoebis </t>
  </si>
  <si>
    <t>rk.betonis cokolis Sida da gare zedapiris mopirkeTeba bazaltis filiT (30mm sisqis)</t>
  </si>
  <si>
    <t>bazaltis fila 30mm sisqis</t>
  </si>
  <si>
    <t>7-21-10    gam.</t>
  </si>
  <si>
    <r>
      <t xml:space="preserve">liTonis moajiris mowyoba - rk.betonis kedelze Caankereba </t>
    </r>
    <r>
      <rPr>
        <sz val="11"/>
        <rFont val="AcadNusx"/>
      </rPr>
      <t>(moc eskiozis mixedviT)</t>
    </r>
  </si>
  <si>
    <t>9-17-6    gam.</t>
  </si>
  <si>
    <t>liT dekoratiuli moajiris liTonis xarji</t>
  </si>
  <si>
    <t>kv mili 60*60*3</t>
  </si>
  <si>
    <t>liTonis ankeri d-12 l=200</t>
  </si>
  <si>
    <t>kv mili 20*20*2</t>
  </si>
  <si>
    <t>sul liTonis konstruqcia</t>
  </si>
  <si>
    <t>foladis konstruqcia:</t>
  </si>
  <si>
    <t>7-22-1</t>
  </si>
  <si>
    <r>
      <t xml:space="preserve">liTonis WiSkris damzadeba da montaJi </t>
    </r>
    <r>
      <rPr>
        <sz val="11"/>
        <rFont val="AcadNusx"/>
      </rPr>
      <t xml:space="preserve">(samanqano Sesasvleli)  </t>
    </r>
  </si>
  <si>
    <t>liTonis WiSkari (aqsesuarebiT)</t>
  </si>
  <si>
    <t>samSeneblo qanCi WanWikiT</t>
  </si>
  <si>
    <t>eleqtrodi d=4mm</t>
  </si>
  <si>
    <t xml:space="preserve">dekoratiuli liTonis SemoRobvis mowyoba (kulturis saxlis marjvena fasadis mxares -- klumbidab mimdebare sastumros SemoRobvamde) </t>
  </si>
  <si>
    <t>Senobis saxuravidan Camosuli naleqisagan skveris teritoriis gantvirTvis mizniT saniaRvre arxis mowyoba (Senobis gare kedlis gaswvriv)</t>
  </si>
  <si>
    <t>rk.betonis saniaRvre arxis mowyoba</t>
  </si>
  <si>
    <r>
      <t>m</t>
    </r>
    <r>
      <rPr>
        <vertAlign val="superscript"/>
        <sz val="11"/>
        <rFont val="AcadNusx"/>
      </rPr>
      <t>3</t>
    </r>
  </si>
  <si>
    <t>RorRis safuZvlis mowyoba sisqiT 10 sm datkepvniT</t>
  </si>
  <si>
    <r>
      <t>m</t>
    </r>
    <r>
      <rPr>
        <b/>
        <vertAlign val="superscript"/>
        <sz val="11"/>
        <rFont val="AcadNusx"/>
      </rPr>
      <t>3</t>
    </r>
  </si>
  <si>
    <t>sanaRvre arxis rk.betonis kedlebisa da fskeris mowuoba</t>
  </si>
  <si>
    <t>saniaRvre arxis rk betonis kedlebis gidroizolacia</t>
  </si>
  <si>
    <r>
      <t>armatura</t>
    </r>
    <r>
      <rPr>
        <sz val="11"/>
        <color rgb="FFFF0000"/>
        <rFont val="Arial"/>
        <family val="2"/>
        <charset val="204"/>
      </rPr>
      <t xml:space="preserve"> A</t>
    </r>
    <r>
      <rPr>
        <sz val="11"/>
        <color rgb="FFFF0000"/>
        <rFont val="AcadNusx"/>
      </rPr>
      <t>-III Ф8</t>
    </r>
  </si>
  <si>
    <t>polimeruli saniaRvre cxauris mowyoba</t>
  </si>
  <si>
    <t xml:space="preserve">gatana 5 km-ze </t>
  </si>
  <si>
    <t xml:space="preserve">saniarvre cxuris daerTeba arsebul qselze (d-150 pl)                      </t>
  </si>
  <si>
    <r>
      <t xml:space="preserve">kanalizaciis pl milis montaJi TxrilSi </t>
    </r>
    <r>
      <rPr>
        <b/>
        <sz val="11"/>
        <rFont val="Arial"/>
        <family val="2"/>
        <charset val="204"/>
      </rPr>
      <t>Ø</t>
    </r>
    <r>
      <rPr>
        <b/>
        <sz val="11"/>
        <rFont val="AcadNusx"/>
      </rPr>
      <t>150mm</t>
    </r>
  </si>
  <si>
    <r>
      <t xml:space="preserve">plastmasis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150*3,2mm</t>
    </r>
  </si>
  <si>
    <t>milis gadamyvani d-150</t>
  </si>
  <si>
    <t>arsebul qselSi SeWra (makompleqtebeli nawilebiT)</t>
  </si>
  <si>
    <t>krebsiTi xarjTaRricxva</t>
  </si>
  <si>
    <t>sul xarjTaRricxva   #1-4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</si>
</sst>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0.0"/>
    <numFmt numFmtId="167" formatCode="0.000"/>
    <numFmt numFmtId="168" formatCode="_-* #,##0.00_р_._-;\-* #,##0.00_р_._-;_-* &quot;-&quot;??_р_._-;_-@_-"/>
    <numFmt numFmtId="169" formatCode="_-* #,##0.000_-;\-* #,##0.000_-;_-* &quot;-&quot;??_-;_-@_-"/>
    <numFmt numFmtId="170" formatCode="_-* #,##0.0000_-;\-* #,##0.0000_-;_-* &quot;-&quot;??_-;_-@_-"/>
  </numFmts>
  <fonts count="1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name val="AcadNusx"/>
    </font>
    <font>
      <sz val="10"/>
      <color theme="1"/>
      <name val="AcadNusx"/>
    </font>
    <font>
      <sz val="10"/>
      <name val="AcadNusx"/>
    </font>
    <font>
      <b/>
      <sz val="12"/>
      <name val="AcadNusx"/>
    </font>
    <font>
      <b/>
      <sz val="11"/>
      <color theme="1"/>
      <name val="AcadMtav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sz val="10"/>
      <name val="Calibri"/>
      <family val="2"/>
    </font>
    <font>
      <b/>
      <vertAlign val="superscript"/>
      <sz val="10"/>
      <name val="AcadNusx"/>
    </font>
    <font>
      <sz val="10"/>
      <name val="Calibri"/>
      <family val="2"/>
      <charset val="204"/>
    </font>
    <font>
      <vertAlign val="superscript"/>
      <sz val="10"/>
      <name val="AcadNusx"/>
    </font>
    <font>
      <sz val="10"/>
      <name val="Calibri"/>
      <family val="2"/>
      <scheme val="minor"/>
    </font>
    <font>
      <sz val="11"/>
      <color rgb="FFFF0000"/>
      <name val="AcadNusx"/>
    </font>
    <font>
      <sz val="11"/>
      <color rgb="FF000000"/>
      <name val="AcadNusx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name val="Calibri"/>
      <family val="2"/>
      <charset val="204"/>
      <scheme val="minor"/>
    </font>
    <font>
      <b/>
      <sz val="10"/>
      <name val="Arial"/>
      <family val="2"/>
    </font>
    <font>
      <b/>
      <sz val="14"/>
      <color rgb="FF0000FF"/>
      <name val="AcadNusx"/>
    </font>
    <font>
      <sz val="11"/>
      <color rgb="FFFF0000"/>
      <name val="Arial"/>
      <family val="2"/>
      <charset val="204"/>
    </font>
    <font>
      <b/>
      <sz val="10"/>
      <name val="Sylfaen"/>
      <family val="1"/>
    </font>
    <font>
      <b/>
      <sz val="11"/>
      <name val="AcadMtavr"/>
    </font>
    <font>
      <sz val="11"/>
      <color theme="1"/>
      <name val="Cambria"/>
      <family val="1"/>
      <charset val="204"/>
      <scheme val="major"/>
    </font>
    <font>
      <sz val="10"/>
      <color rgb="FF000000"/>
      <name val="AcadNusx"/>
    </font>
    <font>
      <b/>
      <sz val="10"/>
      <color rgb="FF000000"/>
      <name val="AcadNusx"/>
    </font>
    <font>
      <b/>
      <sz val="11"/>
      <color rgb="FF000000"/>
      <name val="AcadNusx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rgb="FF0000FF"/>
      <name val="AcadNusx"/>
    </font>
    <font>
      <b/>
      <sz val="10"/>
      <name val="Calibri"/>
      <family val="2"/>
      <charset val="204"/>
      <scheme val="minor"/>
    </font>
    <font>
      <sz val="12"/>
      <color rgb="FFFF0000"/>
      <name val="AcadNusx"/>
    </font>
    <font>
      <b/>
      <sz val="12"/>
      <color rgb="FFFF0000"/>
      <name val="AcadNusx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  <charset val="204"/>
    </font>
    <font>
      <b/>
      <sz val="11"/>
      <name val="Cambria"/>
      <family val="1"/>
      <charset val="204"/>
    </font>
    <font>
      <vertAlign val="superscript"/>
      <sz val="11"/>
      <name val="AcadNusx"/>
    </font>
    <font>
      <sz val="10"/>
      <color rgb="FFFF0000"/>
      <name val="AcadNusx"/>
    </font>
    <font>
      <sz val="10"/>
      <name val="Times New Roman"/>
      <family val="1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</font>
    <font>
      <sz val="12"/>
      <color theme="0"/>
      <name val="AcadNusx"/>
    </font>
    <font>
      <i/>
      <sz val="11"/>
      <name val="AcadNusx"/>
    </font>
    <font>
      <b/>
      <sz val="10"/>
      <name val="Calibri"/>
      <family val="2"/>
      <charset val="204"/>
    </font>
    <font>
      <b/>
      <sz val="1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4"/>
      <color rgb="FF0000FF"/>
      <name val="Calibri"/>
      <family val="2"/>
      <charset val="204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0"/>
      <name val="AcadNusx"/>
    </font>
    <font>
      <vertAlign val="superscript"/>
      <sz val="11"/>
      <color theme="1"/>
      <name val="AcadNusx"/>
    </font>
    <font>
      <vertAlign val="superscript"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</font>
    <font>
      <sz val="11"/>
      <color rgb="FFFF0000"/>
      <name val="Times New Roman"/>
      <family val="1"/>
      <charset val="204"/>
    </font>
    <font>
      <sz val="11"/>
      <color theme="1"/>
      <name val="Sylfaen"/>
      <family val="1"/>
    </font>
    <font>
      <b/>
      <sz val="11"/>
      <color rgb="FFFF0000"/>
      <name val="AcadNusx"/>
    </font>
    <font>
      <sz val="11"/>
      <name val="AcadMtavr"/>
    </font>
    <font>
      <sz val="11"/>
      <color theme="1"/>
      <name val="AcadMtavr"/>
    </font>
    <font>
      <b/>
      <sz val="10"/>
      <color rgb="FFFF0000"/>
      <name val="AcadNusx"/>
    </font>
    <font>
      <sz val="11"/>
      <color rgb="FFFF0000"/>
      <name val="AcadMtavr"/>
    </font>
    <font>
      <b/>
      <sz val="1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vertAlign val="superscript"/>
      <sz val="11"/>
      <name val="AcadNusx"/>
    </font>
    <font>
      <b/>
      <sz val="11"/>
      <color rgb="FFFF0000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CCCC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 tint="-0.249977111117893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13">
    <xf numFmtId="0" fontId="0" fillId="0" borderId="0"/>
    <xf numFmtId="0" fontId="12" fillId="0" borderId="0"/>
    <xf numFmtId="0" fontId="18" fillId="0" borderId="0"/>
    <xf numFmtId="0" fontId="20" fillId="0" borderId="0"/>
    <xf numFmtId="0" fontId="22" fillId="0" borderId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13" borderId="0" applyNumberFormat="0" applyBorder="0" applyAlignment="0" applyProtection="0"/>
    <xf numFmtId="0" fontId="43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43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3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3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3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3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3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3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3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5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46" fillId="23" borderId="6" applyNumberFormat="0" applyAlignment="0" applyProtection="0"/>
    <xf numFmtId="0" fontId="28" fillId="23" borderId="6" applyNumberFormat="0" applyAlignment="0" applyProtection="0"/>
    <xf numFmtId="0" fontId="28" fillId="23" borderId="6" applyNumberFormat="0" applyAlignment="0" applyProtection="0"/>
    <xf numFmtId="0" fontId="28" fillId="23" borderId="6" applyNumberFormat="0" applyAlignment="0" applyProtection="0"/>
    <xf numFmtId="0" fontId="28" fillId="23" borderId="6" applyNumberFormat="0" applyAlignment="0" applyProtection="0"/>
    <xf numFmtId="0" fontId="28" fillId="23" borderId="6" applyNumberFormat="0" applyAlignment="0" applyProtection="0"/>
    <xf numFmtId="0" fontId="28" fillId="23" borderId="6" applyNumberFormat="0" applyAlignment="0" applyProtection="0"/>
    <xf numFmtId="0" fontId="28" fillId="23" borderId="6" applyNumberFormat="0" applyAlignment="0" applyProtection="0"/>
    <xf numFmtId="0" fontId="28" fillId="23" borderId="6" applyNumberFormat="0" applyAlignment="0" applyProtection="0"/>
    <xf numFmtId="0" fontId="28" fillId="23" borderId="6" applyNumberFormat="0" applyAlignment="0" applyProtection="0"/>
    <xf numFmtId="0" fontId="28" fillId="23" borderId="6" applyNumberFormat="0" applyAlignment="0" applyProtection="0"/>
    <xf numFmtId="0" fontId="28" fillId="23" borderId="6" applyNumberFormat="0" applyAlignment="0" applyProtection="0"/>
    <xf numFmtId="0" fontId="28" fillId="23" borderId="6" applyNumberFormat="0" applyAlignment="0" applyProtection="0"/>
    <xf numFmtId="0" fontId="28" fillId="23" borderId="6" applyNumberFormat="0" applyAlignment="0" applyProtection="0"/>
    <xf numFmtId="43" fontId="2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5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60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6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9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0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51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9" borderId="5" applyNumberFormat="0" applyAlignment="0" applyProtection="0"/>
    <xf numFmtId="0" fontId="34" fillId="9" borderId="5" applyNumberFormat="0" applyAlignment="0" applyProtection="0"/>
    <xf numFmtId="0" fontId="34" fillId="9" borderId="5" applyNumberFormat="0" applyAlignment="0" applyProtection="0"/>
    <xf numFmtId="0" fontId="34" fillId="9" borderId="5" applyNumberFormat="0" applyAlignment="0" applyProtection="0"/>
    <xf numFmtId="0" fontId="34" fillId="9" borderId="5" applyNumberFormat="0" applyAlignment="0" applyProtection="0"/>
    <xf numFmtId="0" fontId="34" fillId="9" borderId="5" applyNumberFormat="0" applyAlignment="0" applyProtection="0"/>
    <xf numFmtId="0" fontId="34" fillId="9" borderId="5" applyNumberFormat="0" applyAlignment="0" applyProtection="0"/>
    <xf numFmtId="0" fontId="34" fillId="9" borderId="5" applyNumberFormat="0" applyAlignment="0" applyProtection="0"/>
    <xf numFmtId="0" fontId="34" fillId="9" borderId="5" applyNumberFormat="0" applyAlignment="0" applyProtection="0"/>
    <xf numFmtId="0" fontId="34" fillId="9" borderId="5" applyNumberFormat="0" applyAlignment="0" applyProtection="0"/>
    <xf numFmtId="0" fontId="34" fillId="9" borderId="5" applyNumberFormat="0" applyAlignment="0" applyProtection="0"/>
    <xf numFmtId="0" fontId="34" fillId="9" borderId="5" applyNumberFormat="0" applyAlignment="0" applyProtection="0"/>
    <xf numFmtId="0" fontId="34" fillId="9" borderId="5" applyNumberFormat="0" applyAlignment="0" applyProtection="0"/>
    <xf numFmtId="0" fontId="34" fillId="9" borderId="5" applyNumberFormat="0" applyAlignment="0" applyProtection="0"/>
    <xf numFmtId="0" fontId="53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5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37" fillId="0" borderId="0"/>
    <xf numFmtId="0" fontId="22" fillId="0" borderId="0"/>
    <xf numFmtId="0" fontId="61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62" fillId="0" borderId="0"/>
    <xf numFmtId="0" fontId="18" fillId="0" borderId="0"/>
    <xf numFmtId="0" fontId="12" fillId="0" borderId="0"/>
    <xf numFmtId="0" fontId="19" fillId="0" borderId="0"/>
    <xf numFmtId="0" fontId="12" fillId="0" borderId="0"/>
    <xf numFmtId="0" fontId="19" fillId="0" borderId="0"/>
    <xf numFmtId="0" fontId="18" fillId="0" borderId="0"/>
    <xf numFmtId="0" fontId="60" fillId="0" borderId="0"/>
    <xf numFmtId="0" fontId="18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5" borderId="11" applyNumberFormat="0" applyFont="0" applyAlignment="0" applyProtection="0"/>
    <xf numFmtId="0" fontId="18" fillId="25" borderId="11" applyNumberFormat="0" applyFont="0" applyAlignment="0" applyProtection="0"/>
    <xf numFmtId="0" fontId="18" fillId="25" borderId="11" applyNumberFormat="0" applyFont="0" applyAlignment="0" applyProtection="0"/>
    <xf numFmtId="0" fontId="18" fillId="25" borderId="11" applyNumberFormat="0" applyFont="0" applyAlignment="0" applyProtection="0"/>
    <xf numFmtId="0" fontId="18" fillId="25" borderId="11" applyNumberFormat="0" applyFont="0" applyAlignment="0" applyProtection="0"/>
    <xf numFmtId="0" fontId="18" fillId="25" borderId="11" applyNumberFormat="0" applyFont="0" applyAlignment="0" applyProtection="0"/>
    <xf numFmtId="0" fontId="18" fillId="25" borderId="11" applyNumberFormat="0" applyFont="0" applyAlignment="0" applyProtection="0"/>
    <xf numFmtId="0" fontId="18" fillId="25" borderId="11" applyNumberFormat="0" applyFont="0" applyAlignment="0" applyProtection="0"/>
    <xf numFmtId="0" fontId="18" fillId="25" borderId="11" applyNumberFormat="0" applyFont="0" applyAlignment="0" applyProtection="0"/>
    <xf numFmtId="0" fontId="18" fillId="25" borderId="11" applyNumberFormat="0" applyFont="0" applyAlignment="0" applyProtection="0"/>
    <xf numFmtId="0" fontId="18" fillId="25" borderId="11" applyNumberFormat="0" applyFont="0" applyAlignment="0" applyProtection="0"/>
    <xf numFmtId="0" fontId="18" fillId="25" borderId="11" applyNumberFormat="0" applyFont="0" applyAlignment="0" applyProtection="0"/>
    <xf numFmtId="0" fontId="18" fillId="25" borderId="11" applyNumberFormat="0" applyFont="0" applyAlignment="0" applyProtection="0"/>
    <xf numFmtId="0" fontId="18" fillId="25" borderId="11" applyNumberFormat="0" applyFont="0" applyAlignment="0" applyProtection="0"/>
    <xf numFmtId="0" fontId="55" fillId="22" borderId="12" applyNumberFormat="0" applyAlignment="0" applyProtection="0"/>
    <xf numFmtId="0" fontId="38" fillId="22" borderId="12" applyNumberFormat="0" applyAlignment="0" applyProtection="0"/>
    <xf numFmtId="0" fontId="38" fillId="22" borderId="12" applyNumberFormat="0" applyAlignment="0" applyProtection="0"/>
    <xf numFmtId="0" fontId="38" fillId="22" borderId="12" applyNumberFormat="0" applyAlignment="0" applyProtection="0"/>
    <xf numFmtId="0" fontId="38" fillId="22" borderId="12" applyNumberFormat="0" applyAlignment="0" applyProtection="0"/>
    <xf numFmtId="0" fontId="38" fillId="22" borderId="12" applyNumberFormat="0" applyAlignment="0" applyProtection="0"/>
    <xf numFmtId="0" fontId="38" fillId="22" borderId="12" applyNumberFormat="0" applyAlignment="0" applyProtection="0"/>
    <xf numFmtId="0" fontId="38" fillId="22" borderId="12" applyNumberFormat="0" applyAlignment="0" applyProtection="0"/>
    <xf numFmtId="0" fontId="38" fillId="22" borderId="12" applyNumberFormat="0" applyAlignment="0" applyProtection="0"/>
    <xf numFmtId="0" fontId="38" fillId="22" borderId="12" applyNumberFormat="0" applyAlignment="0" applyProtection="0"/>
    <xf numFmtId="0" fontId="38" fillId="22" borderId="12" applyNumberFormat="0" applyAlignment="0" applyProtection="0"/>
    <xf numFmtId="0" fontId="38" fillId="22" borderId="12" applyNumberFormat="0" applyAlignment="0" applyProtection="0"/>
    <xf numFmtId="0" fontId="38" fillId="22" borderId="12" applyNumberFormat="0" applyAlignment="0" applyProtection="0"/>
    <xf numFmtId="0" fontId="38" fillId="22" borderId="12" applyNumberFormat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1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2" fillId="0" borderId="0"/>
    <xf numFmtId="0" fontId="22" fillId="0" borderId="0"/>
    <xf numFmtId="0" fontId="18" fillId="0" borderId="0"/>
    <xf numFmtId="0" fontId="18" fillId="0" borderId="0"/>
    <xf numFmtId="0" fontId="60" fillId="0" borderId="0"/>
    <xf numFmtId="0" fontId="3" fillId="0" borderId="0"/>
    <xf numFmtId="0" fontId="3" fillId="0" borderId="0"/>
    <xf numFmtId="0" fontId="18" fillId="0" borderId="0"/>
    <xf numFmtId="0" fontId="64" fillId="3" borderId="0" applyNumberFormat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164" fontId="11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9" fontId="11" fillId="0" borderId="0" applyFont="0" applyFill="0" applyBorder="0" applyAlignment="0" applyProtection="0"/>
  </cellStyleXfs>
  <cellXfs count="143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>
      <alignment horizontal="center" vertical="center" wrapText="1"/>
    </xf>
    <xf numFmtId="0" fontId="21" fillId="3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1" xfId="903" applyNumberFormat="1" applyFont="1" applyFill="1" applyBorder="1" applyAlignment="1">
      <alignment horizontal="center" vertical="center" wrapText="1"/>
    </xf>
    <xf numFmtId="2" fontId="13" fillId="0" borderId="1" xfId="904" applyNumberFormat="1" applyFont="1" applyFill="1" applyBorder="1" applyAlignment="1">
      <alignment horizontal="center" vertical="center" wrapText="1"/>
    </xf>
    <xf numFmtId="2" fontId="13" fillId="0" borderId="1" xfId="901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65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65" fillId="0" borderId="1" xfId="901" applyNumberFormat="1" applyFont="1" applyFill="1" applyBorder="1" applyAlignment="1">
      <alignment horizontal="center" vertical="center" wrapText="1"/>
    </xf>
    <xf numFmtId="2" fontId="13" fillId="0" borderId="1" xfId="901" applyNumberFormat="1" applyFont="1" applyFill="1" applyBorder="1" applyAlignment="1">
      <alignment horizontal="center" vertical="center" wrapText="1"/>
    </xf>
    <xf numFmtId="49" fontId="13" fillId="0" borderId="1" xfId="901" applyNumberFormat="1" applyFont="1" applyFill="1" applyBorder="1" applyAlignment="1">
      <alignment horizontal="left" vertical="center" wrapText="1"/>
    </xf>
    <xf numFmtId="0" fontId="8" fillId="0" borderId="1" xfId="901" applyNumberFormat="1" applyFont="1" applyFill="1" applyBorder="1" applyAlignment="1">
      <alignment horizontal="center" vertical="center" wrapText="1"/>
    </xf>
    <xf numFmtId="49" fontId="21" fillId="0" borderId="1" xfId="901" applyNumberFormat="1" applyFont="1" applyFill="1" applyBorder="1" applyAlignment="1">
      <alignment vertical="center" wrapText="1"/>
    </xf>
    <xf numFmtId="0" fontId="13" fillId="0" borderId="1" xfId="901" applyNumberFormat="1" applyFont="1" applyFill="1" applyBorder="1" applyAlignment="1">
      <alignment horizontal="center" vertical="center" wrapText="1"/>
    </xf>
    <xf numFmtId="49" fontId="21" fillId="0" borderId="1" xfId="901" applyNumberFormat="1" applyFont="1" applyFill="1" applyBorder="1" applyAlignment="1">
      <alignment horizontal="left" vertical="center" wrapText="1"/>
    </xf>
    <xf numFmtId="0" fontId="21" fillId="0" borderId="1" xfId="901" applyNumberFormat="1" applyFont="1" applyFill="1" applyBorder="1" applyAlignment="1">
      <alignment horizontal="center" vertical="center" wrapText="1"/>
    </xf>
    <xf numFmtId="49" fontId="13" fillId="0" borderId="1" xfId="901" applyNumberFormat="1" applyFont="1" applyFill="1" applyBorder="1" applyAlignment="1">
      <alignment vertical="center" wrapText="1"/>
    </xf>
    <xf numFmtId="2" fontId="13" fillId="0" borderId="20" xfId="901" applyNumberFormat="1" applyFont="1" applyFill="1" applyBorder="1" applyAlignment="1">
      <alignment horizontal="center" vertical="center" wrapText="1"/>
    </xf>
    <xf numFmtId="2" fontId="14" fillId="0" borderId="1" xfId="901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3" fillId="0" borderId="1" xfId="1" applyNumberFormat="1" applyFont="1" applyFill="1" applyBorder="1" applyAlignment="1" applyProtection="1">
      <alignment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901" applyNumberFormat="1" applyFont="1" applyFill="1" applyBorder="1" applyAlignment="1" applyProtection="1">
      <alignment horizontal="center" vertical="center" wrapText="1"/>
    </xf>
    <xf numFmtId="49" fontId="8" fillId="0" borderId="1" xfId="1" quotePrefix="1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21" fillId="0" borderId="1" xfId="633" applyNumberFormat="1" applyFont="1" applyFill="1" applyBorder="1" applyAlignment="1">
      <alignment horizontal="center" vertical="center" wrapText="1"/>
    </xf>
    <xf numFmtId="0" fontId="21" fillId="2" borderId="1" xfId="646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2" fontId="21" fillId="2" borderId="1" xfId="903" applyNumberFormat="1" applyFont="1" applyFill="1" applyBorder="1" applyAlignment="1">
      <alignment horizontal="center" vertical="center" wrapText="1"/>
    </xf>
    <xf numFmtId="2" fontId="21" fillId="2" borderId="1" xfId="904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49" fontId="65" fillId="0" borderId="1" xfId="906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8" fillId="0" borderId="1" xfId="870" applyNumberFormat="1" applyFont="1" applyFill="1" applyBorder="1" applyAlignment="1">
      <alignment horizontal="center" vertical="center" wrapText="1"/>
    </xf>
    <xf numFmtId="49" fontId="13" fillId="0" borderId="1" xfId="870" applyNumberFormat="1" applyFont="1" applyFill="1" applyBorder="1" applyAlignment="1">
      <alignment horizontal="left" vertical="center" wrapText="1"/>
    </xf>
    <xf numFmtId="0" fontId="13" fillId="0" borderId="1" xfId="87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71" fillId="0" borderId="1" xfId="0" applyNumberFormat="1" applyFont="1" applyFill="1" applyBorder="1" applyAlignment="1">
      <alignment horizontal="center" vertical="center" wrapText="1"/>
    </xf>
    <xf numFmtId="2" fontId="71" fillId="0" borderId="1" xfId="0" applyNumberFormat="1" applyFont="1" applyFill="1" applyBorder="1" applyAlignment="1">
      <alignment horizontal="center" vertical="center" wrapText="1"/>
    </xf>
    <xf numFmtId="2" fontId="71" fillId="0" borderId="1" xfId="903" applyNumberFormat="1" applyFont="1" applyFill="1" applyBorder="1" applyAlignment="1">
      <alignment horizontal="center" vertical="center" wrapText="1"/>
    </xf>
    <xf numFmtId="49" fontId="8" fillId="0" borderId="1" xfId="901" applyNumberFormat="1" applyFont="1" applyFill="1" applyBorder="1" applyAlignment="1">
      <alignment horizontal="center" vertical="center"/>
    </xf>
    <xf numFmtId="0" fontId="13" fillId="0" borderId="1" xfId="901" applyNumberFormat="1" applyFont="1" applyFill="1" applyBorder="1" applyAlignment="1">
      <alignment horizontal="center" vertical="center"/>
    </xf>
    <xf numFmtId="49" fontId="76" fillId="0" borderId="1" xfId="901" applyNumberFormat="1" applyFont="1" applyFill="1" applyBorder="1" applyAlignment="1">
      <alignment horizontal="center" vertical="center" wrapText="1"/>
    </xf>
    <xf numFmtId="49" fontId="8" fillId="0" borderId="1" xfId="901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2" fontId="15" fillId="26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5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65" fillId="2" borderId="1" xfId="0" applyNumberFormat="1" applyFont="1" applyFill="1" applyBorder="1" applyAlignment="1">
      <alignment vertical="center" wrapText="1"/>
    </xf>
    <xf numFmtId="0" fontId="21" fillId="0" borderId="1" xfId="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2" fontId="13" fillId="0" borderId="1" xfId="899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49" fontId="81" fillId="0" borderId="0" xfId="0" applyNumberFormat="1" applyFont="1" applyFill="1" applyAlignment="1">
      <alignment horizontal="center" vertical="center"/>
    </xf>
    <xf numFmtId="0" fontId="21" fillId="0" borderId="1" xfId="901" applyNumberFormat="1" applyFont="1" applyFill="1" applyBorder="1" applyAlignment="1" applyProtection="1">
      <alignment horizontal="center" vertical="center" wrapText="1"/>
    </xf>
    <xf numFmtId="49" fontId="65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49" fontId="65" fillId="0" borderId="4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49" fontId="82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8" fillId="27" borderId="20" xfId="0" applyNumberFormat="1" applyFont="1" applyFill="1" applyBorder="1" applyAlignment="1">
      <alignment horizontal="center" vertical="center" wrapText="1"/>
    </xf>
    <xf numFmtId="2" fontId="8" fillId="0" borderId="1" xfId="903" applyNumberFormat="1" applyFont="1" applyFill="1" applyBorder="1" applyAlignment="1">
      <alignment horizontal="center" vertical="center" wrapText="1"/>
    </xf>
    <xf numFmtId="2" fontId="8" fillId="0" borderId="1" xfId="90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9" fontId="21" fillId="0" borderId="1" xfId="909" applyNumberFormat="1" applyFont="1" applyFill="1" applyBorder="1" applyAlignment="1">
      <alignment horizontal="left" vertical="center" wrapText="1"/>
    </xf>
    <xf numFmtId="2" fontId="21" fillId="0" borderId="1" xfId="901" applyNumberFormat="1" applyFont="1" applyFill="1" applyBorder="1" applyAlignment="1">
      <alignment horizontal="center" vertical="center" wrapText="1"/>
    </xf>
    <xf numFmtId="49" fontId="21" fillId="0" borderId="1" xfId="681" applyNumberFormat="1" applyFont="1" applyFill="1" applyBorder="1" applyAlignment="1">
      <alignment horizontal="left" vertical="center" wrapText="1"/>
    </xf>
    <xf numFmtId="0" fontId="13" fillId="0" borderId="1" xfId="633" applyNumberFormat="1" applyFont="1" applyFill="1" applyBorder="1" applyAlignment="1">
      <alignment horizontal="center"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49" fontId="13" fillId="0" borderId="1" xfId="633" applyNumberFormat="1" applyFont="1" applyFill="1" applyBorder="1" applyAlignment="1">
      <alignment horizontal="left" vertical="center" wrapText="1"/>
    </xf>
    <xf numFmtId="2" fontId="21" fillId="0" borderId="20" xfId="901" applyNumberFormat="1" applyFont="1" applyFill="1" applyBorder="1" applyAlignment="1">
      <alignment horizontal="center" vertical="center" wrapText="1"/>
    </xf>
    <xf numFmtId="49" fontId="21" fillId="0" borderId="1" xfId="633" applyNumberFormat="1" applyFont="1" applyFill="1" applyBorder="1" applyAlignment="1">
      <alignment horizontal="left" vertical="center" wrapText="1"/>
    </xf>
    <xf numFmtId="49" fontId="65" fillId="0" borderId="1" xfId="633" applyNumberFormat="1" applyFont="1" applyFill="1" applyBorder="1" applyAlignment="1">
      <alignment horizontal="center" vertical="center" wrapText="1"/>
    </xf>
    <xf numFmtId="0" fontId="13" fillId="0" borderId="20" xfId="633" applyNumberFormat="1" applyFont="1" applyFill="1" applyBorder="1" applyAlignment="1">
      <alignment horizontal="center" vertical="center" wrapText="1"/>
    </xf>
    <xf numFmtId="49" fontId="12" fillId="0" borderId="1" xfId="633" applyNumberFormat="1" applyFont="1" applyFill="1" applyBorder="1" applyAlignment="1">
      <alignment horizontal="center" vertical="center" wrapText="1"/>
    </xf>
    <xf numFmtId="2" fontId="13" fillId="0" borderId="1" xfId="504" applyNumberFormat="1" applyFont="1" applyFill="1" applyBorder="1" applyAlignment="1">
      <alignment horizontal="center" vertical="center" wrapText="1"/>
    </xf>
    <xf numFmtId="49" fontId="65" fillId="0" borderId="1" xfId="681" applyNumberFormat="1" applyFont="1" applyFill="1" applyBorder="1" applyAlignment="1">
      <alignment horizontal="center" vertical="center" wrapText="1"/>
    </xf>
    <xf numFmtId="2" fontId="21" fillId="0" borderId="1" xfId="681" applyNumberFormat="1" applyFont="1" applyFill="1" applyBorder="1" applyAlignment="1">
      <alignment horizontal="center" vertical="center" wrapText="1"/>
    </xf>
    <xf numFmtId="49" fontId="83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vertical="center" wrapText="1"/>
    </xf>
    <xf numFmtId="49" fontId="8" fillId="29" borderId="1" xfId="0" applyNumberFormat="1" applyFont="1" applyFill="1" applyBorder="1" applyAlignment="1">
      <alignment horizontal="center" vertical="center" wrapText="1"/>
    </xf>
    <xf numFmtId="49" fontId="21" fillId="29" borderId="1" xfId="0" applyNumberFormat="1" applyFont="1" applyFill="1" applyBorder="1" applyAlignment="1">
      <alignment horizontal="center" vertical="center" wrapText="1"/>
    </xf>
    <xf numFmtId="49" fontId="8" fillId="31" borderId="1" xfId="0" applyNumberFormat="1" applyFont="1" applyFill="1" applyBorder="1" applyAlignment="1">
      <alignment horizontal="center" vertical="center" wrapText="1"/>
    </xf>
    <xf numFmtId="49" fontId="21" fillId="31" borderId="1" xfId="0" applyNumberFormat="1" applyFont="1" applyFill="1" applyBorder="1" applyAlignment="1">
      <alignment horizontal="center" vertical="center" wrapText="1"/>
    </xf>
    <xf numFmtId="49" fontId="65" fillId="31" borderId="1" xfId="0" applyNumberFormat="1" applyFont="1" applyFill="1" applyBorder="1" applyAlignment="1">
      <alignment horizontal="center" vertical="center" wrapText="1"/>
    </xf>
    <xf numFmtId="0" fontId="21" fillId="31" borderId="1" xfId="0" applyNumberFormat="1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 applyProtection="1">
      <alignment horizontal="left" vertical="center" wrapText="1"/>
    </xf>
    <xf numFmtId="49" fontId="21" fillId="0" borderId="1" xfId="1" applyNumberFormat="1" applyFont="1" applyFill="1" applyBorder="1" applyAlignment="1" applyProtection="1">
      <alignment vertical="center" wrapText="1"/>
    </xf>
    <xf numFmtId="49" fontId="21" fillId="0" borderId="1" xfId="0" applyNumberFormat="1" applyFont="1" applyFill="1" applyBorder="1" applyAlignment="1" applyProtection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vertical="center" wrapText="1"/>
    </xf>
    <xf numFmtId="0" fontId="65" fillId="0" borderId="1" xfId="654" applyNumberFormat="1" applyFont="1" applyFill="1" applyBorder="1" applyAlignment="1">
      <alignment horizontal="center" vertical="center" wrapText="1"/>
    </xf>
    <xf numFmtId="0" fontId="8" fillId="0" borderId="1" xfId="65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654" applyNumberFormat="1" applyFont="1" applyFill="1" applyBorder="1" applyAlignment="1">
      <alignment horizontal="center" vertical="center" wrapText="1"/>
    </xf>
    <xf numFmtId="49" fontId="21" fillId="0" borderId="2" xfId="902" applyNumberFormat="1" applyFont="1" applyFill="1" applyBorder="1" applyAlignment="1">
      <alignment vertical="center" wrapText="1"/>
    </xf>
    <xf numFmtId="49" fontId="65" fillId="0" borderId="1" xfId="654" applyNumberFormat="1" applyFont="1" applyFill="1" applyBorder="1" applyAlignment="1">
      <alignment horizontal="center" vertical="center" wrapText="1"/>
    </xf>
    <xf numFmtId="0" fontId="13" fillId="0" borderId="1" xfId="654" applyNumberFormat="1" applyFont="1" applyFill="1" applyBorder="1" applyAlignment="1">
      <alignment horizontal="center" vertical="center" wrapText="1"/>
    </xf>
    <xf numFmtId="49" fontId="21" fillId="0" borderId="1" xfId="902" applyNumberFormat="1" applyFont="1" applyFill="1" applyBorder="1" applyAlignment="1">
      <alignment horizontal="left" vertical="center" wrapText="1"/>
    </xf>
    <xf numFmtId="49" fontId="13" fillId="0" borderId="1" xfId="902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vertical="top" wrapText="1"/>
    </xf>
    <xf numFmtId="2" fontId="13" fillId="0" borderId="3" xfId="901" applyNumberFormat="1" applyFont="1" applyFill="1" applyBorder="1" applyAlignment="1">
      <alignment horizontal="center" vertical="center" wrapText="1"/>
    </xf>
    <xf numFmtId="49" fontId="8" fillId="0" borderId="1" xfId="901" applyNumberFormat="1" applyFont="1" applyFill="1" applyBorder="1" applyAlignment="1">
      <alignment horizontal="left" vertical="center" wrapText="1"/>
    </xf>
    <xf numFmtId="49" fontId="86" fillId="0" borderId="1" xfId="901" applyNumberFormat="1" applyFont="1" applyFill="1" applyBorder="1" applyAlignment="1">
      <alignment horizontal="center" vertical="center" wrapText="1"/>
    </xf>
    <xf numFmtId="49" fontId="13" fillId="0" borderId="1" xfId="901" applyNumberFormat="1" applyFont="1" applyFill="1" applyBorder="1" applyAlignment="1">
      <alignment horizontal="left" vertical="top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 wrapText="1"/>
    </xf>
    <xf numFmtId="49" fontId="21" fillId="0" borderId="1" xfId="901" applyNumberFormat="1" applyFont="1" applyFill="1" applyBorder="1" applyAlignment="1">
      <alignment horizontal="left" vertical="top" wrapText="1"/>
    </xf>
    <xf numFmtId="49" fontId="13" fillId="0" borderId="1" xfId="681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49" fontId="21" fillId="31" borderId="20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49" fontId="65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3" fillId="29" borderId="1" xfId="0" applyNumberFormat="1" applyFont="1" applyFill="1" applyBorder="1" applyAlignment="1">
      <alignment horizontal="center" vertical="center" wrapText="1"/>
    </xf>
    <xf numFmtId="0" fontId="21" fillId="26" borderId="1" xfId="0" applyNumberFormat="1" applyFont="1" applyFill="1" applyBorder="1" applyAlignment="1">
      <alignment vertical="center" wrapText="1"/>
    </xf>
    <xf numFmtId="0" fontId="21" fillId="26" borderId="1" xfId="0" applyNumberFormat="1" applyFont="1" applyFill="1" applyBorder="1" applyAlignment="1">
      <alignment horizontal="center" vertical="center" wrapText="1"/>
    </xf>
    <xf numFmtId="49" fontId="8" fillId="28" borderId="1" xfId="900" applyNumberFormat="1" applyFont="1" applyFill="1" applyBorder="1" applyAlignment="1">
      <alignment horizontal="center" vertical="center" wrapText="1"/>
    </xf>
    <xf numFmtId="49" fontId="21" fillId="28" borderId="1" xfId="900" applyNumberFormat="1" applyFont="1" applyFill="1" applyBorder="1" applyAlignment="1">
      <alignment horizontal="center" vertical="center" wrapText="1"/>
    </xf>
    <xf numFmtId="49" fontId="65" fillId="28" borderId="1" xfId="900" applyNumberFormat="1" applyFont="1" applyFill="1" applyBorder="1" applyAlignment="1">
      <alignment horizontal="center" vertical="center" wrapText="1"/>
    </xf>
    <xf numFmtId="49" fontId="65" fillId="0" borderId="1" xfId="902" applyNumberFormat="1" applyFont="1" applyFill="1" applyBorder="1" applyAlignment="1">
      <alignment horizontal="center" vertical="center" wrapText="1"/>
    </xf>
    <xf numFmtId="0" fontId="13" fillId="0" borderId="1" xfId="902" applyNumberFormat="1" applyFont="1" applyFill="1" applyBorder="1" applyAlignment="1">
      <alignment horizontal="center" vertical="center" wrapText="1"/>
    </xf>
    <xf numFmtId="49" fontId="8" fillId="0" borderId="1" xfId="902" applyNumberFormat="1" applyFont="1" applyFill="1" applyBorder="1" applyAlignment="1">
      <alignment horizontal="center" vertical="center" wrapText="1"/>
    </xf>
    <xf numFmtId="49" fontId="21" fillId="0" borderId="1" xfId="654" applyNumberFormat="1" applyFont="1" applyFill="1" applyBorder="1" applyAlignment="1">
      <alignment horizontal="left" vertical="center" wrapText="1"/>
    </xf>
    <xf numFmtId="49" fontId="65" fillId="0" borderId="1" xfId="735" applyNumberFormat="1" applyFont="1" applyFill="1" applyBorder="1" applyAlignment="1">
      <alignment horizontal="center" vertical="center" wrapText="1"/>
    </xf>
    <xf numFmtId="49" fontId="21" fillId="0" borderId="1" xfId="735" applyNumberFormat="1" applyFont="1" applyFill="1" applyBorder="1" applyAlignment="1">
      <alignment horizontal="left" vertical="center" wrapText="1"/>
    </xf>
    <xf numFmtId="0" fontId="13" fillId="0" borderId="1" xfId="735" applyNumberFormat="1" applyFont="1" applyFill="1" applyBorder="1" applyAlignment="1">
      <alignment horizontal="center" vertical="center" wrapText="1"/>
    </xf>
    <xf numFmtId="49" fontId="8" fillId="0" borderId="1" xfId="735" applyNumberFormat="1" applyFont="1" applyFill="1" applyBorder="1" applyAlignment="1">
      <alignment horizontal="center" vertical="center" wrapText="1"/>
    </xf>
    <xf numFmtId="49" fontId="13" fillId="0" borderId="1" xfId="735" applyNumberFormat="1" applyFont="1" applyFill="1" applyBorder="1" applyAlignment="1">
      <alignment horizontal="left" vertical="center" wrapText="1"/>
    </xf>
    <xf numFmtId="49" fontId="8" fillId="0" borderId="1" xfId="905" applyNumberFormat="1" applyFont="1" applyFill="1" applyBorder="1" applyAlignment="1">
      <alignment horizontal="center" vertical="center" wrapText="1"/>
    </xf>
    <xf numFmtId="49" fontId="13" fillId="0" borderId="1" xfId="905" applyNumberFormat="1" applyFont="1" applyFill="1" applyBorder="1" applyAlignment="1">
      <alignment horizontal="left" vertical="center" wrapText="1"/>
    </xf>
    <xf numFmtId="49" fontId="65" fillId="0" borderId="1" xfId="905" applyNumberFormat="1" applyFont="1" applyFill="1" applyBorder="1" applyAlignment="1">
      <alignment horizontal="center" vertical="center" wrapText="1"/>
    </xf>
    <xf numFmtId="0" fontId="13" fillId="0" borderId="1" xfId="905" applyNumberFormat="1" applyFont="1" applyFill="1" applyBorder="1" applyAlignment="1">
      <alignment horizontal="center" vertical="center" wrapText="1"/>
    </xf>
    <xf numFmtId="49" fontId="65" fillId="0" borderId="1" xfId="870" applyNumberFormat="1" applyFont="1" applyFill="1" applyBorder="1" applyAlignment="1">
      <alignment horizontal="center" vertical="center" wrapText="1"/>
    </xf>
    <xf numFmtId="49" fontId="21" fillId="0" borderId="1" xfId="870" applyNumberFormat="1" applyFont="1" applyFill="1" applyBorder="1" applyAlignment="1">
      <alignment horizontal="left" vertical="center" wrapText="1"/>
    </xf>
    <xf numFmtId="49" fontId="13" fillId="0" borderId="2" xfId="870" applyNumberFormat="1" applyFont="1" applyFill="1" applyBorder="1" applyAlignment="1">
      <alignment horizontal="left" vertical="center" wrapText="1"/>
    </xf>
    <xf numFmtId="49" fontId="8" fillId="0" borderId="2" xfId="870" applyNumberFormat="1" applyFont="1" applyFill="1" applyBorder="1" applyAlignment="1">
      <alignment horizontal="center" vertical="center" wrapText="1"/>
    </xf>
    <xf numFmtId="49" fontId="8" fillId="0" borderId="4" xfId="870" applyNumberFormat="1" applyFont="1" applyFill="1" applyBorder="1" applyAlignment="1">
      <alignment horizontal="center" vertical="center" wrapText="1"/>
    </xf>
    <xf numFmtId="49" fontId="65" fillId="2" borderId="1" xfId="646" applyNumberFormat="1" applyFont="1" applyFill="1" applyBorder="1" applyAlignment="1">
      <alignment horizontal="center" vertical="center" wrapText="1"/>
    </xf>
    <xf numFmtId="49" fontId="65" fillId="2" borderId="20" xfId="0" applyNumberFormat="1" applyFont="1" applyFill="1" applyBorder="1" applyAlignment="1">
      <alignment horizontal="center" vertical="center" wrapText="1"/>
    </xf>
    <xf numFmtId="49" fontId="65" fillId="2" borderId="18" xfId="0" applyNumberFormat="1" applyFont="1" applyFill="1" applyBorder="1" applyAlignment="1">
      <alignment horizontal="center" vertical="center" wrapText="1"/>
    </xf>
    <xf numFmtId="49" fontId="21" fillId="2" borderId="18" xfId="0" applyNumberFormat="1" applyFont="1" applyFill="1" applyBorder="1" applyAlignment="1">
      <alignment horizontal="center" vertical="center" wrapText="1"/>
    </xf>
    <xf numFmtId="0" fontId="21" fillId="2" borderId="18" xfId="0" applyNumberFormat="1" applyFont="1" applyFill="1" applyBorder="1" applyAlignment="1">
      <alignment horizontal="center" vertical="center" wrapText="1"/>
    </xf>
    <xf numFmtId="2" fontId="21" fillId="2" borderId="18" xfId="0" applyNumberFormat="1" applyFont="1" applyFill="1" applyBorder="1" applyAlignment="1">
      <alignment horizontal="center" vertical="center" wrapText="1"/>
    </xf>
    <xf numFmtId="49" fontId="8" fillId="28" borderId="2" xfId="900" applyNumberFormat="1" applyFont="1" applyFill="1" applyBorder="1" applyAlignment="1">
      <alignment horizontal="center" vertical="center" wrapText="1"/>
    </xf>
    <xf numFmtId="49" fontId="21" fillId="28" borderId="2" xfId="900" applyNumberFormat="1" applyFont="1" applyFill="1" applyBorder="1" applyAlignment="1">
      <alignment horizontal="center" vertical="center" wrapText="1"/>
    </xf>
    <xf numFmtId="49" fontId="65" fillId="28" borderId="2" xfId="900" applyNumberFormat="1" applyFont="1" applyFill="1" applyBorder="1" applyAlignment="1">
      <alignment horizontal="center" vertical="center" wrapText="1"/>
    </xf>
    <xf numFmtId="0" fontId="13" fillId="28" borderId="2" xfId="900" applyNumberFormat="1" applyFont="1" applyFill="1" applyBorder="1" applyAlignment="1">
      <alignment horizontal="center" vertical="center" wrapText="1"/>
    </xf>
    <xf numFmtId="2" fontId="13" fillId="0" borderId="2" xfId="903" applyNumberFormat="1" applyFont="1" applyFill="1" applyBorder="1" applyAlignment="1">
      <alignment horizontal="center" vertical="center" wrapText="1"/>
    </xf>
    <xf numFmtId="2" fontId="13" fillId="0" borderId="2" xfId="904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49" fontId="13" fillId="27" borderId="1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7" fillId="0" borderId="2" xfId="901" applyNumberFormat="1" applyFont="1" applyFill="1" applyBorder="1" applyAlignment="1">
      <alignment horizontal="center" vertical="center" wrapText="1"/>
    </xf>
    <xf numFmtId="0" fontId="14" fillId="0" borderId="2" xfId="901" applyNumberFormat="1" applyFont="1" applyFill="1" applyBorder="1" applyAlignment="1">
      <alignment horizontal="center" vertical="center" wrapText="1"/>
    </xf>
    <xf numFmtId="2" fontId="14" fillId="27" borderId="1" xfId="901" applyNumberFormat="1" applyFont="1" applyFill="1" applyBorder="1" applyAlignment="1">
      <alignment horizontal="center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2" fillId="0" borderId="1" xfId="0" applyNumberFormat="1" applyFont="1" applyBorder="1" applyAlignment="1">
      <alignment horizontal="left" vertical="center" wrapText="1"/>
    </xf>
    <xf numFmtId="49" fontId="72" fillId="0" borderId="1" xfId="0" applyNumberFormat="1" applyFont="1" applyFill="1" applyBorder="1" applyAlignment="1">
      <alignment horizontal="left" vertical="center" wrapText="1"/>
    </xf>
    <xf numFmtId="49" fontId="71" fillId="0" borderId="1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wrapText="1"/>
    </xf>
    <xf numFmtId="49" fontId="82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>
      <alignment wrapText="1"/>
    </xf>
    <xf numFmtId="0" fontId="21" fillId="0" borderId="0" xfId="0" applyNumberFormat="1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21" fillId="0" borderId="1" xfId="654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5" fillId="26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5" fillId="0" borderId="1" xfId="2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49" fontId="81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901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21" fillId="32" borderId="1" xfId="0" applyNumberFormat="1" applyFont="1" applyFill="1" applyBorder="1" applyAlignment="1">
      <alignment horizontal="center" vertical="center" wrapText="1"/>
    </xf>
    <xf numFmtId="0" fontId="8" fillId="0" borderId="20" xfId="633" applyNumberFormat="1" applyFont="1" applyFill="1" applyBorder="1" applyAlignment="1">
      <alignment horizontal="center" vertical="center" wrapText="1"/>
    </xf>
    <xf numFmtId="0" fontId="8" fillId="29" borderId="1" xfId="0" applyNumberFormat="1" applyFont="1" applyFill="1" applyBorder="1" applyAlignment="1">
      <alignment horizontal="center" vertical="center" wrapText="1"/>
    </xf>
    <xf numFmtId="0" fontId="21" fillId="0" borderId="1" xfId="902" applyNumberFormat="1" applyFont="1" applyFill="1" applyBorder="1" applyAlignment="1">
      <alignment horizontal="center" vertical="center" wrapText="1"/>
    </xf>
    <xf numFmtId="0" fontId="21" fillId="0" borderId="1" xfId="735" applyNumberFormat="1" applyFont="1" applyFill="1" applyBorder="1" applyAlignment="1">
      <alignment horizontal="center" vertical="center" wrapText="1"/>
    </xf>
    <xf numFmtId="0" fontId="21" fillId="0" borderId="1" xfId="87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2" fontId="13" fillId="29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8" fillId="0" borderId="1" xfId="902" applyNumberFormat="1" applyFont="1" applyFill="1" applyBorder="1" applyAlignment="1">
      <alignment horizontal="center" vertical="center" wrapText="1"/>
    </xf>
    <xf numFmtId="49" fontId="21" fillId="0" borderId="1" xfId="646" applyNumberFormat="1" applyFont="1" applyBorder="1" applyAlignment="1">
      <alignment horizontal="center" vertical="center" wrapText="1"/>
    </xf>
    <xf numFmtId="0" fontId="8" fillId="0" borderId="1" xfId="870" applyNumberFormat="1" applyFont="1" applyFill="1" applyBorder="1" applyAlignment="1">
      <alignment horizontal="center" vertical="center" wrapText="1"/>
    </xf>
    <xf numFmtId="0" fontId="65" fillId="0" borderId="1" xfId="901" applyNumberFormat="1" applyFont="1" applyFill="1" applyBorder="1" applyAlignment="1">
      <alignment horizontal="center" vertical="center"/>
    </xf>
    <xf numFmtId="0" fontId="8" fillId="0" borderId="1" xfId="901" applyNumberFormat="1" applyFont="1" applyFill="1" applyBorder="1" applyAlignment="1">
      <alignment horizontal="center" vertical="center"/>
    </xf>
    <xf numFmtId="0" fontId="76" fillId="0" borderId="1" xfId="901" applyNumberFormat="1" applyFont="1" applyFill="1" applyBorder="1" applyAlignment="1" applyProtection="1">
      <alignment horizontal="center" vertical="center" wrapText="1"/>
    </xf>
    <xf numFmtId="0" fontId="65" fillId="0" borderId="1" xfId="633" applyNumberFormat="1" applyFont="1" applyFill="1" applyBorder="1" applyAlignment="1">
      <alignment horizontal="center" vertical="center" wrapText="1"/>
    </xf>
    <xf numFmtId="0" fontId="8" fillId="0" borderId="1" xfId="633" applyNumberFormat="1" applyFont="1" applyFill="1" applyBorder="1" applyAlignment="1">
      <alignment horizontal="center" vertical="center" wrapText="1"/>
    </xf>
    <xf numFmtId="0" fontId="65" fillId="0" borderId="1" xfId="681" applyNumberFormat="1" applyFont="1" applyFill="1" applyBorder="1" applyAlignment="1">
      <alignment horizontal="center" vertical="center" wrapText="1"/>
    </xf>
    <xf numFmtId="49" fontId="65" fillId="33" borderId="1" xfId="0" applyNumberFormat="1" applyFont="1" applyFill="1" applyBorder="1" applyAlignment="1">
      <alignment horizontal="center" vertical="center" wrapText="1"/>
    </xf>
    <xf numFmtId="49" fontId="8" fillId="33" borderId="1" xfId="0" applyNumberFormat="1" applyFont="1" applyFill="1" applyBorder="1" applyAlignment="1">
      <alignment horizontal="center" vertical="center" wrapText="1"/>
    </xf>
    <xf numFmtId="49" fontId="21" fillId="33" borderId="1" xfId="0" applyNumberFormat="1" applyFont="1" applyFill="1" applyBorder="1" applyAlignment="1">
      <alignment horizontal="center" vertical="center" wrapText="1"/>
    </xf>
    <xf numFmtId="0" fontId="8" fillId="33" borderId="1" xfId="0" applyNumberFormat="1" applyFont="1" applyFill="1" applyBorder="1" applyAlignment="1">
      <alignment horizontal="center" vertical="center" wrapText="1"/>
    </xf>
    <xf numFmtId="0" fontId="21" fillId="33" borderId="1" xfId="0" applyNumberFormat="1" applyFont="1" applyFill="1" applyBorder="1" applyAlignment="1">
      <alignment horizontal="center" vertical="center" wrapText="1"/>
    </xf>
    <xf numFmtId="49" fontId="21" fillId="31" borderId="2" xfId="0" applyNumberFormat="1" applyFont="1" applyFill="1" applyBorder="1" applyAlignment="1">
      <alignment horizontal="center" vertical="center" wrapText="1"/>
    </xf>
    <xf numFmtId="0" fontId="21" fillId="31" borderId="2" xfId="0" applyNumberFormat="1" applyFont="1" applyFill="1" applyBorder="1" applyAlignment="1">
      <alignment horizontal="center" vertical="center" wrapText="1"/>
    </xf>
    <xf numFmtId="0" fontId="21" fillId="31" borderId="2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71" fillId="0" borderId="1" xfId="2" applyNumberFormat="1" applyFont="1" applyFill="1" applyBorder="1" applyAlignment="1">
      <alignment horizontal="left" vertical="center" wrapText="1"/>
    </xf>
    <xf numFmtId="49" fontId="65" fillId="0" borderId="1" xfId="0" applyNumberFormat="1" applyFont="1" applyFill="1" applyBorder="1" applyAlignment="1" applyProtection="1">
      <alignment horizontal="center" vertical="center" wrapText="1"/>
    </xf>
    <xf numFmtId="0" fontId="65" fillId="0" borderId="1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Border="1" applyAlignment="1">
      <alignment horizontal="center" vertical="center" wrapText="1"/>
    </xf>
    <xf numFmtId="0" fontId="8" fillId="31" borderId="1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 applyProtection="1">
      <alignment vertical="center" wrapText="1"/>
    </xf>
    <xf numFmtId="49" fontId="13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90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8" fillId="0" borderId="19" xfId="901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8" fillId="27" borderId="20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80" fillId="0" borderId="1" xfId="0" applyNumberFormat="1" applyFont="1" applyFill="1" applyBorder="1" applyAlignment="1">
      <alignment horizontal="center" vertical="center" wrapText="1"/>
    </xf>
    <xf numFmtId="49" fontId="13" fillId="27" borderId="1" xfId="0" applyNumberFormat="1" applyFont="1" applyFill="1" applyBorder="1" applyAlignment="1">
      <alignment horizontal="left" vertical="center" wrapText="1"/>
    </xf>
    <xf numFmtId="49" fontId="8" fillId="27" borderId="1" xfId="0" applyNumberFormat="1" applyFont="1" applyFill="1" applyBorder="1" applyAlignment="1">
      <alignment horizontal="center" vertical="center"/>
    </xf>
    <xf numFmtId="0" fontId="8" fillId="27" borderId="20" xfId="0" applyNumberFormat="1" applyFont="1" applyFill="1" applyBorder="1" applyAlignment="1">
      <alignment horizontal="center" vertical="center"/>
    </xf>
    <xf numFmtId="49" fontId="88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8" fillId="0" borderId="1" xfId="907" applyNumberFormat="1" applyFont="1" applyFill="1" applyBorder="1" applyAlignment="1">
      <alignment horizontal="center" vertical="center" wrapText="1"/>
    </xf>
    <xf numFmtId="2" fontId="72" fillId="0" borderId="4" xfId="0" applyNumberFormat="1" applyFont="1" applyBorder="1" applyAlignment="1">
      <alignment horizontal="center" vertical="center" wrapText="1"/>
    </xf>
    <xf numFmtId="2" fontId="72" fillId="0" borderId="18" xfId="0" applyNumberFormat="1" applyFont="1" applyBorder="1" applyAlignment="1">
      <alignment horizontal="center" vertical="center" wrapText="1"/>
    </xf>
    <xf numFmtId="49" fontId="21" fillId="0" borderId="1" xfId="907" applyNumberFormat="1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9" fontId="15" fillId="34" borderId="4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right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49" fontId="89" fillId="0" borderId="1" xfId="0" applyNumberFormat="1" applyFont="1" applyBorder="1" applyAlignment="1">
      <alignment horizontal="center" vertical="center" wrapText="1"/>
    </xf>
    <xf numFmtId="49" fontId="90" fillId="0" borderId="4" xfId="0" applyNumberFormat="1" applyFont="1" applyBorder="1" applyAlignment="1">
      <alignment horizontal="center" vertical="center" wrapText="1"/>
    </xf>
    <xf numFmtId="49" fontId="72" fillId="0" borderId="4" xfId="0" applyNumberFormat="1" applyFont="1" applyBorder="1" applyAlignment="1">
      <alignment horizontal="center" vertical="center" wrapText="1"/>
    </xf>
    <xf numFmtId="49" fontId="89" fillId="0" borderId="4" xfId="0" applyNumberFormat="1" applyFont="1" applyBorder="1" applyAlignment="1">
      <alignment horizontal="center" vertical="center" wrapText="1"/>
    </xf>
    <xf numFmtId="0" fontId="89" fillId="0" borderId="4" xfId="0" applyNumberFormat="1" applyFont="1" applyBorder="1" applyAlignment="1">
      <alignment horizontal="center" vertical="center" wrapText="1"/>
    </xf>
    <xf numFmtId="49" fontId="89" fillId="0" borderId="20" xfId="0" applyNumberFormat="1" applyFont="1" applyBorder="1" applyAlignment="1">
      <alignment horizontal="center" vertical="center" wrapText="1"/>
    </xf>
    <xf numFmtId="49" fontId="90" fillId="0" borderId="18" xfId="0" applyNumberFormat="1" applyFont="1" applyBorder="1" applyAlignment="1">
      <alignment horizontal="center" vertical="center" wrapText="1"/>
    </xf>
    <xf numFmtId="49" fontId="89" fillId="0" borderId="18" xfId="0" applyNumberFormat="1" applyFont="1" applyBorder="1" applyAlignment="1">
      <alignment horizontal="center" vertical="center" wrapText="1"/>
    </xf>
    <xf numFmtId="0" fontId="89" fillId="0" borderId="18" xfId="0" applyNumberFormat="1" applyFont="1" applyBorder="1" applyAlignment="1">
      <alignment horizontal="center" vertical="center" wrapText="1"/>
    </xf>
    <xf numFmtId="0" fontId="91" fillId="0" borderId="18" xfId="0" applyNumberFormat="1" applyFont="1" applyFill="1" applyBorder="1" applyAlignment="1">
      <alignment horizontal="center" vertical="center" wrapText="1"/>
    </xf>
    <xf numFmtId="49" fontId="72" fillId="0" borderId="18" xfId="0" applyNumberFormat="1" applyFont="1" applyBorder="1" applyAlignment="1">
      <alignment horizontal="center" vertical="center" wrapText="1"/>
    </xf>
    <xf numFmtId="49" fontId="89" fillId="32" borderId="20" xfId="0" applyNumberFormat="1" applyFont="1" applyFill="1" applyBorder="1" applyAlignment="1">
      <alignment horizontal="center" vertical="center" wrapText="1"/>
    </xf>
    <xf numFmtId="49" fontId="90" fillId="32" borderId="18" xfId="0" applyNumberFormat="1" applyFont="1" applyFill="1" applyBorder="1" applyAlignment="1">
      <alignment horizontal="center" vertical="center" wrapText="1"/>
    </xf>
    <xf numFmtId="49" fontId="15" fillId="32" borderId="1" xfId="0" applyNumberFormat="1" applyFont="1" applyFill="1" applyBorder="1" applyAlignment="1">
      <alignment horizontal="center" vertical="center" wrapText="1"/>
    </xf>
    <xf numFmtId="49" fontId="89" fillId="32" borderId="18" xfId="0" applyNumberFormat="1" applyFont="1" applyFill="1" applyBorder="1" applyAlignment="1">
      <alignment horizontal="center" vertical="center" wrapText="1"/>
    </xf>
    <xf numFmtId="0" fontId="89" fillId="32" borderId="18" xfId="0" applyNumberFormat="1" applyFont="1" applyFill="1" applyBorder="1" applyAlignment="1">
      <alignment horizontal="center" vertical="center" wrapText="1"/>
    </xf>
    <xf numFmtId="0" fontId="91" fillId="32" borderId="18" xfId="0" applyNumberFormat="1" applyFont="1" applyFill="1" applyBorder="1" applyAlignment="1">
      <alignment horizontal="center" vertical="center" wrapText="1"/>
    </xf>
    <xf numFmtId="2" fontId="72" fillId="32" borderId="18" xfId="0" applyNumberFormat="1" applyFont="1" applyFill="1" applyBorder="1" applyAlignment="1">
      <alignment horizontal="center" vertical="center" wrapText="1"/>
    </xf>
    <xf numFmtId="0" fontId="91" fillId="35" borderId="18" xfId="0" applyNumberFormat="1" applyFont="1" applyFill="1" applyBorder="1" applyAlignment="1">
      <alignment horizontal="center" vertical="center" wrapText="1"/>
    </xf>
    <xf numFmtId="0" fontId="91" fillId="0" borderId="18" xfId="0" applyNumberFormat="1" applyFont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9" fontId="91" fillId="35" borderId="18" xfId="0" applyNumberFormat="1" applyFont="1" applyFill="1" applyBorder="1" applyAlignment="1">
      <alignment horizontal="center" vertical="center" wrapText="1"/>
    </xf>
    <xf numFmtId="49" fontId="7" fillId="32" borderId="1" xfId="0" applyNumberFormat="1" applyFont="1" applyFill="1" applyBorder="1" applyAlignment="1">
      <alignment horizontal="center" vertical="center" wrapText="1"/>
    </xf>
    <xf numFmtId="49" fontId="17" fillId="32" borderId="1" xfId="0" applyNumberFormat="1" applyFont="1" applyFill="1" applyBorder="1" applyAlignment="1">
      <alignment horizontal="center" vertical="center" wrapText="1"/>
    </xf>
    <xf numFmtId="0" fontId="17" fillId="32" borderId="1" xfId="0" applyNumberFormat="1" applyFont="1" applyFill="1" applyBorder="1" applyAlignment="1">
      <alignment horizontal="center" vertical="center" wrapText="1"/>
    </xf>
    <xf numFmtId="0" fontId="15" fillId="32" borderId="1" xfId="0" applyNumberFormat="1" applyFont="1" applyFill="1" applyBorder="1" applyAlignment="1">
      <alignment horizontal="center" vertical="center" wrapText="1"/>
    </xf>
    <xf numFmtId="2" fontId="15" fillId="3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9" fontId="21" fillId="34" borderId="1" xfId="0" applyNumberFormat="1" applyFont="1" applyFill="1" applyBorder="1" applyAlignment="1">
      <alignment horizontal="center" vertical="center" wrapText="1"/>
    </xf>
    <xf numFmtId="2" fontId="91" fillId="0" borderId="18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Border="1" applyAlignment="1">
      <alignment horizontal="center" vertical="center" wrapText="1"/>
    </xf>
    <xf numFmtId="0" fontId="4" fillId="32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4" fillId="32" borderId="1" xfId="0" applyNumberFormat="1" applyFont="1" applyFill="1" applyBorder="1" applyAlignment="1">
      <alignment horizontal="center" vertical="center" wrapText="1"/>
    </xf>
    <xf numFmtId="0" fontId="7" fillId="32" borderId="1" xfId="0" applyNumberFormat="1" applyFont="1" applyFill="1" applyBorder="1" applyAlignment="1">
      <alignment horizontal="center" vertical="center" wrapText="1"/>
    </xf>
    <xf numFmtId="2" fontId="14" fillId="32" borderId="1" xfId="0" applyNumberFormat="1" applyFont="1" applyFill="1" applyBorder="1" applyAlignment="1">
      <alignment horizontal="center" vertical="center" wrapText="1"/>
    </xf>
    <xf numFmtId="0" fontId="14" fillId="26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Fill="1"/>
    <xf numFmtId="2" fontId="0" fillId="0" borderId="0" xfId="0" applyNumberForma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21" fillId="0" borderId="1" xfId="681" applyNumberFormat="1" applyFont="1" applyFill="1" applyBorder="1" applyAlignment="1">
      <alignment vertical="center" wrapText="1"/>
    </xf>
    <xf numFmtId="49" fontId="65" fillId="0" borderId="1" xfId="1" quotePrefix="1" applyNumberFormat="1" applyFont="1" applyFill="1" applyBorder="1" applyAlignment="1" applyProtection="1">
      <alignment horizontal="center" vertical="center" wrapText="1"/>
    </xf>
    <xf numFmtId="49" fontId="83" fillId="0" borderId="1" xfId="633" applyNumberFormat="1" applyFont="1" applyFill="1" applyBorder="1" applyAlignment="1">
      <alignment horizontal="center" vertical="center" wrapText="1"/>
    </xf>
    <xf numFmtId="49" fontId="65" fillId="31" borderId="1" xfId="2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92" fillId="0" borderId="0" xfId="0" applyFont="1"/>
    <xf numFmtId="2" fontId="13" fillId="26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7" fillId="3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89" fillId="0" borderId="1" xfId="0" applyNumberFormat="1" applyFont="1" applyBorder="1" applyAlignment="1">
      <alignment horizontal="center" vertical="top" wrapText="1"/>
    </xf>
    <xf numFmtId="49" fontId="89" fillId="0" borderId="20" xfId="0" applyNumberFormat="1" applyFont="1" applyBorder="1" applyAlignment="1">
      <alignment horizontal="center" vertical="top" wrapText="1"/>
    </xf>
    <xf numFmtId="49" fontId="89" fillId="32" borderId="2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13" fillId="0" borderId="20" xfId="633" applyNumberFormat="1" applyFont="1" applyFill="1" applyBorder="1" applyAlignment="1">
      <alignment horizontal="center" vertical="center" wrapText="1"/>
    </xf>
    <xf numFmtId="49" fontId="93" fillId="0" borderId="1" xfId="0" applyNumberFormat="1" applyFont="1" applyFill="1" applyBorder="1" applyAlignment="1">
      <alignment horizontal="center" vertical="center"/>
    </xf>
    <xf numFmtId="0" fontId="65" fillId="0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65" fillId="2" borderId="1" xfId="0" applyNumberFormat="1" applyFont="1" applyFill="1" applyBorder="1" applyAlignment="1">
      <alignment horizontal="center" vertical="center" wrapText="1"/>
    </xf>
    <xf numFmtId="0" fontId="21" fillId="31" borderId="1" xfId="2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21" fillId="0" borderId="1" xfId="2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vertical="center" wrapText="1"/>
    </xf>
    <xf numFmtId="49" fontId="65" fillId="2" borderId="1" xfId="2" applyNumberFormat="1" applyFont="1" applyFill="1" applyBorder="1" applyAlignment="1">
      <alignment horizontal="center" vertical="center" wrapText="1"/>
    </xf>
    <xf numFmtId="0" fontId="21" fillId="2" borderId="1" xfId="2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vertical="center" wrapText="1"/>
    </xf>
    <xf numFmtId="2" fontId="13" fillId="0" borderId="21" xfId="0" applyNumberFormat="1" applyFont="1" applyFill="1" applyBorder="1" applyAlignment="1">
      <alignment vertical="center" wrapText="1"/>
    </xf>
    <xf numFmtId="2" fontId="13" fillId="0" borderId="15" xfId="0" applyNumberFormat="1" applyFont="1" applyFill="1" applyBorder="1" applyAlignment="1">
      <alignment vertical="center" wrapText="1"/>
    </xf>
    <xf numFmtId="2" fontId="13" fillId="0" borderId="22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vertical="center" wrapText="1"/>
    </xf>
    <xf numFmtId="2" fontId="13" fillId="0" borderId="16" xfId="0" applyNumberFormat="1" applyFont="1" applyFill="1" applyBorder="1" applyAlignment="1">
      <alignment vertical="center" wrapText="1"/>
    </xf>
    <xf numFmtId="2" fontId="13" fillId="0" borderId="17" xfId="0" applyNumberFormat="1" applyFont="1" applyFill="1" applyBorder="1" applyAlignment="1">
      <alignment vertical="center" wrapText="1"/>
    </xf>
    <xf numFmtId="2" fontId="13" fillId="0" borderId="23" xfId="0" applyNumberFormat="1" applyFont="1" applyFill="1" applyBorder="1" applyAlignment="1">
      <alignment vertical="center" wrapText="1"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3" xfId="901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1" applyNumberFormat="1" applyFont="1" applyFill="1" applyBorder="1" applyAlignment="1" applyProtection="1">
      <alignment horizontal="left" vertical="center" wrapText="1"/>
    </xf>
    <xf numFmtId="2" fontId="7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1" fillId="0" borderId="1" xfId="909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26" borderId="0" xfId="0" applyFont="1" applyFill="1" applyAlignment="1">
      <alignment horizontal="center" vertical="center" wrapText="1"/>
    </xf>
    <xf numFmtId="49" fontId="13" fillId="0" borderId="0" xfId="1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1" fillId="2" borderId="1" xfId="901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21" fillId="0" borderId="1" xfId="2" applyNumberFormat="1" applyFont="1" applyFill="1" applyBorder="1" applyAlignment="1">
      <alignment horizontal="left" vertical="center" wrapText="1"/>
    </xf>
    <xf numFmtId="49" fontId="70" fillId="2" borderId="1" xfId="901" applyNumberFormat="1" applyFont="1" applyFill="1" applyBorder="1" applyAlignment="1">
      <alignment horizontal="center" vertical="top" wrapText="1"/>
    </xf>
    <xf numFmtId="0" fontId="8" fillId="2" borderId="1" xfId="2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2" fontId="13" fillId="0" borderId="20" xfId="90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21" fillId="31" borderId="1" xfId="2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65" fillId="31" borderId="18" xfId="0" applyNumberFormat="1" applyFont="1" applyFill="1" applyBorder="1" applyAlignment="1">
      <alignment horizontal="center" vertical="top" wrapText="1"/>
    </xf>
    <xf numFmtId="49" fontId="8" fillId="34" borderId="18" xfId="0" applyNumberFormat="1" applyFont="1" applyFill="1" applyBorder="1" applyAlignment="1">
      <alignment horizontal="center" vertical="top" wrapText="1"/>
    </xf>
    <xf numFmtId="49" fontId="65" fillId="34" borderId="1" xfId="2" applyNumberFormat="1" applyFont="1" applyFill="1" applyBorder="1" applyAlignment="1">
      <alignment horizontal="center" vertical="center" wrapText="1"/>
    </xf>
    <xf numFmtId="0" fontId="21" fillId="34" borderId="1" xfId="0" applyNumberFormat="1" applyFont="1" applyFill="1" applyBorder="1" applyAlignment="1">
      <alignment horizontal="center" vertical="center" wrapText="1"/>
    </xf>
    <xf numFmtId="0" fontId="21" fillId="34" borderId="1" xfId="2" applyNumberFormat="1" applyFont="1" applyFill="1" applyBorder="1" applyAlignment="1">
      <alignment horizontal="center" vertical="center" wrapText="1"/>
    </xf>
    <xf numFmtId="49" fontId="21" fillId="34" borderId="1" xfId="2" applyNumberFormat="1" applyFont="1" applyFill="1" applyBorder="1" applyAlignment="1">
      <alignment horizontal="center" vertical="center" wrapText="1"/>
    </xf>
    <xf numFmtId="49" fontId="21" fillId="34" borderId="1" xfId="0" applyNumberFormat="1" applyFont="1" applyFill="1" applyBorder="1" applyAlignment="1">
      <alignment horizontal="center" vertical="center" wrapText="1"/>
    </xf>
    <xf numFmtId="49" fontId="8" fillId="34" borderId="1" xfId="0" applyNumberFormat="1" applyFont="1" applyFill="1" applyBorder="1" applyAlignment="1">
      <alignment horizontal="center" vertical="center" wrapText="1"/>
    </xf>
    <xf numFmtId="49" fontId="65" fillId="34" borderId="1" xfId="0" applyNumberFormat="1" applyFont="1" applyFill="1" applyBorder="1" applyAlignment="1">
      <alignment horizontal="center" vertical="center" wrapText="1"/>
    </xf>
    <xf numFmtId="0" fontId="65" fillId="34" borderId="1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top" wrapText="1"/>
    </xf>
    <xf numFmtId="0" fontId="8" fillId="34" borderId="1" xfId="0" applyNumberFormat="1" applyFont="1" applyFill="1" applyBorder="1" applyAlignment="1">
      <alignment horizontal="center" vertical="center" wrapText="1"/>
    </xf>
    <xf numFmtId="0" fontId="21" fillId="34" borderId="1" xfId="901" applyNumberFormat="1" applyFont="1" applyFill="1" applyBorder="1" applyAlignment="1">
      <alignment horizontal="center" vertical="center" wrapText="1"/>
    </xf>
    <xf numFmtId="49" fontId="21" fillId="2" borderId="1" xfId="2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49" fontId="80" fillId="0" borderId="1" xfId="0" applyNumberFormat="1" applyFont="1" applyFill="1" applyBorder="1" applyAlignment="1">
      <alignment horizontal="left" vertical="center" wrapText="1"/>
    </xf>
    <xf numFmtId="49" fontId="8" fillId="0" borderId="19" xfId="870" applyNumberFormat="1" applyFont="1" applyFill="1" applyBorder="1" applyAlignment="1">
      <alignment horizontal="center" vertical="center" wrapText="1"/>
    </xf>
    <xf numFmtId="49" fontId="21" fillId="2" borderId="1" xfId="902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6" fillId="0" borderId="2" xfId="0" applyNumberFormat="1" applyFont="1" applyFill="1" applyBorder="1" applyAlignment="1">
      <alignment vertical="center" wrapText="1"/>
    </xf>
    <xf numFmtId="49" fontId="66" fillId="0" borderId="19" xfId="0" applyNumberFormat="1" applyFont="1" applyFill="1" applyBorder="1" applyAlignment="1">
      <alignment vertical="center" wrapText="1"/>
    </xf>
    <xf numFmtId="49" fontId="66" fillId="0" borderId="20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21" fillId="0" borderId="1" xfId="633" applyNumberFormat="1" applyFont="1" applyFill="1" applyBorder="1" applyAlignment="1">
      <alignment vertical="center" wrapText="1"/>
    </xf>
    <xf numFmtId="49" fontId="13" fillId="0" borderId="1" xfId="63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49" fontId="8" fillId="0" borderId="1" xfId="681" applyNumberFormat="1" applyFont="1" applyFill="1" applyBorder="1" applyAlignment="1">
      <alignment horizontal="center" vertical="center" wrapText="1"/>
    </xf>
    <xf numFmtId="0" fontId="21" fillId="0" borderId="1" xfId="907" applyNumberFormat="1" applyFont="1" applyFill="1" applyBorder="1" applyAlignment="1">
      <alignment horizontal="center" vertical="center" wrapText="1"/>
    </xf>
    <xf numFmtId="2" fontId="71" fillId="0" borderId="0" xfId="0" applyNumberFormat="1" applyFont="1" applyFill="1" applyAlignment="1">
      <alignment horizontal="center" wrapText="1"/>
    </xf>
    <xf numFmtId="2" fontId="97" fillId="0" borderId="0" xfId="0" applyNumberFormat="1" applyFont="1" applyFill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49" fontId="8" fillId="0" borderId="20" xfId="901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0" fillId="31" borderId="1" xfId="901" applyNumberFormat="1" applyFont="1" applyFill="1" applyBorder="1" applyAlignment="1">
      <alignment horizontal="center" vertical="top" wrapText="1"/>
    </xf>
    <xf numFmtId="0" fontId="8" fillId="31" borderId="1" xfId="2" applyNumberFormat="1" applyFont="1" applyFill="1" applyBorder="1" applyAlignment="1">
      <alignment horizontal="center" vertical="center" wrapText="1"/>
    </xf>
    <xf numFmtId="0" fontId="13" fillId="31" borderId="1" xfId="2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5" fillId="0" borderId="2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65" fillId="0" borderId="2" xfId="0" applyNumberFormat="1" applyFont="1" applyFill="1" applyBorder="1" applyAlignment="1">
      <alignment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49" fontId="98" fillId="0" borderId="1" xfId="901" applyNumberFormat="1" applyFont="1" applyFill="1" applyBorder="1" applyAlignment="1">
      <alignment horizontal="center" vertical="center" wrapText="1"/>
    </xf>
    <xf numFmtId="2" fontId="77" fillId="0" borderId="1" xfId="901" applyNumberFormat="1" applyFont="1" applyFill="1" applyBorder="1" applyAlignment="1">
      <alignment horizontal="center" vertical="center"/>
    </xf>
    <xf numFmtId="2" fontId="77" fillId="0" borderId="1" xfId="901" applyNumberFormat="1" applyFont="1" applyFill="1" applyBorder="1" applyAlignment="1">
      <alignment horizontal="center" vertical="top"/>
    </xf>
    <xf numFmtId="49" fontId="76" fillId="0" borderId="1" xfId="901" applyNumberFormat="1" applyFont="1" applyFill="1" applyBorder="1" applyAlignment="1">
      <alignment horizontal="center" vertical="top" wrapText="1"/>
    </xf>
    <xf numFmtId="49" fontId="21" fillId="2" borderId="2" xfId="0" applyNumberFormat="1" applyFont="1" applyFill="1" applyBorder="1" applyAlignment="1">
      <alignment horizontal="center" vertical="top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20" xfId="0" applyNumberFormat="1" applyFont="1" applyFill="1" applyBorder="1" applyAlignment="1">
      <alignment horizontal="center" vertical="center" wrapText="1"/>
    </xf>
    <xf numFmtId="49" fontId="65" fillId="2" borderId="20" xfId="0" applyNumberFormat="1" applyFont="1" applyFill="1" applyBorder="1" applyAlignment="1">
      <alignment horizontal="center" vertical="top" wrapText="1"/>
    </xf>
    <xf numFmtId="49" fontId="8" fillId="2" borderId="20" xfId="0" applyNumberFormat="1" applyFont="1" applyFill="1" applyBorder="1" applyAlignment="1">
      <alignment horizontal="center" vertical="center" wrapText="1"/>
    </xf>
    <xf numFmtId="0" fontId="65" fillId="2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49" fontId="65" fillId="0" borderId="1" xfId="0" quotePrefix="1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65" fillId="0" borderId="1" xfId="677" applyNumberFormat="1" applyFont="1" applyFill="1" applyBorder="1" applyAlignment="1">
      <alignment horizontal="center" vertical="center" wrapText="1"/>
    </xf>
    <xf numFmtId="49" fontId="21" fillId="0" borderId="1" xfId="677" applyNumberFormat="1" applyFont="1" applyFill="1" applyBorder="1" applyAlignment="1">
      <alignment horizontal="left" vertical="center" wrapText="1"/>
    </xf>
    <xf numFmtId="49" fontId="8" fillId="0" borderId="1" xfId="677" applyNumberFormat="1" applyFont="1" applyFill="1" applyBorder="1" applyAlignment="1">
      <alignment horizontal="center" vertical="center" wrapText="1"/>
    </xf>
    <xf numFmtId="0" fontId="8" fillId="0" borderId="1" xfId="677" applyNumberFormat="1" applyFont="1" applyFill="1" applyBorder="1" applyAlignment="1">
      <alignment horizontal="center" vertical="center" wrapText="1"/>
    </xf>
    <xf numFmtId="2" fontId="13" fillId="0" borderId="1" xfId="677" applyNumberFormat="1" applyFont="1" applyFill="1" applyBorder="1" applyAlignment="1">
      <alignment horizontal="center" vertical="center" wrapText="1"/>
    </xf>
    <xf numFmtId="49" fontId="8" fillId="0" borderId="1" xfId="630" applyNumberFormat="1" applyFont="1" applyFill="1" applyBorder="1" applyAlignment="1">
      <alignment horizontal="center" vertical="center" wrapText="1"/>
    </xf>
    <xf numFmtId="49" fontId="13" fillId="0" borderId="1" xfId="677" applyNumberFormat="1" applyFont="1" applyFill="1" applyBorder="1" applyAlignment="1">
      <alignment horizontal="left" vertical="center" wrapText="1"/>
    </xf>
    <xf numFmtId="0" fontId="13" fillId="0" borderId="1" xfId="677" applyNumberFormat="1" applyFont="1" applyFill="1" applyBorder="1" applyAlignment="1">
      <alignment horizontal="center" vertical="center" wrapText="1"/>
    </xf>
    <xf numFmtId="2" fontId="13" fillId="0" borderId="1" xfId="630" applyNumberFormat="1" applyFont="1" applyFill="1" applyBorder="1" applyAlignment="1">
      <alignment horizontal="center" vertical="center" wrapText="1"/>
    </xf>
    <xf numFmtId="49" fontId="8" fillId="0" borderId="2" xfId="677" applyNumberFormat="1" applyFont="1" applyFill="1" applyBorder="1" applyAlignment="1">
      <alignment horizontal="center" vertical="center" wrapText="1"/>
    </xf>
    <xf numFmtId="49" fontId="13" fillId="0" borderId="2" xfId="677" applyNumberFormat="1" applyFont="1" applyFill="1" applyBorder="1" applyAlignment="1">
      <alignment horizontal="left" vertical="center" wrapText="1"/>
    </xf>
    <xf numFmtId="0" fontId="8" fillId="0" borderId="2" xfId="677" applyNumberFormat="1" applyFont="1" applyFill="1" applyBorder="1" applyAlignment="1">
      <alignment horizontal="center" vertical="center" wrapText="1"/>
    </xf>
    <xf numFmtId="0" fontId="13" fillId="0" borderId="2" xfId="677" applyNumberFormat="1" applyFont="1" applyFill="1" applyBorder="1" applyAlignment="1">
      <alignment horizontal="center" vertical="center" wrapText="1"/>
    </xf>
    <xf numFmtId="49" fontId="21" fillId="0" borderId="1" xfId="630" applyNumberFormat="1" applyFont="1" applyFill="1" applyBorder="1" applyAlignment="1">
      <alignment horizontal="left" vertical="center" wrapText="1"/>
    </xf>
    <xf numFmtId="49" fontId="65" fillId="0" borderId="1" xfId="630" applyNumberFormat="1" applyFont="1" applyFill="1" applyBorder="1" applyAlignment="1">
      <alignment horizontal="center" vertical="center" wrapText="1"/>
    </xf>
    <xf numFmtId="0" fontId="8" fillId="0" borderId="1" xfId="630" applyNumberFormat="1" applyFont="1" applyFill="1" applyBorder="1" applyAlignment="1">
      <alignment horizontal="center" vertical="center" wrapText="1"/>
    </xf>
    <xf numFmtId="2" fontId="13" fillId="0" borderId="1" xfId="900" applyNumberFormat="1" applyFont="1" applyFill="1" applyBorder="1" applyAlignment="1">
      <alignment horizontal="center" vertical="center" wrapText="1"/>
    </xf>
    <xf numFmtId="49" fontId="13" fillId="0" borderId="1" xfId="630" applyNumberFormat="1" applyFont="1" applyFill="1" applyBorder="1" applyAlignment="1">
      <alignment horizontal="left" vertical="center" wrapText="1"/>
    </xf>
    <xf numFmtId="0" fontId="13" fillId="0" borderId="1" xfId="630" applyNumberFormat="1" applyFont="1" applyFill="1" applyBorder="1" applyAlignment="1">
      <alignment horizontal="center" vertical="center" wrapText="1"/>
    </xf>
    <xf numFmtId="0" fontId="8" fillId="0" borderId="1" xfId="630" applyNumberFormat="1" applyFont="1" applyBorder="1" applyAlignment="1">
      <alignment horizontal="center" vertical="center" wrapText="1"/>
    </xf>
    <xf numFmtId="2" fontId="71" fillId="0" borderId="0" xfId="0" applyNumberFormat="1" applyFont="1" applyFill="1" applyAlignment="1">
      <alignment horizontal="right" vertical="center" wrapText="1"/>
    </xf>
    <xf numFmtId="0" fontId="8" fillId="0" borderId="20" xfId="630" applyNumberFormat="1" applyFont="1" applyFill="1" applyBorder="1" applyAlignment="1">
      <alignment horizontal="center" vertical="center" wrapText="1"/>
    </xf>
    <xf numFmtId="0" fontId="21" fillId="0" borderId="20" xfId="630" applyNumberFormat="1" applyFont="1" applyFill="1" applyBorder="1" applyAlignment="1">
      <alignment horizontal="center" vertical="center" wrapText="1"/>
    </xf>
    <xf numFmtId="49" fontId="65" fillId="0" borderId="1" xfId="630" applyNumberFormat="1" applyFont="1" applyFill="1" applyBorder="1" applyAlignment="1">
      <alignment vertical="center" wrapText="1"/>
    </xf>
    <xf numFmtId="49" fontId="13" fillId="0" borderId="1" xfId="2" applyNumberFormat="1" applyFont="1" applyFill="1" applyBorder="1" applyAlignment="1">
      <alignment vertical="center" wrapText="1"/>
    </xf>
    <xf numFmtId="49" fontId="13" fillId="0" borderId="1" xfId="630" applyNumberFormat="1" applyFont="1" applyFill="1" applyBorder="1" applyAlignment="1">
      <alignment vertical="center" wrapText="1"/>
    </xf>
    <xf numFmtId="0" fontId="13" fillId="0" borderId="20" xfId="63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73" fillId="0" borderId="0" xfId="0" applyNumberFormat="1" applyFont="1" applyAlignment="1">
      <alignment horizontal="center" vertical="center" wrapText="1"/>
    </xf>
    <xf numFmtId="49" fontId="14" fillId="0" borderId="1" xfId="0" applyNumberFormat="1" applyFont="1" applyBorder="1" applyAlignment="1">
      <alignment vertical="center" wrapText="1"/>
    </xf>
    <xf numFmtId="49" fontId="21" fillId="2" borderId="1" xfId="0" applyNumberFormat="1" applyFont="1" applyFill="1" applyBorder="1" applyAlignment="1">
      <alignment vertical="center" wrapText="1"/>
    </xf>
    <xf numFmtId="49" fontId="13" fillId="36" borderId="1" xfId="0" applyNumberFormat="1" applyFont="1" applyFill="1" applyBorder="1" applyAlignment="1">
      <alignment vertical="center" wrapText="1"/>
    </xf>
    <xf numFmtId="49" fontId="8" fillId="36" borderId="4" xfId="0" applyNumberFormat="1" applyFont="1" applyFill="1" applyBorder="1" applyAlignment="1">
      <alignment horizontal="left" vertical="center" wrapText="1"/>
    </xf>
    <xf numFmtId="49" fontId="103" fillId="0" borderId="1" xfId="0" applyNumberFormat="1" applyFont="1" applyFill="1" applyBorder="1" applyAlignment="1">
      <alignment horizontal="center" vertical="center" wrapText="1"/>
    </xf>
    <xf numFmtId="49" fontId="17" fillId="0" borderId="1" xfId="654" applyNumberFormat="1" applyFont="1" applyBorder="1" applyAlignment="1">
      <alignment horizontal="center" vertical="center" wrapText="1"/>
    </xf>
    <xf numFmtId="49" fontId="13" fillId="0" borderId="0" xfId="902" applyNumberFormat="1" applyFont="1" applyBorder="1" applyAlignment="1">
      <alignment horizontal="center" vertical="center" wrapText="1"/>
    </xf>
    <xf numFmtId="49" fontId="7" fillId="0" borderId="1" xfId="654" applyNumberFormat="1" applyFont="1" applyBorder="1" applyAlignment="1">
      <alignment horizontal="center" vertical="center" wrapText="1"/>
    </xf>
    <xf numFmtId="0" fontId="7" fillId="0" borderId="1" xfId="654" applyNumberFormat="1" applyFont="1" applyBorder="1" applyAlignment="1">
      <alignment horizontal="center" vertical="center" wrapText="1"/>
    </xf>
    <xf numFmtId="0" fontId="14" fillId="0" borderId="1" xfId="654" applyNumberFormat="1" applyFont="1" applyFill="1" applyBorder="1" applyAlignment="1">
      <alignment horizontal="center" vertical="center" wrapText="1"/>
    </xf>
    <xf numFmtId="49" fontId="104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49" fontId="103" fillId="0" borderId="1" xfId="0" applyNumberFormat="1" applyFont="1" applyBorder="1" applyAlignment="1">
      <alignment horizontal="center" vertical="center" wrapText="1"/>
    </xf>
    <xf numFmtId="49" fontId="21" fillId="2" borderId="1" xfId="2" applyNumberFormat="1" applyFont="1" applyFill="1" applyBorder="1" applyAlignment="1">
      <alignment vertical="center" wrapText="1"/>
    </xf>
    <xf numFmtId="0" fontId="65" fillId="0" borderId="1" xfId="2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right" vertical="center" wrapText="1"/>
    </xf>
    <xf numFmtId="49" fontId="8" fillId="36" borderId="1" xfId="0" applyNumberFormat="1" applyFont="1" applyFill="1" applyBorder="1" applyAlignment="1">
      <alignment horizontal="left" vertical="center" wrapText="1"/>
    </xf>
    <xf numFmtId="49" fontId="8" fillId="36" borderId="18" xfId="0" applyNumberFormat="1" applyFont="1" applyFill="1" applyBorder="1" applyAlignment="1">
      <alignment horizontal="left" vertical="center" wrapText="1"/>
    </xf>
    <xf numFmtId="49" fontId="21" fillId="37" borderId="1" xfId="0" applyNumberFormat="1" applyFont="1" applyFill="1" applyBorder="1" applyAlignment="1">
      <alignment vertical="center" wrapText="1"/>
    </xf>
    <xf numFmtId="49" fontId="65" fillId="36" borderId="1" xfId="0" applyNumberFormat="1" applyFont="1" applyFill="1" applyBorder="1" applyAlignment="1">
      <alignment horizontal="center" vertical="center" wrapText="1"/>
    </xf>
    <xf numFmtId="49" fontId="65" fillId="27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2" fontId="13" fillId="0" borderId="24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2" fontId="13" fillId="0" borderId="26" xfId="0" applyNumberFormat="1" applyFont="1" applyFill="1" applyBorder="1" applyAlignment="1">
      <alignment vertical="center" wrapText="1"/>
    </xf>
    <xf numFmtId="49" fontId="14" fillId="0" borderId="20" xfId="0" applyNumberFormat="1" applyFont="1" applyFill="1" applyBorder="1" applyAlignment="1">
      <alignment vertical="center" wrapText="1"/>
    </xf>
    <xf numFmtId="2" fontId="13" fillId="0" borderId="27" xfId="0" applyNumberFormat="1" applyFont="1" applyFill="1" applyBorder="1" applyAlignment="1">
      <alignment vertical="center" wrapText="1"/>
    </xf>
    <xf numFmtId="2" fontId="13" fillId="0" borderId="28" xfId="0" applyNumberFormat="1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49" fontId="8" fillId="27" borderId="1" xfId="0" applyNumberFormat="1" applyFont="1" applyFill="1" applyBorder="1" applyAlignment="1">
      <alignment vertical="center" wrapText="1"/>
    </xf>
    <xf numFmtId="49" fontId="21" fillId="27" borderId="1" xfId="0" applyNumberFormat="1" applyFont="1" applyFill="1" applyBorder="1" applyAlignment="1">
      <alignment vertical="center" wrapText="1"/>
    </xf>
    <xf numFmtId="0" fontId="8" fillId="27" borderId="1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2" fontId="13" fillId="0" borderId="29" xfId="0" applyNumberFormat="1" applyFont="1" applyFill="1" applyBorder="1" applyAlignment="1">
      <alignment vertical="center" wrapText="1"/>
    </xf>
    <xf numFmtId="2" fontId="13" fillId="0" borderId="30" xfId="0" applyNumberFormat="1" applyFont="1" applyFill="1" applyBorder="1" applyAlignment="1">
      <alignment vertical="center" wrapText="1"/>
    </xf>
    <xf numFmtId="2" fontId="13" fillId="0" borderId="31" xfId="0" applyNumberFormat="1" applyFont="1" applyFill="1" applyBorder="1" applyAlignment="1">
      <alignment vertical="center" wrapText="1"/>
    </xf>
    <xf numFmtId="2" fontId="14" fillId="0" borderId="20" xfId="0" applyNumberFormat="1" applyFont="1" applyFill="1" applyBorder="1" applyAlignment="1">
      <alignment horizontal="center" vertical="center" wrapText="1"/>
    </xf>
    <xf numFmtId="49" fontId="13" fillId="27" borderId="1" xfId="0" applyNumberFormat="1" applyFont="1" applyFill="1" applyBorder="1" applyAlignment="1">
      <alignment vertical="center" wrapText="1"/>
    </xf>
    <xf numFmtId="49" fontId="8" fillId="27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8" fillId="0" borderId="20" xfId="2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21" fillId="0" borderId="20" xfId="0" applyNumberFormat="1" applyFont="1" applyFill="1" applyBorder="1" applyAlignment="1">
      <alignment vertical="center" wrapText="1"/>
    </xf>
    <xf numFmtId="49" fontId="8" fillId="36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2" borderId="1" xfId="901" applyNumberFormat="1" applyFont="1" applyFill="1" applyBorder="1" applyAlignment="1">
      <alignment horizontal="center" vertical="top" wrapText="1"/>
    </xf>
    <xf numFmtId="49" fontId="65" fillId="2" borderId="1" xfId="901" applyNumberFormat="1" applyFont="1" applyFill="1" applyBorder="1" applyAlignment="1">
      <alignment horizontal="center" vertical="center" wrapText="1"/>
    </xf>
    <xf numFmtId="0" fontId="65" fillId="2" borderId="1" xfId="901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0" fontId="65" fillId="0" borderId="1" xfId="901" applyNumberFormat="1" applyFont="1" applyFill="1" applyBorder="1" applyAlignment="1">
      <alignment horizontal="center" vertical="center" wrapText="1"/>
    </xf>
    <xf numFmtId="2" fontId="13" fillId="0" borderId="24" xfId="901" applyNumberFormat="1" applyFont="1" applyFill="1" applyBorder="1" applyAlignment="1">
      <alignment vertical="center" wrapText="1"/>
    </xf>
    <xf numFmtId="2" fontId="13" fillId="0" borderId="25" xfId="901" applyNumberFormat="1" applyFont="1" applyFill="1" applyBorder="1" applyAlignment="1">
      <alignment vertical="center" wrapText="1"/>
    </xf>
    <xf numFmtId="2" fontId="13" fillId="0" borderId="26" xfId="901" applyNumberFormat="1" applyFont="1" applyFill="1" applyBorder="1" applyAlignment="1">
      <alignment vertical="center" wrapText="1"/>
    </xf>
    <xf numFmtId="2" fontId="13" fillId="0" borderId="27" xfId="901" applyNumberFormat="1" applyFont="1" applyFill="1" applyBorder="1" applyAlignment="1">
      <alignment vertical="center" wrapText="1"/>
    </xf>
    <xf numFmtId="2" fontId="13" fillId="0" borderId="0" xfId="901" applyNumberFormat="1" applyFont="1" applyFill="1" applyBorder="1" applyAlignment="1">
      <alignment vertical="center" wrapText="1"/>
    </xf>
    <xf numFmtId="2" fontId="13" fillId="0" borderId="28" xfId="901" applyNumberFormat="1" applyFont="1" applyFill="1" applyBorder="1" applyAlignment="1">
      <alignment vertical="center" wrapText="1"/>
    </xf>
    <xf numFmtId="0" fontId="7" fillId="0" borderId="1" xfId="901" applyNumberFormat="1" applyFont="1" applyFill="1" applyBorder="1" applyAlignment="1">
      <alignment horizontal="center" vertical="center" wrapText="1"/>
    </xf>
    <xf numFmtId="0" fontId="21" fillId="2" borderId="3" xfId="901" applyNumberFormat="1" applyFont="1" applyFill="1" applyBorder="1" applyAlignment="1">
      <alignment horizontal="center" vertical="center" wrapText="1"/>
    </xf>
    <xf numFmtId="2" fontId="13" fillId="0" borderId="29" xfId="901" applyNumberFormat="1" applyFont="1" applyFill="1" applyBorder="1" applyAlignment="1">
      <alignment vertical="center" wrapText="1"/>
    </xf>
    <xf numFmtId="2" fontId="13" fillId="0" borderId="30" xfId="901" applyNumberFormat="1" applyFont="1" applyFill="1" applyBorder="1" applyAlignment="1">
      <alignment vertical="center" wrapText="1"/>
    </xf>
    <xf numFmtId="2" fontId="13" fillId="0" borderId="31" xfId="901" applyNumberFormat="1" applyFont="1" applyFill="1" applyBorder="1" applyAlignment="1">
      <alignment vertical="center" wrapText="1"/>
    </xf>
    <xf numFmtId="49" fontId="13" fillId="27" borderId="2" xfId="0" applyNumberFormat="1" applyFont="1" applyFill="1" applyBorder="1" applyAlignment="1">
      <alignment vertical="center" wrapText="1"/>
    </xf>
    <xf numFmtId="49" fontId="13" fillId="0" borderId="2" xfId="901" applyNumberFormat="1" applyFont="1" applyFill="1" applyBorder="1" applyAlignment="1">
      <alignment vertical="center" wrapText="1"/>
    </xf>
    <xf numFmtId="49" fontId="21" fillId="0" borderId="20" xfId="901" applyNumberFormat="1" applyFont="1" applyFill="1" applyBorder="1" applyAlignment="1">
      <alignment horizontal="left" vertical="center" wrapText="1"/>
    </xf>
    <xf numFmtId="2" fontId="105" fillId="0" borderId="0" xfId="0" applyNumberFormat="1" applyFont="1" applyAlignment="1">
      <alignment horizontal="right" vertical="center" wrapText="1"/>
    </xf>
    <xf numFmtId="49" fontId="73" fillId="38" borderId="1" xfId="0" applyNumberFormat="1" applyFont="1" applyFill="1" applyBorder="1"/>
    <xf numFmtId="49" fontId="15" fillId="38" borderId="1" xfId="0" applyNumberFormat="1" applyFont="1" applyFill="1" applyBorder="1" applyAlignment="1">
      <alignment horizontal="center" vertical="center" wrapText="1"/>
    </xf>
    <xf numFmtId="0" fontId="73" fillId="38" borderId="1" xfId="0" applyFont="1" applyFill="1" applyBorder="1"/>
    <xf numFmtId="0" fontId="92" fillId="38" borderId="1" xfId="0" applyFont="1" applyFill="1" applyBorder="1" applyAlignment="1">
      <alignment horizontal="center" vertical="center"/>
    </xf>
    <xf numFmtId="49" fontId="106" fillId="0" borderId="1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 wrapText="1"/>
    </xf>
    <xf numFmtId="0" fontId="21" fillId="39" borderId="1" xfId="0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49" fontId="13" fillId="0" borderId="20" xfId="901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2" fontId="13" fillId="0" borderId="17" xfId="901" applyNumberFormat="1" applyFont="1" applyFill="1" applyBorder="1" applyAlignment="1">
      <alignment horizontal="center" vertical="center"/>
    </xf>
    <xf numFmtId="2" fontId="13" fillId="0" borderId="1" xfId="901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49" fontId="108" fillId="0" borderId="1" xfId="901" applyNumberFormat="1" applyFont="1" applyFill="1" applyBorder="1" applyAlignment="1">
      <alignment horizontal="left" vertical="top" wrapText="1"/>
    </xf>
    <xf numFmtId="2" fontId="13" fillId="0" borderId="3" xfId="901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quotePrefix="1" applyNumberFormat="1" applyFont="1" applyFill="1" applyBorder="1" applyAlignment="1" applyProtection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65" fillId="0" borderId="3" xfId="0" applyNumberFormat="1" applyFont="1" applyFill="1" applyBorder="1" applyAlignment="1" applyProtection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3" fillId="0" borderId="1" xfId="909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5" fillId="2" borderId="1" xfId="0" applyNumberFormat="1" applyFont="1" applyFill="1" applyBorder="1" applyAlignment="1">
      <alignment horizontal="center" vertical="top" wrapText="1"/>
    </xf>
    <xf numFmtId="49" fontId="65" fillId="2" borderId="4" xfId="0" applyNumberFormat="1" applyFont="1" applyFill="1" applyBorder="1" applyAlignment="1">
      <alignment horizontal="center" vertical="center" wrapText="1"/>
    </xf>
    <xf numFmtId="49" fontId="109" fillId="2" borderId="1" xfId="0" applyNumberFormat="1" applyFont="1" applyFill="1" applyBorder="1" applyAlignment="1">
      <alignment horizontal="center" vertical="top" wrapText="1"/>
    </xf>
    <xf numFmtId="49" fontId="65" fillId="2" borderId="1" xfId="654" applyNumberFormat="1" applyFont="1" applyFill="1" applyBorder="1" applyAlignment="1">
      <alignment horizontal="center" vertical="center" wrapText="1"/>
    </xf>
    <xf numFmtId="49" fontId="21" fillId="2" borderId="1" xfId="902" applyNumberFormat="1" applyFont="1" applyFill="1" applyBorder="1" applyAlignment="1">
      <alignment horizontal="center" vertical="center" wrapText="1"/>
    </xf>
    <xf numFmtId="0" fontId="65" fillId="2" borderId="1" xfId="654" applyFont="1" applyFill="1" applyBorder="1" applyAlignment="1">
      <alignment horizontal="center" vertical="center" wrapText="1"/>
    </xf>
    <xf numFmtId="0" fontId="21" fillId="2" borderId="1" xfId="654" applyFont="1" applyFill="1" applyBorder="1" applyAlignment="1">
      <alignment horizontal="center" vertical="center" wrapText="1"/>
    </xf>
    <xf numFmtId="2" fontId="13" fillId="0" borderId="1" xfId="903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904" applyNumberFormat="1" applyFont="1" applyBorder="1" applyAlignment="1">
      <alignment horizontal="center" vertical="center" wrapText="1"/>
    </xf>
    <xf numFmtId="49" fontId="65" fillId="0" borderId="1" xfId="654" applyNumberFormat="1" applyFont="1" applyBorder="1" applyAlignment="1">
      <alignment horizontal="center" vertical="center" wrapText="1"/>
    </xf>
    <xf numFmtId="49" fontId="21" fillId="0" borderId="1" xfId="902" applyNumberFormat="1" applyFont="1" applyBorder="1" applyAlignment="1">
      <alignment horizontal="left" vertical="center" wrapText="1"/>
    </xf>
    <xf numFmtId="49" fontId="8" fillId="0" borderId="1" xfId="654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3" fillId="0" borderId="1" xfId="902" applyNumberFormat="1" applyFont="1" applyBorder="1" applyAlignment="1">
      <alignment horizontal="left" vertical="center" wrapText="1"/>
    </xf>
    <xf numFmtId="0" fontId="8" fillId="0" borderId="1" xfId="654" applyFont="1" applyBorder="1" applyAlignment="1">
      <alignment horizontal="center" vertical="center" wrapText="1"/>
    </xf>
    <xf numFmtId="0" fontId="13" fillId="0" borderId="1" xfId="654" applyFont="1" applyBorder="1" applyAlignment="1">
      <alignment horizontal="center" vertical="center" wrapText="1"/>
    </xf>
    <xf numFmtId="49" fontId="81" fillId="0" borderId="0" xfId="0" applyNumberFormat="1" applyFont="1" applyAlignment="1">
      <alignment horizontal="center" vertical="center"/>
    </xf>
    <xf numFmtId="49" fontId="21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49" fontId="65" fillId="0" borderId="1" xfId="1" quotePrefix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center" wrapText="1"/>
    </xf>
    <xf numFmtId="2" fontId="13" fillId="0" borderId="1" xfId="2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5" fillId="0" borderId="20" xfId="0" applyNumberFormat="1" applyFont="1" applyBorder="1" applyAlignment="1">
      <alignment vertical="center" wrapText="1"/>
    </xf>
    <xf numFmtId="49" fontId="13" fillId="0" borderId="20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65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71" fillId="0" borderId="20" xfId="0" applyNumberFormat="1" applyFont="1" applyBorder="1" applyAlignment="1">
      <alignment vertical="center" wrapText="1"/>
    </xf>
    <xf numFmtId="0" fontId="71" fillId="0" borderId="2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2" fontId="105" fillId="0" borderId="0" xfId="0" applyNumberFormat="1" applyFont="1"/>
    <xf numFmtId="0" fontId="8" fillId="0" borderId="20" xfId="654" applyFont="1" applyBorder="1" applyAlignment="1">
      <alignment horizontal="center" vertical="center" wrapText="1"/>
    </xf>
    <xf numFmtId="49" fontId="65" fillId="0" borderId="1" xfId="633" applyNumberFormat="1" applyFont="1" applyBorder="1" applyAlignment="1">
      <alignment horizontal="center" vertical="center" wrapText="1"/>
    </xf>
    <xf numFmtId="49" fontId="21" fillId="0" borderId="1" xfId="633" applyNumberFormat="1" applyFont="1" applyBorder="1" applyAlignment="1">
      <alignment horizontal="left" vertical="center" wrapText="1"/>
    </xf>
    <xf numFmtId="49" fontId="8" fillId="0" borderId="1" xfId="633" applyNumberFormat="1" applyFont="1" applyBorder="1" applyAlignment="1">
      <alignment horizontal="center" vertical="center" wrapText="1"/>
    </xf>
    <xf numFmtId="0" fontId="8" fillId="0" borderId="20" xfId="633" applyFont="1" applyBorder="1" applyAlignment="1">
      <alignment horizontal="center" vertical="center" wrapText="1"/>
    </xf>
    <xf numFmtId="0" fontId="21" fillId="0" borderId="1" xfId="633" applyFont="1" applyBorder="1" applyAlignment="1">
      <alignment horizontal="center" vertical="center" wrapText="1"/>
    </xf>
    <xf numFmtId="49" fontId="13" fillId="0" borderId="20" xfId="633" applyNumberFormat="1" applyFont="1" applyBorder="1" applyAlignment="1">
      <alignment horizontal="left" vertical="center" wrapText="1"/>
    </xf>
    <xf numFmtId="49" fontId="8" fillId="0" borderId="1" xfId="682" applyNumberFormat="1" applyFont="1" applyBorder="1" applyAlignment="1">
      <alignment horizontal="center" vertical="center" wrapText="1"/>
    </xf>
    <xf numFmtId="0" fontId="13" fillId="0" borderId="1" xfId="682" applyFont="1" applyBorder="1" applyAlignment="1">
      <alignment horizontal="center" vertical="center" wrapText="1"/>
    </xf>
    <xf numFmtId="49" fontId="13" fillId="0" borderId="1" xfId="633" applyNumberFormat="1" applyFont="1" applyBorder="1" applyAlignment="1">
      <alignment horizontal="left" vertical="center" wrapText="1"/>
    </xf>
    <xf numFmtId="0" fontId="13" fillId="0" borderId="20" xfId="633" applyFont="1" applyBorder="1" applyAlignment="1">
      <alignment horizontal="center" vertical="center" wrapText="1"/>
    </xf>
    <xf numFmtId="49" fontId="65" fillId="0" borderId="2" xfId="633" applyNumberFormat="1" applyFont="1" applyBorder="1" applyAlignment="1">
      <alignment horizontal="center" vertical="center" wrapText="1"/>
    </xf>
    <xf numFmtId="49" fontId="21" fillId="0" borderId="2" xfId="633" applyNumberFormat="1" applyFont="1" applyBorder="1" applyAlignment="1">
      <alignment horizontal="left" vertical="center" wrapText="1"/>
    </xf>
    <xf numFmtId="0" fontId="65" fillId="0" borderId="20" xfId="633" applyFont="1" applyBorder="1" applyAlignment="1">
      <alignment horizontal="center" vertical="center" wrapText="1"/>
    </xf>
    <xf numFmtId="0" fontId="21" fillId="0" borderId="20" xfId="633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49" fontId="13" fillId="0" borderId="2" xfId="633" applyNumberFormat="1" applyFont="1" applyBorder="1" applyAlignment="1">
      <alignment horizontal="left" vertical="center" wrapText="1"/>
    </xf>
    <xf numFmtId="49" fontId="65" fillId="0" borderId="1" xfId="2" applyNumberFormat="1" applyFont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left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9" fontId="21" fillId="0" borderId="2" xfId="633" applyNumberFormat="1" applyFont="1" applyBorder="1" applyAlignment="1">
      <alignment vertical="center" wrapText="1"/>
    </xf>
    <xf numFmtId="49" fontId="21" fillId="0" borderId="20" xfId="633" applyNumberFormat="1" applyFont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1" fillId="2" borderId="2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21" fillId="0" borderId="20" xfId="654" applyFont="1" applyBorder="1" applyAlignment="1">
      <alignment horizontal="center" vertical="center" wrapText="1"/>
    </xf>
    <xf numFmtId="0" fontId="8" fillId="0" borderId="1" xfId="633" applyFont="1" applyBorder="1" applyAlignment="1">
      <alignment horizontal="center" vertical="center" wrapText="1"/>
    </xf>
    <xf numFmtId="0" fontId="13" fillId="0" borderId="20" xfId="901" applyNumberFormat="1" applyFont="1" applyFill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0" fontId="8" fillId="2" borderId="20" xfId="654" applyFont="1" applyFill="1" applyBorder="1" applyAlignment="1">
      <alignment horizontal="center" vertical="center" wrapText="1"/>
    </xf>
    <xf numFmtId="0" fontId="21" fillId="2" borderId="20" xfId="654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49" fontId="8" fillId="34" borderId="1" xfId="0" applyNumberFormat="1" applyFont="1" applyFill="1" applyBorder="1" applyAlignment="1">
      <alignment horizontal="center" vertical="top" wrapText="1"/>
    </xf>
    <xf numFmtId="49" fontId="73" fillId="38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20" xfId="654" applyFont="1" applyFill="1" applyBorder="1" applyAlignment="1">
      <alignment horizontal="center" vertical="center" wrapText="1"/>
    </xf>
    <xf numFmtId="0" fontId="21" fillId="0" borderId="20" xfId="654" applyFont="1" applyFill="1" applyBorder="1" applyAlignment="1">
      <alignment horizontal="center" vertical="center" wrapText="1"/>
    </xf>
    <xf numFmtId="49" fontId="66" fillId="2" borderId="1" xfId="0" applyNumberFormat="1" applyFont="1" applyFill="1" applyBorder="1" applyAlignment="1">
      <alignment horizontal="center" vertical="top" wrapText="1"/>
    </xf>
    <xf numFmtId="49" fontId="65" fillId="0" borderId="19" xfId="0" applyNumberFormat="1" applyFont="1" applyFill="1" applyBorder="1" applyAlignment="1">
      <alignment horizontal="center" vertical="top" wrapText="1"/>
    </xf>
    <xf numFmtId="49" fontId="13" fillId="36" borderId="1" xfId="0" applyNumberFormat="1" applyFont="1" applyFill="1" applyBorder="1" applyAlignment="1">
      <alignment horizontal="left" vertical="center" wrapText="1"/>
    </xf>
    <xf numFmtId="49" fontId="8" fillId="36" borderId="4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9" fontId="13" fillId="36" borderId="20" xfId="0" applyNumberFormat="1" applyFont="1" applyFill="1" applyBorder="1" applyAlignment="1">
      <alignment horizontal="left" vertical="center" wrapText="1"/>
    </xf>
    <xf numFmtId="49" fontId="8" fillId="36" borderId="18" xfId="0" applyNumberFormat="1" applyFont="1" applyFill="1" applyBorder="1" applyAlignment="1">
      <alignment horizontal="center" vertical="center" wrapText="1"/>
    </xf>
    <xf numFmtId="49" fontId="13" fillId="27" borderId="20" xfId="0" applyNumberFormat="1" applyFont="1" applyFill="1" applyBorder="1" applyAlignment="1">
      <alignment horizontal="left" vertical="center" wrapText="1"/>
    </xf>
    <xf numFmtId="49" fontId="21" fillId="0" borderId="1" xfId="1" applyNumberFormat="1" applyFont="1" applyBorder="1" applyAlignment="1">
      <alignment horizontal="left" vertical="center" wrapText="1"/>
    </xf>
    <xf numFmtId="49" fontId="65" fillId="2" borderId="2" xfId="0" applyNumberFormat="1" applyFont="1" applyFill="1" applyBorder="1" applyAlignment="1">
      <alignment horizontal="center" vertical="top" wrapText="1"/>
    </xf>
    <xf numFmtId="49" fontId="65" fillId="38" borderId="1" xfId="0" applyNumberFormat="1" applyFont="1" applyFill="1" applyBorder="1" applyAlignment="1">
      <alignment horizontal="center" vertical="top" wrapText="1"/>
    </xf>
    <xf numFmtId="49" fontId="65" fillId="38" borderId="1" xfId="0" applyNumberFormat="1" applyFont="1" applyFill="1" applyBorder="1" applyAlignment="1">
      <alignment horizontal="center" vertical="center" wrapText="1"/>
    </xf>
    <xf numFmtId="49" fontId="21" fillId="38" borderId="20" xfId="0" applyNumberFormat="1" applyFont="1" applyFill="1" applyBorder="1" applyAlignment="1">
      <alignment horizontal="center" vertical="center" wrapText="1"/>
    </xf>
    <xf numFmtId="49" fontId="65" fillId="38" borderId="4" xfId="0" applyNumberFormat="1" applyFont="1" applyFill="1" applyBorder="1" applyAlignment="1">
      <alignment horizontal="center" vertical="center" wrapText="1"/>
    </xf>
    <xf numFmtId="0" fontId="21" fillId="38" borderId="1" xfId="0" applyNumberFormat="1" applyFont="1" applyFill="1" applyBorder="1" applyAlignment="1">
      <alignment horizontal="center" vertical="center" wrapText="1"/>
    </xf>
    <xf numFmtId="49" fontId="8" fillId="38" borderId="1" xfId="0" applyNumberFormat="1" applyFont="1" applyFill="1" applyBorder="1" applyAlignment="1">
      <alignment horizontal="center" vertical="top" wrapText="1"/>
    </xf>
    <xf numFmtId="49" fontId="21" fillId="38" borderId="1" xfId="0" applyNumberFormat="1" applyFont="1" applyFill="1" applyBorder="1" applyAlignment="1">
      <alignment horizontal="center" vertical="center" wrapText="1"/>
    </xf>
    <xf numFmtId="49" fontId="21" fillId="2" borderId="20" xfId="0" applyNumberFormat="1" applyFont="1" applyFill="1" applyBorder="1" applyAlignment="1">
      <alignment horizontal="left" vertical="center" wrapText="1"/>
    </xf>
    <xf numFmtId="49" fontId="65" fillId="0" borderId="20" xfId="682" applyNumberFormat="1" applyFont="1" applyBorder="1" applyAlignment="1">
      <alignment horizontal="center" vertical="center" wrapText="1"/>
    </xf>
    <xf numFmtId="49" fontId="13" fillId="0" borderId="1" xfId="682" applyNumberFormat="1" applyFont="1" applyBorder="1" applyAlignment="1">
      <alignment horizontal="left" vertical="center" wrapText="1"/>
    </xf>
    <xf numFmtId="49" fontId="8" fillId="0" borderId="20" xfId="682" applyNumberFormat="1" applyFont="1" applyBorder="1" applyAlignment="1">
      <alignment horizontal="center" vertical="center" wrapText="1"/>
    </xf>
    <xf numFmtId="49" fontId="13" fillId="0" borderId="20" xfId="682" applyNumberFormat="1" applyFont="1" applyBorder="1" applyAlignment="1">
      <alignment horizontal="left" vertical="center" wrapText="1"/>
    </xf>
    <xf numFmtId="0" fontId="65" fillId="0" borderId="0" xfId="0" applyNumberFormat="1" applyFont="1" applyFill="1" applyAlignment="1">
      <alignment vertical="center" wrapText="1"/>
    </xf>
    <xf numFmtId="0" fontId="65" fillId="0" borderId="0" xfId="0" applyNumberFormat="1" applyFont="1" applyFill="1" applyAlignment="1">
      <alignment horizontal="center" vertical="center" wrapText="1"/>
    </xf>
    <xf numFmtId="49" fontId="65" fillId="0" borderId="0" xfId="0" applyNumberFormat="1" applyFont="1" applyFill="1" applyAlignment="1">
      <alignment horizontal="center" vertical="top" wrapText="1"/>
    </xf>
    <xf numFmtId="49" fontId="65" fillId="0" borderId="0" xfId="0" applyNumberFormat="1" applyFont="1" applyFill="1" applyAlignment="1">
      <alignment vertical="center" wrapText="1"/>
    </xf>
    <xf numFmtId="49" fontId="73" fillId="0" borderId="0" xfId="0" applyNumberFormat="1" applyFont="1"/>
    <xf numFmtId="49" fontId="0" fillId="0" borderId="0" xfId="0" applyNumberFormat="1" applyFont="1"/>
    <xf numFmtId="0" fontId="15" fillId="0" borderId="1" xfId="0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65" fillId="0" borderId="1" xfId="0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13" fillId="0" borderId="1" xfId="2" applyNumberFormat="1" applyFont="1" applyBorder="1" applyAlignment="1">
      <alignment horizontal="center" vertical="center" wrapText="1"/>
    </xf>
    <xf numFmtId="0" fontId="8" fillId="36" borderId="18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8" fillId="0" borderId="1" xfId="682" applyNumberFormat="1" applyFont="1" applyBorder="1" applyAlignment="1">
      <alignment horizontal="center" vertical="center" wrapText="1"/>
    </xf>
    <xf numFmtId="0" fontId="13" fillId="0" borderId="20" xfId="682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3" fillId="0" borderId="1" xfId="682" applyNumberFormat="1" applyFont="1" applyBorder="1" applyAlignment="1">
      <alignment horizontal="center" vertical="center" wrapText="1"/>
    </xf>
    <xf numFmtId="0" fontId="8" fillId="0" borderId="20" xfId="682" applyNumberFormat="1" applyFont="1" applyBorder="1" applyAlignment="1">
      <alignment horizontal="center" vertical="center" wrapText="1"/>
    </xf>
    <xf numFmtId="0" fontId="73" fillId="0" borderId="0" xfId="0" applyNumberFormat="1" applyFont="1"/>
    <xf numFmtId="0" fontId="0" fillId="0" borderId="0" xfId="0" applyNumberFormat="1" applyFont="1"/>
    <xf numFmtId="2" fontId="21" fillId="0" borderId="0" xfId="0" applyNumberFormat="1" applyFont="1" applyFill="1" applyAlignment="1">
      <alignment vertical="center" wrapText="1"/>
    </xf>
    <xf numFmtId="2" fontId="0" fillId="0" borderId="0" xfId="0" applyNumberFormat="1" applyFont="1"/>
    <xf numFmtId="49" fontId="73" fillId="0" borderId="1" xfId="0" applyNumberFormat="1" applyFont="1" applyBorder="1"/>
    <xf numFmtId="49" fontId="0" fillId="0" borderId="1" xfId="0" applyNumberFormat="1" applyFont="1" applyBorder="1"/>
    <xf numFmtId="0" fontId="73" fillId="0" borderId="1" xfId="0" applyNumberFormat="1" applyFont="1" applyBorder="1"/>
    <xf numFmtId="0" fontId="0" fillId="0" borderId="1" xfId="0" applyNumberFormat="1" applyFont="1" applyBorder="1"/>
    <xf numFmtId="2" fontId="0" fillId="0" borderId="1" xfId="0" applyNumberFormat="1" applyFont="1" applyBorder="1"/>
    <xf numFmtId="2" fontId="97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right" vertical="center" wrapText="1"/>
    </xf>
    <xf numFmtId="2" fontId="96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top" wrapText="1"/>
    </xf>
    <xf numFmtId="49" fontId="8" fillId="0" borderId="1" xfId="901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49" fontId="8" fillId="0" borderId="19" xfId="633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left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0" fontId="13" fillId="0" borderId="14" xfId="901" applyNumberFormat="1" applyFont="1" applyFill="1" applyBorder="1" applyAlignment="1" applyProtection="1">
      <alignment vertical="center" wrapText="1"/>
    </xf>
    <xf numFmtId="0" fontId="13" fillId="0" borderId="21" xfId="901" applyNumberFormat="1" applyFont="1" applyFill="1" applyBorder="1" applyAlignment="1" applyProtection="1">
      <alignment vertical="center" wrapText="1"/>
    </xf>
    <xf numFmtId="0" fontId="13" fillId="0" borderId="15" xfId="901" applyNumberFormat="1" applyFont="1" applyFill="1" applyBorder="1" applyAlignment="1" applyProtection="1">
      <alignment vertical="center" wrapText="1"/>
    </xf>
    <xf numFmtId="0" fontId="21" fillId="0" borderId="19" xfId="1" applyNumberFormat="1" applyFont="1" applyFill="1" applyBorder="1" applyAlignment="1" applyProtection="1">
      <alignment vertical="center" wrapText="1"/>
    </xf>
    <xf numFmtId="0" fontId="65" fillId="0" borderId="4" xfId="1" applyNumberFormat="1" applyFont="1" applyFill="1" applyBorder="1" applyAlignment="1" applyProtection="1">
      <alignment horizontal="center" vertical="center" wrapText="1"/>
    </xf>
    <xf numFmtId="0" fontId="13" fillId="0" borderId="22" xfId="901" applyNumberFormat="1" applyFont="1" applyFill="1" applyBorder="1" applyAlignment="1" applyProtection="1">
      <alignment vertical="center" wrapText="1"/>
    </xf>
    <xf numFmtId="0" fontId="13" fillId="0" borderId="0" xfId="901" applyNumberFormat="1" applyFont="1" applyFill="1" applyBorder="1" applyAlignment="1" applyProtection="1">
      <alignment vertical="center" wrapText="1"/>
    </xf>
    <xf numFmtId="0" fontId="13" fillId="0" borderId="16" xfId="901" applyNumberFormat="1" applyFont="1" applyFill="1" applyBorder="1" applyAlignment="1" applyProtection="1">
      <alignment vertical="center" wrapText="1"/>
    </xf>
    <xf numFmtId="0" fontId="21" fillId="0" borderId="20" xfId="1" applyNumberFormat="1" applyFont="1" applyFill="1" applyBorder="1" applyAlignment="1" applyProtection="1">
      <alignment vertical="center" wrapText="1"/>
    </xf>
    <xf numFmtId="0" fontId="13" fillId="0" borderId="17" xfId="901" applyNumberFormat="1" applyFont="1" applyFill="1" applyBorder="1" applyAlignment="1" applyProtection="1">
      <alignment vertical="center" wrapText="1"/>
    </xf>
    <xf numFmtId="0" fontId="13" fillId="0" borderId="23" xfId="901" applyNumberFormat="1" applyFont="1" applyFill="1" applyBorder="1" applyAlignment="1" applyProtection="1">
      <alignment vertical="center" wrapText="1"/>
    </xf>
    <xf numFmtId="0" fontId="13" fillId="0" borderId="18" xfId="901" applyNumberFormat="1" applyFont="1" applyFill="1" applyBorder="1" applyAlignment="1" applyProtection="1">
      <alignment vertical="center" wrapText="1"/>
    </xf>
    <xf numFmtId="0" fontId="8" fillId="0" borderId="1" xfId="1" quotePrefix="1" applyNumberFormat="1" applyFont="1" applyFill="1" applyBorder="1" applyAlignment="1" applyProtection="1">
      <alignment horizontal="center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76" fillId="0" borderId="1" xfId="909" applyNumberFormat="1" applyFont="1" applyFill="1" applyBorder="1" applyAlignment="1">
      <alignment horizontal="center" vertical="center" wrapText="1"/>
    </xf>
    <xf numFmtId="0" fontId="77" fillId="0" borderId="1" xfId="909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909" applyNumberFormat="1" applyFont="1" applyFill="1" applyBorder="1" applyAlignment="1">
      <alignment horizontal="center" vertical="center" wrapText="1"/>
    </xf>
    <xf numFmtId="0" fontId="8" fillId="0" borderId="1" xfId="909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96" fillId="0" borderId="1" xfId="909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8" fillId="27" borderId="1" xfId="0" applyFont="1" applyFill="1" applyBorder="1" applyAlignment="1">
      <alignment horizontal="center" vertical="center" wrapText="1"/>
    </xf>
    <xf numFmtId="0" fontId="6" fillId="27" borderId="1" xfId="0" applyFont="1" applyFill="1" applyBorder="1" applyAlignment="1">
      <alignment horizontal="left" vertical="center" wrapText="1"/>
    </xf>
    <xf numFmtId="167" fontId="13" fillId="27" borderId="1" xfId="0" applyNumberFormat="1" applyFont="1" applyFill="1" applyBorder="1" applyAlignment="1">
      <alignment horizontal="center" vertical="center" wrapText="1"/>
    </xf>
    <xf numFmtId="0" fontId="13" fillId="27" borderId="1" xfId="0" applyNumberFormat="1" applyFont="1" applyFill="1" applyBorder="1" applyAlignment="1">
      <alignment horizontal="center" vertical="center" wrapText="1"/>
    </xf>
    <xf numFmtId="2" fontId="13" fillId="27" borderId="1" xfId="0" applyNumberFormat="1" applyFont="1" applyFill="1" applyBorder="1" applyAlignment="1">
      <alignment horizontal="center" vertical="center" wrapText="1"/>
    </xf>
    <xf numFmtId="49" fontId="21" fillId="39" borderId="1" xfId="0" applyNumberFormat="1" applyFont="1" applyFill="1" applyBorder="1" applyAlignment="1">
      <alignment horizontal="left" vertical="center" wrapText="1"/>
    </xf>
    <xf numFmtId="49" fontId="65" fillId="39" borderId="1" xfId="0" applyNumberFormat="1" applyFont="1" applyFill="1" applyBorder="1" applyAlignment="1">
      <alignment horizontal="center" vertical="center" wrapText="1"/>
    </xf>
    <xf numFmtId="0" fontId="13" fillId="39" borderId="1" xfId="0" applyNumberFormat="1" applyFont="1" applyFill="1" applyBorder="1" applyAlignment="1">
      <alignment horizontal="center" vertical="center" wrapText="1"/>
    </xf>
    <xf numFmtId="2" fontId="13" fillId="39" borderId="14" xfId="0" applyNumberFormat="1" applyFont="1" applyFill="1" applyBorder="1" applyAlignment="1">
      <alignment vertical="center" wrapText="1"/>
    </xf>
    <xf numFmtId="2" fontId="13" fillId="39" borderId="21" xfId="0" applyNumberFormat="1" applyFont="1" applyFill="1" applyBorder="1" applyAlignment="1">
      <alignment vertical="center" wrapText="1"/>
    </xf>
    <xf numFmtId="2" fontId="13" fillId="39" borderId="15" xfId="0" applyNumberFormat="1" applyFont="1" applyFill="1" applyBorder="1" applyAlignment="1">
      <alignment vertical="center" wrapText="1"/>
    </xf>
    <xf numFmtId="2" fontId="13" fillId="39" borderId="22" xfId="0" applyNumberFormat="1" applyFont="1" applyFill="1" applyBorder="1" applyAlignment="1">
      <alignment vertical="center" wrapText="1"/>
    </xf>
    <xf numFmtId="2" fontId="13" fillId="39" borderId="0" xfId="0" applyNumberFormat="1" applyFont="1" applyFill="1" applyBorder="1" applyAlignment="1">
      <alignment vertical="center" wrapText="1"/>
    </xf>
    <xf numFmtId="2" fontId="13" fillId="39" borderId="16" xfId="0" applyNumberFormat="1" applyFont="1" applyFill="1" applyBorder="1" applyAlignment="1">
      <alignment vertical="center" wrapText="1"/>
    </xf>
    <xf numFmtId="49" fontId="21" fillId="39" borderId="2" xfId="0" applyNumberFormat="1" applyFont="1" applyFill="1" applyBorder="1" applyAlignment="1">
      <alignment vertical="center" wrapText="1"/>
    </xf>
    <xf numFmtId="49" fontId="8" fillId="39" borderId="1" xfId="0" applyNumberFormat="1" applyFont="1" applyFill="1" applyBorder="1" applyAlignment="1">
      <alignment horizontal="center" vertical="center" wrapText="1"/>
    </xf>
    <xf numFmtId="49" fontId="13" fillId="39" borderId="20" xfId="0" applyNumberFormat="1" applyFont="1" applyFill="1" applyBorder="1" applyAlignment="1">
      <alignment vertical="center" wrapText="1"/>
    </xf>
    <xf numFmtId="49" fontId="21" fillId="39" borderId="19" xfId="0" applyNumberFormat="1" applyFont="1" applyFill="1" applyBorder="1" applyAlignment="1">
      <alignment vertical="center" wrapText="1"/>
    </xf>
    <xf numFmtId="49" fontId="13" fillId="39" borderId="19" xfId="0" applyNumberFormat="1" applyFont="1" applyFill="1" applyBorder="1" applyAlignment="1">
      <alignment vertical="center" wrapText="1"/>
    </xf>
    <xf numFmtId="49" fontId="8" fillId="39" borderId="1" xfId="901" applyNumberFormat="1" applyFont="1" applyFill="1" applyBorder="1" applyAlignment="1">
      <alignment horizontal="center" vertical="center" wrapText="1"/>
    </xf>
    <xf numFmtId="0" fontId="8" fillId="39" borderId="1" xfId="901" applyNumberFormat="1" applyFont="1" applyFill="1" applyBorder="1" applyAlignment="1">
      <alignment horizontal="center" vertical="center" wrapText="1"/>
    </xf>
    <xf numFmtId="49" fontId="7" fillId="39" borderId="1" xfId="901" applyNumberFormat="1" applyFont="1" applyFill="1" applyBorder="1" applyAlignment="1">
      <alignment horizontal="center" vertical="center" wrapText="1"/>
    </xf>
    <xf numFmtId="0" fontId="7" fillId="39" borderId="1" xfId="901" applyNumberFormat="1" applyFont="1" applyFill="1" applyBorder="1" applyAlignment="1">
      <alignment horizontal="center" vertical="center" wrapText="1"/>
    </xf>
    <xf numFmtId="49" fontId="21" fillId="39" borderId="2" xfId="901" applyNumberFormat="1" applyFont="1" applyFill="1" applyBorder="1" applyAlignment="1">
      <alignment vertical="center" wrapText="1"/>
    </xf>
    <xf numFmtId="49" fontId="21" fillId="39" borderId="20" xfId="901" applyNumberFormat="1" applyFont="1" applyFill="1" applyBorder="1" applyAlignment="1">
      <alignment vertical="center" wrapText="1"/>
    </xf>
    <xf numFmtId="49" fontId="21" fillId="39" borderId="1" xfId="901" applyNumberFormat="1" applyFont="1" applyFill="1" applyBorder="1" applyAlignment="1">
      <alignment horizontal="left" vertical="center" wrapText="1"/>
    </xf>
    <xf numFmtId="0" fontId="21" fillId="39" borderId="3" xfId="901" applyNumberFormat="1" applyFont="1" applyFill="1" applyBorder="1" applyAlignment="1">
      <alignment horizontal="center" vertical="center" wrapText="1"/>
    </xf>
    <xf numFmtId="2" fontId="71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center" wrapText="1"/>
    </xf>
    <xf numFmtId="2" fontId="96" fillId="0" borderId="0" xfId="0" applyNumberFormat="1" applyFont="1" applyFill="1" applyAlignment="1">
      <alignment horizontal="right" wrapText="1"/>
    </xf>
    <xf numFmtId="2" fontId="96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49" fontId="17" fillId="26" borderId="1" xfId="0" applyNumberFormat="1" applyFont="1" applyFill="1" applyBorder="1" applyAlignment="1">
      <alignment horizontal="center" vertical="center" wrapText="1"/>
    </xf>
    <xf numFmtId="49" fontId="15" fillId="26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right" vertical="center" wrapText="1"/>
    </xf>
    <xf numFmtId="49" fontId="8" fillId="0" borderId="1" xfId="910" applyNumberFormat="1" applyFont="1" applyBorder="1" applyAlignment="1">
      <alignment horizontal="center" vertical="center" wrapText="1"/>
    </xf>
    <xf numFmtId="0" fontId="8" fillId="0" borderId="1" xfId="646" applyNumberFormat="1" applyFont="1" applyBorder="1" applyAlignment="1">
      <alignment horizontal="center" vertical="center" wrapText="1"/>
    </xf>
    <xf numFmtId="0" fontId="13" fillId="0" borderId="1" xfId="646" applyNumberFormat="1" applyFont="1" applyBorder="1" applyAlignment="1">
      <alignment horizontal="center" vertical="center" wrapText="1"/>
    </xf>
    <xf numFmtId="2" fontId="13" fillId="0" borderId="1" xfId="646" applyNumberFormat="1" applyFont="1" applyFill="1" applyBorder="1" applyAlignment="1">
      <alignment horizontal="center" vertical="center" wrapText="1"/>
    </xf>
    <xf numFmtId="2" fontId="13" fillId="0" borderId="1" xfId="899" applyNumberFormat="1" applyFont="1" applyBorder="1" applyAlignment="1">
      <alignment horizontal="center" vertical="center" wrapText="1"/>
    </xf>
    <xf numFmtId="49" fontId="65" fillId="27" borderId="1" xfId="0" applyNumberFormat="1" applyFont="1" applyFill="1" applyBorder="1" applyAlignment="1">
      <alignment horizontal="center" vertical="center"/>
    </xf>
    <xf numFmtId="0" fontId="65" fillId="27" borderId="1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0" fontId="8" fillId="27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49" fontId="8" fillId="0" borderId="1" xfId="646" applyNumberFormat="1" applyFont="1" applyBorder="1" applyAlignment="1">
      <alignment horizontal="center" vertical="center" wrapText="1"/>
    </xf>
    <xf numFmtId="0" fontId="21" fillId="0" borderId="1" xfId="646" applyNumberFormat="1" applyFont="1" applyFill="1" applyBorder="1" applyAlignment="1">
      <alignment horizontal="center" vertical="center" wrapText="1"/>
    </xf>
    <xf numFmtId="49" fontId="13" fillId="0" borderId="1" xfId="646" applyNumberFormat="1" applyFont="1" applyBorder="1" applyAlignment="1">
      <alignment horizontal="left" vertical="center" wrapText="1"/>
    </xf>
    <xf numFmtId="0" fontId="13" fillId="0" borderId="1" xfId="646" applyNumberFormat="1" applyFont="1" applyFill="1" applyBorder="1" applyAlignment="1">
      <alignment horizontal="center" vertical="center" wrapText="1"/>
    </xf>
    <xf numFmtId="49" fontId="8" fillId="0" borderId="1" xfId="875" applyNumberFormat="1" applyFont="1" applyBorder="1" applyAlignment="1">
      <alignment horizontal="center" vertical="center" wrapText="1"/>
    </xf>
    <xf numFmtId="0" fontId="8" fillId="0" borderId="1" xfId="875" applyNumberFormat="1" applyFont="1" applyBorder="1" applyAlignment="1">
      <alignment horizontal="center" vertical="center" wrapText="1"/>
    </xf>
    <xf numFmtId="0" fontId="13" fillId="0" borderId="1" xfId="875" applyNumberFormat="1" applyFont="1" applyFill="1" applyBorder="1" applyAlignment="1">
      <alignment horizontal="center" vertical="center" wrapText="1"/>
    </xf>
    <xf numFmtId="2" fontId="13" fillId="0" borderId="1" xfId="875" applyNumberFormat="1" applyFont="1" applyFill="1" applyBorder="1" applyAlignment="1">
      <alignment horizontal="center" vertical="center" wrapText="1"/>
    </xf>
    <xf numFmtId="2" fontId="13" fillId="0" borderId="1" xfId="91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49" fontId="8" fillId="27" borderId="1" xfId="633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2" fontId="13" fillId="0" borderId="1" xfId="633" applyNumberFormat="1" applyFont="1" applyFill="1" applyBorder="1" applyAlignment="1">
      <alignment horizontal="center" vertical="center" wrapText="1"/>
    </xf>
    <xf numFmtId="49" fontId="8" fillId="27" borderId="1" xfId="633" applyNumberFormat="1" applyFont="1" applyFill="1" applyBorder="1" applyAlignment="1">
      <alignment horizontal="center"/>
    </xf>
    <xf numFmtId="49" fontId="13" fillId="27" borderId="1" xfId="633" applyNumberFormat="1" applyFont="1" applyFill="1" applyBorder="1" applyAlignment="1">
      <alignment horizontal="left" wrapText="1"/>
    </xf>
    <xf numFmtId="0" fontId="8" fillId="27" borderId="1" xfId="633" applyNumberFormat="1" applyFont="1" applyFill="1" applyBorder="1" applyAlignment="1">
      <alignment horizontal="center"/>
    </xf>
    <xf numFmtId="0" fontId="13" fillId="0" borderId="1" xfId="633" applyNumberFormat="1" applyFont="1" applyFill="1" applyBorder="1" applyAlignment="1">
      <alignment horizontal="center"/>
    </xf>
    <xf numFmtId="2" fontId="13" fillId="0" borderId="1" xfId="633" applyNumberFormat="1" applyFont="1" applyFill="1" applyBorder="1" applyAlignment="1">
      <alignment horizontal="center"/>
    </xf>
    <xf numFmtId="49" fontId="8" fillId="27" borderId="1" xfId="633" applyNumberFormat="1" applyFont="1" applyFill="1" applyBorder="1" applyAlignment="1">
      <alignment horizontal="center" vertical="center"/>
    </xf>
    <xf numFmtId="0" fontId="8" fillId="27" borderId="1" xfId="633" applyNumberFormat="1" applyFont="1" applyFill="1" applyBorder="1" applyAlignment="1">
      <alignment horizontal="center" vertical="center"/>
    </xf>
    <xf numFmtId="0" fontId="13" fillId="0" borderId="1" xfId="633" applyNumberFormat="1" applyFont="1" applyFill="1" applyBorder="1" applyAlignment="1">
      <alignment horizontal="center" vertical="center"/>
    </xf>
    <xf numFmtId="2" fontId="13" fillId="0" borderId="1" xfId="633" applyNumberFormat="1" applyFont="1" applyFill="1" applyBorder="1" applyAlignment="1">
      <alignment horizontal="center" vertical="center"/>
    </xf>
    <xf numFmtId="49" fontId="13" fillId="27" borderId="1" xfId="633" applyNumberFormat="1" applyFont="1" applyFill="1" applyBorder="1" applyAlignment="1">
      <alignment horizontal="left" vertical="center" wrapText="1"/>
    </xf>
    <xf numFmtId="49" fontId="77" fillId="0" borderId="1" xfId="646" applyNumberFormat="1" applyFont="1" applyFill="1" applyBorder="1" applyAlignment="1">
      <alignment horizontal="left" vertical="center" wrapText="1"/>
    </xf>
    <xf numFmtId="49" fontId="8" fillId="0" borderId="1" xfId="903" applyNumberFormat="1" applyFont="1" applyBorder="1" applyAlignment="1">
      <alignment horizontal="center" vertical="center" wrapText="1"/>
    </xf>
    <xf numFmtId="0" fontId="8" fillId="0" borderId="1" xfId="911" applyNumberFormat="1" applyFont="1" applyBorder="1" applyAlignment="1">
      <alignment horizontal="center" vertical="center" wrapText="1"/>
    </xf>
    <xf numFmtId="0" fontId="13" fillId="0" borderId="1" xfId="911" applyNumberFormat="1" applyFont="1" applyFill="1" applyBorder="1" applyAlignment="1">
      <alignment horizontal="center" vertical="center" wrapText="1"/>
    </xf>
    <xf numFmtId="49" fontId="13" fillId="0" borderId="1" xfId="646" applyNumberFormat="1" applyFont="1" applyFill="1" applyBorder="1" applyAlignment="1">
      <alignment horizontal="left" vertical="center" wrapText="1"/>
    </xf>
    <xf numFmtId="49" fontId="8" fillId="0" borderId="1" xfId="91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65" fillId="0" borderId="1" xfId="0" applyNumberFormat="1" applyFont="1" applyBorder="1" applyAlignment="1">
      <alignment horizontal="center" vertical="center"/>
    </xf>
    <xf numFmtId="0" fontId="65" fillId="0" borderId="1" xfId="0" applyNumberFormat="1" applyFont="1" applyBorder="1" applyAlignment="1">
      <alignment horizontal="center" vertical="center"/>
    </xf>
    <xf numFmtId="49" fontId="76" fillId="27" borderId="1" xfId="0" applyNumberFormat="1" applyFont="1" applyFill="1" applyBorder="1" applyAlignment="1" applyProtection="1">
      <alignment horizontal="center" vertical="center" wrapText="1"/>
    </xf>
    <xf numFmtId="0" fontId="76" fillId="27" borderId="1" xfId="0" applyNumberFormat="1" applyFont="1" applyFill="1" applyBorder="1" applyAlignment="1" applyProtection="1">
      <alignment horizontal="center" vertical="center" wrapText="1"/>
    </xf>
    <xf numFmtId="0" fontId="13" fillId="0" borderId="1" xfId="482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0" borderId="1" xfId="901" applyNumberFormat="1" applyFont="1" applyFill="1" applyBorder="1" applyAlignment="1" applyProtection="1">
      <alignment horizontal="center" vertical="center" wrapText="1"/>
    </xf>
    <xf numFmtId="0" fontId="65" fillId="31" borderId="1" xfId="0" applyNumberFormat="1" applyFont="1" applyFill="1" applyBorder="1" applyAlignment="1">
      <alignment horizontal="center" vertical="center" wrapText="1"/>
    </xf>
    <xf numFmtId="2" fontId="21" fillId="31" borderId="1" xfId="0" applyNumberFormat="1" applyFont="1" applyFill="1" applyBorder="1" applyAlignment="1">
      <alignment horizontal="center" vertical="center" wrapText="1"/>
    </xf>
    <xf numFmtId="49" fontId="13" fillId="0" borderId="1" xfId="633" applyNumberFormat="1" applyFont="1" applyFill="1" applyBorder="1" applyAlignment="1">
      <alignment horizontal="center" vertical="center" wrapText="1"/>
    </xf>
    <xf numFmtId="0" fontId="103" fillId="0" borderId="1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7" fillId="31" borderId="1" xfId="0" applyNumberFormat="1" applyFont="1" applyFill="1" applyBorder="1" applyAlignment="1">
      <alignment horizontal="center" vertical="center" wrapText="1"/>
    </xf>
    <xf numFmtId="0" fontId="7" fillId="31" borderId="1" xfId="0" applyNumberFormat="1" applyFont="1" applyFill="1" applyBorder="1" applyAlignment="1">
      <alignment horizontal="center" vertical="center" wrapText="1"/>
    </xf>
    <xf numFmtId="0" fontId="13" fillId="31" borderId="1" xfId="0" applyNumberFormat="1" applyFont="1" applyFill="1" applyBorder="1" applyAlignment="1">
      <alignment horizontal="center" vertical="center" wrapText="1"/>
    </xf>
    <xf numFmtId="2" fontId="14" fillId="31" borderId="1" xfId="0" applyNumberFormat="1" applyFont="1" applyFill="1" applyBorder="1" applyAlignment="1">
      <alignment horizontal="center" vertical="center" wrapText="1"/>
    </xf>
    <xf numFmtId="49" fontId="17" fillId="31" borderId="1" xfId="0" applyNumberFormat="1" applyFont="1" applyFill="1" applyBorder="1" applyAlignment="1">
      <alignment horizontal="center" vertical="center" wrapText="1"/>
    </xf>
    <xf numFmtId="49" fontId="15" fillId="31" borderId="1" xfId="0" applyNumberFormat="1" applyFont="1" applyFill="1" applyBorder="1" applyAlignment="1">
      <alignment horizontal="center" vertical="center" wrapText="1"/>
    </xf>
    <xf numFmtId="0" fontId="17" fillId="31" borderId="1" xfId="0" applyNumberFormat="1" applyFont="1" applyFill="1" applyBorder="1" applyAlignment="1">
      <alignment horizontal="center" vertical="center" wrapText="1"/>
    </xf>
    <xf numFmtId="0" fontId="15" fillId="31" borderId="1" xfId="0" applyNumberFormat="1" applyFont="1" applyFill="1" applyBorder="1" applyAlignment="1">
      <alignment horizontal="center" vertical="center" wrapText="1"/>
    </xf>
    <xf numFmtId="2" fontId="15" fillId="31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49" fontId="7" fillId="40" borderId="1" xfId="0" applyNumberFormat="1" applyFont="1" applyFill="1" applyBorder="1" applyAlignment="1">
      <alignment horizontal="center" vertical="top" wrapText="1"/>
    </xf>
    <xf numFmtId="49" fontId="7" fillId="40" borderId="1" xfId="0" applyNumberFormat="1" applyFont="1" applyFill="1" applyBorder="1" applyAlignment="1">
      <alignment horizontal="center" vertical="center" wrapText="1"/>
    </xf>
    <xf numFmtId="49" fontId="15" fillId="40" borderId="1" xfId="0" applyNumberFormat="1" applyFont="1" applyFill="1" applyBorder="1" applyAlignment="1">
      <alignment vertical="center" wrapText="1"/>
    </xf>
    <xf numFmtId="0" fontId="7" fillId="40" borderId="1" xfId="0" applyNumberFormat="1" applyFont="1" applyFill="1" applyBorder="1" applyAlignment="1">
      <alignment horizontal="center" vertical="center" wrapText="1"/>
    </xf>
    <xf numFmtId="0" fontId="13" fillId="40" borderId="1" xfId="0" applyNumberFormat="1" applyFont="1" applyFill="1" applyBorder="1" applyAlignment="1">
      <alignment horizontal="center" vertical="center" wrapText="1"/>
    </xf>
    <xf numFmtId="49" fontId="65" fillId="0" borderId="1" xfId="907" applyNumberFormat="1" applyFont="1" applyFill="1" applyBorder="1" applyAlignment="1">
      <alignment horizontal="center" vertical="center" wrapText="1"/>
    </xf>
    <xf numFmtId="49" fontId="21" fillId="0" borderId="1" xfId="907" applyNumberFormat="1" applyFont="1" applyFill="1" applyBorder="1" applyAlignment="1">
      <alignment vertical="center" wrapText="1"/>
    </xf>
    <xf numFmtId="0" fontId="65" fillId="0" borderId="1" xfId="907" applyNumberFormat="1" applyFont="1" applyFill="1" applyBorder="1" applyAlignment="1">
      <alignment horizontal="center" vertical="center" wrapText="1"/>
    </xf>
    <xf numFmtId="2" fontId="79" fillId="0" borderId="1" xfId="0" applyNumberFormat="1" applyFont="1" applyFill="1" applyBorder="1" applyAlignment="1">
      <alignment horizontal="center" vertical="center" wrapText="1"/>
    </xf>
    <xf numFmtId="2" fontId="7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8" fillId="0" borderId="19" xfId="907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65" fillId="0" borderId="0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7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49" fontId="65" fillId="0" borderId="2" xfId="907" applyNumberFormat="1" applyFont="1" applyFill="1" applyBorder="1" applyAlignment="1">
      <alignment horizontal="center" vertical="center" wrapText="1"/>
    </xf>
    <xf numFmtId="49" fontId="21" fillId="0" borderId="2" xfId="907" applyNumberFormat="1" applyFont="1" applyFill="1" applyBorder="1" applyAlignment="1">
      <alignment horizontal="left" vertical="center" wrapText="1"/>
    </xf>
    <xf numFmtId="0" fontId="115" fillId="0" borderId="2" xfId="907" applyNumberFormat="1" applyFont="1" applyFill="1" applyBorder="1" applyAlignment="1">
      <alignment horizontal="center" vertical="center" wrapText="1"/>
    </xf>
    <xf numFmtId="0" fontId="21" fillId="0" borderId="2" xfId="907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 wrapText="1"/>
    </xf>
    <xf numFmtId="49" fontId="65" fillId="0" borderId="20" xfId="0" applyNumberFormat="1" applyFont="1" applyFill="1" applyBorder="1" applyAlignment="1">
      <alignment horizontal="center" vertical="center" wrapText="1"/>
    </xf>
    <xf numFmtId="49" fontId="15" fillId="40" borderId="1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49" fontId="82" fillId="0" borderId="19" xfId="0" applyNumberFormat="1" applyFont="1" applyFill="1" applyBorder="1" applyAlignment="1">
      <alignment horizontal="center" vertical="center" wrapText="1"/>
    </xf>
    <xf numFmtId="0" fontId="82" fillId="0" borderId="19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0" fontId="115" fillId="0" borderId="1" xfId="907" applyNumberFormat="1" applyFont="1" applyFill="1" applyBorder="1" applyAlignment="1">
      <alignment horizontal="center" vertical="center" wrapText="1"/>
    </xf>
    <xf numFmtId="49" fontId="8" fillId="0" borderId="20" xfId="907" applyNumberFormat="1" applyFont="1" applyFill="1" applyBorder="1" applyAlignment="1">
      <alignment horizontal="center" vertical="top" wrapText="1"/>
    </xf>
    <xf numFmtId="49" fontId="8" fillId="31" borderId="20" xfId="907" applyNumberFormat="1" applyFont="1" applyFill="1" applyBorder="1" applyAlignment="1">
      <alignment horizontal="center" vertical="top" wrapText="1"/>
    </xf>
    <xf numFmtId="49" fontId="65" fillId="31" borderId="1" xfId="907" applyNumberFormat="1" applyFont="1" applyFill="1" applyBorder="1" applyAlignment="1">
      <alignment horizontal="center" vertical="center" wrapText="1"/>
    </xf>
    <xf numFmtId="49" fontId="103" fillId="0" borderId="1" xfId="0" applyNumberFormat="1" applyFont="1" applyFill="1" applyBorder="1" applyAlignment="1">
      <alignment horizontal="center" vertical="top" wrapText="1"/>
    </xf>
    <xf numFmtId="9" fontId="21" fillId="0" borderId="4" xfId="0" applyNumberFormat="1" applyFont="1" applyFill="1" applyBorder="1" applyAlignment="1">
      <alignment horizontal="center" vertical="center" wrapText="1"/>
    </xf>
    <xf numFmtId="49" fontId="7" fillId="31" borderId="1" xfId="0" applyNumberFormat="1" applyFont="1" applyFill="1" applyBorder="1" applyAlignment="1">
      <alignment horizontal="center" vertical="top" wrapText="1"/>
    </xf>
    <xf numFmtId="49" fontId="17" fillId="40" borderId="1" xfId="0" applyNumberFormat="1" applyFont="1" applyFill="1" applyBorder="1" applyAlignment="1">
      <alignment horizontal="center" vertical="center" wrapText="1"/>
    </xf>
    <xf numFmtId="0" fontId="21" fillId="40" borderId="1" xfId="0" applyNumberFormat="1" applyFont="1" applyFill="1" applyBorder="1" applyAlignment="1">
      <alignment horizontal="center" vertical="center" wrapText="1"/>
    </xf>
    <xf numFmtId="2" fontId="13" fillId="0" borderId="1" xfId="901" applyNumberFormat="1" applyFont="1" applyBorder="1" applyAlignment="1">
      <alignment horizontal="center" vertical="center" wrapText="1"/>
    </xf>
    <xf numFmtId="49" fontId="21" fillId="27" borderId="1" xfId="633" applyNumberFormat="1" applyFont="1" applyFill="1" applyBorder="1" applyAlignment="1">
      <alignment horizontal="left" vertical="center" wrapText="1"/>
    </xf>
    <xf numFmtId="49" fontId="65" fillId="27" borderId="1" xfId="633" applyNumberFormat="1" applyFont="1" applyFill="1" applyBorder="1" applyAlignment="1">
      <alignment horizontal="center" vertical="center" wrapText="1"/>
    </xf>
    <xf numFmtId="0" fontId="8" fillId="27" borderId="20" xfId="633" applyNumberFormat="1" applyFont="1" applyFill="1" applyBorder="1" applyAlignment="1">
      <alignment horizontal="center" vertical="center" wrapText="1"/>
    </xf>
    <xf numFmtId="49" fontId="21" fillId="27" borderId="1" xfId="909" applyNumberFormat="1" applyFont="1" applyFill="1" applyBorder="1" applyAlignment="1">
      <alignment horizontal="left" vertical="center" wrapText="1"/>
    </xf>
    <xf numFmtId="0" fontId="65" fillId="27" borderId="1" xfId="0" applyNumberFormat="1" applyFont="1" applyFill="1" applyBorder="1" applyAlignment="1">
      <alignment horizontal="center" vertical="center" wrapText="1"/>
    </xf>
    <xf numFmtId="49" fontId="65" fillId="27" borderId="1" xfId="681" applyNumberFormat="1" applyFont="1" applyFill="1" applyBorder="1" applyAlignment="1">
      <alignment horizontal="center" vertical="center" wrapText="1"/>
    </xf>
    <xf numFmtId="49" fontId="21" fillId="27" borderId="1" xfId="681" applyNumberFormat="1" applyFont="1" applyFill="1" applyBorder="1" applyAlignment="1">
      <alignment horizontal="left" vertical="center" wrapText="1"/>
    </xf>
    <xf numFmtId="0" fontId="65" fillId="27" borderId="1" xfId="681" applyNumberFormat="1" applyFont="1" applyFill="1" applyBorder="1" applyAlignment="1">
      <alignment horizontal="center" vertical="center" wrapText="1"/>
    </xf>
    <xf numFmtId="49" fontId="118" fillId="0" borderId="2" xfId="0" applyNumberFormat="1" applyFont="1" applyFill="1" applyBorder="1" applyAlignment="1">
      <alignment horizontal="center" vertical="top" wrapText="1"/>
    </xf>
    <xf numFmtId="49" fontId="21" fillId="0" borderId="2" xfId="0" applyNumberFormat="1" applyFont="1" applyFill="1" applyBorder="1" applyAlignment="1" applyProtection="1">
      <alignment horizontal="left" vertical="center" wrapText="1"/>
    </xf>
    <xf numFmtId="49" fontId="106" fillId="0" borderId="20" xfId="0" applyNumberFormat="1" applyFont="1" applyFill="1" applyBorder="1" applyAlignment="1">
      <alignment horizontal="center" vertical="top" wrapText="1"/>
    </xf>
    <xf numFmtId="49" fontId="21" fillId="0" borderId="20" xfId="0" applyNumberFormat="1" applyFont="1" applyFill="1" applyBorder="1" applyAlignment="1" applyProtection="1">
      <alignment horizontal="left" vertical="center" wrapText="1"/>
    </xf>
    <xf numFmtId="2" fontId="85" fillId="0" borderId="1" xfId="0" applyNumberFormat="1" applyFont="1" applyFill="1" applyBorder="1" applyAlignment="1">
      <alignment horizontal="center" vertical="center" wrapText="1"/>
    </xf>
    <xf numFmtId="0" fontId="78" fillId="0" borderId="1" xfId="0" applyNumberFormat="1" applyFont="1" applyFill="1" applyBorder="1" applyAlignment="1">
      <alignment horizontal="center" vertical="center" wrapText="1"/>
    </xf>
    <xf numFmtId="2" fontId="21" fillId="0" borderId="1" xfId="633" applyNumberFormat="1" applyFont="1" applyFill="1" applyBorder="1" applyAlignment="1">
      <alignment horizontal="center" vertical="center" wrapText="1"/>
    </xf>
    <xf numFmtId="2" fontId="13" fillId="0" borderId="1" xfId="682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 applyProtection="1">
      <alignment horizontal="left" vertical="center" wrapText="1"/>
    </xf>
    <xf numFmtId="49" fontId="21" fillId="0" borderId="20" xfId="1" applyNumberFormat="1" applyFont="1" applyFill="1" applyBorder="1" applyAlignment="1" applyProtection="1">
      <alignment horizontal="left" vertical="center" wrapText="1"/>
    </xf>
    <xf numFmtId="49" fontId="21" fillId="27" borderId="1" xfId="0" applyNumberFormat="1" applyFont="1" applyFill="1" applyBorder="1" applyAlignment="1">
      <alignment horizontal="left" vertical="center" wrapText="1"/>
    </xf>
    <xf numFmtId="0" fontId="65" fillId="27" borderId="1" xfId="633" applyNumberFormat="1" applyFont="1" applyFill="1" applyBorder="1" applyAlignment="1">
      <alignment horizontal="center" vertical="center" wrapText="1"/>
    </xf>
    <xf numFmtId="0" fontId="8" fillId="27" borderId="1" xfId="633" applyNumberFormat="1" applyFont="1" applyFill="1" applyBorder="1" applyAlignment="1">
      <alignment horizontal="center" vertical="center" wrapText="1"/>
    </xf>
    <xf numFmtId="49" fontId="8" fillId="27" borderId="1" xfId="633" applyNumberFormat="1" applyFont="1" applyFill="1" applyBorder="1" applyAlignment="1">
      <alignment horizontal="center" vertical="top" wrapText="1"/>
    </xf>
    <xf numFmtId="49" fontId="21" fillId="27" borderId="1" xfId="633" applyNumberFormat="1" applyFont="1" applyFill="1" applyBorder="1" applyAlignment="1">
      <alignment horizontal="center" vertical="center" wrapText="1"/>
    </xf>
    <xf numFmtId="0" fontId="21" fillId="27" borderId="20" xfId="633" applyNumberFormat="1" applyFont="1" applyFill="1" applyBorder="1" applyAlignment="1">
      <alignment horizontal="center" vertical="center" wrapText="1"/>
    </xf>
    <xf numFmtId="2" fontId="21" fillId="27" borderId="20" xfId="901" applyNumberFormat="1" applyFont="1" applyFill="1" applyBorder="1" applyAlignment="1">
      <alignment horizontal="center" vertical="center" wrapText="1"/>
    </xf>
    <xf numFmtId="0" fontId="17" fillId="40" borderId="1" xfId="0" applyNumberFormat="1" applyFont="1" applyFill="1" applyBorder="1" applyAlignment="1">
      <alignment horizontal="center" vertical="center" wrapText="1"/>
    </xf>
    <xf numFmtId="49" fontId="21" fillId="0" borderId="1" xfId="633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 applyProtection="1">
      <alignment vertical="center" wrapText="1"/>
    </xf>
    <xf numFmtId="49" fontId="21" fillId="0" borderId="20" xfId="1" applyNumberFormat="1" applyFont="1" applyFill="1" applyBorder="1" applyAlignment="1" applyProtection="1">
      <alignment vertical="center" wrapText="1"/>
    </xf>
    <xf numFmtId="49" fontId="8" fillId="0" borderId="20" xfId="681" applyNumberFormat="1" applyFont="1" applyFill="1" applyBorder="1" applyAlignment="1">
      <alignment horizontal="center" vertical="top" wrapText="1"/>
    </xf>
    <xf numFmtId="0" fontId="8" fillId="0" borderId="1" xfId="907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13" fillId="27" borderId="1" xfId="633" applyNumberFormat="1" applyFont="1" applyFill="1" applyBorder="1" applyAlignment="1">
      <alignment horizontal="left" vertical="center" wrapText="1"/>
    </xf>
    <xf numFmtId="0" fontId="8" fillId="0" borderId="1" xfId="633" applyNumberFormat="1" applyFont="1" applyFill="1" applyBorder="1" applyAlignment="1">
      <alignment horizontal="left" vertical="center" wrapText="1"/>
    </xf>
    <xf numFmtId="49" fontId="8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71" fillId="0" borderId="1" xfId="2" applyFont="1" applyFill="1" applyBorder="1" applyAlignment="1">
      <alignment vertical="center" wrapText="1"/>
    </xf>
    <xf numFmtId="2" fontId="121" fillId="0" borderId="1" xfId="0" applyNumberFormat="1" applyFont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13" fillId="36" borderId="1" xfId="0" applyFont="1" applyFill="1" applyBorder="1" applyAlignment="1">
      <alignment horizontal="left" vertical="center" wrapText="1"/>
    </xf>
    <xf numFmtId="0" fontId="13" fillId="0" borderId="20" xfId="907" applyNumberFormat="1" applyFont="1" applyFill="1" applyBorder="1" applyAlignment="1">
      <alignment horizontal="center" vertical="top" wrapText="1"/>
    </xf>
    <xf numFmtId="0" fontId="21" fillId="27" borderId="1" xfId="633" applyNumberFormat="1" applyFont="1" applyFill="1" applyBorder="1" applyAlignment="1">
      <alignment horizontal="left" vertical="center" wrapText="1"/>
    </xf>
    <xf numFmtId="49" fontId="8" fillId="0" borderId="1" xfId="907" applyNumberFormat="1" applyFont="1" applyFill="1" applyBorder="1" applyAlignment="1">
      <alignment horizontal="center" vertical="top" wrapText="1"/>
    </xf>
    <xf numFmtId="2" fontId="13" fillId="27" borderId="1" xfId="901" applyNumberFormat="1" applyFont="1" applyFill="1" applyBorder="1" applyAlignment="1">
      <alignment horizontal="center" vertical="center" wrapText="1"/>
    </xf>
    <xf numFmtId="49" fontId="73" fillId="0" borderId="0" xfId="0" applyNumberFormat="1" applyFont="1" applyAlignment="1">
      <alignment horizontal="center" vertical="top" wrapText="1"/>
    </xf>
    <xf numFmtId="49" fontId="7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82" fillId="0" borderId="0" xfId="0" applyNumberFormat="1" applyFont="1" applyFill="1" applyAlignment="1">
      <alignment wrapText="1"/>
    </xf>
    <xf numFmtId="0" fontId="15" fillId="38" borderId="1" xfId="0" applyNumberFormat="1" applyFont="1" applyFill="1" applyBorder="1" applyAlignment="1">
      <alignment horizontal="center" vertical="center" wrapText="1"/>
    </xf>
    <xf numFmtId="2" fontId="15" fillId="38" borderId="1" xfId="0" applyNumberFormat="1" applyFont="1" applyFill="1" applyBorder="1" applyAlignment="1">
      <alignment horizontal="center" vertical="center" wrapText="1"/>
    </xf>
    <xf numFmtId="0" fontId="0" fillId="38" borderId="1" xfId="0" applyFill="1" applyBorder="1"/>
    <xf numFmtId="49" fontId="21" fillId="38" borderId="1" xfId="0" applyNumberFormat="1" applyFont="1" applyFill="1" applyBorder="1" applyAlignment="1">
      <alignment horizontal="center"/>
    </xf>
    <xf numFmtId="2" fontId="92" fillId="38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49" fontId="21" fillId="0" borderId="1" xfId="646" applyNumberFormat="1" applyFont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 wrapText="1"/>
    </xf>
    <xf numFmtId="49" fontId="14" fillId="0" borderId="2" xfId="0" applyNumberFormat="1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vertical="center" wrapText="1"/>
    </xf>
    <xf numFmtId="49" fontId="21" fillId="0" borderId="20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2" borderId="20" xfId="0" applyNumberFormat="1" applyFont="1" applyFill="1" applyBorder="1" applyAlignment="1">
      <alignment horizontal="center" vertical="center" wrapText="1"/>
    </xf>
    <xf numFmtId="49" fontId="8" fillId="0" borderId="1" xfId="901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0" xfId="633" applyNumberFormat="1" applyFont="1" applyFill="1" applyBorder="1" applyAlignment="1">
      <alignment horizontal="center"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901" applyNumberFormat="1" applyFont="1" applyFill="1" applyBorder="1" applyAlignment="1">
      <alignment horizontal="center" vertical="center" wrapText="1"/>
    </xf>
    <xf numFmtId="49" fontId="66" fillId="0" borderId="2" xfId="0" applyNumberFormat="1" applyFont="1" applyFill="1" applyBorder="1" applyAlignment="1">
      <alignment horizontal="center" vertical="top" wrapText="1"/>
    </xf>
    <xf numFmtId="49" fontId="66" fillId="0" borderId="19" xfId="0" applyNumberFormat="1" applyFont="1" applyFill="1" applyBorder="1" applyAlignment="1">
      <alignment horizontal="center" vertical="top" wrapText="1"/>
    </xf>
    <xf numFmtId="49" fontId="66" fillId="0" borderId="20" xfId="0" applyNumberFormat="1" applyFont="1" applyFill="1" applyBorder="1" applyAlignment="1">
      <alignment horizontal="center" vertical="top" wrapText="1"/>
    </xf>
    <xf numFmtId="49" fontId="8" fillId="0" borderId="1" xfId="901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vertical="center" wrapText="1"/>
    </xf>
    <xf numFmtId="49" fontId="68" fillId="0" borderId="2" xfId="901" applyNumberFormat="1" applyFont="1" applyFill="1" applyBorder="1" applyAlignment="1">
      <alignment horizontal="center" vertical="top" wrapText="1"/>
    </xf>
    <xf numFmtId="49" fontId="68" fillId="0" borderId="20" xfId="901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5" fillId="0" borderId="20" xfId="0" applyNumberFormat="1" applyFont="1" applyFill="1" applyBorder="1" applyAlignment="1">
      <alignment horizontal="center" vertical="top" wrapText="1"/>
    </xf>
    <xf numFmtId="49" fontId="8" fillId="0" borderId="19" xfId="907" applyNumberFormat="1" applyFont="1" applyFill="1" applyBorder="1" applyAlignment="1">
      <alignment horizontal="center" vertical="top" wrapText="1"/>
    </xf>
    <xf numFmtId="49" fontId="71" fillId="0" borderId="1" xfId="0" applyNumberFormat="1" applyFont="1" applyFill="1" applyBorder="1" applyAlignment="1">
      <alignment vertical="center" wrapText="1"/>
    </xf>
    <xf numFmtId="0" fontId="71" fillId="0" borderId="1" xfId="901" applyNumberFormat="1" applyFont="1" applyFill="1" applyBorder="1" applyAlignment="1">
      <alignment horizontal="center" vertical="center" wrapText="1"/>
    </xf>
    <xf numFmtId="0" fontId="123" fillId="0" borderId="20" xfId="633" applyNumberFormat="1" applyFont="1" applyFill="1" applyBorder="1" applyAlignment="1">
      <alignment horizontal="center" vertical="center" wrapText="1"/>
    </xf>
    <xf numFmtId="0" fontId="87" fillId="0" borderId="1" xfId="633" applyNumberFormat="1" applyFont="1" applyFill="1" applyBorder="1" applyAlignment="1">
      <alignment horizontal="center" vertical="center" wrapText="1"/>
    </xf>
    <xf numFmtId="2" fontId="123" fillId="0" borderId="1" xfId="0" applyNumberFormat="1" applyFont="1" applyFill="1" applyBorder="1" applyAlignment="1">
      <alignment horizontal="center" vertical="center" wrapText="1"/>
    </xf>
    <xf numFmtId="0" fontId="123" fillId="0" borderId="1" xfId="0" applyNumberFormat="1" applyFont="1" applyFill="1" applyBorder="1" applyAlignment="1">
      <alignment horizontal="center" vertical="center" wrapText="1"/>
    </xf>
    <xf numFmtId="0" fontId="123" fillId="0" borderId="1" xfId="2" applyNumberFormat="1" applyFont="1" applyFill="1" applyBorder="1" applyAlignment="1">
      <alignment horizontal="center" vertical="center" wrapText="1"/>
    </xf>
    <xf numFmtId="2" fontId="124" fillId="0" borderId="1" xfId="0" applyNumberFormat="1" applyFont="1" applyFill="1" applyBorder="1" applyAlignment="1">
      <alignment horizontal="center" vertical="center" wrapText="1"/>
    </xf>
    <xf numFmtId="2" fontId="124" fillId="0" borderId="1" xfId="0" applyNumberFormat="1" applyFont="1" applyBorder="1" applyAlignment="1">
      <alignment horizontal="center" vertical="center" wrapText="1"/>
    </xf>
    <xf numFmtId="0" fontId="15" fillId="30" borderId="1" xfId="0" applyNumberFormat="1" applyFont="1" applyFill="1" applyBorder="1" applyAlignment="1">
      <alignment horizontal="center" vertical="center" wrapText="1"/>
    </xf>
    <xf numFmtId="0" fontId="125" fillId="0" borderId="1" xfId="0" applyNumberFormat="1" applyFont="1" applyFill="1" applyBorder="1" applyAlignment="1">
      <alignment horizontal="center" vertical="center" wrapText="1"/>
    </xf>
    <xf numFmtId="0" fontId="13" fillId="27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49" fontId="65" fillId="0" borderId="20" xfId="633" applyNumberFormat="1" applyFont="1" applyBorder="1" applyAlignment="1">
      <alignment horizontal="center" vertical="center" wrapText="1"/>
    </xf>
    <xf numFmtId="0" fontId="123" fillId="0" borderId="20" xfId="0" applyNumberFormat="1" applyFont="1" applyBorder="1" applyAlignment="1">
      <alignment horizontal="center" vertical="center" wrapText="1"/>
    </xf>
    <xf numFmtId="0" fontId="123" fillId="0" borderId="1" xfId="682" applyNumberFormat="1" applyFont="1" applyBorder="1" applyAlignment="1">
      <alignment horizontal="center" vertical="center" wrapText="1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20" xfId="633" applyNumberFormat="1" applyFont="1" applyBorder="1" applyAlignment="1">
      <alignment horizontal="center" vertical="center" wrapText="1"/>
    </xf>
    <xf numFmtId="49" fontId="8" fillId="0" borderId="20" xfId="633" applyNumberFormat="1" applyFont="1" applyBorder="1" applyAlignment="1">
      <alignment horizontal="center" vertical="center" wrapText="1"/>
    </xf>
    <xf numFmtId="0" fontId="123" fillId="0" borderId="1" xfId="633" applyNumberFormat="1" applyFont="1" applyBorder="1" applyAlignment="1">
      <alignment horizontal="center" vertical="center" wrapText="1"/>
    </xf>
    <xf numFmtId="0" fontId="125" fillId="0" borderId="1" xfId="0" applyNumberFormat="1" applyFont="1" applyBorder="1" applyAlignment="1">
      <alignment horizontal="center" vertical="center" wrapText="1"/>
    </xf>
    <xf numFmtId="0" fontId="125" fillId="0" borderId="2" xfId="0" applyNumberFormat="1" applyFont="1" applyFill="1" applyBorder="1" applyAlignment="1">
      <alignment horizontal="center" vertical="center" wrapText="1"/>
    </xf>
    <xf numFmtId="0" fontId="125" fillId="0" borderId="20" xfId="0" applyNumberFormat="1" applyFont="1" applyBorder="1" applyAlignment="1">
      <alignment horizontal="center" vertical="center" wrapText="1"/>
    </xf>
    <xf numFmtId="0" fontId="13" fillId="30" borderId="1" xfId="0" applyNumberFormat="1" applyFont="1" applyFill="1" applyBorder="1" applyAlignment="1">
      <alignment horizontal="center" vertical="center" wrapText="1"/>
    </xf>
    <xf numFmtId="0" fontId="21" fillId="30" borderId="1" xfId="907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9" fontId="65" fillId="31" borderId="1" xfId="654" applyNumberFormat="1" applyFont="1" applyFill="1" applyBorder="1" applyAlignment="1">
      <alignment horizontal="center" vertical="center" wrapText="1"/>
    </xf>
    <xf numFmtId="0" fontId="87" fillId="31" borderId="1" xfId="654" applyNumberFormat="1" applyFont="1" applyFill="1" applyBorder="1" applyAlignment="1">
      <alignment horizontal="center" vertical="center" wrapText="1"/>
    </xf>
    <xf numFmtId="2" fontId="123" fillId="0" borderId="1" xfId="903" applyNumberFormat="1" applyFont="1" applyFill="1" applyBorder="1" applyAlignment="1">
      <alignment horizontal="center" vertical="center" wrapText="1"/>
    </xf>
    <xf numFmtId="2" fontId="123" fillId="0" borderId="1" xfId="904" applyNumberFormat="1" applyFont="1" applyFill="1" applyBorder="1" applyAlignment="1">
      <alignment horizontal="center" vertical="center" wrapText="1"/>
    </xf>
    <xf numFmtId="2" fontId="8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3" fillId="0" borderId="1" xfId="654" applyNumberFormat="1" applyFont="1" applyFill="1" applyBorder="1" applyAlignment="1">
      <alignment horizontal="center" vertical="center" wrapText="1"/>
    </xf>
    <xf numFmtId="49" fontId="81" fillId="0" borderId="0" xfId="0" applyNumberFormat="1" applyFont="1" applyFill="1" applyAlignment="1">
      <alignment horizontal="center" vertical="center" wrapText="1"/>
    </xf>
    <xf numFmtId="0" fontId="123" fillId="0" borderId="1" xfId="1" applyNumberFormat="1" applyFont="1" applyFill="1" applyBorder="1" applyAlignment="1" applyProtection="1">
      <alignment horizontal="center" vertical="center" wrapText="1"/>
    </xf>
    <xf numFmtId="0" fontId="87" fillId="0" borderId="1" xfId="901" applyNumberFormat="1" applyFont="1" applyFill="1" applyBorder="1" applyAlignment="1" applyProtection="1">
      <alignment horizontal="center" vertical="center" wrapText="1"/>
    </xf>
    <xf numFmtId="2" fontId="123" fillId="0" borderId="1" xfId="901" applyNumberFormat="1" applyFont="1" applyFill="1" applyBorder="1" applyAlignment="1" applyProtection="1">
      <alignment horizontal="center" vertical="center" wrapText="1"/>
    </xf>
    <xf numFmtId="0" fontId="123" fillId="0" borderId="1" xfId="901" applyNumberFormat="1" applyFont="1" applyFill="1" applyBorder="1" applyAlignment="1" applyProtection="1">
      <alignment horizontal="center" vertical="center" wrapText="1"/>
    </xf>
    <xf numFmtId="49" fontId="71" fillId="0" borderId="1" xfId="2" applyNumberFormat="1" applyFont="1" applyFill="1" applyBorder="1" applyAlignment="1">
      <alignment vertical="center" wrapText="1"/>
    </xf>
    <xf numFmtId="0" fontId="87" fillId="0" borderId="1" xfId="2" applyNumberFormat="1" applyFont="1" applyFill="1" applyBorder="1" applyAlignment="1">
      <alignment horizontal="center" vertical="center" wrapText="1"/>
    </xf>
    <xf numFmtId="0" fontId="126" fillId="0" borderId="1" xfId="2" applyNumberFormat="1" applyFont="1" applyFill="1" applyBorder="1" applyAlignment="1">
      <alignment horizontal="center" vertical="center" wrapText="1"/>
    </xf>
    <xf numFmtId="0" fontId="124" fillId="0" borderId="20" xfId="0" applyNumberFormat="1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24" fillId="0" borderId="1" xfId="0" applyNumberFormat="1" applyFont="1" applyBorder="1" applyAlignment="1">
      <alignment horizontal="center" vertical="center" wrapText="1"/>
    </xf>
    <xf numFmtId="0" fontId="124" fillId="0" borderId="1" xfId="0" applyNumberFormat="1" applyFont="1" applyFill="1" applyBorder="1" applyAlignment="1">
      <alignment horizontal="center" vertical="center" wrapText="1"/>
    </xf>
    <xf numFmtId="49" fontId="65" fillId="0" borderId="20" xfId="633" applyNumberFormat="1" applyFont="1" applyFill="1" applyBorder="1" applyAlignment="1">
      <alignment horizontal="center" vertical="center" wrapText="1"/>
    </xf>
    <xf numFmtId="49" fontId="21" fillId="0" borderId="20" xfId="633" applyNumberFormat="1" applyFont="1" applyFill="1" applyBorder="1" applyAlignment="1">
      <alignment horizontal="left" vertical="center" wrapText="1"/>
    </xf>
    <xf numFmtId="0" fontId="87" fillId="0" borderId="20" xfId="633" applyNumberFormat="1" applyFont="1" applyFill="1" applyBorder="1" applyAlignment="1">
      <alignment horizontal="center" vertical="center" wrapText="1"/>
    </xf>
    <xf numFmtId="2" fontId="123" fillId="0" borderId="20" xfId="0" applyNumberFormat="1" applyFont="1" applyFill="1" applyBorder="1" applyAlignment="1">
      <alignment horizontal="center" vertical="center" wrapText="1"/>
    </xf>
    <xf numFmtId="49" fontId="13" fillId="0" borderId="20" xfId="633" applyNumberFormat="1" applyFont="1" applyFill="1" applyBorder="1" applyAlignment="1">
      <alignment horizontal="left" vertical="center" wrapText="1"/>
    </xf>
    <xf numFmtId="49" fontId="8" fillId="0" borderId="1" xfId="682" applyNumberFormat="1" applyFont="1" applyFill="1" applyBorder="1" applyAlignment="1">
      <alignment horizontal="center" vertical="center" wrapText="1"/>
    </xf>
    <xf numFmtId="0" fontId="123" fillId="0" borderId="20" xfId="0" applyNumberFormat="1" applyFont="1" applyFill="1" applyBorder="1" applyAlignment="1">
      <alignment horizontal="center" vertical="center" wrapText="1"/>
    </xf>
    <xf numFmtId="0" fontId="123" fillId="0" borderId="1" xfId="682" applyNumberFormat="1" applyFont="1" applyFill="1" applyBorder="1" applyAlignment="1">
      <alignment horizontal="center" vertical="center" wrapText="1"/>
    </xf>
    <xf numFmtId="49" fontId="65" fillId="0" borderId="2" xfId="0" applyNumberFormat="1" applyFont="1" applyFill="1" applyBorder="1" applyAlignment="1">
      <alignment horizontal="center" vertical="center" wrapText="1"/>
    </xf>
    <xf numFmtId="49" fontId="21" fillId="0" borderId="2" xfId="633" applyNumberFormat="1" applyFont="1" applyFill="1" applyBorder="1" applyAlignment="1">
      <alignment vertical="center" wrapText="1"/>
    </xf>
    <xf numFmtId="49" fontId="21" fillId="0" borderId="20" xfId="633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654" applyNumberFormat="1" applyFont="1" applyBorder="1" applyAlignment="1">
      <alignment horizontal="center" vertical="center" wrapText="1"/>
    </xf>
    <xf numFmtId="0" fontId="123" fillId="0" borderId="1" xfId="633" applyNumberFormat="1" applyFont="1" applyFill="1" applyBorder="1" applyAlignment="1">
      <alignment horizontal="center" vertical="center" wrapText="1"/>
    </xf>
    <xf numFmtId="49" fontId="13" fillId="39" borderId="1" xfId="0" applyNumberFormat="1" applyFont="1" applyFill="1" applyBorder="1" applyAlignment="1">
      <alignment horizontal="left" vertical="center" wrapText="1"/>
    </xf>
    <xf numFmtId="0" fontId="123" fillId="39" borderId="1" xfId="633" applyNumberFormat="1" applyFont="1" applyFill="1" applyBorder="1" applyAlignment="1">
      <alignment horizontal="center" vertical="center" wrapText="1"/>
    </xf>
    <xf numFmtId="0" fontId="123" fillId="0" borderId="1" xfId="0" applyNumberFormat="1" applyFont="1" applyFill="1" applyBorder="1" applyAlignment="1">
      <alignment vertical="center" wrapText="1"/>
    </xf>
    <xf numFmtId="2" fontId="123" fillId="0" borderId="1" xfId="0" applyNumberFormat="1" applyFont="1" applyFill="1" applyBorder="1" applyAlignment="1">
      <alignment vertical="center" wrapText="1"/>
    </xf>
    <xf numFmtId="0" fontId="123" fillId="39" borderId="20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49" fontId="13" fillId="0" borderId="32" xfId="0" applyNumberFormat="1" applyFont="1" applyFill="1" applyBorder="1" applyAlignment="1">
      <alignment horizontal="left" vertical="center" wrapText="1"/>
    </xf>
    <xf numFmtId="49" fontId="73" fillId="0" borderId="0" xfId="0" applyNumberFormat="1" applyFont="1" applyAlignment="1">
      <alignment wrapText="1"/>
    </xf>
    <xf numFmtId="0" fontId="87" fillId="39" borderId="20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left" vertical="center" wrapText="1"/>
    </xf>
    <xf numFmtId="0" fontId="126" fillId="0" borderId="20" xfId="0" applyNumberFormat="1" applyFont="1" applyFill="1" applyBorder="1" applyAlignment="1">
      <alignment horizontal="center" vertical="center" wrapText="1"/>
    </xf>
    <xf numFmtId="49" fontId="65" fillId="27" borderId="20" xfId="0" applyNumberFormat="1" applyFont="1" applyFill="1" applyBorder="1" applyAlignment="1">
      <alignment horizontal="center" vertical="center" wrapText="1"/>
    </xf>
    <xf numFmtId="49" fontId="21" fillId="2" borderId="1" xfId="901" applyNumberFormat="1" applyFont="1" applyFill="1" applyBorder="1" applyAlignment="1">
      <alignment horizontal="center" vertical="top" wrapText="1"/>
    </xf>
    <xf numFmtId="49" fontId="21" fillId="0" borderId="1" xfId="901" applyNumberFormat="1" applyFont="1" applyFill="1" applyBorder="1" applyAlignment="1">
      <alignment horizontal="center" vertical="center" wrapText="1"/>
    </xf>
    <xf numFmtId="49" fontId="13" fillId="0" borderId="1" xfId="901" applyNumberFormat="1" applyFont="1" applyFill="1" applyBorder="1" applyAlignment="1">
      <alignment horizontal="center" vertical="center" wrapText="1"/>
    </xf>
    <xf numFmtId="49" fontId="128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2" fontId="75" fillId="0" borderId="1" xfId="0" applyNumberFormat="1" applyFont="1" applyFill="1" applyBorder="1" applyAlignment="1">
      <alignment horizontal="center" vertical="center" wrapText="1"/>
    </xf>
    <xf numFmtId="0" fontId="78" fillId="0" borderId="1" xfId="2" applyNumberFormat="1" applyFont="1" applyFill="1" applyBorder="1" applyAlignment="1">
      <alignment horizontal="center" vertical="center" wrapText="1"/>
    </xf>
    <xf numFmtId="0" fontId="131" fillId="0" borderId="1" xfId="2" applyNumberFormat="1" applyFont="1" applyFill="1" applyBorder="1" applyAlignment="1">
      <alignment horizontal="center" vertical="center" wrapText="1"/>
    </xf>
    <xf numFmtId="49" fontId="66" fillId="3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3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0" fillId="0" borderId="0" xfId="0" applyFill="1"/>
    <xf numFmtId="49" fontId="8" fillId="30" borderId="1" xfId="0" applyNumberFormat="1" applyFont="1" applyFill="1" applyBorder="1" applyAlignment="1">
      <alignment horizontal="center" vertical="top" wrapText="1"/>
    </xf>
    <xf numFmtId="49" fontId="8" fillId="30" borderId="20" xfId="0" applyNumberFormat="1" applyFont="1" applyFill="1" applyBorder="1" applyAlignment="1">
      <alignment horizontal="center" vertical="top" wrapText="1"/>
    </xf>
    <xf numFmtId="49" fontId="8" fillId="30" borderId="2" xfId="0" applyNumberFormat="1" applyFont="1" applyFill="1" applyBorder="1" applyAlignment="1">
      <alignment horizontal="center" vertical="top" wrapText="1"/>
    </xf>
    <xf numFmtId="49" fontId="8" fillId="30" borderId="19" xfId="0" applyNumberFormat="1" applyFont="1" applyFill="1" applyBorder="1" applyAlignment="1">
      <alignment horizontal="center" vertical="top" wrapText="1"/>
    </xf>
    <xf numFmtId="49" fontId="68" fillId="30" borderId="2" xfId="901" applyNumberFormat="1" applyFont="1" applyFill="1" applyBorder="1" applyAlignment="1">
      <alignment horizontal="center" vertical="top" wrapText="1"/>
    </xf>
    <xf numFmtId="49" fontId="68" fillId="30" borderId="20" xfId="901" applyNumberFormat="1" applyFont="1" applyFill="1" applyBorder="1" applyAlignment="1">
      <alignment horizontal="center" vertical="top" wrapText="1"/>
    </xf>
    <xf numFmtId="49" fontId="65" fillId="30" borderId="1" xfId="0" applyNumberFormat="1" applyFont="1" applyFill="1" applyBorder="1" applyAlignment="1">
      <alignment horizontal="center" vertical="top" wrapText="1"/>
    </xf>
    <xf numFmtId="49" fontId="127" fillId="30" borderId="1" xfId="901" applyNumberFormat="1" applyFont="1" applyFill="1" applyBorder="1" applyAlignment="1">
      <alignment horizontal="center" vertical="top" wrapText="1"/>
    </xf>
    <xf numFmtId="49" fontId="13" fillId="30" borderId="20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30" borderId="2" xfId="0" applyNumberFormat="1" applyFont="1" applyFill="1" applyBorder="1" applyAlignment="1">
      <alignment horizontal="center" vertical="top" wrapText="1"/>
    </xf>
    <xf numFmtId="49" fontId="8" fillId="30" borderId="19" xfId="0" applyNumberFormat="1" applyFont="1" applyFill="1" applyBorder="1" applyAlignment="1">
      <alignment horizontal="center" vertical="top" wrapText="1"/>
    </xf>
    <xf numFmtId="49" fontId="8" fillId="30" borderId="20" xfId="0" applyNumberFormat="1" applyFont="1" applyFill="1" applyBorder="1" applyAlignment="1">
      <alignment horizontal="center" vertical="top" wrapText="1"/>
    </xf>
    <xf numFmtId="49" fontId="8" fillId="30" borderId="1" xfId="0" applyNumberFormat="1" applyFont="1" applyFill="1" applyBorder="1" applyAlignment="1">
      <alignment horizontal="center" vertical="top" wrapText="1"/>
    </xf>
    <xf numFmtId="0" fontId="124" fillId="0" borderId="37" xfId="0" applyFont="1" applyFill="1" applyBorder="1" applyAlignment="1">
      <alignment horizontal="center" vertical="center" wrapText="1"/>
    </xf>
    <xf numFmtId="0" fontId="124" fillId="0" borderId="38" xfId="0" applyFont="1" applyFill="1" applyBorder="1" applyAlignment="1">
      <alignment horizontal="center" vertical="center" wrapText="1"/>
    </xf>
    <xf numFmtId="0" fontId="124" fillId="0" borderId="39" xfId="0" applyFont="1" applyFill="1" applyBorder="1" applyAlignment="1">
      <alignment horizontal="center" vertical="center" wrapText="1"/>
    </xf>
    <xf numFmtId="49" fontId="7" fillId="30" borderId="2" xfId="0" applyNumberFormat="1" applyFont="1" applyFill="1" applyBorder="1" applyAlignment="1">
      <alignment horizontal="center" vertical="top" wrapText="1"/>
    </xf>
    <xf numFmtId="49" fontId="7" fillId="30" borderId="19" xfId="0" applyNumberFormat="1" applyFont="1" applyFill="1" applyBorder="1" applyAlignment="1">
      <alignment horizontal="center" vertical="top" wrapText="1"/>
    </xf>
    <xf numFmtId="49" fontId="7" fillId="30" borderId="20" xfId="0" applyNumberFormat="1" applyFont="1" applyFill="1" applyBorder="1" applyAlignment="1">
      <alignment horizontal="center" vertical="top" wrapText="1"/>
    </xf>
    <xf numFmtId="49" fontId="66" fillId="30" borderId="2" xfId="0" applyNumberFormat="1" applyFont="1" applyFill="1" applyBorder="1" applyAlignment="1">
      <alignment horizontal="center" vertical="top" wrapText="1"/>
    </xf>
    <xf numFmtId="49" fontId="66" fillId="30" borderId="20" xfId="0" applyNumberFormat="1" applyFont="1" applyFill="1" applyBorder="1" applyAlignment="1">
      <alignment horizontal="center" vertical="top" wrapText="1"/>
    </xf>
    <xf numFmtId="49" fontId="66" fillId="30" borderId="19" xfId="0" applyNumberFormat="1" applyFont="1" applyFill="1" applyBorder="1" applyAlignment="1">
      <alignment horizontal="center" vertical="top" wrapText="1"/>
    </xf>
    <xf numFmtId="49" fontId="65" fillId="30" borderId="2" xfId="0" applyNumberFormat="1" applyFont="1" applyFill="1" applyBorder="1" applyAlignment="1">
      <alignment horizontal="center" vertical="top" wrapText="1"/>
    </xf>
    <xf numFmtId="49" fontId="65" fillId="30" borderId="19" xfId="0" applyNumberFormat="1" applyFont="1" applyFill="1" applyBorder="1" applyAlignment="1">
      <alignment horizontal="center" vertical="top" wrapText="1"/>
    </xf>
    <xf numFmtId="49" fontId="65" fillId="30" borderId="20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66" fillId="0" borderId="2" xfId="0" applyNumberFormat="1" applyFont="1" applyBorder="1" applyAlignment="1">
      <alignment horizontal="center" vertical="top" wrapText="1"/>
    </xf>
    <xf numFmtId="49" fontId="66" fillId="0" borderId="19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top" wrapText="1"/>
    </xf>
    <xf numFmtId="49" fontId="8" fillId="0" borderId="2" xfId="901" applyNumberFormat="1" applyFont="1" applyFill="1" applyBorder="1" applyAlignment="1">
      <alignment horizontal="center" vertical="top" wrapText="1"/>
    </xf>
    <xf numFmtId="49" fontId="8" fillId="0" borderId="19" xfId="901" applyNumberFormat="1" applyFont="1" applyFill="1" applyBorder="1" applyAlignment="1">
      <alignment horizontal="center" vertical="top" wrapText="1"/>
    </xf>
    <xf numFmtId="49" fontId="8" fillId="0" borderId="20" xfId="901" applyNumberFormat="1" applyFont="1" applyFill="1" applyBorder="1" applyAlignment="1">
      <alignment horizontal="center" vertical="top" wrapText="1"/>
    </xf>
    <xf numFmtId="49" fontId="66" fillId="0" borderId="20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8" fillId="0" borderId="2" xfId="677" applyNumberFormat="1" applyFont="1" applyFill="1" applyBorder="1" applyAlignment="1">
      <alignment horizontal="center" vertical="top" wrapText="1"/>
    </xf>
    <xf numFmtId="49" fontId="8" fillId="0" borderId="19" xfId="677" applyNumberFormat="1" applyFont="1" applyFill="1" applyBorder="1" applyAlignment="1">
      <alignment horizontal="center" vertical="top" wrapText="1"/>
    </xf>
    <xf numFmtId="49" fontId="8" fillId="0" borderId="20" xfId="677" applyNumberFormat="1" applyFont="1" applyFill="1" applyBorder="1" applyAlignment="1">
      <alignment horizontal="center" vertical="top" wrapText="1"/>
    </xf>
    <xf numFmtId="49" fontId="8" fillId="0" borderId="2" xfId="630" applyNumberFormat="1" applyFont="1" applyFill="1" applyBorder="1" applyAlignment="1">
      <alignment horizontal="center" vertical="top" wrapText="1"/>
    </xf>
    <xf numFmtId="49" fontId="8" fillId="0" borderId="19" xfId="630" applyNumberFormat="1" applyFont="1" applyFill="1" applyBorder="1" applyAlignment="1">
      <alignment horizontal="center" vertical="top" wrapText="1"/>
    </xf>
    <xf numFmtId="49" fontId="8" fillId="0" borderId="20" xfId="63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49" fontId="66" fillId="0" borderId="2" xfId="0" applyNumberFormat="1" applyFont="1" applyFill="1" applyBorder="1" applyAlignment="1">
      <alignment horizontal="center" vertical="top" wrapText="1"/>
    </xf>
    <xf numFmtId="49" fontId="66" fillId="0" borderId="20" xfId="0" applyNumberFormat="1" applyFont="1" applyFill="1" applyBorder="1" applyAlignment="1">
      <alignment horizontal="center" vertical="top" wrapText="1"/>
    </xf>
    <xf numFmtId="49" fontId="8" fillId="0" borderId="2" xfId="633" applyNumberFormat="1" applyFont="1" applyFill="1" applyBorder="1" applyAlignment="1">
      <alignment horizontal="center" vertical="top" wrapText="1"/>
    </xf>
    <xf numFmtId="49" fontId="8" fillId="0" borderId="19" xfId="633" applyNumberFormat="1" applyFont="1" applyFill="1" applyBorder="1" applyAlignment="1">
      <alignment horizontal="center" vertical="top" wrapText="1"/>
    </xf>
    <xf numFmtId="49" fontId="8" fillId="0" borderId="20" xfId="633" applyNumberFormat="1" applyFont="1" applyFill="1" applyBorder="1" applyAlignment="1">
      <alignment horizontal="center" vertical="top" wrapText="1"/>
    </xf>
    <xf numFmtId="49" fontId="68" fillId="0" borderId="2" xfId="901" applyNumberFormat="1" applyFont="1" applyFill="1" applyBorder="1" applyAlignment="1">
      <alignment horizontal="center" vertical="top" wrapText="1"/>
    </xf>
    <xf numFmtId="49" fontId="68" fillId="0" borderId="20" xfId="901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66" fillId="0" borderId="19" xfId="0" applyNumberFormat="1" applyFont="1" applyFill="1" applyBorder="1" applyAlignment="1">
      <alignment horizontal="center" vertical="top" wrapText="1"/>
    </xf>
    <xf numFmtId="49" fontId="66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84" fillId="0" borderId="0" xfId="0" applyNumberFormat="1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68" fillId="0" borderId="1" xfId="0" applyNumberFormat="1" applyFont="1" applyFill="1" applyBorder="1" applyAlignment="1">
      <alignment horizontal="center" vertical="top" wrapText="1"/>
    </xf>
    <xf numFmtId="49" fontId="70" fillId="0" borderId="1" xfId="0" applyNumberFormat="1" applyFont="1" applyFill="1" applyBorder="1" applyAlignment="1">
      <alignment horizontal="center" vertical="top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20" xfId="0" applyNumberFormat="1" applyFont="1" applyFill="1" applyBorder="1" applyAlignment="1">
      <alignment horizontal="center" vertical="center" wrapText="1"/>
    </xf>
    <xf numFmtId="49" fontId="8" fillId="0" borderId="1" xfId="901" applyNumberFormat="1" applyFont="1" applyFill="1" applyBorder="1" applyAlignment="1">
      <alignment horizontal="center" vertical="top" wrapText="1"/>
    </xf>
    <xf numFmtId="49" fontId="70" fillId="0" borderId="2" xfId="0" applyNumberFormat="1" applyFont="1" applyFill="1" applyBorder="1" applyAlignment="1">
      <alignment horizontal="center" vertical="top" wrapText="1"/>
    </xf>
    <xf numFmtId="49" fontId="70" fillId="0" borderId="19" xfId="0" applyNumberFormat="1" applyFont="1" applyFill="1" applyBorder="1" applyAlignment="1">
      <alignment horizontal="center" vertical="top" wrapText="1"/>
    </xf>
    <xf numFmtId="49" fontId="70" fillId="0" borderId="20" xfId="0" applyNumberFormat="1" applyFont="1" applyFill="1" applyBorder="1" applyAlignment="1">
      <alignment horizontal="center" vertical="top" wrapText="1"/>
    </xf>
    <xf numFmtId="49" fontId="8" fillId="0" borderId="2" xfId="2" applyNumberFormat="1" applyFont="1" applyFill="1" applyBorder="1" applyAlignment="1">
      <alignment horizontal="center" vertical="top" wrapText="1"/>
    </xf>
    <xf numFmtId="49" fontId="8" fillId="0" borderId="19" xfId="2" applyNumberFormat="1" applyFont="1" applyFill="1" applyBorder="1" applyAlignment="1">
      <alignment horizontal="center" vertical="top" wrapText="1"/>
    </xf>
    <xf numFmtId="49" fontId="21" fillId="39" borderId="2" xfId="901" applyNumberFormat="1" applyFont="1" applyFill="1" applyBorder="1" applyAlignment="1">
      <alignment horizontal="left" vertical="center" wrapText="1"/>
    </xf>
    <xf numFmtId="49" fontId="21" fillId="39" borderId="20" xfId="901" applyNumberFormat="1" applyFont="1" applyFill="1" applyBorder="1" applyAlignment="1">
      <alignment horizontal="left" vertical="center" wrapText="1"/>
    </xf>
    <xf numFmtId="49" fontId="8" fillId="0" borderId="1" xfId="90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19" xfId="1" applyNumberFormat="1" applyFont="1" applyFill="1" applyBorder="1" applyAlignment="1" applyProtection="1">
      <alignment horizontal="center" vertical="top" wrapText="1"/>
    </xf>
    <xf numFmtId="0" fontId="8" fillId="0" borderId="20" xfId="1" applyNumberFormat="1" applyFont="1" applyFill="1" applyBorder="1" applyAlignment="1" applyProtection="1">
      <alignment horizontal="center" vertical="top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22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top" wrapText="1"/>
    </xf>
    <xf numFmtId="0" fontId="8" fillId="0" borderId="20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30" borderId="1" xfId="633" applyNumberFormat="1" applyFont="1" applyFill="1" applyBorder="1" applyAlignment="1">
      <alignment horizontal="center" vertical="top" wrapText="1"/>
    </xf>
    <xf numFmtId="49" fontId="8" fillId="30" borderId="2" xfId="901" applyNumberFormat="1" applyFont="1" applyFill="1" applyBorder="1" applyAlignment="1">
      <alignment horizontal="center" vertical="top" wrapText="1"/>
    </xf>
    <xf numFmtId="49" fontId="8" fillId="30" borderId="20" xfId="901" applyNumberFormat="1" applyFont="1" applyFill="1" applyBorder="1" applyAlignment="1">
      <alignment horizontal="center" vertical="top" wrapText="1"/>
    </xf>
    <xf numFmtId="49" fontId="8" fillId="30" borderId="2" xfId="681" applyNumberFormat="1" applyFont="1" applyFill="1" applyBorder="1" applyAlignment="1">
      <alignment horizontal="center" vertical="top" wrapText="1"/>
    </xf>
    <xf numFmtId="49" fontId="8" fillId="30" borderId="19" xfId="681" applyNumberFormat="1" applyFont="1" applyFill="1" applyBorder="1" applyAlignment="1">
      <alignment horizontal="center" vertical="top" wrapText="1"/>
    </xf>
    <xf numFmtId="49" fontId="8" fillId="30" borderId="20" xfId="681" applyNumberFormat="1" applyFont="1" applyFill="1" applyBorder="1" applyAlignment="1">
      <alignment horizontal="center" vertical="top" wrapText="1"/>
    </xf>
    <xf numFmtId="49" fontId="75" fillId="30" borderId="1" xfId="901" applyNumberFormat="1" applyFont="1" applyFill="1" applyBorder="1" applyAlignment="1">
      <alignment horizontal="center" vertical="top" wrapText="1"/>
    </xf>
    <xf numFmtId="49" fontId="13" fillId="30" borderId="1" xfId="0" applyNumberFormat="1" applyFont="1" applyFill="1" applyBorder="1" applyAlignment="1">
      <alignment horizontal="center" vertical="top" wrapText="1"/>
    </xf>
    <xf numFmtId="49" fontId="129" fillId="30" borderId="2" xfId="901" applyNumberFormat="1" applyFont="1" applyFill="1" applyBorder="1" applyAlignment="1">
      <alignment horizontal="center" vertical="top" wrapText="1"/>
    </xf>
    <xf numFmtId="49" fontId="129" fillId="30" borderId="19" xfId="901" applyNumberFormat="1" applyFont="1" applyFill="1" applyBorder="1" applyAlignment="1">
      <alignment horizontal="center" vertical="top" wrapText="1"/>
    </xf>
    <xf numFmtId="49" fontId="129" fillId="30" borderId="20" xfId="901" applyNumberFormat="1" applyFont="1" applyFill="1" applyBorder="1" applyAlignment="1">
      <alignment horizontal="center" vertical="top" wrapText="1"/>
    </xf>
    <xf numFmtId="49" fontId="8" fillId="30" borderId="2" xfId="633" applyNumberFormat="1" applyFont="1" applyFill="1" applyBorder="1" applyAlignment="1">
      <alignment horizontal="center" vertical="top" wrapText="1"/>
    </xf>
    <xf numFmtId="49" fontId="8" fillId="30" borderId="20" xfId="633" applyNumberFormat="1" applyFont="1" applyFill="1" applyBorder="1" applyAlignment="1">
      <alignment horizontal="center" vertical="top" wrapText="1"/>
    </xf>
    <xf numFmtId="49" fontId="8" fillId="30" borderId="19" xfId="633" applyNumberFormat="1" applyFont="1" applyFill="1" applyBorder="1" applyAlignment="1">
      <alignment horizontal="center" vertical="top" wrapText="1"/>
    </xf>
    <xf numFmtId="49" fontId="8" fillId="0" borderId="2" xfId="654" applyNumberFormat="1" applyFont="1" applyFill="1" applyBorder="1" applyAlignment="1">
      <alignment horizontal="center" vertical="center" wrapText="1"/>
    </xf>
    <xf numFmtId="49" fontId="8" fillId="0" borderId="20" xfId="654" applyNumberFormat="1" applyFont="1" applyFill="1" applyBorder="1" applyAlignment="1">
      <alignment horizontal="center" vertical="center" wrapText="1"/>
    </xf>
    <xf numFmtId="49" fontId="8" fillId="0" borderId="2" xfId="902" applyNumberFormat="1" applyFont="1" applyFill="1" applyBorder="1" applyAlignment="1">
      <alignment horizontal="center" vertical="center" wrapText="1"/>
    </xf>
    <xf numFmtId="49" fontId="8" fillId="0" borderId="19" xfId="902" applyNumberFormat="1" applyFont="1" applyFill="1" applyBorder="1" applyAlignment="1">
      <alignment horizontal="center" vertical="center" wrapText="1"/>
    </xf>
    <xf numFmtId="2" fontId="13" fillId="0" borderId="2" xfId="903" applyNumberFormat="1" applyFont="1" applyFill="1" applyBorder="1" applyAlignment="1">
      <alignment horizontal="center" vertical="center" wrapText="1"/>
    </xf>
    <xf numFmtId="2" fontId="13" fillId="0" borderId="19" xfId="903" applyNumberFormat="1" applyFont="1" applyFill="1" applyBorder="1" applyAlignment="1">
      <alignment horizontal="center" vertical="center" wrapText="1"/>
    </xf>
    <xf numFmtId="2" fontId="13" fillId="0" borderId="20" xfId="903" applyNumberFormat="1" applyFont="1" applyFill="1" applyBorder="1" applyAlignment="1">
      <alignment horizontal="center" vertical="center" wrapText="1"/>
    </xf>
    <xf numFmtId="49" fontId="8" fillId="0" borderId="2" xfId="901" applyNumberFormat="1" applyFont="1" applyFill="1" applyBorder="1" applyAlignment="1">
      <alignment horizontal="center" vertical="center" wrapText="1"/>
    </xf>
    <xf numFmtId="49" fontId="8" fillId="0" borderId="19" xfId="901" applyNumberFormat="1" applyFont="1" applyFill="1" applyBorder="1" applyAlignment="1">
      <alignment horizontal="center" vertical="center" wrapText="1"/>
    </xf>
    <xf numFmtId="49" fontId="8" fillId="0" borderId="20" xfId="90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735" applyNumberFormat="1" applyFont="1" applyFill="1" applyBorder="1" applyAlignment="1">
      <alignment horizontal="center" vertical="center" wrapText="1"/>
    </xf>
    <xf numFmtId="49" fontId="8" fillId="0" borderId="19" xfId="735" applyNumberFormat="1" applyFont="1" applyFill="1" applyBorder="1" applyAlignment="1">
      <alignment horizontal="center" vertical="center" wrapText="1"/>
    </xf>
    <xf numFmtId="49" fontId="8" fillId="0" borderId="20" xfId="735" applyNumberFormat="1" applyFont="1" applyFill="1" applyBorder="1" applyAlignment="1">
      <alignment horizontal="center" vertical="center" wrapText="1"/>
    </xf>
    <xf numFmtId="49" fontId="8" fillId="0" borderId="20" xfId="902" applyNumberFormat="1" applyFont="1" applyFill="1" applyBorder="1" applyAlignment="1">
      <alignment horizontal="center" vertical="center" wrapText="1"/>
    </xf>
    <xf numFmtId="49" fontId="8" fillId="0" borderId="2" xfId="633" applyNumberFormat="1" applyFont="1" applyFill="1" applyBorder="1" applyAlignment="1">
      <alignment horizontal="center" vertical="center" wrapText="1"/>
    </xf>
    <xf numFmtId="49" fontId="8" fillId="0" borderId="19" xfId="633" applyNumberFormat="1" applyFont="1" applyFill="1" applyBorder="1" applyAlignment="1">
      <alignment horizontal="center" vertical="center" wrapText="1"/>
    </xf>
    <xf numFmtId="49" fontId="8" fillId="0" borderId="20" xfId="633" applyNumberFormat="1" applyFont="1" applyFill="1" applyBorder="1" applyAlignment="1">
      <alignment horizontal="center" vertical="center" wrapText="1"/>
    </xf>
    <xf numFmtId="49" fontId="8" fillId="0" borderId="2" xfId="870" applyNumberFormat="1" applyFont="1" applyFill="1" applyBorder="1" applyAlignment="1">
      <alignment horizontal="center" vertical="center" wrapText="1"/>
    </xf>
    <xf numFmtId="49" fontId="8" fillId="0" borderId="20" xfId="870" applyNumberFormat="1" applyFont="1" applyFill="1" applyBorder="1" applyAlignment="1">
      <alignment horizontal="center" vertical="center" wrapText="1"/>
    </xf>
    <xf numFmtId="49" fontId="66" fillId="0" borderId="2" xfId="0" applyNumberFormat="1" applyFont="1" applyFill="1" applyBorder="1" applyAlignment="1">
      <alignment horizontal="center" vertical="center" wrapText="1"/>
    </xf>
    <xf numFmtId="49" fontId="66" fillId="0" borderId="19" xfId="0" applyNumberFormat="1" applyFont="1" applyFill="1" applyBorder="1" applyAlignment="1">
      <alignment horizontal="center" vertical="center" wrapText="1"/>
    </xf>
    <xf numFmtId="49" fontId="66" fillId="0" borderId="20" xfId="0" applyNumberFormat="1" applyFont="1" applyFill="1" applyBorder="1" applyAlignment="1">
      <alignment horizontal="center" vertical="center" wrapText="1"/>
    </xf>
    <xf numFmtId="49" fontId="8" fillId="0" borderId="2" xfId="681" applyNumberFormat="1" applyFont="1" applyFill="1" applyBorder="1" applyAlignment="1">
      <alignment horizontal="center" vertical="center" wrapText="1"/>
    </xf>
    <xf numFmtId="49" fontId="8" fillId="0" borderId="19" xfId="681" applyNumberFormat="1" applyFont="1" applyFill="1" applyBorder="1" applyAlignment="1">
      <alignment horizontal="center" vertical="center" wrapText="1"/>
    </xf>
    <xf numFmtId="49" fontId="8" fillId="0" borderId="20" xfId="681" applyNumberFormat="1" applyFont="1" applyFill="1" applyBorder="1" applyAlignment="1">
      <alignment horizontal="center"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49" fontId="68" fillId="0" borderId="2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5" fillId="31" borderId="2" xfId="0" applyNumberFormat="1" applyFont="1" applyFill="1" applyBorder="1" applyAlignment="1">
      <alignment horizontal="center" vertical="center" wrapText="1"/>
    </xf>
    <xf numFmtId="49" fontId="65" fillId="31" borderId="20" xfId="0" applyNumberFormat="1" applyFont="1" applyFill="1" applyBorder="1" applyAlignment="1">
      <alignment horizontal="center" vertical="center" wrapText="1"/>
    </xf>
    <xf numFmtId="49" fontId="8" fillId="31" borderId="2" xfId="0" applyNumberFormat="1" applyFont="1" applyFill="1" applyBorder="1" applyAlignment="1">
      <alignment horizontal="center" vertical="center" wrapText="1"/>
    </xf>
    <xf numFmtId="49" fontId="8" fillId="31" borderId="20" xfId="0" applyNumberFormat="1" applyFont="1" applyFill="1" applyBorder="1" applyAlignment="1">
      <alignment horizontal="center" vertical="center" wrapText="1"/>
    </xf>
    <xf numFmtId="0" fontId="8" fillId="31" borderId="2" xfId="0" applyNumberFormat="1" applyFont="1" applyFill="1" applyBorder="1" applyAlignment="1">
      <alignment horizontal="center" vertical="center" wrapText="1"/>
    </xf>
    <xf numFmtId="0" fontId="8" fillId="31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4" fillId="0" borderId="0" xfId="901" applyNumberFormat="1" applyFont="1" applyFill="1" applyBorder="1" applyAlignment="1">
      <alignment horizontal="center" vertical="center" wrapText="1"/>
    </xf>
    <xf numFmtId="49" fontId="13" fillId="27" borderId="2" xfId="0" applyNumberFormat="1" applyFont="1" applyFill="1" applyBorder="1" applyAlignment="1">
      <alignment horizontal="center" vertical="center" wrapText="1"/>
    </xf>
    <xf numFmtId="49" fontId="13" fillId="27" borderId="20" xfId="0" applyNumberFormat="1" applyFont="1" applyFill="1" applyBorder="1" applyAlignment="1">
      <alignment horizontal="center" vertical="center" wrapText="1"/>
    </xf>
    <xf numFmtId="0" fontId="7" fillId="0" borderId="2" xfId="901" applyNumberFormat="1" applyFont="1" applyFill="1" applyBorder="1" applyAlignment="1">
      <alignment horizontal="center" vertical="center" wrapText="1"/>
    </xf>
    <xf numFmtId="0" fontId="7" fillId="0" borderId="20" xfId="901" applyNumberFormat="1" applyFont="1" applyFill="1" applyBorder="1" applyAlignment="1">
      <alignment horizontal="center" vertical="center" wrapText="1"/>
    </xf>
    <xf numFmtId="0" fontId="14" fillId="0" borderId="2" xfId="901" applyNumberFormat="1" applyFont="1" applyFill="1" applyBorder="1" applyAlignment="1">
      <alignment horizontal="center" vertical="center" wrapText="1"/>
    </xf>
    <xf numFmtId="0" fontId="14" fillId="0" borderId="20" xfId="901" applyNumberFormat="1" applyFont="1" applyFill="1" applyBorder="1" applyAlignment="1">
      <alignment horizontal="center" vertical="center" wrapText="1"/>
    </xf>
    <xf numFmtId="49" fontId="65" fillId="0" borderId="2" xfId="0" applyNumberFormat="1" applyFont="1" applyFill="1" applyBorder="1" applyAlignment="1">
      <alignment horizontal="center" vertical="top" wrapText="1"/>
    </xf>
    <xf numFmtId="49" fontId="65" fillId="0" borderId="19" xfId="0" applyNumberFormat="1" applyFont="1" applyFill="1" applyBorder="1" applyAlignment="1">
      <alignment horizontal="center" vertical="top" wrapText="1"/>
    </xf>
    <xf numFmtId="49" fontId="65" fillId="0" borderId="20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65" fillId="0" borderId="2" xfId="0" applyNumberFormat="1" applyFont="1" applyBorder="1" applyAlignment="1">
      <alignment horizontal="center" vertical="top" wrapText="1"/>
    </xf>
    <xf numFmtId="49" fontId="65" fillId="0" borderId="19" xfId="0" applyNumberFormat="1" applyFont="1" applyBorder="1" applyAlignment="1">
      <alignment horizontal="center" vertical="top" wrapText="1"/>
    </xf>
    <xf numFmtId="49" fontId="65" fillId="0" borderId="20" xfId="0" applyNumberFormat="1" applyFont="1" applyBorder="1" applyAlignment="1">
      <alignment horizontal="center" vertical="top" wrapText="1"/>
    </xf>
    <xf numFmtId="49" fontId="8" fillId="0" borderId="1" xfId="2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8" fillId="0" borderId="2" xfId="907" applyNumberFormat="1" applyFont="1" applyFill="1" applyBorder="1" applyAlignment="1">
      <alignment horizontal="center" vertical="top" wrapText="1"/>
    </xf>
    <xf numFmtId="49" fontId="8" fillId="0" borderId="19" xfId="907" applyNumberFormat="1" applyFont="1" applyFill="1" applyBorder="1" applyAlignment="1">
      <alignment horizontal="center" vertical="top" wrapText="1"/>
    </xf>
    <xf numFmtId="49" fontId="8" fillId="0" borderId="20" xfId="907" applyNumberFormat="1" applyFont="1" applyFill="1" applyBorder="1" applyAlignment="1">
      <alignment horizontal="center" vertical="top" wrapText="1"/>
    </xf>
    <xf numFmtId="49" fontId="8" fillId="27" borderId="2" xfId="633" applyNumberFormat="1" applyFont="1" applyFill="1" applyBorder="1" applyAlignment="1">
      <alignment horizontal="center" vertical="top" wrapText="1"/>
    </xf>
    <xf numFmtId="49" fontId="8" fillId="27" borderId="19" xfId="633" applyNumberFormat="1" applyFont="1" applyFill="1" applyBorder="1" applyAlignment="1">
      <alignment horizontal="center" vertical="top" wrapText="1"/>
    </xf>
    <xf numFmtId="49" fontId="8" fillId="27" borderId="20" xfId="633" applyNumberFormat="1" applyFont="1" applyFill="1" applyBorder="1" applyAlignment="1">
      <alignment horizontal="center" vertical="top" wrapText="1"/>
    </xf>
    <xf numFmtId="49" fontId="8" fillId="27" borderId="1" xfId="633" applyNumberFormat="1" applyFont="1" applyFill="1" applyBorder="1" applyAlignment="1">
      <alignment horizontal="center" vertical="top" wrapText="1"/>
    </xf>
    <xf numFmtId="49" fontId="8" fillId="0" borderId="1" xfId="633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907" applyNumberFormat="1" applyFont="1" applyFill="1" applyBorder="1" applyAlignment="1">
      <alignment horizontal="center" vertical="top" wrapText="1"/>
    </xf>
    <xf numFmtId="0" fontId="13" fillId="0" borderId="19" xfId="907" applyNumberFormat="1" applyFont="1" applyFill="1" applyBorder="1" applyAlignment="1">
      <alignment horizontal="center" vertical="top" wrapText="1"/>
    </xf>
    <xf numFmtId="0" fontId="13" fillId="0" borderId="20" xfId="907" applyNumberFormat="1" applyFont="1" applyFill="1" applyBorder="1" applyAlignment="1">
      <alignment horizontal="center" vertical="top" wrapText="1"/>
    </xf>
    <xf numFmtId="49" fontId="8" fillId="0" borderId="2" xfId="681" applyNumberFormat="1" applyFont="1" applyFill="1" applyBorder="1" applyAlignment="1">
      <alignment horizontal="center" vertical="top" wrapText="1"/>
    </xf>
    <xf numFmtId="49" fontId="8" fillId="0" borderId="19" xfId="681" applyNumberFormat="1" applyFont="1" applyFill="1" applyBorder="1" applyAlignment="1">
      <alignment horizontal="center" vertical="top" wrapText="1"/>
    </xf>
    <xf numFmtId="49" fontId="8" fillId="0" borderId="20" xfId="681" applyNumberFormat="1" applyFont="1" applyFill="1" applyBorder="1" applyAlignment="1">
      <alignment horizontal="center" vertical="top" wrapText="1"/>
    </xf>
    <xf numFmtId="0" fontId="119" fillId="0" borderId="1" xfId="0" applyFont="1" applyFill="1" applyBorder="1" applyAlignment="1">
      <alignment horizontal="center" vertical="top" wrapText="1"/>
    </xf>
    <xf numFmtId="0" fontId="13" fillId="27" borderId="0" xfId="0" applyFont="1" applyFill="1" applyAlignment="1">
      <alignment horizontal="center" wrapText="1"/>
    </xf>
    <xf numFmtId="2" fontId="91" fillId="41" borderId="18" xfId="0" applyNumberFormat="1" applyFont="1" applyFill="1" applyBorder="1" applyAlignment="1">
      <alignment horizontal="center" vertical="center" wrapText="1"/>
    </xf>
    <xf numFmtId="0" fontId="21" fillId="27" borderId="1" xfId="0" applyNumberFormat="1" applyFont="1" applyFill="1" applyBorder="1" applyAlignment="1">
      <alignment horizontal="center" vertical="center" wrapText="1"/>
    </xf>
    <xf numFmtId="0" fontId="73" fillId="27" borderId="1" xfId="0" applyFont="1" applyFill="1" applyBorder="1"/>
    <xf numFmtId="0" fontId="92" fillId="27" borderId="1" xfId="0" applyFont="1" applyFill="1" applyBorder="1" applyAlignment="1">
      <alignment horizontal="center" vertical="center"/>
    </xf>
    <xf numFmtId="9" fontId="15" fillId="34" borderId="4" xfId="912" applyFont="1" applyFill="1" applyBorder="1" applyAlignment="1">
      <alignment horizontal="center" vertical="center" wrapText="1"/>
    </xf>
    <xf numFmtId="9" fontId="91" fillId="34" borderId="4" xfId="912" applyFont="1" applyFill="1" applyBorder="1" applyAlignment="1">
      <alignment horizontal="center" vertical="center" wrapText="1"/>
    </xf>
    <xf numFmtId="9" fontId="91" fillId="34" borderId="18" xfId="912" applyFont="1" applyFill="1" applyBorder="1" applyAlignment="1">
      <alignment horizontal="center" vertical="center" wrapText="1"/>
    </xf>
    <xf numFmtId="0" fontId="13" fillId="27" borderId="0" xfId="0" applyFont="1" applyFill="1" applyAlignment="1">
      <alignment horizontal="center" vertical="center" wrapText="1"/>
    </xf>
    <xf numFmtId="0" fontId="21" fillId="27" borderId="1" xfId="0" applyNumberFormat="1" applyFont="1" applyFill="1" applyBorder="1" applyAlignment="1">
      <alignment vertical="center" wrapText="1"/>
    </xf>
    <xf numFmtId="2" fontId="21" fillId="27" borderId="1" xfId="0" applyNumberFormat="1" applyFont="1" applyFill="1" applyBorder="1" applyAlignment="1">
      <alignment vertical="center" wrapText="1"/>
    </xf>
    <xf numFmtId="0" fontId="13" fillId="27" borderId="1" xfId="900" applyNumberFormat="1" applyFont="1" applyFill="1" applyBorder="1" applyAlignment="1">
      <alignment horizontal="center" vertical="center" wrapText="1"/>
    </xf>
    <xf numFmtId="2" fontId="13" fillId="27" borderId="1" xfId="903" applyNumberFormat="1" applyFont="1" applyFill="1" applyBorder="1" applyAlignment="1">
      <alignment horizontal="center" vertical="center" wrapText="1"/>
    </xf>
    <xf numFmtId="2" fontId="13" fillId="27" borderId="1" xfId="904" applyNumberFormat="1" applyFont="1" applyFill="1" applyBorder="1" applyAlignment="1">
      <alignment horizontal="center" vertical="center" wrapText="1"/>
    </xf>
    <xf numFmtId="9" fontId="21" fillId="34" borderId="1" xfId="912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17" fillId="27" borderId="1" xfId="0" applyNumberFormat="1" applyFont="1" applyFill="1" applyBorder="1" applyAlignment="1">
      <alignment horizontal="center" vertical="center" wrapText="1"/>
    </xf>
    <xf numFmtId="49" fontId="65" fillId="27" borderId="4" xfId="0" applyNumberFormat="1" applyFont="1" applyFill="1" applyBorder="1" applyAlignment="1">
      <alignment horizontal="center" vertical="center" wrapText="1"/>
    </xf>
    <xf numFmtId="49" fontId="17" fillId="27" borderId="1" xfId="0" applyNumberFormat="1" applyFont="1" applyFill="1" applyBorder="1" applyAlignment="1">
      <alignment horizontal="center" vertical="center" wrapText="1"/>
    </xf>
    <xf numFmtId="9" fontId="21" fillId="34" borderId="4" xfId="912" applyFont="1" applyFill="1" applyBorder="1" applyAlignment="1">
      <alignment horizontal="center" vertical="center" wrapText="1"/>
    </xf>
    <xf numFmtId="2" fontId="91" fillId="42" borderId="18" xfId="0" applyNumberFormat="1" applyFont="1" applyFill="1" applyBorder="1" applyAlignment="1">
      <alignment horizontal="center" vertical="center" wrapText="1"/>
    </xf>
    <xf numFmtId="49" fontId="7" fillId="27" borderId="1" xfId="0" applyNumberFormat="1" applyFont="1" applyFill="1" applyBorder="1" applyAlignment="1">
      <alignment horizontal="center" vertical="center" wrapText="1"/>
    </xf>
    <xf numFmtId="0" fontId="7" fillId="27" borderId="1" xfId="0" applyNumberFormat="1" applyFont="1" applyFill="1" applyBorder="1" applyAlignment="1">
      <alignment horizontal="center" vertical="center" wrapText="1"/>
    </xf>
  </cellXfs>
  <cellStyles count="913">
    <cellStyle name="20% - Accent1" xfId="5"/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3" xfId="16"/>
    <cellStyle name="20% - Accent1 3 2" xfId="17"/>
    <cellStyle name="20% - Accent1 4" xfId="18"/>
    <cellStyle name="20% - Accent1 4 2" xfId="19"/>
    <cellStyle name="20% - Accent1 4 2 2" xfId="20"/>
    <cellStyle name="20% - Accent1 4 3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7 2" xfId="27"/>
    <cellStyle name="20% - Accent1_Q.W. ADMINISTRACIULI SENOBA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3" xfId="40"/>
    <cellStyle name="20% - Accent2 3 2" xfId="41"/>
    <cellStyle name="20% - Accent2 4" xfId="42"/>
    <cellStyle name="20% - Accent2 4 2" xfId="43"/>
    <cellStyle name="20% - Accent2 4 2 2" xfId="44"/>
    <cellStyle name="20% - Accent2 4 3" xfId="45"/>
    <cellStyle name="20% - Accent2 5" xfId="46"/>
    <cellStyle name="20% - Accent2 5 2" xfId="47"/>
    <cellStyle name="20% - Accent2 6" xfId="48"/>
    <cellStyle name="20% - Accent2 6 2" xfId="49"/>
    <cellStyle name="20% - Accent2 7" xfId="50"/>
    <cellStyle name="20% - Accent2 7 2" xfId="51"/>
    <cellStyle name="20% - Accent2_Q.W. ADMINISTRACIULI SENOBA" xfId="52"/>
    <cellStyle name="20% - Accent3" xfId="53"/>
    <cellStyle name="20% - Accent3 2" xfId="54"/>
    <cellStyle name="20% - Accent3 2 2" xfId="55"/>
    <cellStyle name="20% - Accent3 2 2 2" xfId="56"/>
    <cellStyle name="20% - Accent3 2 3" xfId="57"/>
    <cellStyle name="20% - Accent3 2 3 2" xfId="58"/>
    <cellStyle name="20% - Accent3 2 4" xfId="59"/>
    <cellStyle name="20% - Accent3 2 4 2" xfId="60"/>
    <cellStyle name="20% - Accent3 2 5" xfId="61"/>
    <cellStyle name="20% - Accent3 2 5 2" xfId="62"/>
    <cellStyle name="20% - Accent3 2 6" xfId="63"/>
    <cellStyle name="20% - Accent3 3" xfId="64"/>
    <cellStyle name="20% - Accent3 3 2" xfId="65"/>
    <cellStyle name="20% - Accent3 4" xfId="66"/>
    <cellStyle name="20% - Accent3 4 2" xfId="67"/>
    <cellStyle name="20% - Accent3 4 2 2" xfId="68"/>
    <cellStyle name="20% - Accent3 4 3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_Q.W. ADMINISTRACIULI SENOBA" xfId="76"/>
    <cellStyle name="20% - Accent4" xfId="77"/>
    <cellStyle name="20% - Accent4 2" xfId="78"/>
    <cellStyle name="20% - Accent4 2 2" xfId="79"/>
    <cellStyle name="20% - Accent4 2 2 2" xfId="80"/>
    <cellStyle name="20% - Accent4 2 3" xfId="81"/>
    <cellStyle name="20% - Accent4 2 3 2" xfId="82"/>
    <cellStyle name="20% - Accent4 2 4" xfId="83"/>
    <cellStyle name="20% - Accent4 2 4 2" xfId="84"/>
    <cellStyle name="20% - Accent4 2 5" xfId="85"/>
    <cellStyle name="20% - Accent4 2 5 2" xfId="86"/>
    <cellStyle name="20% - Accent4 2 6" xfId="87"/>
    <cellStyle name="20% - Accent4 3" xfId="88"/>
    <cellStyle name="20% - Accent4 3 2" xfId="89"/>
    <cellStyle name="20% - Accent4 4" xfId="90"/>
    <cellStyle name="20% - Accent4 4 2" xfId="91"/>
    <cellStyle name="20% - Accent4 4 2 2" xfId="92"/>
    <cellStyle name="20% - Accent4 4 3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4 7 2" xfId="99"/>
    <cellStyle name="20% - Accent4_Q.W. ADMINISTRACIULI SENOBA" xfId="100"/>
    <cellStyle name="20% - Accent5" xfId="101"/>
    <cellStyle name="20% - Accent5 2" xfId="102"/>
    <cellStyle name="20% - Accent5 2 2" xfId="103"/>
    <cellStyle name="20% - Accent5 2 2 2" xfId="104"/>
    <cellStyle name="20% - Accent5 2 3" xfId="105"/>
    <cellStyle name="20% - Accent5 2 3 2" xfId="106"/>
    <cellStyle name="20% - Accent5 2 4" xfId="107"/>
    <cellStyle name="20% - Accent5 2 4 2" xfId="108"/>
    <cellStyle name="20% - Accent5 2 5" xfId="109"/>
    <cellStyle name="20% - Accent5 2 5 2" xfId="110"/>
    <cellStyle name="20% - Accent5 2 6" xfId="111"/>
    <cellStyle name="20% - Accent5 3" xfId="112"/>
    <cellStyle name="20% - Accent5 3 2" xfId="113"/>
    <cellStyle name="20% - Accent5 4" xfId="114"/>
    <cellStyle name="20% - Accent5 4 2" xfId="115"/>
    <cellStyle name="20% - Accent5 4 2 2" xfId="116"/>
    <cellStyle name="20% - Accent5 4 3" xfId="117"/>
    <cellStyle name="20% - Accent5 5" xfId="118"/>
    <cellStyle name="20% - Accent5 5 2" xfId="119"/>
    <cellStyle name="20% - Accent5 6" xfId="120"/>
    <cellStyle name="20% - Accent5 6 2" xfId="121"/>
    <cellStyle name="20% - Accent5 7" xfId="122"/>
    <cellStyle name="20% - Accent5 7 2" xfId="123"/>
    <cellStyle name="20% - Accent5_Q.W. ADMINISTRACIULI SENOBA" xfId="124"/>
    <cellStyle name="20% - Accent6" xfId="125"/>
    <cellStyle name="20% - Accent6 2" xfId="126"/>
    <cellStyle name="20% - Accent6 2 2" xfId="127"/>
    <cellStyle name="20% - Accent6 2 2 2" xfId="128"/>
    <cellStyle name="20% - Accent6 2 3" xfId="129"/>
    <cellStyle name="20% - Accent6 2 3 2" xfId="130"/>
    <cellStyle name="20% - Accent6 2 4" xfId="131"/>
    <cellStyle name="20% - Accent6 2 4 2" xfId="132"/>
    <cellStyle name="20% - Accent6 2 5" xfId="133"/>
    <cellStyle name="20% - Accent6 2 5 2" xfId="134"/>
    <cellStyle name="20% - Accent6 2 6" xfId="135"/>
    <cellStyle name="20% - Accent6 3" xfId="136"/>
    <cellStyle name="20% - Accent6 3 2" xfId="137"/>
    <cellStyle name="20% - Accent6 4" xfId="138"/>
    <cellStyle name="20% - Accent6 4 2" xfId="139"/>
    <cellStyle name="20% - Accent6 4 2 2" xfId="140"/>
    <cellStyle name="20% - Accent6 4 3" xfId="141"/>
    <cellStyle name="20% - Accent6 5" xfId="142"/>
    <cellStyle name="20% - Accent6 5 2" xfId="143"/>
    <cellStyle name="20% - Accent6 6" xfId="144"/>
    <cellStyle name="20% - Accent6 6 2" xfId="145"/>
    <cellStyle name="20% - Accent6 7" xfId="146"/>
    <cellStyle name="20% - Accent6 7 2" xfId="147"/>
    <cellStyle name="20% - Accent6_Q.W. ADMINISTRACIULI SENOBA" xfId="148"/>
    <cellStyle name="40% - Accent1" xfId="149"/>
    <cellStyle name="40% - Accent1 2" xfId="150"/>
    <cellStyle name="40% - Accent1 2 2" xfId="151"/>
    <cellStyle name="40% - Accent1 2 2 2" xfId="152"/>
    <cellStyle name="40% - Accent1 2 3" xfId="153"/>
    <cellStyle name="40% - Accent1 2 3 2" xfId="154"/>
    <cellStyle name="40% - Accent1 2 4" xfId="155"/>
    <cellStyle name="40% - Accent1 2 4 2" xfId="156"/>
    <cellStyle name="40% - Accent1 2 5" xfId="157"/>
    <cellStyle name="40% - Accent1 2 5 2" xfId="158"/>
    <cellStyle name="40% - Accent1 2 6" xfId="159"/>
    <cellStyle name="40% - Accent1 3" xfId="160"/>
    <cellStyle name="40% - Accent1 3 2" xfId="161"/>
    <cellStyle name="40% - Accent1 4" xfId="162"/>
    <cellStyle name="40% - Accent1 4 2" xfId="163"/>
    <cellStyle name="40% - Accent1 4 2 2" xfId="164"/>
    <cellStyle name="40% - Accent1 4 3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_Q.W. ADMINISTRACIULI SENOBA" xfId="172"/>
    <cellStyle name="40% - Accent2" xfId="173"/>
    <cellStyle name="40% - Accent2 2" xfId="174"/>
    <cellStyle name="40% - Accent2 2 2" xfId="175"/>
    <cellStyle name="40% - Accent2 2 2 2" xfId="176"/>
    <cellStyle name="40% - Accent2 2 3" xfId="177"/>
    <cellStyle name="40% - Accent2 2 3 2" xfId="178"/>
    <cellStyle name="40% - Accent2 2 4" xfId="179"/>
    <cellStyle name="40% - Accent2 2 4 2" xfId="180"/>
    <cellStyle name="40% - Accent2 2 5" xfId="181"/>
    <cellStyle name="40% - Accent2 2 5 2" xfId="182"/>
    <cellStyle name="40% - Accent2 2 6" xfId="183"/>
    <cellStyle name="40% - Accent2 3" xfId="184"/>
    <cellStyle name="40% - Accent2 3 2" xfId="185"/>
    <cellStyle name="40% - Accent2 4" xfId="186"/>
    <cellStyle name="40% - Accent2 4 2" xfId="187"/>
    <cellStyle name="40% - Accent2 4 2 2" xfId="188"/>
    <cellStyle name="40% - Accent2 4 3" xfId="189"/>
    <cellStyle name="40% - Accent2 5" xfId="190"/>
    <cellStyle name="40% - Accent2 5 2" xfId="191"/>
    <cellStyle name="40% - Accent2 6" xfId="192"/>
    <cellStyle name="40% - Accent2 6 2" xfId="193"/>
    <cellStyle name="40% - Accent2 7" xfId="194"/>
    <cellStyle name="40% - Accent2 7 2" xfId="195"/>
    <cellStyle name="40% - Accent2_Q.W. ADMINISTRACIULI SENOBA" xfId="196"/>
    <cellStyle name="40% - Accent3" xfId="197"/>
    <cellStyle name="40% - Accent3 2" xfId="198"/>
    <cellStyle name="40% - Accent3 2 2" xfId="199"/>
    <cellStyle name="40% - Accent3 2 2 2" xfId="200"/>
    <cellStyle name="40% - Accent3 2 3" xfId="201"/>
    <cellStyle name="40% - Accent3 2 3 2" xfId="202"/>
    <cellStyle name="40% - Accent3 2 4" xfId="203"/>
    <cellStyle name="40% - Accent3 2 4 2" xfId="204"/>
    <cellStyle name="40% - Accent3 2 5" xfId="205"/>
    <cellStyle name="40% - Accent3 2 5 2" xfId="206"/>
    <cellStyle name="40% - Accent3 2 6" xfId="207"/>
    <cellStyle name="40% - Accent3 3" xfId="208"/>
    <cellStyle name="40% - Accent3 3 2" xfId="209"/>
    <cellStyle name="40% - Accent3 4" xfId="210"/>
    <cellStyle name="40% - Accent3 4 2" xfId="211"/>
    <cellStyle name="40% - Accent3 4 2 2" xfId="212"/>
    <cellStyle name="40% - Accent3 4 3" xfId="213"/>
    <cellStyle name="40% - Accent3 5" xfId="214"/>
    <cellStyle name="40% - Accent3 5 2" xfId="215"/>
    <cellStyle name="40% - Accent3 6" xfId="216"/>
    <cellStyle name="40% - Accent3 6 2" xfId="217"/>
    <cellStyle name="40% - Accent3 7" xfId="218"/>
    <cellStyle name="40% - Accent3 7 2" xfId="219"/>
    <cellStyle name="40% - Accent3_Q.W. ADMINISTRACIULI SENOBA" xfId="220"/>
    <cellStyle name="40% - Accent4" xfId="221"/>
    <cellStyle name="40% - Accent4 2" xfId="222"/>
    <cellStyle name="40% - Accent4 2 2" xfId="223"/>
    <cellStyle name="40% - Accent4 2 2 2" xfId="224"/>
    <cellStyle name="40% - Accent4 2 3" xfId="225"/>
    <cellStyle name="40% - Accent4 2 3 2" xfId="226"/>
    <cellStyle name="40% - Accent4 2 4" xfId="227"/>
    <cellStyle name="40% - Accent4 2 4 2" xfId="228"/>
    <cellStyle name="40% - Accent4 2 5" xfId="229"/>
    <cellStyle name="40% - Accent4 2 5 2" xfId="230"/>
    <cellStyle name="40% - Accent4 2 6" xfId="231"/>
    <cellStyle name="40% - Accent4 3" xfId="232"/>
    <cellStyle name="40% - Accent4 3 2" xfId="233"/>
    <cellStyle name="40% - Accent4 4" xfId="234"/>
    <cellStyle name="40% - Accent4 4 2" xfId="235"/>
    <cellStyle name="40% - Accent4 4 2 2" xfId="236"/>
    <cellStyle name="40% - Accent4 4 3" xfId="237"/>
    <cellStyle name="40% - Accent4 5" xfId="238"/>
    <cellStyle name="40% - Accent4 5 2" xfId="239"/>
    <cellStyle name="40% - Accent4 6" xfId="240"/>
    <cellStyle name="40% - Accent4 6 2" xfId="241"/>
    <cellStyle name="40% - Accent4 7" xfId="242"/>
    <cellStyle name="40% - Accent4 7 2" xfId="243"/>
    <cellStyle name="40% - Accent4_Q.W. ADMINISTRACIULI SENOBA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5_Q.W. ADMINISTRACIULI SENOBA" xfId="268"/>
    <cellStyle name="40% - Accent6" xfId="269"/>
    <cellStyle name="40% - Accent6 2" xfId="270"/>
    <cellStyle name="40% - Accent6 2 2" xfId="271"/>
    <cellStyle name="40% - Accent6 2 2 2" xfId="272"/>
    <cellStyle name="40% - Accent6 2 3" xfId="273"/>
    <cellStyle name="40% - Accent6 2 3 2" xfId="274"/>
    <cellStyle name="40% - Accent6 2 4" xfId="275"/>
    <cellStyle name="40% - Accent6 2 4 2" xfId="276"/>
    <cellStyle name="40% - Accent6 2 5" xfId="277"/>
    <cellStyle name="40% - Accent6 2 5 2" xfId="278"/>
    <cellStyle name="40% - Accent6 2 6" xfId="279"/>
    <cellStyle name="40% - Accent6 3" xfId="280"/>
    <cellStyle name="40% - Accent6 3 2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6" xfId="288"/>
    <cellStyle name="40% - Accent6 6 2" xfId="289"/>
    <cellStyle name="40% - Accent6 7" xfId="290"/>
    <cellStyle name="40% - Accent6 7 2" xfId="291"/>
    <cellStyle name="40% - Accent6_Q.W. ADMINISTRACIULI SENOBA" xfId="292"/>
    <cellStyle name="60% - Accent1" xfId="293"/>
    <cellStyle name="60% - Accent1 2" xfId="294"/>
    <cellStyle name="60% - Accent1 2 2" xfId="295"/>
    <cellStyle name="60% - Accent1 2 3" xfId="296"/>
    <cellStyle name="60% - Accent1 2 4" xfId="297"/>
    <cellStyle name="60% - Accent1 2 5" xfId="298"/>
    <cellStyle name="60% - Accent1 3" xfId="299"/>
    <cellStyle name="60% - Accent1 4" xfId="300"/>
    <cellStyle name="60% - Accent1 4 2" xfId="301"/>
    <cellStyle name="60% - Accent1 5" xfId="302"/>
    <cellStyle name="60% - Accent1 6" xfId="303"/>
    <cellStyle name="60% - Accent1 7" xfId="304"/>
    <cellStyle name="60% - Accent2" xfId="305"/>
    <cellStyle name="60% - Accent2 2" xfId="306"/>
    <cellStyle name="60% - Accent2 2 2" xfId="307"/>
    <cellStyle name="60% - Accent2 2 3" xfId="308"/>
    <cellStyle name="60% - Accent2 2 4" xfId="309"/>
    <cellStyle name="60% - Accent2 2 5" xfId="310"/>
    <cellStyle name="60% - Accent2 3" xfId="311"/>
    <cellStyle name="60% - Accent2 4" xfId="312"/>
    <cellStyle name="60% - Accent2 4 2" xfId="313"/>
    <cellStyle name="60% - Accent2 5" xfId="314"/>
    <cellStyle name="60% - Accent2 6" xfId="315"/>
    <cellStyle name="60% - Accent2 7" xfId="316"/>
    <cellStyle name="60% - Accent3" xfId="317"/>
    <cellStyle name="60% - Accent3 2" xfId="318"/>
    <cellStyle name="60% - Accent3 2 2" xfId="319"/>
    <cellStyle name="60% - Accent3 2 3" xfId="320"/>
    <cellStyle name="60% - Accent3 2 4" xfId="321"/>
    <cellStyle name="60% - Accent3 2 5" xfId="322"/>
    <cellStyle name="60% - Accent3 3" xfId="323"/>
    <cellStyle name="60% - Accent3 4" xfId="324"/>
    <cellStyle name="60% - Accent3 4 2" xfId="325"/>
    <cellStyle name="60% - Accent3 5" xfId="326"/>
    <cellStyle name="60% - Accent3 6" xfId="327"/>
    <cellStyle name="60% - Accent3 7" xfId="328"/>
    <cellStyle name="60% - Accent4" xfId="329"/>
    <cellStyle name="60% - Accent4 2" xfId="330"/>
    <cellStyle name="60% - Accent4 2 2" xfId="331"/>
    <cellStyle name="60% - Accent4 2 3" xfId="332"/>
    <cellStyle name="60% - Accent4 2 4" xfId="333"/>
    <cellStyle name="60% - Accent4 2 5" xfId="334"/>
    <cellStyle name="60% - Accent4 3" xfId="335"/>
    <cellStyle name="60% - Accent4 4" xfId="336"/>
    <cellStyle name="60% - Accent4 4 2" xfId="337"/>
    <cellStyle name="60% - Accent4 5" xfId="338"/>
    <cellStyle name="60% - Accent4 6" xfId="339"/>
    <cellStyle name="60% - Accent4 7" xfId="340"/>
    <cellStyle name="60% - Accent5" xfId="341"/>
    <cellStyle name="60% - Accent5 2" xfId="342"/>
    <cellStyle name="60% - Accent5 2 2" xfId="343"/>
    <cellStyle name="60% - Accent5 2 3" xfId="344"/>
    <cellStyle name="60% - Accent5 2 4" xfId="345"/>
    <cellStyle name="60% - Accent5 2 5" xfId="346"/>
    <cellStyle name="60% - Accent5 3" xfId="347"/>
    <cellStyle name="60% - Accent5 4" xfId="348"/>
    <cellStyle name="60% - Accent5 4 2" xfId="349"/>
    <cellStyle name="60% - Accent5 5" xfId="350"/>
    <cellStyle name="60% - Accent5 6" xfId="351"/>
    <cellStyle name="60% - Accent5 7" xfId="352"/>
    <cellStyle name="60% - Accent6" xfId="353"/>
    <cellStyle name="60% - Accent6 2" xfId="354"/>
    <cellStyle name="60% - Accent6 2 2" xfId="355"/>
    <cellStyle name="60% - Accent6 2 3" xfId="356"/>
    <cellStyle name="60% - Accent6 2 4" xfId="357"/>
    <cellStyle name="60% - Accent6 2 5" xfId="358"/>
    <cellStyle name="60% - Accent6 3" xfId="359"/>
    <cellStyle name="60% - Accent6 4" xfId="360"/>
    <cellStyle name="60% - Accent6 4 2" xfId="361"/>
    <cellStyle name="60% - Accent6 5" xfId="362"/>
    <cellStyle name="60% - Accent6 6" xfId="363"/>
    <cellStyle name="60% - Accent6 7" xfId="364"/>
    <cellStyle name="Accent1" xfId="365"/>
    <cellStyle name="Accent1 2" xfId="366"/>
    <cellStyle name="Accent1 2 2" xfId="367"/>
    <cellStyle name="Accent1 2 3" xfId="368"/>
    <cellStyle name="Accent1 2 4" xfId="369"/>
    <cellStyle name="Accent1 2 5" xfId="370"/>
    <cellStyle name="Accent1 3" xfId="371"/>
    <cellStyle name="Accent1 4" xfId="372"/>
    <cellStyle name="Accent1 4 2" xfId="373"/>
    <cellStyle name="Accent1 5" xfId="374"/>
    <cellStyle name="Accent1 6" xfId="375"/>
    <cellStyle name="Accent1 7" xfId="376"/>
    <cellStyle name="Accent2" xfId="377"/>
    <cellStyle name="Accent2 2" xfId="378"/>
    <cellStyle name="Accent2 2 2" xfId="379"/>
    <cellStyle name="Accent2 2 3" xfId="380"/>
    <cellStyle name="Accent2 2 4" xfId="381"/>
    <cellStyle name="Accent2 2 5" xfId="382"/>
    <cellStyle name="Accent2 3" xfId="383"/>
    <cellStyle name="Accent2 4" xfId="384"/>
    <cellStyle name="Accent2 4 2" xfId="385"/>
    <cellStyle name="Accent2 5" xfId="386"/>
    <cellStyle name="Accent2 6" xfId="387"/>
    <cellStyle name="Accent2 7" xfId="388"/>
    <cellStyle name="Accent3" xfId="389"/>
    <cellStyle name="Accent3 2" xfId="390"/>
    <cellStyle name="Accent3 2 2" xfId="391"/>
    <cellStyle name="Accent3 2 3" xfId="392"/>
    <cellStyle name="Accent3 2 4" xfId="393"/>
    <cellStyle name="Accent3 2 5" xfId="394"/>
    <cellStyle name="Accent3 3" xfId="395"/>
    <cellStyle name="Accent3 4" xfId="396"/>
    <cellStyle name="Accent3 4 2" xfId="397"/>
    <cellStyle name="Accent3 5" xfId="398"/>
    <cellStyle name="Accent3 6" xfId="399"/>
    <cellStyle name="Accent3 7" xfId="400"/>
    <cellStyle name="Accent4" xfId="401"/>
    <cellStyle name="Accent4 2" xfId="402"/>
    <cellStyle name="Accent4 2 2" xfId="403"/>
    <cellStyle name="Accent4 2 3" xfId="404"/>
    <cellStyle name="Accent4 2 4" xfId="405"/>
    <cellStyle name="Accent4 2 5" xfId="406"/>
    <cellStyle name="Accent4 3" xfId="407"/>
    <cellStyle name="Accent4 4" xfId="408"/>
    <cellStyle name="Accent4 4 2" xfId="409"/>
    <cellStyle name="Accent4 5" xfId="410"/>
    <cellStyle name="Accent4 6" xfId="411"/>
    <cellStyle name="Accent4 7" xfId="412"/>
    <cellStyle name="Accent5" xfId="413"/>
    <cellStyle name="Accent5 2" xfId="414"/>
    <cellStyle name="Accent5 2 2" xfId="415"/>
    <cellStyle name="Accent5 2 3" xfId="416"/>
    <cellStyle name="Accent5 2 4" xfId="417"/>
    <cellStyle name="Accent5 2 5" xfId="418"/>
    <cellStyle name="Accent5 3" xfId="419"/>
    <cellStyle name="Accent5 4" xfId="420"/>
    <cellStyle name="Accent5 4 2" xfId="421"/>
    <cellStyle name="Accent5 5" xfId="422"/>
    <cellStyle name="Accent5 6" xfId="423"/>
    <cellStyle name="Accent5 7" xfId="424"/>
    <cellStyle name="Accent6" xfId="425"/>
    <cellStyle name="Accent6 2" xfId="426"/>
    <cellStyle name="Accent6 2 2" xfId="427"/>
    <cellStyle name="Accent6 2 3" xfId="428"/>
    <cellStyle name="Accent6 2 4" xfId="429"/>
    <cellStyle name="Accent6 2 5" xfId="430"/>
    <cellStyle name="Accent6 3" xfId="431"/>
    <cellStyle name="Accent6 4" xfId="432"/>
    <cellStyle name="Accent6 4 2" xfId="433"/>
    <cellStyle name="Accent6 5" xfId="434"/>
    <cellStyle name="Accent6 6" xfId="435"/>
    <cellStyle name="Accent6 7" xfId="436"/>
    <cellStyle name="Bad" xfId="437"/>
    <cellStyle name="Bad 2" xfId="438"/>
    <cellStyle name="Bad 2 2" xfId="439"/>
    <cellStyle name="Bad 2 3" xfId="440"/>
    <cellStyle name="Bad 2 4" xfId="441"/>
    <cellStyle name="Bad 2 5" xfId="442"/>
    <cellStyle name="Bad 3" xfId="443"/>
    <cellStyle name="Bad 4" xfId="444"/>
    <cellStyle name="Bad 4 2" xfId="445"/>
    <cellStyle name="Bad 5" xfId="446"/>
    <cellStyle name="Bad 6" xfId="447"/>
    <cellStyle name="Bad 7" xfId="448"/>
    <cellStyle name="Calculation" xfId="449"/>
    <cellStyle name="Calculation 2" xfId="450"/>
    <cellStyle name="Calculation 2 2" xfId="451"/>
    <cellStyle name="Calculation 2 3" xfId="452"/>
    <cellStyle name="Calculation 2 4" xfId="453"/>
    <cellStyle name="Calculation 2 5" xfId="454"/>
    <cellStyle name="Calculation 2_anakia II etapi.xls sm. defeqturi" xfId="455"/>
    <cellStyle name="Calculation 3" xfId="456"/>
    <cellStyle name="Calculation 4" xfId="457"/>
    <cellStyle name="Calculation 4 2" xfId="458"/>
    <cellStyle name="Calculation 4_anakia II etapi.xls sm. defeqturi" xfId="459"/>
    <cellStyle name="Calculation 5" xfId="460"/>
    <cellStyle name="Calculation 6" xfId="461"/>
    <cellStyle name="Calculation 7" xfId="462"/>
    <cellStyle name="Check Cell" xfId="463"/>
    <cellStyle name="Check Cell 2" xfId="464"/>
    <cellStyle name="Check Cell 2 2" xfId="465"/>
    <cellStyle name="Check Cell 2 3" xfId="466"/>
    <cellStyle name="Check Cell 2 4" xfId="467"/>
    <cellStyle name="Check Cell 2 5" xfId="468"/>
    <cellStyle name="Check Cell 2_anakia II etapi.xls sm. defeqturi" xfId="469"/>
    <cellStyle name="Check Cell 3" xfId="470"/>
    <cellStyle name="Check Cell 4" xfId="471"/>
    <cellStyle name="Check Cell 4 2" xfId="472"/>
    <cellStyle name="Check Cell 4_anakia II etapi.xls sm. defeqturi" xfId="473"/>
    <cellStyle name="Check Cell 5" xfId="474"/>
    <cellStyle name="Check Cell 6" xfId="475"/>
    <cellStyle name="Check Cell 7" xfId="476"/>
    <cellStyle name="Comma" xfId="901" builtinId="3"/>
    <cellStyle name="Comma 10" xfId="478"/>
    <cellStyle name="Comma 10 2" xfId="479"/>
    <cellStyle name="Comma 11" xfId="480"/>
    <cellStyle name="Comma 12" xfId="481"/>
    <cellStyle name="Comma 12 2" xfId="482"/>
    <cellStyle name="Comma 12 3" xfId="483"/>
    <cellStyle name="Comma 12 4" xfId="484"/>
    <cellStyle name="Comma 12 5" xfId="485"/>
    <cellStyle name="Comma 12 6" xfId="486"/>
    <cellStyle name="Comma 12 7" xfId="487"/>
    <cellStyle name="Comma 12 8" xfId="488"/>
    <cellStyle name="Comma 13" xfId="489"/>
    <cellStyle name="Comma 14" xfId="490"/>
    <cellStyle name="Comma 15" xfId="491"/>
    <cellStyle name="Comma 15 2" xfId="492"/>
    <cellStyle name="Comma 16" xfId="493"/>
    <cellStyle name="Comma 17" xfId="494"/>
    <cellStyle name="Comma 17 2" xfId="495"/>
    <cellStyle name="Comma 18" xfId="496"/>
    <cellStyle name="Comma 19" xfId="497"/>
    <cellStyle name="Comma 2" xfId="498"/>
    <cellStyle name="Comma 2 2" xfId="499"/>
    <cellStyle name="Comma 2 2 2" xfId="500"/>
    <cellStyle name="Comma 2 2 3" xfId="501"/>
    <cellStyle name="Comma 2 3" xfId="502"/>
    <cellStyle name="Comma 20" xfId="503"/>
    <cellStyle name="Comma 3" xfId="504"/>
    <cellStyle name="Comma 4" xfId="505"/>
    <cellStyle name="Comma 5" xfId="506"/>
    <cellStyle name="Comma 6" xfId="507"/>
    <cellStyle name="Comma 7" xfId="508"/>
    <cellStyle name="Comma 8" xfId="509"/>
    <cellStyle name="Comma 9" xfId="510"/>
    <cellStyle name="Explanatory Text" xfId="511"/>
    <cellStyle name="Explanatory Text 2" xfId="512"/>
    <cellStyle name="Explanatory Text 2 2" xfId="513"/>
    <cellStyle name="Explanatory Text 2 3" xfId="514"/>
    <cellStyle name="Explanatory Text 2 4" xfId="515"/>
    <cellStyle name="Explanatory Text 2 5" xfId="516"/>
    <cellStyle name="Explanatory Text 3" xfId="517"/>
    <cellStyle name="Explanatory Text 4" xfId="518"/>
    <cellStyle name="Explanatory Text 4 2" xfId="519"/>
    <cellStyle name="Explanatory Text 5" xfId="520"/>
    <cellStyle name="Explanatory Text 6" xfId="521"/>
    <cellStyle name="Explanatory Text 7" xfId="522"/>
    <cellStyle name="Good" xfId="523"/>
    <cellStyle name="Good 2" xfId="524"/>
    <cellStyle name="Good 2 2" xfId="525"/>
    <cellStyle name="Good 2 3" xfId="526"/>
    <cellStyle name="Good 2 4" xfId="527"/>
    <cellStyle name="Good 2 5" xfId="528"/>
    <cellStyle name="Good 3" xfId="529"/>
    <cellStyle name="Good 4" xfId="530"/>
    <cellStyle name="Good 4 2" xfId="531"/>
    <cellStyle name="Good 5" xfId="532"/>
    <cellStyle name="Good 6" xfId="533"/>
    <cellStyle name="Good 7" xfId="534"/>
    <cellStyle name="Heading 1" xfId="535"/>
    <cellStyle name="Heading 1 2" xfId="536"/>
    <cellStyle name="Heading 1 2 2" xfId="537"/>
    <cellStyle name="Heading 1 2 3" xfId="538"/>
    <cellStyle name="Heading 1 2 4" xfId="539"/>
    <cellStyle name="Heading 1 2 5" xfId="540"/>
    <cellStyle name="Heading 1 2_anakia II etapi.xls sm. defeqturi" xfId="541"/>
    <cellStyle name="Heading 1 3" xfId="542"/>
    <cellStyle name="Heading 1 4" xfId="543"/>
    <cellStyle name="Heading 1 4 2" xfId="544"/>
    <cellStyle name="Heading 1 4_anakia II etapi.xls sm. defeqturi" xfId="545"/>
    <cellStyle name="Heading 1 5" xfId="546"/>
    <cellStyle name="Heading 1 6" xfId="547"/>
    <cellStyle name="Heading 1 7" xfId="548"/>
    <cellStyle name="Heading 2" xfId="549"/>
    <cellStyle name="Heading 2 2" xfId="550"/>
    <cellStyle name="Heading 2 2 2" xfId="551"/>
    <cellStyle name="Heading 2 2 3" xfId="552"/>
    <cellStyle name="Heading 2 2 4" xfId="553"/>
    <cellStyle name="Heading 2 2 5" xfId="554"/>
    <cellStyle name="Heading 2 2_anakia II etapi.xls sm. defeqturi" xfId="555"/>
    <cellStyle name="Heading 2 3" xfId="556"/>
    <cellStyle name="Heading 2 4" xfId="557"/>
    <cellStyle name="Heading 2 4 2" xfId="558"/>
    <cellStyle name="Heading 2 4_anakia II etapi.xls sm. defeqturi" xfId="559"/>
    <cellStyle name="Heading 2 5" xfId="560"/>
    <cellStyle name="Heading 2 6" xfId="561"/>
    <cellStyle name="Heading 2 7" xfId="562"/>
    <cellStyle name="Heading 3" xfId="563"/>
    <cellStyle name="Heading 3 2" xfId="564"/>
    <cellStyle name="Heading 3 2 2" xfId="565"/>
    <cellStyle name="Heading 3 2 3" xfId="566"/>
    <cellStyle name="Heading 3 2 4" xfId="567"/>
    <cellStyle name="Heading 3 2 5" xfId="568"/>
    <cellStyle name="Heading 3 2_anakia II etapi.xls sm. defeqturi" xfId="569"/>
    <cellStyle name="Heading 3 3" xfId="570"/>
    <cellStyle name="Heading 3 4" xfId="571"/>
    <cellStyle name="Heading 3 4 2" xfId="572"/>
    <cellStyle name="Heading 3 4_anakia II etapi.xls sm. defeqturi" xfId="573"/>
    <cellStyle name="Heading 3 5" xfId="574"/>
    <cellStyle name="Heading 3 6" xfId="575"/>
    <cellStyle name="Heading 3 7" xfId="576"/>
    <cellStyle name="Heading 4" xfId="577"/>
    <cellStyle name="Heading 4 2" xfId="578"/>
    <cellStyle name="Heading 4 2 2" xfId="579"/>
    <cellStyle name="Heading 4 2 3" xfId="580"/>
    <cellStyle name="Heading 4 2 4" xfId="581"/>
    <cellStyle name="Heading 4 2 5" xfId="582"/>
    <cellStyle name="Heading 4 3" xfId="583"/>
    <cellStyle name="Heading 4 4" xfId="584"/>
    <cellStyle name="Heading 4 4 2" xfId="585"/>
    <cellStyle name="Heading 4 5" xfId="586"/>
    <cellStyle name="Heading 4 6" xfId="587"/>
    <cellStyle name="Heading 4 7" xfId="588"/>
    <cellStyle name="Hyperlink 2" xfId="589"/>
    <cellStyle name="Input" xfId="590"/>
    <cellStyle name="Input 2" xfId="591"/>
    <cellStyle name="Input 2 2" xfId="592"/>
    <cellStyle name="Input 2 3" xfId="593"/>
    <cellStyle name="Input 2 4" xfId="594"/>
    <cellStyle name="Input 2 5" xfId="595"/>
    <cellStyle name="Input 2_anakia II etapi.xls sm. defeqturi" xfId="596"/>
    <cellStyle name="Input 3" xfId="597"/>
    <cellStyle name="Input 4" xfId="598"/>
    <cellStyle name="Input 4 2" xfId="599"/>
    <cellStyle name="Input 4_anakia II etapi.xls sm. defeqturi" xfId="600"/>
    <cellStyle name="Input 5" xfId="601"/>
    <cellStyle name="Input 6" xfId="602"/>
    <cellStyle name="Input 7" xfId="603"/>
    <cellStyle name="Linked Cell" xfId="604"/>
    <cellStyle name="Linked Cell 2" xfId="605"/>
    <cellStyle name="Linked Cell 2 2" xfId="606"/>
    <cellStyle name="Linked Cell 2 3" xfId="607"/>
    <cellStyle name="Linked Cell 2 4" xfId="608"/>
    <cellStyle name="Linked Cell 2 5" xfId="609"/>
    <cellStyle name="Linked Cell 2_anakia II etapi.xls sm. defeqturi" xfId="610"/>
    <cellStyle name="Linked Cell 3" xfId="611"/>
    <cellStyle name="Linked Cell 4" xfId="612"/>
    <cellStyle name="Linked Cell 4 2" xfId="613"/>
    <cellStyle name="Linked Cell 4_anakia II etapi.xls sm. defeqturi" xfId="614"/>
    <cellStyle name="Linked Cell 5" xfId="615"/>
    <cellStyle name="Linked Cell 6" xfId="616"/>
    <cellStyle name="Linked Cell 7" xfId="617"/>
    <cellStyle name="Neutral" xfId="618"/>
    <cellStyle name="Neutral 2" xfId="619"/>
    <cellStyle name="Neutral 2 2" xfId="620"/>
    <cellStyle name="Neutral 2 3" xfId="621"/>
    <cellStyle name="Neutral 2 4" xfId="622"/>
    <cellStyle name="Neutral 2 5" xfId="623"/>
    <cellStyle name="Neutral 3" xfId="624"/>
    <cellStyle name="Neutral 4" xfId="625"/>
    <cellStyle name="Neutral 4 2" xfId="626"/>
    <cellStyle name="Neutral 5" xfId="627"/>
    <cellStyle name="Neutral 6" xfId="628"/>
    <cellStyle name="Neutral 7" xfId="629"/>
    <cellStyle name="Normal" xfId="0" builtinId="0"/>
    <cellStyle name="Normal 10" xfId="630"/>
    <cellStyle name="Normal 10 2" xfId="631"/>
    <cellStyle name="Normal 11" xfId="632"/>
    <cellStyle name="Normal 11 2" xfId="633"/>
    <cellStyle name="Normal 11 2 2" xfId="634"/>
    <cellStyle name="Normal 11 3" xfId="635"/>
    <cellStyle name="Normal 11_GAZI-2010" xfId="636"/>
    <cellStyle name="Normal 12" xfId="637"/>
    <cellStyle name="Normal 12 2" xfId="638"/>
    <cellStyle name="Normal 12_gazis gare qseli" xfId="639"/>
    <cellStyle name="Normal 13" xfId="640"/>
    <cellStyle name="Normal 13 2" xfId="641"/>
    <cellStyle name="Normal 13 2 2" xfId="642"/>
    <cellStyle name="Normal 13 2 3" xfId="643"/>
    <cellStyle name="Normal 13 3" xfId="644"/>
    <cellStyle name="Normal 13 3 2" xfId="645"/>
    <cellStyle name="Normal 13 3 3" xfId="646"/>
    <cellStyle name="Normal 13 3 3 2" xfId="647"/>
    <cellStyle name="Normal 13 3 3 2 2" xfId="908"/>
    <cellStyle name="Normal 13 3 3 3" xfId="648"/>
    <cellStyle name="Normal 13 3 4" xfId="649"/>
    <cellStyle name="Normal 13 3 5" xfId="650"/>
    <cellStyle name="Normal 13 4" xfId="651"/>
    <cellStyle name="Normal 13 5" xfId="652"/>
    <cellStyle name="Normal 13 5 2" xfId="653"/>
    <cellStyle name="Normal 13 5 3" xfId="654"/>
    <cellStyle name="Normal 13 5 3 2" xfId="655"/>
    <cellStyle name="Normal 13 5 3 3" xfId="656"/>
    <cellStyle name="Normal 13 5 3 4" xfId="657"/>
    <cellStyle name="Normal 13 5 4" xfId="658"/>
    <cellStyle name="Normal 13 6" xfId="659"/>
    <cellStyle name="Normal 13 7" xfId="660"/>
    <cellStyle name="Normal 13 8" xfId="661"/>
    <cellStyle name="Normal 13_# 6-1 27.01.12 - копия (1)" xfId="662"/>
    <cellStyle name="Normal 14" xfId="663"/>
    <cellStyle name="Normal 14 2" xfId="664"/>
    <cellStyle name="Normal 14 3" xfId="665"/>
    <cellStyle name="Normal 14 3 2" xfId="666"/>
    <cellStyle name="Normal 14 4" xfId="667"/>
    <cellStyle name="Normal 14 5" xfId="668"/>
    <cellStyle name="Normal 14 6" xfId="669"/>
    <cellStyle name="Normal 14_anakia II etapi.xls sm. defeqturi" xfId="670"/>
    <cellStyle name="Normal 15" xfId="671"/>
    <cellStyle name="Normal 16" xfId="672"/>
    <cellStyle name="Normal 16 2" xfId="673"/>
    <cellStyle name="Normal 16 3" xfId="674"/>
    <cellStyle name="Normal 16 4" xfId="675"/>
    <cellStyle name="Normal 16_# 6-1 27.01.12 - копия (1)" xfId="676"/>
    <cellStyle name="Normal 17" xfId="677"/>
    <cellStyle name="Normal 18" xfId="678"/>
    <cellStyle name="Normal 19" xfId="679"/>
    <cellStyle name="Normal 2" xfId="3"/>
    <cellStyle name="Normal 2 10" xfId="681"/>
    <cellStyle name="Normal 2 11" xfId="682"/>
    <cellStyle name="Normal 2 12" xfId="680"/>
    <cellStyle name="Normal 2 2" xfId="683"/>
    <cellStyle name="Normal 2 2 2" xfId="684"/>
    <cellStyle name="Normal 2 2 3" xfId="685"/>
    <cellStyle name="Normal 2 2 4" xfId="686"/>
    <cellStyle name="Normal 2 2 5" xfId="687"/>
    <cellStyle name="Normal 2 2 6" xfId="688"/>
    <cellStyle name="Normal 2 2 7" xfId="689"/>
    <cellStyle name="Normal 2 2_2D4CD000" xfId="690"/>
    <cellStyle name="Normal 2 3" xfId="691"/>
    <cellStyle name="Normal 2 4" xfId="692"/>
    <cellStyle name="Normal 2 5" xfId="693"/>
    <cellStyle name="Normal 2 6" xfId="694"/>
    <cellStyle name="Normal 2 7" xfId="695"/>
    <cellStyle name="Normal 2 7 2" xfId="696"/>
    <cellStyle name="Normal 2 7 3" xfId="697"/>
    <cellStyle name="Normal 2 7_anakia II etapi.xls sm. defeqturi" xfId="698"/>
    <cellStyle name="Normal 2 8" xfId="699"/>
    <cellStyle name="Normal 2 9" xfId="700"/>
    <cellStyle name="Normal 2_anakia II etapi.xls sm. defeqturi" xfId="701"/>
    <cellStyle name="Normal 20" xfId="702"/>
    <cellStyle name="Normal 21" xfId="703"/>
    <cellStyle name="Normal 22" xfId="704"/>
    <cellStyle name="Normal 23" xfId="705"/>
    <cellStyle name="Normal 24" xfId="706"/>
    <cellStyle name="Normal 25" xfId="707"/>
    <cellStyle name="Normal 26" xfId="708"/>
    <cellStyle name="Normal 27" xfId="709"/>
    <cellStyle name="Normal 28" xfId="710"/>
    <cellStyle name="Normal 29" xfId="711"/>
    <cellStyle name="Normal 29 2" xfId="712"/>
    <cellStyle name="Normal 3" xfId="1"/>
    <cellStyle name="Normal 3 2" xfId="713"/>
    <cellStyle name="Normal 3 2 2" xfId="714"/>
    <cellStyle name="Normal 3 2_anakia II etapi.xls sm. defeqturi" xfId="715"/>
    <cellStyle name="Normal 3 3" xfId="716"/>
    <cellStyle name="Normal 30" xfId="717"/>
    <cellStyle name="Normal 30 2" xfId="718"/>
    <cellStyle name="Normal 31" xfId="719"/>
    <cellStyle name="Normal 32" xfId="720"/>
    <cellStyle name="Normal 32 2" xfId="721"/>
    <cellStyle name="Normal 32 2 2" xfId="722"/>
    <cellStyle name="Normal 32 3" xfId="723"/>
    <cellStyle name="Normal 32 3 2" xfId="724"/>
    <cellStyle name="Normal 32 3 2 2" xfId="725"/>
    <cellStyle name="Normal 32 4" xfId="726"/>
    <cellStyle name="Normal 32_# 6-1 27.01.12 - копия (1)" xfId="727"/>
    <cellStyle name="Normal 33" xfId="728"/>
    <cellStyle name="Normal 33 2" xfId="729"/>
    <cellStyle name="Normal 34" xfId="730"/>
    <cellStyle name="Normal 35" xfId="731"/>
    <cellStyle name="Normal 35 2" xfId="732"/>
    <cellStyle name="Normal 35 3" xfId="733"/>
    <cellStyle name="Normal 36" xfId="734"/>
    <cellStyle name="Normal 36 2" xfId="735"/>
    <cellStyle name="Normal 36 2 2" xfId="736"/>
    <cellStyle name="Normal 36 2 2 2" xfId="902"/>
    <cellStyle name="Normal 36 2 3" xfId="737"/>
    <cellStyle name="Normal 36 2 4" xfId="738"/>
    <cellStyle name="Normal 36 3" xfId="739"/>
    <cellStyle name="Normal 36 4" xfId="740"/>
    <cellStyle name="Normal 37" xfId="741"/>
    <cellStyle name="Normal 37 2" xfId="742"/>
    <cellStyle name="Normal 38" xfId="743"/>
    <cellStyle name="Normal 38 2" xfId="744"/>
    <cellStyle name="Normal 38 2 2" xfId="745"/>
    <cellStyle name="Normal 38 3" xfId="746"/>
    <cellStyle name="Normal 38 3 2" xfId="747"/>
    <cellStyle name="Normal 38 4" xfId="748"/>
    <cellStyle name="Normal 39" xfId="749"/>
    <cellStyle name="Normal 39 2" xfId="750"/>
    <cellStyle name="Normal 4" xfId="751"/>
    <cellStyle name="Normal 4 2" xfId="752"/>
    <cellStyle name="Normal 4 3" xfId="753"/>
    <cellStyle name="Normal 40" xfId="754"/>
    <cellStyle name="Normal 40 2" xfId="755"/>
    <cellStyle name="Normal 40 3" xfId="756"/>
    <cellStyle name="Normal 41" xfId="757"/>
    <cellStyle name="Normal 41 2" xfId="758"/>
    <cellStyle name="Normal 42" xfId="759"/>
    <cellStyle name="Normal 42 2" xfId="760"/>
    <cellStyle name="Normal 42 3" xfId="761"/>
    <cellStyle name="Normal 43" xfId="762"/>
    <cellStyle name="Normal 44" xfId="763"/>
    <cellStyle name="Normal 45" xfId="764"/>
    <cellStyle name="Normal 46" xfId="765"/>
    <cellStyle name="Normal 47" xfId="766"/>
    <cellStyle name="Normal 47 2" xfId="767"/>
    <cellStyle name="Normal 47 3" xfId="768"/>
    <cellStyle name="Normal 47 3 2" xfId="769"/>
    <cellStyle name="Normal 47 3 3" xfId="770"/>
    <cellStyle name="Normal 47 4" xfId="771"/>
    <cellStyle name="Normal 5" xfId="772"/>
    <cellStyle name="Normal 5 2" xfId="773"/>
    <cellStyle name="Normal 5 2 2" xfId="774"/>
    <cellStyle name="Normal 5 3" xfId="775"/>
    <cellStyle name="Normal 5 4" xfId="776"/>
    <cellStyle name="Normal 5 4 2" xfId="777"/>
    <cellStyle name="Normal 5 4 3" xfId="778"/>
    <cellStyle name="Normal 5 5" xfId="779"/>
    <cellStyle name="Normal 5_Copy of SAN2010" xfId="780"/>
    <cellStyle name="Normal 50" xfId="906"/>
    <cellStyle name="Normal 6" xfId="781"/>
    <cellStyle name="Normal 7" xfId="782"/>
    <cellStyle name="Normal 75" xfId="783"/>
    <cellStyle name="Normal 8" xfId="784"/>
    <cellStyle name="Normal 8 2" xfId="78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anakia II etapi.xls sm. defeqturi" xfId="792"/>
    <cellStyle name="Normal 9_2D4CD000" xfId="793"/>
    <cellStyle name="Normal_Book1 2" xfId="910"/>
    <cellStyle name="Normal_Book1_axalqalaqis skola " xfId="905"/>
    <cellStyle name="Normal_gare wyalsadfenigagarini 10" xfId="899"/>
    <cellStyle name="Normal_gare wyalsadfenigagarini 2 2" xfId="900"/>
    <cellStyle name="Normal_gare wyalsadfenigagarini_SUSTI DENEBI_axalqalaqis skola " xfId="904"/>
    <cellStyle name="Normal_qavtarazis mravalfunqciuri kompleqsis xarjTaRricxva" xfId="907"/>
    <cellStyle name="Normal_SUSTI DENEBI" xfId="903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" xfId="912" builtinId="5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 10" xfId="867"/>
    <cellStyle name="Обычный 10 2" xfId="868"/>
    <cellStyle name="Обычный 11" xfId="4"/>
    <cellStyle name="Обычный 2" xfId="2"/>
    <cellStyle name="Обычный 2 2" xfId="869"/>
    <cellStyle name="Обычный 3" xfId="870"/>
    <cellStyle name="Обычный 3 2" xfId="871"/>
    <cellStyle name="Обычный 3 3" xfId="872"/>
    <cellStyle name="Обычный 4" xfId="873"/>
    <cellStyle name="Обычный 4 2" xfId="874"/>
    <cellStyle name="Обычный 4 3" xfId="875"/>
    <cellStyle name="Обычный 4 4" xfId="876"/>
    <cellStyle name="Обычный 5" xfId="877"/>
    <cellStyle name="Обычный 5 2" xfId="878"/>
    <cellStyle name="Обычный 5 2 2" xfId="879"/>
    <cellStyle name="Обычный 5 3" xfId="880"/>
    <cellStyle name="Обычный 5 4" xfId="881"/>
    <cellStyle name="Обычный 5 4 2" xfId="882"/>
    <cellStyle name="Обычный 5 5" xfId="883"/>
    <cellStyle name="Обычный 6" xfId="884"/>
    <cellStyle name="Обычный 6 2" xfId="885"/>
    <cellStyle name="Обычный 7" xfId="886"/>
    <cellStyle name="Обычный 8" xfId="887"/>
    <cellStyle name="Обычный 8 2" xfId="888"/>
    <cellStyle name="Обычный 9" xfId="889"/>
    <cellStyle name="Обычный_ELEQ_SUSTI DENEBI_axalqalaqis skola " xfId="911"/>
    <cellStyle name="Обычный_Лист1" xfId="909"/>
    <cellStyle name="Плохой 2" xfId="890"/>
    <cellStyle name="Процентный 2" xfId="891"/>
    <cellStyle name="Процентный 3" xfId="892"/>
    <cellStyle name="Процентный 3 2" xfId="893"/>
    <cellStyle name="Финансовый 2" xfId="894"/>
    <cellStyle name="Финансовый 2 2" xfId="895"/>
    <cellStyle name="Финансовый 3" xfId="896"/>
    <cellStyle name="Финансовый 4" xfId="897"/>
    <cellStyle name="Финансовый 5" xfId="898"/>
    <cellStyle name="Финансовый 6" xfId="477"/>
  </cellStyles>
  <dxfs count="4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FFCC"/>
      <color rgb="FFCCCC00"/>
      <color rgb="FFFFCCFF"/>
      <color rgb="FF0000FF"/>
      <color rgb="FF00FF99"/>
      <color rgb="FFFF99FF"/>
      <color rgb="FFFF66FF"/>
      <color rgb="FF6666FF"/>
      <color rgb="FF9900FF"/>
      <color rgb="FFFED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33"/>
  <sheetViews>
    <sheetView topLeftCell="A20" workbookViewId="0">
      <selection activeCell="D19" sqref="D19"/>
    </sheetView>
  </sheetViews>
  <sheetFormatPr defaultRowHeight="15" x14ac:dyDescent="0.25"/>
  <cols>
    <col min="2" max="2" width="22.42578125" customWidth="1"/>
    <col min="3" max="3" width="43.5703125" customWidth="1"/>
    <col min="4" max="6" width="14" customWidth="1"/>
    <col min="7" max="7" width="15" style="358" customWidth="1"/>
    <col min="8" max="8" width="19" hidden="1" customWidth="1"/>
  </cols>
  <sheetData>
    <row r="1" spans="1:7" s="215" customFormat="1" ht="31.5" customHeight="1" x14ac:dyDescent="0.25">
      <c r="A1" s="1428" t="s">
        <v>1431</v>
      </c>
      <c r="B1" s="1428"/>
      <c r="C1" s="1428"/>
      <c r="D1" s="1428"/>
      <c r="E1" s="1428"/>
      <c r="F1" s="1428"/>
      <c r="G1" s="1428"/>
    </row>
    <row r="2" spans="1:7" s="215" customFormat="1" ht="42" customHeight="1" x14ac:dyDescent="0.25">
      <c r="A2" s="1231" t="s">
        <v>815</v>
      </c>
      <c r="B2" s="1231"/>
      <c r="C2" s="1231"/>
      <c r="D2" s="1231"/>
      <c r="E2" s="1231"/>
      <c r="F2" s="1231"/>
      <c r="G2" s="1231"/>
    </row>
    <row r="3" spans="1:7" s="215" customFormat="1" ht="15.75" x14ac:dyDescent="0.25">
      <c r="A3" s="4"/>
      <c r="B3" s="4"/>
      <c r="C3" s="4"/>
      <c r="D3" s="4"/>
      <c r="E3" s="4"/>
      <c r="F3" s="4"/>
      <c r="G3" s="356"/>
    </row>
    <row r="4" spans="1:7" s="215" customFormat="1" ht="23.25" customHeight="1" x14ac:dyDescent="0.25">
      <c r="A4" s="1232" t="s">
        <v>0</v>
      </c>
      <c r="B4" s="1232" t="s">
        <v>250</v>
      </c>
      <c r="C4" s="1232" t="s">
        <v>251</v>
      </c>
      <c r="D4" s="1232" t="s">
        <v>252</v>
      </c>
      <c r="E4" s="1232"/>
      <c r="F4" s="1232"/>
      <c r="G4" s="1232"/>
    </row>
    <row r="5" spans="1:7" s="215" customFormat="1" ht="31.5" x14ac:dyDescent="0.25">
      <c r="A5" s="1232"/>
      <c r="B5" s="1232"/>
      <c r="C5" s="1232"/>
      <c r="D5" s="6" t="s">
        <v>253</v>
      </c>
      <c r="E5" s="6" t="s">
        <v>254</v>
      </c>
      <c r="F5" s="6" t="s">
        <v>255</v>
      </c>
      <c r="G5" s="223" t="s">
        <v>256</v>
      </c>
    </row>
    <row r="6" spans="1:7" s="215" customFormat="1" ht="15.75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1426">
        <v>7</v>
      </c>
    </row>
    <row r="7" spans="1:7" s="215" customFormat="1" ht="31.5" hidden="1" x14ac:dyDescent="0.25">
      <c r="A7" s="217" t="s">
        <v>8</v>
      </c>
      <c r="B7" s="217"/>
      <c r="C7" s="217" t="s">
        <v>257</v>
      </c>
      <c r="D7" s="217"/>
      <c r="E7" s="217"/>
      <c r="F7" s="217"/>
      <c r="G7" s="71"/>
    </row>
    <row r="8" spans="1:7" s="215" customFormat="1" ht="15.75" hidden="1" x14ac:dyDescent="0.25">
      <c r="A8" s="6">
        <v>1</v>
      </c>
      <c r="B8" s="6" t="s">
        <v>258</v>
      </c>
      <c r="C8" s="70" t="s">
        <v>24</v>
      </c>
      <c r="D8" s="7"/>
      <c r="E8" s="7"/>
      <c r="F8" s="7"/>
      <c r="G8" s="223">
        <f>D8</f>
        <v>0</v>
      </c>
    </row>
    <row r="9" spans="1:7" s="215" customFormat="1" ht="15.75" hidden="1" x14ac:dyDescent="0.25">
      <c r="A9" s="6">
        <v>2</v>
      </c>
      <c r="B9" s="6" t="s">
        <v>259</v>
      </c>
      <c r="C9" s="70" t="s">
        <v>260</v>
      </c>
      <c r="D9" s="7"/>
      <c r="E9" s="7"/>
      <c r="F9" s="7"/>
      <c r="G9" s="223">
        <f>D9</f>
        <v>0</v>
      </c>
    </row>
    <row r="10" spans="1:7" s="215" customFormat="1" ht="15.75" hidden="1" x14ac:dyDescent="0.25">
      <c r="A10" s="6">
        <v>3</v>
      </c>
      <c r="B10" s="6" t="s">
        <v>261</v>
      </c>
      <c r="C10" s="70" t="s">
        <v>79</v>
      </c>
      <c r="D10" s="218"/>
      <c r="E10" s="7"/>
      <c r="F10" s="7"/>
      <c r="G10" s="223">
        <f>D10</f>
        <v>0</v>
      </c>
    </row>
    <row r="11" spans="1:7" s="215" customFormat="1" ht="15.75" hidden="1" x14ac:dyDescent="0.25">
      <c r="A11" s="6"/>
      <c r="B11" s="6"/>
      <c r="C11" s="70"/>
      <c r="D11" s="50"/>
      <c r="E11" s="7"/>
      <c r="F11" s="7"/>
      <c r="G11" s="223"/>
    </row>
    <row r="12" spans="1:7" s="215" customFormat="1" ht="47.25" hidden="1" x14ac:dyDescent="0.25">
      <c r="A12" s="217" t="s">
        <v>92</v>
      </c>
      <c r="B12" s="217"/>
      <c r="C12" s="217" t="s">
        <v>262</v>
      </c>
      <c r="D12" s="71"/>
      <c r="E12" s="71"/>
      <c r="F12" s="71"/>
      <c r="G12" s="71"/>
    </row>
    <row r="13" spans="1:7" s="215" customFormat="1" ht="15.75" hidden="1" x14ac:dyDescent="0.25">
      <c r="A13" s="6">
        <v>4</v>
      </c>
      <c r="B13" s="6" t="s">
        <v>263</v>
      </c>
      <c r="C13" s="70" t="s">
        <v>24</v>
      </c>
      <c r="D13" s="7"/>
      <c r="E13" s="7"/>
      <c r="F13" s="7"/>
      <c r="G13" s="223">
        <f>D13</f>
        <v>0</v>
      </c>
    </row>
    <row r="14" spans="1:7" s="215" customFormat="1" ht="15.75" hidden="1" x14ac:dyDescent="0.25">
      <c r="A14" s="6">
        <v>5</v>
      </c>
      <c r="B14" s="6" t="s">
        <v>264</v>
      </c>
      <c r="C14" s="70" t="s">
        <v>265</v>
      </c>
      <c r="D14" s="50"/>
      <c r="E14" s="7"/>
      <c r="F14" s="7"/>
      <c r="G14" s="223">
        <f>D14</f>
        <v>0</v>
      </c>
    </row>
    <row r="15" spans="1:7" s="215" customFormat="1" ht="31.5" hidden="1" x14ac:dyDescent="0.25">
      <c r="A15" s="6">
        <v>6</v>
      </c>
      <c r="B15" s="6" t="s">
        <v>266</v>
      </c>
      <c r="C15" s="70" t="s">
        <v>99</v>
      </c>
      <c r="D15" s="7"/>
      <c r="E15" s="7"/>
      <c r="F15" s="7"/>
      <c r="G15" s="223">
        <f>D15</f>
        <v>0</v>
      </c>
    </row>
    <row r="16" spans="1:7" s="215" customFormat="1" ht="15.75" hidden="1" x14ac:dyDescent="0.25">
      <c r="A16" s="6"/>
      <c r="B16" s="6"/>
      <c r="C16" s="6"/>
      <c r="D16" s="7"/>
      <c r="E16" s="7"/>
      <c r="F16" s="7"/>
      <c r="G16" s="223"/>
    </row>
    <row r="17" spans="1:9" s="215" customFormat="1" ht="31.5" x14ac:dyDescent="0.25">
      <c r="A17" s="217"/>
      <c r="B17" s="217"/>
      <c r="C17" s="217" t="s">
        <v>349</v>
      </c>
      <c r="D17" s="71"/>
      <c r="E17" s="71"/>
      <c r="F17" s="71"/>
      <c r="G17" s="71"/>
    </row>
    <row r="18" spans="1:9" s="215" customFormat="1" ht="30.75" customHeight="1" x14ac:dyDescent="0.25">
      <c r="A18" s="6">
        <v>1</v>
      </c>
      <c r="B18" s="6" t="s">
        <v>1351</v>
      </c>
      <c r="C18" s="70" t="s">
        <v>347</v>
      </c>
      <c r="D18" s="8">
        <f>'#1-1'!M1264</f>
        <v>0</v>
      </c>
      <c r="E18" s="7"/>
      <c r="F18" s="7"/>
      <c r="G18" s="223">
        <f>D18</f>
        <v>0</v>
      </c>
      <c r="I18" s="216"/>
    </row>
    <row r="19" spans="1:9" s="215" customFormat="1" ht="28.5" customHeight="1" x14ac:dyDescent="0.25">
      <c r="A19" s="6">
        <v>2</v>
      </c>
      <c r="B19" s="820" t="s">
        <v>1352</v>
      </c>
      <c r="C19" s="70" t="s">
        <v>346</v>
      </c>
      <c r="D19" s="8">
        <f>'#1-2'!M131</f>
        <v>0</v>
      </c>
      <c r="E19" s="7"/>
      <c r="F19" s="7"/>
      <c r="G19" s="223">
        <f t="shared" ref="G19:G21" si="0">D19</f>
        <v>0</v>
      </c>
    </row>
    <row r="20" spans="1:9" s="215" customFormat="1" ht="31.5" x14ac:dyDescent="0.25">
      <c r="A20" s="395">
        <v>3</v>
      </c>
      <c r="B20" s="820" t="s">
        <v>1353</v>
      </c>
      <c r="C20" s="70" t="s">
        <v>345</v>
      </c>
      <c r="D20" s="8">
        <f>'#1-3'!M89</f>
        <v>0</v>
      </c>
      <c r="E20" s="7"/>
      <c r="F20" s="7"/>
      <c r="G20" s="223">
        <f t="shared" si="0"/>
        <v>0</v>
      </c>
    </row>
    <row r="21" spans="1:9" s="215" customFormat="1" ht="22.5" customHeight="1" x14ac:dyDescent="0.25">
      <c r="A21" s="395">
        <v>4</v>
      </c>
      <c r="B21" s="820" t="s">
        <v>1354</v>
      </c>
      <c r="C21" s="428" t="s">
        <v>348</v>
      </c>
      <c r="D21" s="223">
        <f>'#1-4'!M56</f>
        <v>0</v>
      </c>
      <c r="E21" s="223"/>
      <c r="F21" s="223"/>
      <c r="G21" s="223">
        <f t="shared" si="0"/>
        <v>0</v>
      </c>
    </row>
    <row r="22" spans="1:9" s="215" customFormat="1" ht="15.75" x14ac:dyDescent="0.25">
      <c r="A22" s="395"/>
      <c r="B22" s="395"/>
      <c r="C22" s="395"/>
      <c r="D22" s="223"/>
      <c r="E22" s="223"/>
      <c r="F22" s="223"/>
      <c r="G22" s="223"/>
    </row>
    <row r="23" spans="1:9" s="215" customFormat="1" ht="15.75" x14ac:dyDescent="0.25">
      <c r="A23" s="395"/>
      <c r="B23" s="395"/>
      <c r="C23" s="395"/>
      <c r="D23" s="223"/>
      <c r="E23" s="223"/>
      <c r="F23" s="223"/>
      <c r="G23" s="223"/>
    </row>
    <row r="24" spans="1:9" s="215" customFormat="1" ht="28.5" customHeight="1" x14ac:dyDescent="0.25">
      <c r="A24" s="354"/>
      <c r="B24" s="354"/>
      <c r="C24" s="217" t="s">
        <v>19</v>
      </c>
      <c r="D24" s="71"/>
      <c r="E24" s="71"/>
      <c r="F24" s="71"/>
      <c r="G24" s="71">
        <f>SUM(G18:G23)</f>
        <v>0</v>
      </c>
      <c r="H24" s="1084">
        <v>422122.22038023151</v>
      </c>
    </row>
    <row r="25" spans="1:9" x14ac:dyDescent="0.25">
      <c r="C25" s="355"/>
    </row>
    <row r="26" spans="1:9" ht="30.75" x14ac:dyDescent="0.25">
      <c r="A26" s="1074"/>
      <c r="B26" s="1074"/>
      <c r="C26" s="778" t="s">
        <v>1341</v>
      </c>
      <c r="D26" s="1075"/>
      <c r="E26" s="1075"/>
      <c r="F26" s="1075"/>
      <c r="G26" s="1075"/>
    </row>
    <row r="27" spans="1:9" s="1081" customFormat="1" ht="21.75" customHeight="1" x14ac:dyDescent="0.3">
      <c r="A27" s="1427">
        <v>1</v>
      </c>
      <c r="B27" s="820" t="s">
        <v>863</v>
      </c>
      <c r="C27" s="1080" t="s">
        <v>24</v>
      </c>
      <c r="D27" s="1079"/>
      <c r="E27" s="1079"/>
      <c r="F27" s="1079"/>
      <c r="G27" s="223">
        <f>'#2-1'!M148</f>
        <v>0</v>
      </c>
    </row>
    <row r="28" spans="1:9" s="1081" customFormat="1" ht="21.75" customHeight="1" x14ac:dyDescent="0.3">
      <c r="A28" s="1427">
        <v>2</v>
      </c>
      <c r="B28" s="820" t="s">
        <v>996</v>
      </c>
      <c r="C28" s="1080" t="s">
        <v>862</v>
      </c>
      <c r="D28" s="1079"/>
      <c r="E28" s="1079"/>
      <c r="F28" s="1079"/>
      <c r="G28" s="223">
        <f>'#2-2'!M177</f>
        <v>0</v>
      </c>
    </row>
    <row r="29" spans="1:9" s="1081" customFormat="1" ht="39" customHeight="1" x14ac:dyDescent="0.3">
      <c r="A29" s="1427">
        <v>3</v>
      </c>
      <c r="B29" s="820" t="s">
        <v>997</v>
      </c>
      <c r="C29" s="1080" t="s">
        <v>99</v>
      </c>
      <c r="D29" s="1079"/>
      <c r="E29" s="1079"/>
      <c r="F29" s="1079"/>
      <c r="G29" s="223">
        <f>'#2-3'!M588</f>
        <v>0</v>
      </c>
    </row>
    <row r="30" spans="1:9" s="1081" customFormat="1" ht="15.75" x14ac:dyDescent="0.3">
      <c r="A30" s="1079"/>
      <c r="B30" s="1079"/>
      <c r="C30" s="1080"/>
      <c r="D30" s="1079"/>
      <c r="E30" s="1079"/>
      <c r="F30" s="1079"/>
      <c r="G30" s="223"/>
    </row>
    <row r="31" spans="1:9" ht="30.75" customHeight="1" x14ac:dyDescent="0.3">
      <c r="A31" s="1076"/>
      <c r="B31" s="1076"/>
      <c r="C31" s="1077" t="s">
        <v>1355</v>
      </c>
      <c r="D31" s="1076"/>
      <c r="E31" s="1076"/>
      <c r="F31" s="1076"/>
      <c r="G31" s="1078">
        <f>SUM(G27:G30)</f>
        <v>0</v>
      </c>
    </row>
    <row r="32" spans="1:9" x14ac:dyDescent="0.25">
      <c r="C32" s="357"/>
    </row>
    <row r="33" spans="3:3" ht="15.75" x14ac:dyDescent="0.25">
      <c r="C33" s="197"/>
    </row>
  </sheetData>
  <mergeCells count="6">
    <mergeCell ref="A1:G1"/>
    <mergeCell ref="A2:G2"/>
    <mergeCell ref="A4:A5"/>
    <mergeCell ref="B4:B5"/>
    <mergeCell ref="C4:C5"/>
    <mergeCell ref="D4:G4"/>
  </mergeCells>
  <pageMargins left="0.87" right="0.70866141732283472" top="0.9" bottom="0.69" header="0.43" footer="0.37"/>
  <pageSetup paperSize="9" orientation="landscape" horizontalDpi="1200" verticalDpi="1200" r:id="rId1"/>
  <headerFooter>
    <oddHeader>&amp;R&amp;P--&amp;N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266"/>
  <sheetViews>
    <sheetView tabSelected="1" zoomScale="110" zoomScaleNormal="110" workbookViewId="0">
      <pane xSplit="3" ySplit="7" topLeftCell="D1253" activePane="bottomRight" state="frozen"/>
      <selection pane="topRight" activeCell="D1" sqref="D1"/>
      <selection pane="bottomLeft" activeCell="A8" sqref="A8"/>
      <selection pane="bottomRight" activeCell="C1135" sqref="C1135"/>
    </sheetView>
  </sheetViews>
  <sheetFormatPr defaultRowHeight="15" x14ac:dyDescent="0.25"/>
  <cols>
    <col min="1" max="1" width="5.7109375" style="376" customWidth="1"/>
    <col min="2" max="2" width="7.7109375" style="366" customWidth="1"/>
    <col min="3" max="3" width="50.85546875" customWidth="1"/>
    <col min="4" max="4" width="7.140625" customWidth="1"/>
    <col min="5" max="5" width="10.42578125" style="251" bestFit="1" customWidth="1"/>
    <col min="6" max="6" width="12.7109375" style="251" customWidth="1"/>
    <col min="7" max="7" width="9.140625" style="253"/>
    <col min="8" max="8" width="12" style="253" customWidth="1"/>
    <col min="9" max="9" width="7.42578125" style="253" customWidth="1"/>
    <col min="10" max="10" width="11.5703125" style="253" customWidth="1"/>
    <col min="11" max="11" width="11.42578125" style="253" customWidth="1"/>
    <col min="12" max="12" width="12.42578125" style="253" customWidth="1"/>
    <col min="13" max="13" width="13" style="253" customWidth="1"/>
    <col min="14" max="14" width="20" style="239" hidden="1" customWidth="1"/>
    <col min="15" max="15" width="20.28515625" hidden="1" customWidth="1"/>
    <col min="16" max="19" width="0" hidden="1" customWidth="1"/>
  </cols>
  <sheetData>
    <row r="1" spans="1:14" s="76" customFormat="1" ht="29.25" customHeight="1" x14ac:dyDescent="0.3">
      <c r="A1" s="1292" t="str">
        <f>krebsiti!A2</f>
        <v>borjomis municipalitetis daba waRverSi kulturis saxlis mimdebared skveris mowyobis samuSaoebi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411"/>
    </row>
    <row r="2" spans="1:14" s="76" customFormat="1" ht="17.25" customHeight="1" x14ac:dyDescent="0.3">
      <c r="A2" s="1293" t="s">
        <v>128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240"/>
    </row>
    <row r="3" spans="1:14" s="76" customFormat="1" ht="15.75" customHeight="1" x14ac:dyDescent="0.3">
      <c r="A3" s="1292" t="s">
        <v>24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1292"/>
      <c r="N3" s="240"/>
    </row>
    <row r="4" spans="1:14" s="76" customFormat="1" ht="24.75" customHeight="1" x14ac:dyDescent="0.3">
      <c r="A4" s="1292" t="s">
        <v>1343</v>
      </c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240"/>
    </row>
    <row r="5" spans="1:14" s="76" customFormat="1" ht="33.75" customHeight="1" x14ac:dyDescent="0.3">
      <c r="A5" s="1294" t="s">
        <v>0</v>
      </c>
      <c r="B5" s="1295" t="s">
        <v>546</v>
      </c>
      <c r="C5" s="1296" t="s">
        <v>547</v>
      </c>
      <c r="D5" s="1295" t="s">
        <v>548</v>
      </c>
      <c r="E5" s="1298" t="s">
        <v>549</v>
      </c>
      <c r="F5" s="1298"/>
      <c r="G5" s="1289" t="s">
        <v>550</v>
      </c>
      <c r="H5" s="1289"/>
      <c r="I5" s="1289" t="s">
        <v>551</v>
      </c>
      <c r="J5" s="1289"/>
      <c r="K5" s="1290" t="s">
        <v>25</v>
      </c>
      <c r="L5" s="1291"/>
      <c r="M5" s="1289" t="s">
        <v>552</v>
      </c>
      <c r="N5" s="240"/>
    </row>
    <row r="6" spans="1:14" s="76" customFormat="1" ht="31.5" x14ac:dyDescent="0.3">
      <c r="A6" s="1294"/>
      <c r="B6" s="1295"/>
      <c r="C6" s="1297"/>
      <c r="D6" s="1295"/>
      <c r="E6" s="515" t="s">
        <v>12</v>
      </c>
      <c r="F6" s="515" t="s">
        <v>3</v>
      </c>
      <c r="G6" s="515" t="s">
        <v>12</v>
      </c>
      <c r="H6" s="515" t="s">
        <v>3</v>
      </c>
      <c r="I6" s="515" t="s">
        <v>12</v>
      </c>
      <c r="J6" s="515" t="s">
        <v>3</v>
      </c>
      <c r="K6" s="515" t="s">
        <v>12</v>
      </c>
      <c r="L6" s="515" t="s">
        <v>3</v>
      </c>
      <c r="M6" s="1289"/>
      <c r="N6" s="240"/>
    </row>
    <row r="7" spans="1:14" s="73" customFormat="1" ht="16.5" x14ac:dyDescent="0.3">
      <c r="A7" s="1109" t="s">
        <v>93</v>
      </c>
      <c r="B7" s="519" t="s">
        <v>72</v>
      </c>
      <c r="C7" s="519" t="s">
        <v>94</v>
      </c>
      <c r="D7" s="519" t="s">
        <v>87</v>
      </c>
      <c r="E7" s="519" t="s">
        <v>89</v>
      </c>
      <c r="F7" s="519" t="s">
        <v>90</v>
      </c>
      <c r="G7" s="519" t="s">
        <v>82</v>
      </c>
      <c r="H7" s="519" t="s">
        <v>40</v>
      </c>
      <c r="I7" s="519" t="s">
        <v>46</v>
      </c>
      <c r="J7" s="519" t="s">
        <v>48</v>
      </c>
      <c r="K7" s="519" t="s">
        <v>553</v>
      </c>
      <c r="L7" s="519" t="s">
        <v>53</v>
      </c>
      <c r="M7" s="519" t="s">
        <v>554</v>
      </c>
      <c r="N7" s="241"/>
    </row>
    <row r="8" spans="1:14" s="76" customFormat="1" ht="31.5" x14ac:dyDescent="0.3">
      <c r="A8" s="779"/>
      <c r="B8" s="775"/>
      <c r="C8" s="780" t="s">
        <v>130</v>
      </c>
      <c r="D8" s="601"/>
      <c r="E8" s="1413"/>
      <c r="F8" s="1413"/>
      <c r="G8" s="383"/>
      <c r="H8" s="383"/>
      <c r="I8" s="383"/>
      <c r="J8" s="383"/>
      <c r="K8" s="383"/>
      <c r="L8" s="383"/>
      <c r="M8" s="383"/>
      <c r="N8" s="240"/>
    </row>
    <row r="9" spans="1:14" s="76" customFormat="1" ht="15.75" x14ac:dyDescent="0.3">
      <c r="A9" s="1109"/>
      <c r="B9" s="452"/>
      <c r="C9" s="446"/>
      <c r="D9" s="452"/>
      <c r="E9" s="23"/>
      <c r="F9" s="23"/>
      <c r="G9" s="445"/>
      <c r="H9" s="445"/>
      <c r="I9" s="445"/>
      <c r="J9" s="445"/>
      <c r="K9" s="445"/>
      <c r="L9" s="445"/>
      <c r="M9" s="445"/>
      <c r="N9" s="240"/>
    </row>
    <row r="10" spans="1:14" ht="28.5" hidden="1" x14ac:dyDescent="0.25">
      <c r="A10" s="1258" t="s">
        <v>93</v>
      </c>
      <c r="B10" s="439" t="s">
        <v>131</v>
      </c>
      <c r="C10" s="62" t="s">
        <v>355</v>
      </c>
      <c r="D10" s="439" t="s">
        <v>41</v>
      </c>
      <c r="E10" s="23"/>
      <c r="F10" s="23">
        <v>0</v>
      </c>
      <c r="G10" s="436"/>
      <c r="H10" s="436"/>
      <c r="I10" s="436"/>
      <c r="J10" s="436"/>
      <c r="K10" s="436"/>
      <c r="L10" s="436"/>
      <c r="M10" s="436"/>
    </row>
    <row r="11" spans="1:14" ht="26.25" hidden="1" x14ac:dyDescent="0.25">
      <c r="A11" s="1258"/>
      <c r="B11" s="439"/>
      <c r="C11" s="124" t="s">
        <v>54</v>
      </c>
      <c r="D11" s="440" t="s">
        <v>6</v>
      </c>
      <c r="E11" s="440">
        <v>0.78500000000000003</v>
      </c>
      <c r="F11" s="440">
        <f>F10*E11</f>
        <v>0</v>
      </c>
      <c r="G11" s="441"/>
      <c r="H11" s="441"/>
      <c r="I11" s="441">
        <v>4.5999999999999996</v>
      </c>
      <c r="J11" s="436">
        <f>F11*I11</f>
        <v>0</v>
      </c>
      <c r="K11" s="441"/>
      <c r="L11" s="436"/>
      <c r="M11" s="436">
        <f>H11+J11+L11</f>
        <v>0</v>
      </c>
    </row>
    <row r="12" spans="1:14" ht="63" x14ac:dyDescent="0.25">
      <c r="A12" s="1258" t="s">
        <v>364</v>
      </c>
      <c r="B12" s="439" t="s">
        <v>132</v>
      </c>
      <c r="C12" s="62" t="s">
        <v>474</v>
      </c>
      <c r="D12" s="439" t="s">
        <v>47</v>
      </c>
      <c r="E12" s="23"/>
      <c r="F12" s="23">
        <v>207</v>
      </c>
      <c r="G12" s="436"/>
      <c r="H12" s="436"/>
      <c r="I12" s="436"/>
      <c r="J12" s="436"/>
      <c r="K12" s="436"/>
      <c r="L12" s="436"/>
      <c r="M12" s="436"/>
    </row>
    <row r="13" spans="1:14" ht="15.75" x14ac:dyDescent="0.25">
      <c r="A13" s="1258"/>
      <c r="B13" s="439"/>
      <c r="C13" s="124" t="s">
        <v>54</v>
      </c>
      <c r="D13" s="440" t="s">
        <v>6</v>
      </c>
      <c r="E13" s="440">
        <v>0.32300000000000001</v>
      </c>
      <c r="F13" s="440">
        <f>F12*E13</f>
        <v>66.861000000000004</v>
      </c>
      <c r="G13" s="441"/>
      <c r="H13" s="441"/>
      <c r="I13" s="441"/>
      <c r="J13" s="436">
        <f>F13*I13</f>
        <v>0</v>
      </c>
      <c r="K13" s="441"/>
      <c r="L13" s="436"/>
      <c r="M13" s="436">
        <f>H13+J13+L13</f>
        <v>0</v>
      </c>
    </row>
    <row r="14" spans="1:14" ht="15.75" x14ac:dyDescent="0.25">
      <c r="A14" s="1258"/>
      <c r="B14" s="439"/>
      <c r="C14" s="124" t="s">
        <v>17</v>
      </c>
      <c r="D14" s="440" t="s">
        <v>4</v>
      </c>
      <c r="E14" s="440">
        <v>2.1499999999999998E-2</v>
      </c>
      <c r="F14" s="440">
        <f>F12*E14</f>
        <v>4.4504999999999999</v>
      </c>
      <c r="G14" s="441"/>
      <c r="H14" s="441"/>
      <c r="I14" s="441"/>
      <c r="J14" s="436"/>
      <c r="K14" s="441"/>
      <c r="L14" s="436">
        <f>F14*K14</f>
        <v>0</v>
      </c>
      <c r="M14" s="436">
        <f>H14+J14+L14</f>
        <v>0</v>
      </c>
    </row>
    <row r="15" spans="1:14" ht="27" x14ac:dyDescent="0.25">
      <c r="A15" s="1288">
        <v>2.2000000000000002</v>
      </c>
      <c r="B15" s="439" t="s">
        <v>133</v>
      </c>
      <c r="C15" s="123" t="s">
        <v>134</v>
      </c>
      <c r="D15" s="440" t="s">
        <v>37</v>
      </c>
      <c r="E15" s="440"/>
      <c r="F15" s="10">
        <f>F12*0.03</f>
        <v>6.21</v>
      </c>
      <c r="G15" s="441"/>
      <c r="H15" s="441"/>
      <c r="I15" s="441"/>
      <c r="J15" s="436"/>
      <c r="K15" s="441"/>
      <c r="L15" s="436"/>
      <c r="M15" s="436"/>
    </row>
    <row r="16" spans="1:14" ht="15.75" x14ac:dyDescent="0.25">
      <c r="A16" s="1288"/>
      <c r="B16" s="439"/>
      <c r="C16" s="124" t="s">
        <v>54</v>
      </c>
      <c r="D16" s="440" t="s">
        <v>6</v>
      </c>
      <c r="E16" s="440">
        <v>7.3</v>
      </c>
      <c r="F16" s="440">
        <f>F15*E16</f>
        <v>45.332999999999998</v>
      </c>
      <c r="G16" s="441"/>
      <c r="H16" s="441"/>
      <c r="I16" s="441"/>
      <c r="J16" s="436">
        <f>F16*I16</f>
        <v>0</v>
      </c>
      <c r="K16" s="441"/>
      <c r="L16" s="436"/>
      <c r="M16" s="436">
        <f>H16+J16+L16</f>
        <v>0</v>
      </c>
    </row>
    <row r="17" spans="1:14" ht="15.75" x14ac:dyDescent="0.25">
      <c r="A17" s="1288"/>
      <c r="B17" s="439"/>
      <c r="C17" s="124" t="s">
        <v>17</v>
      </c>
      <c r="D17" s="440" t="s">
        <v>4</v>
      </c>
      <c r="E17" s="440">
        <v>2.9</v>
      </c>
      <c r="F17" s="440">
        <f>F15*E17</f>
        <v>18.009</v>
      </c>
      <c r="G17" s="441"/>
      <c r="H17" s="441"/>
      <c r="I17" s="441"/>
      <c r="J17" s="436"/>
      <c r="K17" s="441"/>
      <c r="L17" s="436">
        <f>F17*K17</f>
        <v>0</v>
      </c>
      <c r="M17" s="436">
        <f>H17+J17+L17</f>
        <v>0</v>
      </c>
    </row>
    <row r="18" spans="1:14" s="76" customFormat="1" ht="31.5" hidden="1" x14ac:dyDescent="0.25">
      <c r="A18" s="1258" t="s">
        <v>311</v>
      </c>
      <c r="B18" s="439" t="s">
        <v>132</v>
      </c>
      <c r="C18" s="62" t="s">
        <v>359</v>
      </c>
      <c r="D18" s="439" t="s">
        <v>47</v>
      </c>
      <c r="E18" s="23"/>
      <c r="F18" s="23">
        <v>0</v>
      </c>
      <c r="G18" s="436"/>
      <c r="H18" s="436"/>
      <c r="I18" s="436"/>
      <c r="J18" s="436"/>
      <c r="K18" s="436"/>
      <c r="L18" s="436"/>
      <c r="M18" s="436"/>
    </row>
    <row r="19" spans="1:14" s="76" customFormat="1" ht="15.75" hidden="1" x14ac:dyDescent="0.25">
      <c r="A19" s="1258"/>
      <c r="B19" s="439"/>
      <c r="C19" s="124" t="s">
        <v>54</v>
      </c>
      <c r="D19" s="440" t="s">
        <v>6</v>
      </c>
      <c r="E19" s="440">
        <v>0.32300000000000001</v>
      </c>
      <c r="F19" s="440">
        <f>F18*E19</f>
        <v>0</v>
      </c>
      <c r="G19" s="441"/>
      <c r="H19" s="441"/>
      <c r="I19" s="441"/>
      <c r="J19" s="436">
        <f>F19*I19</f>
        <v>0</v>
      </c>
      <c r="K19" s="441"/>
      <c r="L19" s="436"/>
      <c r="M19" s="436">
        <f>H19+J19+L19</f>
        <v>0</v>
      </c>
    </row>
    <row r="20" spans="1:14" s="76" customFormat="1" ht="15.75" hidden="1" x14ac:dyDescent="0.25">
      <c r="A20" s="1258"/>
      <c r="B20" s="439"/>
      <c r="C20" s="124" t="s">
        <v>17</v>
      </c>
      <c r="D20" s="440" t="s">
        <v>4</v>
      </c>
      <c r="E20" s="440">
        <v>2.1499999999999998E-2</v>
      </c>
      <c r="F20" s="440">
        <f>F18*E20</f>
        <v>0</v>
      </c>
      <c r="G20" s="441"/>
      <c r="H20" s="441"/>
      <c r="I20" s="441"/>
      <c r="J20" s="436"/>
      <c r="K20" s="441">
        <v>4</v>
      </c>
      <c r="L20" s="436">
        <f>F20*K20</f>
        <v>0</v>
      </c>
      <c r="M20" s="436">
        <f>H20+J20+L20</f>
        <v>0</v>
      </c>
    </row>
    <row r="21" spans="1:14" s="76" customFormat="1" ht="27" hidden="1" x14ac:dyDescent="0.25">
      <c r="A21" s="1288">
        <v>3.2</v>
      </c>
      <c r="B21" s="439" t="s">
        <v>133</v>
      </c>
      <c r="C21" s="123" t="s">
        <v>134</v>
      </c>
      <c r="D21" s="10" t="s">
        <v>37</v>
      </c>
      <c r="E21" s="440"/>
      <c r="F21" s="10">
        <f>F18*0.03</f>
        <v>0</v>
      </c>
      <c r="G21" s="441"/>
      <c r="H21" s="441"/>
      <c r="I21" s="441"/>
      <c r="J21" s="436"/>
      <c r="K21" s="441"/>
      <c r="L21" s="436"/>
      <c r="M21" s="436"/>
    </row>
    <row r="22" spans="1:14" s="76" customFormat="1" ht="15.75" hidden="1" x14ac:dyDescent="0.3">
      <c r="A22" s="1288"/>
      <c r="B22" s="439"/>
      <c r="C22" s="124" t="s">
        <v>54</v>
      </c>
      <c r="D22" s="440" t="s">
        <v>6</v>
      </c>
      <c r="E22" s="440">
        <v>7.3</v>
      </c>
      <c r="F22" s="440">
        <f>F21*E22</f>
        <v>0</v>
      </c>
      <c r="G22" s="441"/>
      <c r="H22" s="441"/>
      <c r="I22" s="441"/>
      <c r="J22" s="436">
        <f>F22*I22</f>
        <v>0</v>
      </c>
      <c r="K22" s="441"/>
      <c r="L22" s="436"/>
      <c r="M22" s="436">
        <f>H22+J22+L22</f>
        <v>0</v>
      </c>
      <c r="N22" s="240"/>
    </row>
    <row r="23" spans="1:14" s="76" customFormat="1" ht="15.75" hidden="1" x14ac:dyDescent="0.3">
      <c r="A23" s="1288"/>
      <c r="B23" s="439"/>
      <c r="C23" s="124" t="s">
        <v>17</v>
      </c>
      <c r="D23" s="440" t="s">
        <v>4</v>
      </c>
      <c r="E23" s="440">
        <v>2.9</v>
      </c>
      <c r="F23" s="440">
        <f>F21*E23</f>
        <v>0</v>
      </c>
      <c r="G23" s="441"/>
      <c r="H23" s="441"/>
      <c r="I23" s="441"/>
      <c r="J23" s="436"/>
      <c r="K23" s="441">
        <v>4</v>
      </c>
      <c r="L23" s="436">
        <f>F23*K23</f>
        <v>0</v>
      </c>
      <c r="M23" s="436">
        <f>H23+J23+L23</f>
        <v>0</v>
      </c>
      <c r="N23" s="240"/>
    </row>
    <row r="24" spans="1:14" ht="31.5" hidden="1" x14ac:dyDescent="0.25">
      <c r="A24" s="1258" t="s">
        <v>87</v>
      </c>
      <c r="B24" s="439" t="s">
        <v>135</v>
      </c>
      <c r="C24" s="62" t="s">
        <v>695</v>
      </c>
      <c r="D24" s="439" t="s">
        <v>37</v>
      </c>
      <c r="E24" s="23"/>
      <c r="F24" s="23">
        <v>0</v>
      </c>
      <c r="G24" s="436"/>
      <c r="H24" s="436"/>
      <c r="I24" s="436"/>
      <c r="J24" s="436"/>
      <c r="K24" s="441"/>
      <c r="L24" s="436"/>
      <c r="M24" s="436"/>
    </row>
    <row r="25" spans="1:14" ht="18.75" hidden="1" x14ac:dyDescent="0.25">
      <c r="A25" s="1258"/>
      <c r="B25" s="439"/>
      <c r="C25" s="26" t="s">
        <v>54</v>
      </c>
      <c r="D25" s="438" t="s">
        <v>6</v>
      </c>
      <c r="E25" s="82">
        <v>22</v>
      </c>
      <c r="F25" s="437">
        <f>F24*E25</f>
        <v>0</v>
      </c>
      <c r="G25" s="436"/>
      <c r="H25" s="436"/>
      <c r="I25" s="436"/>
      <c r="J25" s="436">
        <f>F25*I25</f>
        <v>0</v>
      </c>
      <c r="K25" s="436"/>
      <c r="L25" s="436"/>
      <c r="M25" s="436">
        <f t="shared" ref="M25:M26" si="0">H25+J25+L25</f>
        <v>0</v>
      </c>
    </row>
    <row r="26" spans="1:14" ht="23.25" hidden="1" x14ac:dyDescent="0.25">
      <c r="A26" s="1258"/>
      <c r="B26" s="439"/>
      <c r="C26" s="26" t="s">
        <v>17</v>
      </c>
      <c r="D26" s="438" t="s">
        <v>4</v>
      </c>
      <c r="E26" s="2">
        <v>16.8</v>
      </c>
      <c r="F26" s="437">
        <f>F24*E26</f>
        <v>0</v>
      </c>
      <c r="G26" s="436"/>
      <c r="H26" s="436"/>
      <c r="I26" s="436"/>
      <c r="J26" s="436"/>
      <c r="K26" s="436">
        <v>4</v>
      </c>
      <c r="L26" s="436">
        <f>F26*K26</f>
        <v>0</v>
      </c>
      <c r="M26" s="436">
        <f t="shared" si="0"/>
        <v>0</v>
      </c>
    </row>
    <row r="27" spans="1:14" ht="47.25" x14ac:dyDescent="0.25">
      <c r="A27" s="1259" t="s">
        <v>89</v>
      </c>
      <c r="B27" s="439" t="s">
        <v>18</v>
      </c>
      <c r="C27" s="62" t="s">
        <v>422</v>
      </c>
      <c r="D27" s="439" t="s">
        <v>52</v>
      </c>
      <c r="E27" s="23"/>
      <c r="F27" s="23">
        <v>3</v>
      </c>
      <c r="G27" s="436"/>
      <c r="H27" s="436"/>
      <c r="I27" s="436"/>
      <c r="J27" s="445">
        <f>F27*I27</f>
        <v>0</v>
      </c>
      <c r="K27" s="436"/>
      <c r="L27" s="445">
        <f>F27*K27</f>
        <v>0</v>
      </c>
      <c r="M27" s="445">
        <f t="shared" ref="M27" si="1">H27+J27+L27</f>
        <v>0</v>
      </c>
    </row>
    <row r="28" spans="1:14" ht="15.75" hidden="1" x14ac:dyDescent="0.25">
      <c r="A28" s="1260"/>
      <c r="B28" s="452"/>
      <c r="C28" s="62" t="s">
        <v>350</v>
      </c>
      <c r="D28" s="452" t="s">
        <v>52</v>
      </c>
      <c r="E28" s="23"/>
      <c r="F28" s="23"/>
      <c r="G28" s="445"/>
      <c r="H28" s="445"/>
      <c r="I28" s="445">
        <v>25</v>
      </c>
      <c r="J28" s="445"/>
      <c r="K28" s="445">
        <v>5</v>
      </c>
      <c r="L28" s="445"/>
      <c r="M28" s="445">
        <f t="shared" ref="M28" si="2">H28+J28+L28</f>
        <v>0</v>
      </c>
    </row>
    <row r="29" spans="1:14" ht="15.75" hidden="1" x14ac:dyDescent="0.25">
      <c r="A29" s="1261"/>
      <c r="B29" s="452"/>
      <c r="C29" s="62" t="s">
        <v>351</v>
      </c>
      <c r="D29" s="452" t="s">
        <v>52</v>
      </c>
      <c r="E29" s="23"/>
      <c r="F29" s="23"/>
      <c r="G29" s="445"/>
      <c r="H29" s="445"/>
      <c r="I29" s="445">
        <v>25</v>
      </c>
      <c r="J29" s="445"/>
      <c r="K29" s="445">
        <v>5</v>
      </c>
      <c r="L29" s="445"/>
      <c r="M29" s="445">
        <f t="shared" ref="M29" si="3">H29+J29+L29</f>
        <v>0</v>
      </c>
    </row>
    <row r="30" spans="1:14" s="76" customFormat="1" ht="47.25" x14ac:dyDescent="0.25">
      <c r="A30" s="1258" t="s">
        <v>90</v>
      </c>
      <c r="B30" s="439" t="s">
        <v>131</v>
      </c>
      <c r="C30" s="62" t="s">
        <v>475</v>
      </c>
      <c r="D30" s="439" t="s">
        <v>41</v>
      </c>
      <c r="E30" s="23"/>
      <c r="F30" s="23">
        <v>288</v>
      </c>
      <c r="G30" s="436"/>
      <c r="H30" s="436"/>
      <c r="I30" s="436"/>
      <c r="J30" s="436"/>
      <c r="K30" s="436"/>
      <c r="L30" s="436"/>
      <c r="M30" s="436"/>
    </row>
    <row r="31" spans="1:14" s="76" customFormat="1" ht="15.75" x14ac:dyDescent="0.3">
      <c r="A31" s="1258"/>
      <c r="B31" s="439"/>
      <c r="C31" s="124" t="s">
        <v>54</v>
      </c>
      <c r="D31" s="440" t="s">
        <v>6</v>
      </c>
      <c r="E31" s="440">
        <v>0.78500000000000003</v>
      </c>
      <c r="F31" s="440">
        <f>F30*E31</f>
        <v>226.08</v>
      </c>
      <c r="G31" s="441"/>
      <c r="H31" s="441"/>
      <c r="I31" s="441"/>
      <c r="J31" s="436">
        <f t="shared" ref="J31:J37" si="4">F31*I31</f>
        <v>0</v>
      </c>
      <c r="K31" s="441"/>
      <c r="L31" s="436"/>
      <c r="M31" s="436">
        <f>H31+J31+L31</f>
        <v>0</v>
      </c>
      <c r="N31" s="240"/>
    </row>
    <row r="32" spans="1:14" s="76" customFormat="1" ht="14.25" hidden="1" x14ac:dyDescent="0.3">
      <c r="A32" s="1109" t="s">
        <v>82</v>
      </c>
      <c r="B32" s="452" t="s">
        <v>18</v>
      </c>
      <c r="C32" s="123" t="s">
        <v>473</v>
      </c>
      <c r="D32" s="10" t="s">
        <v>52</v>
      </c>
      <c r="E32" s="454"/>
      <c r="F32" s="10">
        <v>0</v>
      </c>
      <c r="G32" s="455"/>
      <c r="H32" s="455"/>
      <c r="I32" s="455">
        <v>25</v>
      </c>
      <c r="J32" s="509">
        <f t="shared" si="4"/>
        <v>0</v>
      </c>
      <c r="K32" s="509">
        <v>10</v>
      </c>
      <c r="L32" s="509">
        <f t="shared" ref="L32:L37" si="5">F32*K32</f>
        <v>0</v>
      </c>
      <c r="M32" s="509">
        <f t="shared" ref="M32" si="6">H32+J32+L32</f>
        <v>0</v>
      </c>
      <c r="N32" s="240"/>
    </row>
    <row r="33" spans="1:14" s="76" customFormat="1" ht="40.5" x14ac:dyDescent="0.3">
      <c r="A33" s="1109" t="s">
        <v>40</v>
      </c>
      <c r="B33" s="484"/>
      <c r="C33" s="123" t="s">
        <v>476</v>
      </c>
      <c r="D33" s="10" t="s">
        <v>52</v>
      </c>
      <c r="E33" s="524"/>
      <c r="F33" s="10">
        <v>1</v>
      </c>
      <c r="G33" s="525"/>
      <c r="H33" s="525"/>
      <c r="I33" s="525"/>
      <c r="J33" s="514">
        <f t="shared" si="4"/>
        <v>0</v>
      </c>
      <c r="K33" s="514"/>
      <c r="L33" s="514">
        <f t="shared" si="5"/>
        <v>0</v>
      </c>
      <c r="M33" s="514">
        <f t="shared" ref="M33" si="7">H33+J33+L33</f>
        <v>0</v>
      </c>
      <c r="N33" s="240"/>
    </row>
    <row r="34" spans="1:14" s="76" customFormat="1" ht="40.5" x14ac:dyDescent="0.3">
      <c r="A34" s="1109" t="s">
        <v>46</v>
      </c>
      <c r="B34" s="484"/>
      <c r="C34" s="123" t="s">
        <v>696</v>
      </c>
      <c r="D34" s="10" t="s">
        <v>52</v>
      </c>
      <c r="E34" s="524"/>
      <c r="F34" s="10">
        <v>7</v>
      </c>
      <c r="G34" s="525"/>
      <c r="H34" s="525"/>
      <c r="I34" s="525"/>
      <c r="J34" s="526">
        <f t="shared" si="4"/>
        <v>0</v>
      </c>
      <c r="K34" s="526"/>
      <c r="L34" s="526">
        <f t="shared" si="5"/>
        <v>0</v>
      </c>
      <c r="M34" s="526">
        <f t="shared" ref="M34" si="8">H34+J34+L34</f>
        <v>0</v>
      </c>
      <c r="N34" s="240"/>
    </row>
    <row r="35" spans="1:14" s="76" customFormat="1" ht="40.5" x14ac:dyDescent="0.3">
      <c r="A35" s="1109" t="s">
        <v>48</v>
      </c>
      <c r="B35" s="484"/>
      <c r="C35" s="123" t="s">
        <v>697</v>
      </c>
      <c r="D35" s="10" t="s">
        <v>52</v>
      </c>
      <c r="E35" s="524"/>
      <c r="F35" s="10">
        <v>4</v>
      </c>
      <c r="G35" s="525"/>
      <c r="H35" s="525"/>
      <c r="I35" s="525"/>
      <c r="J35" s="526">
        <f t="shared" si="4"/>
        <v>0</v>
      </c>
      <c r="K35" s="526"/>
      <c r="L35" s="526">
        <f t="shared" si="5"/>
        <v>0</v>
      </c>
      <c r="M35" s="526">
        <f t="shared" ref="M35:M37" si="9">H35+J35+L35</f>
        <v>0</v>
      </c>
      <c r="N35" s="240"/>
    </row>
    <row r="36" spans="1:14" s="76" customFormat="1" ht="54" x14ac:dyDescent="0.3">
      <c r="A36" s="1109" t="s">
        <v>553</v>
      </c>
      <c r="B36" s="484"/>
      <c r="C36" s="123" t="s">
        <v>699</v>
      </c>
      <c r="D36" s="10" t="s">
        <v>80</v>
      </c>
      <c r="E36" s="510"/>
      <c r="F36" s="10">
        <v>1</v>
      </c>
      <c r="G36" s="511"/>
      <c r="H36" s="511"/>
      <c r="I36" s="511"/>
      <c r="J36" s="509">
        <f t="shared" si="4"/>
        <v>0</v>
      </c>
      <c r="K36" s="509"/>
      <c r="L36" s="509">
        <f t="shared" si="5"/>
        <v>0</v>
      </c>
      <c r="M36" s="509">
        <f t="shared" si="9"/>
        <v>0</v>
      </c>
      <c r="N36" s="240"/>
    </row>
    <row r="37" spans="1:14" s="76" customFormat="1" ht="40.5" x14ac:dyDescent="0.3">
      <c r="A37" s="1109" t="s">
        <v>53</v>
      </c>
      <c r="B37" s="484"/>
      <c r="C37" s="123" t="s">
        <v>700</v>
      </c>
      <c r="D37" s="10" t="s">
        <v>80</v>
      </c>
      <c r="E37" s="524"/>
      <c r="F37" s="10">
        <v>1</v>
      </c>
      <c r="G37" s="525"/>
      <c r="H37" s="525"/>
      <c r="I37" s="525"/>
      <c r="J37" s="526">
        <f t="shared" si="4"/>
        <v>0</v>
      </c>
      <c r="K37" s="526"/>
      <c r="L37" s="526">
        <f t="shared" si="5"/>
        <v>0</v>
      </c>
      <c r="M37" s="526">
        <f t="shared" si="9"/>
        <v>0</v>
      </c>
      <c r="N37" s="240"/>
    </row>
    <row r="38" spans="1:14" s="76" customFormat="1" ht="15.75" x14ac:dyDescent="0.3">
      <c r="A38" s="1109"/>
      <c r="B38" s="484"/>
      <c r="C38" s="123"/>
      <c r="D38" s="10"/>
      <c r="E38" s="524"/>
      <c r="F38" s="10"/>
      <c r="G38" s="525"/>
      <c r="H38" s="525"/>
      <c r="I38" s="525"/>
      <c r="J38" s="526"/>
      <c r="K38" s="526"/>
      <c r="L38" s="526"/>
      <c r="M38" s="526"/>
      <c r="N38" s="240"/>
    </row>
    <row r="39" spans="1:14" s="76" customFormat="1" ht="47.25" x14ac:dyDescent="0.3">
      <c r="A39" s="1258" t="s">
        <v>698</v>
      </c>
      <c r="B39" s="225" t="s">
        <v>136</v>
      </c>
      <c r="C39" s="62" t="s">
        <v>354</v>
      </c>
      <c r="D39" s="224" t="s">
        <v>11</v>
      </c>
      <c r="E39" s="382"/>
      <c r="F39" s="23">
        <f>F12*0.03+F15+F24+(F30-0)*0.3*0.15+5</f>
        <v>30.38</v>
      </c>
      <c r="G39" s="383"/>
      <c r="H39" s="383"/>
      <c r="I39" s="383"/>
      <c r="J39" s="383"/>
      <c r="K39" s="383"/>
      <c r="L39" s="383"/>
      <c r="M39" s="383"/>
      <c r="N39" s="240"/>
    </row>
    <row r="40" spans="1:14" s="76" customFormat="1" ht="15.75" x14ac:dyDescent="0.3">
      <c r="A40" s="1258"/>
      <c r="B40" s="224"/>
      <c r="C40" s="125" t="s">
        <v>54</v>
      </c>
      <c r="D40" s="45" t="s">
        <v>6</v>
      </c>
      <c r="E40" s="82">
        <v>0.6</v>
      </c>
      <c r="F40" s="46">
        <f>F39*E40</f>
        <v>18.227999999999998</v>
      </c>
      <c r="G40" s="19"/>
      <c r="H40" s="383"/>
      <c r="I40" s="19"/>
      <c r="J40" s="383">
        <f>F40*I40</f>
        <v>0</v>
      </c>
      <c r="K40" s="383"/>
      <c r="L40" s="383"/>
      <c r="M40" s="383">
        <f>H40+J40+L40</f>
        <v>0</v>
      </c>
      <c r="N40" s="240"/>
    </row>
    <row r="41" spans="1:14" s="76" customFormat="1" ht="31.5" x14ac:dyDescent="0.3">
      <c r="A41" s="1258"/>
      <c r="B41" s="225" t="s">
        <v>91</v>
      </c>
      <c r="C41" s="126" t="s">
        <v>421</v>
      </c>
      <c r="D41" s="224" t="s">
        <v>38</v>
      </c>
      <c r="E41" s="82"/>
      <c r="F41" s="84">
        <f>F12*0.03*2.4+F15*2.4+F24*2.4+(F30-0)*0.3*0.15*2.4+5.15*1.65-0.0014</f>
        <v>69.40809999999999</v>
      </c>
      <c r="G41" s="19"/>
      <c r="H41" s="383"/>
      <c r="I41" s="19"/>
      <c r="J41" s="383"/>
      <c r="K41" s="19"/>
      <c r="L41" s="383"/>
      <c r="M41" s="383"/>
      <c r="N41" s="240"/>
    </row>
    <row r="42" spans="1:14" s="76" customFormat="1" ht="15.75" x14ac:dyDescent="0.3">
      <c r="A42" s="1258"/>
      <c r="B42" s="362"/>
      <c r="C42" s="44" t="s">
        <v>56</v>
      </c>
      <c r="D42" s="45" t="s">
        <v>6</v>
      </c>
      <c r="E42" s="82">
        <v>0.53</v>
      </c>
      <c r="F42" s="46">
        <f>F41*E42</f>
        <v>36.786292999999993</v>
      </c>
      <c r="G42" s="19"/>
      <c r="H42" s="383"/>
      <c r="I42" s="19"/>
      <c r="J42" s="383">
        <f>F42*I42</f>
        <v>0</v>
      </c>
      <c r="K42" s="19"/>
      <c r="L42" s="383"/>
      <c r="M42" s="383">
        <f>H42+J42+L42</f>
        <v>0</v>
      </c>
      <c r="N42" s="240"/>
    </row>
    <row r="43" spans="1:14" s="76" customFormat="1" ht="15.75" x14ac:dyDescent="0.3">
      <c r="A43" s="1258"/>
      <c r="B43" s="224" t="s">
        <v>137</v>
      </c>
      <c r="C43" s="127" t="s">
        <v>819</v>
      </c>
      <c r="D43" s="224" t="s">
        <v>38</v>
      </c>
      <c r="E43" s="82"/>
      <c r="F43" s="84">
        <f>F41</f>
        <v>69.40809999999999</v>
      </c>
      <c r="G43" s="19"/>
      <c r="H43" s="383"/>
      <c r="I43" s="19"/>
      <c r="J43" s="383"/>
      <c r="K43" s="19"/>
      <c r="L43" s="383">
        <f>F43*K43</f>
        <v>0</v>
      </c>
      <c r="M43" s="383">
        <f>H43+J43+L43</f>
        <v>0</v>
      </c>
      <c r="N43" s="898">
        <f>SUM(M8:M43)</f>
        <v>0</v>
      </c>
    </row>
    <row r="44" spans="1:14" s="76" customFormat="1" ht="15.75" x14ac:dyDescent="0.3">
      <c r="A44" s="1109"/>
      <c r="B44" s="224"/>
      <c r="C44" s="377"/>
      <c r="D44" s="601"/>
      <c r="E44" s="1413"/>
      <c r="F44" s="1413"/>
      <c r="G44" s="383"/>
      <c r="H44" s="383"/>
      <c r="I44" s="383"/>
      <c r="J44" s="383"/>
      <c r="K44" s="383"/>
      <c r="L44" s="383"/>
      <c r="M44" s="383"/>
      <c r="N44" s="240"/>
    </row>
    <row r="45" spans="1:14" s="76" customFormat="1" ht="15.75" x14ac:dyDescent="0.3">
      <c r="A45" s="779"/>
      <c r="B45" s="775"/>
      <c r="C45" s="780" t="s">
        <v>138</v>
      </c>
      <c r="D45" s="601"/>
      <c r="E45" s="1413"/>
      <c r="F45" s="1413"/>
      <c r="G45" s="383"/>
      <c r="H45" s="383"/>
      <c r="I45" s="383"/>
      <c r="J45" s="383"/>
      <c r="K45" s="383"/>
      <c r="L45" s="383"/>
      <c r="M45" s="383"/>
      <c r="N45" s="240"/>
    </row>
    <row r="46" spans="1:14" s="76" customFormat="1" ht="31.5" hidden="1" x14ac:dyDescent="0.3">
      <c r="A46" s="443"/>
      <c r="B46" s="405"/>
      <c r="C46" s="128" t="s">
        <v>360</v>
      </c>
      <c r="D46" s="85" t="s">
        <v>41</v>
      </c>
      <c r="E46" s="444"/>
      <c r="F46" s="406">
        <v>0</v>
      </c>
      <c r="G46" s="383"/>
      <c r="H46" s="383"/>
      <c r="I46" s="383"/>
      <c r="J46" s="383"/>
      <c r="K46" s="383"/>
      <c r="L46" s="383"/>
      <c r="M46" s="383"/>
      <c r="N46" s="240"/>
    </row>
    <row r="47" spans="1:14" s="76" customFormat="1" ht="31.5" hidden="1" x14ac:dyDescent="0.3">
      <c r="A47" s="1259" t="s">
        <v>93</v>
      </c>
      <c r="B47" s="224" t="s">
        <v>59</v>
      </c>
      <c r="C47" s="62" t="s">
        <v>353</v>
      </c>
      <c r="D47" s="9" t="s">
        <v>37</v>
      </c>
      <c r="E47" s="382"/>
      <c r="F47" s="23">
        <f>0.2*(0.1+0.1)*F46</f>
        <v>0</v>
      </c>
      <c r="G47" s="383"/>
      <c r="H47" s="383"/>
      <c r="I47" s="383"/>
      <c r="J47" s="383"/>
      <c r="K47" s="383"/>
      <c r="L47" s="383"/>
      <c r="M47" s="383"/>
      <c r="N47" s="240"/>
    </row>
    <row r="48" spans="1:14" s="76" customFormat="1" ht="15.75" hidden="1" x14ac:dyDescent="0.3">
      <c r="A48" s="1261"/>
      <c r="B48" s="363"/>
      <c r="C48" s="105" t="s">
        <v>36</v>
      </c>
      <c r="D48" s="104" t="s">
        <v>6</v>
      </c>
      <c r="E48" s="109">
        <v>2.06</v>
      </c>
      <c r="F48" s="109">
        <f>E48*F47</f>
        <v>0</v>
      </c>
      <c r="G48" s="40"/>
      <c r="H48" s="383"/>
      <c r="I48" s="40">
        <v>6</v>
      </c>
      <c r="J48" s="383">
        <f>F48*I48</f>
        <v>0</v>
      </c>
      <c r="K48" s="383"/>
      <c r="L48" s="383"/>
      <c r="M48" s="383">
        <f>H48+J48+L48</f>
        <v>0</v>
      </c>
      <c r="N48" s="240"/>
    </row>
    <row r="49" spans="1:14" s="76" customFormat="1" ht="31.5" hidden="1" x14ac:dyDescent="0.3">
      <c r="A49" s="1276" t="s">
        <v>72</v>
      </c>
      <c r="B49" s="83" t="s">
        <v>91</v>
      </c>
      <c r="C49" s="126" t="s">
        <v>269</v>
      </c>
      <c r="D49" s="224" t="s">
        <v>38</v>
      </c>
      <c r="E49" s="82"/>
      <c r="F49" s="84">
        <f>F47*1.95</f>
        <v>0</v>
      </c>
      <c r="G49" s="19"/>
      <c r="H49" s="383"/>
      <c r="I49" s="19"/>
      <c r="J49" s="383"/>
      <c r="K49" s="19"/>
      <c r="L49" s="383"/>
      <c r="M49" s="383"/>
      <c r="N49" s="240"/>
    </row>
    <row r="50" spans="1:14" s="76" customFormat="1" ht="15.75" hidden="1" x14ac:dyDescent="0.3">
      <c r="A50" s="1286"/>
      <c r="B50" s="362"/>
      <c r="C50" s="44" t="s">
        <v>56</v>
      </c>
      <c r="D50" s="45" t="s">
        <v>6</v>
      </c>
      <c r="E50" s="82">
        <v>0.53</v>
      </c>
      <c r="F50" s="46">
        <f>F49*E50</f>
        <v>0</v>
      </c>
      <c r="G50" s="19"/>
      <c r="H50" s="383"/>
      <c r="I50" s="19">
        <v>6</v>
      </c>
      <c r="J50" s="383">
        <f>F50*I50</f>
        <v>0</v>
      </c>
      <c r="K50" s="19"/>
      <c r="L50" s="383"/>
      <c r="M50" s="383">
        <f>H50+J50+L50</f>
        <v>0</v>
      </c>
      <c r="N50" s="240"/>
    </row>
    <row r="51" spans="1:14" s="76" customFormat="1" ht="31.5" hidden="1" x14ac:dyDescent="0.3">
      <c r="A51" s="1277"/>
      <c r="B51" s="452" t="s">
        <v>420</v>
      </c>
      <c r="C51" s="379" t="s">
        <v>499</v>
      </c>
      <c r="D51" s="224" t="s">
        <v>38</v>
      </c>
      <c r="E51" s="82"/>
      <c r="F51" s="84">
        <f>F49</f>
        <v>0</v>
      </c>
      <c r="G51" s="19"/>
      <c r="H51" s="383"/>
      <c r="I51" s="19"/>
      <c r="J51" s="383"/>
      <c r="K51" s="19">
        <v>8.92</v>
      </c>
      <c r="L51" s="383">
        <f>F51*K51</f>
        <v>0</v>
      </c>
      <c r="M51" s="383">
        <f>H51+J51+L51</f>
        <v>0</v>
      </c>
      <c r="N51" s="240"/>
    </row>
    <row r="52" spans="1:14" s="76" customFormat="1" ht="31.5" hidden="1" x14ac:dyDescent="0.3">
      <c r="A52" s="1287" t="s">
        <v>94</v>
      </c>
      <c r="B52" s="452" t="s">
        <v>35</v>
      </c>
      <c r="C52" s="62" t="s">
        <v>375</v>
      </c>
      <c r="D52" s="9" t="s">
        <v>32</v>
      </c>
      <c r="E52" s="382"/>
      <c r="F52" s="23">
        <f>0.2*0.1*F46</f>
        <v>0</v>
      </c>
      <c r="G52" s="383"/>
      <c r="H52" s="383"/>
      <c r="I52" s="383"/>
      <c r="J52" s="383"/>
      <c r="K52" s="383"/>
      <c r="L52" s="383"/>
      <c r="M52" s="383"/>
      <c r="N52" s="240"/>
    </row>
    <row r="53" spans="1:14" s="76" customFormat="1" ht="15.75" hidden="1" x14ac:dyDescent="0.3">
      <c r="A53" s="1287"/>
      <c r="B53" s="449"/>
      <c r="C53" s="26" t="s">
        <v>13</v>
      </c>
      <c r="D53" s="449" t="s">
        <v>14</v>
      </c>
      <c r="E53" s="454">
        <v>3.52</v>
      </c>
      <c r="F53" s="36">
        <f>E53*F52</f>
        <v>0</v>
      </c>
      <c r="G53" s="445"/>
      <c r="H53" s="445"/>
      <c r="I53" s="445">
        <v>6</v>
      </c>
      <c r="J53" s="445">
        <f>F53*I53</f>
        <v>0</v>
      </c>
      <c r="K53" s="445"/>
      <c r="L53" s="445"/>
      <c r="M53" s="445">
        <f>H53+J53+L53</f>
        <v>0</v>
      </c>
      <c r="N53" s="240"/>
    </row>
    <row r="54" spans="1:14" s="76" customFormat="1" ht="15.75" hidden="1" x14ac:dyDescent="0.3">
      <c r="A54" s="1287"/>
      <c r="B54" s="449"/>
      <c r="C54" s="26" t="s">
        <v>17</v>
      </c>
      <c r="D54" s="449" t="s">
        <v>4</v>
      </c>
      <c r="E54" s="454">
        <v>1.06</v>
      </c>
      <c r="F54" s="36">
        <f>F52*E54</f>
        <v>0</v>
      </c>
      <c r="G54" s="445"/>
      <c r="H54" s="445"/>
      <c r="I54" s="445"/>
      <c r="J54" s="445"/>
      <c r="K54" s="445">
        <v>4</v>
      </c>
      <c r="L54" s="445">
        <f>F54*K54</f>
        <v>0</v>
      </c>
      <c r="M54" s="445">
        <f>H54+J54+L54</f>
        <v>0</v>
      </c>
      <c r="N54" s="240"/>
    </row>
    <row r="55" spans="1:14" s="76" customFormat="1" ht="15.75" hidden="1" x14ac:dyDescent="0.3">
      <c r="A55" s="1287"/>
      <c r="B55" s="449"/>
      <c r="C55" s="26" t="s">
        <v>374</v>
      </c>
      <c r="D55" s="449" t="s">
        <v>29</v>
      </c>
      <c r="E55" s="454">
        <f>0.18+0.09+0.97</f>
        <v>1.24</v>
      </c>
      <c r="F55" s="36">
        <f>E55*F52</f>
        <v>0</v>
      </c>
      <c r="G55" s="445"/>
      <c r="H55" s="445">
        <f>F55*G55</f>
        <v>0</v>
      </c>
      <c r="I55" s="445"/>
      <c r="J55" s="445"/>
      <c r="K55" s="445"/>
      <c r="L55" s="445"/>
      <c r="M55" s="445">
        <f>H55+J55+L55</f>
        <v>0</v>
      </c>
      <c r="N55" s="240"/>
    </row>
    <row r="56" spans="1:14" s="76" customFormat="1" ht="15.75" hidden="1" x14ac:dyDescent="0.3">
      <c r="A56" s="1287"/>
      <c r="B56" s="449"/>
      <c r="C56" s="145" t="s">
        <v>50</v>
      </c>
      <c r="D56" s="283" t="s">
        <v>4</v>
      </c>
      <c r="E56" s="454">
        <v>0.02</v>
      </c>
      <c r="F56" s="36">
        <f>F52*E56</f>
        <v>0</v>
      </c>
      <c r="G56" s="32"/>
      <c r="H56" s="445">
        <f>F56*G56</f>
        <v>0</v>
      </c>
      <c r="I56" s="17"/>
      <c r="J56" s="445"/>
      <c r="K56" s="18"/>
      <c r="L56" s="445"/>
      <c r="M56" s="445">
        <f>H56+J56+L56</f>
        <v>0</v>
      </c>
      <c r="N56" s="240"/>
    </row>
    <row r="57" spans="1:14" s="76" customFormat="1" ht="31.5" hidden="1" x14ac:dyDescent="0.3">
      <c r="A57" s="1258" t="s">
        <v>87</v>
      </c>
      <c r="B57" s="224" t="s">
        <v>466</v>
      </c>
      <c r="C57" s="62" t="s">
        <v>367</v>
      </c>
      <c r="D57" s="9" t="s">
        <v>62</v>
      </c>
      <c r="E57" s="23"/>
      <c r="F57" s="23">
        <f>F46</f>
        <v>0</v>
      </c>
      <c r="G57" s="383"/>
      <c r="H57" s="383"/>
      <c r="I57" s="383"/>
      <c r="J57" s="383"/>
      <c r="K57" s="383"/>
      <c r="L57" s="383"/>
      <c r="M57" s="383"/>
      <c r="N57" s="240"/>
    </row>
    <row r="58" spans="1:14" s="76" customFormat="1" ht="15.75" hidden="1" x14ac:dyDescent="0.3">
      <c r="A58" s="1258"/>
      <c r="B58" s="224"/>
      <c r="C58" s="26" t="s">
        <v>13</v>
      </c>
      <c r="D58" s="14" t="s">
        <v>14</v>
      </c>
      <c r="E58" s="382">
        <v>0.74</v>
      </c>
      <c r="F58" s="382">
        <f>E58*F57</f>
        <v>0</v>
      </c>
      <c r="G58" s="383"/>
      <c r="H58" s="383"/>
      <c r="I58" s="383">
        <v>6</v>
      </c>
      <c r="J58" s="383">
        <f>F58*I58</f>
        <v>0</v>
      </c>
      <c r="K58" s="383"/>
      <c r="L58" s="383"/>
      <c r="M58" s="383">
        <f t="shared" ref="M58:M64" si="10">H58+J58+L58</f>
        <v>0</v>
      </c>
      <c r="N58" s="240"/>
    </row>
    <row r="59" spans="1:14" s="76" customFormat="1" ht="15.75" hidden="1" x14ac:dyDescent="0.3">
      <c r="A59" s="1258"/>
      <c r="B59" s="224"/>
      <c r="C59" s="26" t="s">
        <v>5</v>
      </c>
      <c r="D59" s="14" t="s">
        <v>15</v>
      </c>
      <c r="E59" s="382">
        <f>0.71*0.01</f>
        <v>7.0999999999999995E-3</v>
      </c>
      <c r="F59" s="382">
        <f>E59*F57</f>
        <v>0</v>
      </c>
      <c r="G59" s="383"/>
      <c r="H59" s="383"/>
      <c r="I59" s="383"/>
      <c r="J59" s="383"/>
      <c r="K59" s="383">
        <v>4</v>
      </c>
      <c r="L59" s="383">
        <f>F59*K59</f>
        <v>0</v>
      </c>
      <c r="M59" s="383">
        <f t="shared" si="10"/>
        <v>0</v>
      </c>
      <c r="N59" s="240"/>
    </row>
    <row r="60" spans="1:14" s="76" customFormat="1" ht="15.75" hidden="1" x14ac:dyDescent="0.3">
      <c r="A60" s="1258"/>
      <c r="B60" s="432"/>
      <c r="C60" s="26" t="s">
        <v>361</v>
      </c>
      <c r="D60" s="431" t="s">
        <v>41</v>
      </c>
      <c r="E60" s="430">
        <v>1</v>
      </c>
      <c r="F60" s="23">
        <v>0</v>
      </c>
      <c r="G60" s="367"/>
      <c r="H60" s="429">
        <f>F60*G60</f>
        <v>0</v>
      </c>
      <c r="I60" s="429"/>
      <c r="J60" s="429"/>
      <c r="K60" s="429"/>
      <c r="L60" s="429"/>
      <c r="M60" s="429">
        <f t="shared" si="10"/>
        <v>0</v>
      </c>
      <c r="N60" s="240"/>
    </row>
    <row r="61" spans="1:14" s="76" customFormat="1" ht="15.75" hidden="1" x14ac:dyDescent="0.3">
      <c r="A61" s="1258"/>
      <c r="B61" s="224"/>
      <c r="C61" s="26" t="s">
        <v>362</v>
      </c>
      <c r="D61" s="449" t="s">
        <v>41</v>
      </c>
      <c r="E61" s="382">
        <v>1</v>
      </c>
      <c r="F61" s="23">
        <f>F57-F60</f>
        <v>0</v>
      </c>
      <c r="G61" s="383"/>
      <c r="H61" s="383">
        <f>F61*G61</f>
        <v>0</v>
      </c>
      <c r="I61" s="383"/>
      <c r="J61" s="383"/>
      <c r="K61" s="383"/>
      <c r="L61" s="383"/>
      <c r="M61" s="383">
        <f t="shared" si="10"/>
        <v>0</v>
      </c>
      <c r="N61" s="240"/>
    </row>
    <row r="62" spans="1:14" s="76" customFormat="1" ht="15.75" hidden="1" x14ac:dyDescent="0.3">
      <c r="A62" s="1258"/>
      <c r="B62" s="224"/>
      <c r="C62" s="141" t="s">
        <v>149</v>
      </c>
      <c r="D62" s="14" t="s">
        <v>29</v>
      </c>
      <c r="E62" s="382">
        <v>3.9E-2</v>
      </c>
      <c r="F62" s="382">
        <f>F57*E62</f>
        <v>0</v>
      </c>
      <c r="G62" s="383"/>
      <c r="H62" s="383">
        <f>F62*G62</f>
        <v>0</v>
      </c>
      <c r="I62" s="383"/>
      <c r="J62" s="383"/>
      <c r="K62" s="383"/>
      <c r="L62" s="383"/>
      <c r="M62" s="383">
        <f t="shared" si="10"/>
        <v>0</v>
      </c>
      <c r="N62" s="240"/>
    </row>
    <row r="63" spans="1:14" s="76" customFormat="1" ht="15.75" hidden="1" x14ac:dyDescent="0.3">
      <c r="A63" s="1258"/>
      <c r="B63" s="224"/>
      <c r="C63" s="26" t="s">
        <v>148</v>
      </c>
      <c r="D63" s="14" t="s">
        <v>29</v>
      </c>
      <c r="E63" s="382">
        <f>0.06*0.01</f>
        <v>5.9999999999999995E-4</v>
      </c>
      <c r="F63" s="382">
        <f>E63*F57</f>
        <v>0</v>
      </c>
      <c r="G63" s="383"/>
      <c r="H63" s="383">
        <f>F63*G63</f>
        <v>0</v>
      </c>
      <c r="I63" s="383"/>
      <c r="J63" s="383"/>
      <c r="K63" s="383"/>
      <c r="L63" s="383"/>
      <c r="M63" s="383">
        <f t="shared" si="10"/>
        <v>0</v>
      </c>
      <c r="N63" s="240"/>
    </row>
    <row r="64" spans="1:14" s="76" customFormat="1" ht="15.75" hidden="1" x14ac:dyDescent="0.3">
      <c r="A64" s="1258"/>
      <c r="B64" s="224"/>
      <c r="C64" s="26" t="s">
        <v>7</v>
      </c>
      <c r="D64" s="14" t="s">
        <v>4</v>
      </c>
      <c r="E64" s="382">
        <f>9.6*0.01</f>
        <v>9.6000000000000002E-2</v>
      </c>
      <c r="F64" s="382">
        <f>E64*F57</f>
        <v>0</v>
      </c>
      <c r="G64" s="383"/>
      <c r="H64" s="383">
        <f>F64*G64</f>
        <v>0</v>
      </c>
      <c r="I64" s="383"/>
      <c r="J64" s="383"/>
      <c r="K64" s="383"/>
      <c r="L64" s="383"/>
      <c r="M64" s="383">
        <f t="shared" si="10"/>
        <v>0</v>
      </c>
      <c r="N64" s="500">
        <f>SUM(M46:M65)</f>
        <v>0</v>
      </c>
    </row>
    <row r="65" spans="1:14" s="76" customFormat="1" ht="15.75" hidden="1" x14ac:dyDescent="0.25">
      <c r="A65" s="1109"/>
      <c r="B65" s="452"/>
      <c r="C65" s="26"/>
      <c r="D65" s="449"/>
      <c r="E65" s="447"/>
      <c r="F65" s="447"/>
      <c r="G65" s="445"/>
      <c r="H65" s="445"/>
      <c r="I65" s="445"/>
      <c r="J65" s="445"/>
      <c r="K65" s="445"/>
      <c r="L65" s="445"/>
      <c r="M65" s="445"/>
    </row>
    <row r="66" spans="1:14" s="76" customFormat="1" ht="31.5" hidden="1" x14ac:dyDescent="0.3">
      <c r="A66" s="443"/>
      <c r="B66" s="405"/>
      <c r="C66" s="128" t="s">
        <v>368</v>
      </c>
      <c r="D66" s="85" t="s">
        <v>41</v>
      </c>
      <c r="E66" s="444"/>
      <c r="F66" s="406">
        <v>0</v>
      </c>
      <c r="G66" s="445"/>
      <c r="H66" s="445"/>
      <c r="I66" s="445"/>
      <c r="J66" s="445"/>
      <c r="K66" s="445"/>
      <c r="L66" s="445"/>
      <c r="M66" s="445"/>
      <c r="N66" s="240"/>
    </row>
    <row r="67" spans="1:14" s="76" customFormat="1" ht="31.5" hidden="1" x14ac:dyDescent="0.3">
      <c r="A67" s="1259" t="s">
        <v>93</v>
      </c>
      <c r="B67" s="452" t="s">
        <v>59</v>
      </c>
      <c r="C67" s="62" t="s">
        <v>353</v>
      </c>
      <c r="D67" s="452" t="s">
        <v>37</v>
      </c>
      <c r="E67" s="447"/>
      <c r="F67" s="23">
        <f>0.4*(0.1+0.1)*F66</f>
        <v>0</v>
      </c>
      <c r="G67" s="445"/>
      <c r="H67" s="445"/>
      <c r="I67" s="445"/>
      <c r="J67" s="445"/>
      <c r="K67" s="445"/>
      <c r="L67" s="445"/>
      <c r="M67" s="445"/>
      <c r="N67" s="240"/>
    </row>
    <row r="68" spans="1:14" s="76" customFormat="1" ht="15.75" hidden="1" x14ac:dyDescent="0.3">
      <c r="A68" s="1261"/>
      <c r="B68" s="363"/>
      <c r="C68" s="105" t="s">
        <v>36</v>
      </c>
      <c r="D68" s="453" t="s">
        <v>6</v>
      </c>
      <c r="E68" s="109">
        <v>2.06</v>
      </c>
      <c r="F68" s="109">
        <f>E68*F67</f>
        <v>0</v>
      </c>
      <c r="G68" s="40"/>
      <c r="H68" s="445"/>
      <c r="I68" s="40">
        <v>6</v>
      </c>
      <c r="J68" s="445">
        <f>F68*I68</f>
        <v>0</v>
      </c>
      <c r="K68" s="445"/>
      <c r="L68" s="445"/>
      <c r="M68" s="445">
        <f>H68+J68+L68</f>
        <v>0</v>
      </c>
      <c r="N68" s="240"/>
    </row>
    <row r="69" spans="1:14" s="76" customFormat="1" ht="31.5" hidden="1" x14ac:dyDescent="0.3">
      <c r="A69" s="1276" t="s">
        <v>72</v>
      </c>
      <c r="B69" s="83" t="s">
        <v>91</v>
      </c>
      <c r="C69" s="126" t="s">
        <v>269</v>
      </c>
      <c r="D69" s="452" t="s">
        <v>38</v>
      </c>
      <c r="E69" s="82"/>
      <c r="F69" s="84">
        <f>F67*1.95</f>
        <v>0</v>
      </c>
      <c r="G69" s="19"/>
      <c r="H69" s="445"/>
      <c r="I69" s="19"/>
      <c r="J69" s="445"/>
      <c r="K69" s="19"/>
      <c r="L69" s="445"/>
      <c r="M69" s="445"/>
      <c r="N69" s="240"/>
    </row>
    <row r="70" spans="1:14" s="76" customFormat="1" ht="15.75" hidden="1" x14ac:dyDescent="0.3">
      <c r="A70" s="1286"/>
      <c r="B70" s="362"/>
      <c r="C70" s="44" t="s">
        <v>56</v>
      </c>
      <c r="D70" s="45" t="s">
        <v>6</v>
      </c>
      <c r="E70" s="82">
        <v>0.53</v>
      </c>
      <c r="F70" s="46">
        <f>F69*E70</f>
        <v>0</v>
      </c>
      <c r="G70" s="19"/>
      <c r="H70" s="445"/>
      <c r="I70" s="19">
        <v>6</v>
      </c>
      <c r="J70" s="445">
        <f>F70*I70</f>
        <v>0</v>
      </c>
      <c r="K70" s="19"/>
      <c r="L70" s="445"/>
      <c r="M70" s="445">
        <f>H70+J70+L70</f>
        <v>0</v>
      </c>
      <c r="N70" s="240"/>
    </row>
    <row r="71" spans="1:14" s="76" customFormat="1" ht="31.5" hidden="1" x14ac:dyDescent="0.3">
      <c r="A71" s="1277"/>
      <c r="B71" s="452" t="s">
        <v>420</v>
      </c>
      <c r="C71" s="379" t="s">
        <v>499</v>
      </c>
      <c r="D71" s="452" t="s">
        <v>38</v>
      </c>
      <c r="E71" s="82"/>
      <c r="F71" s="84">
        <f>F69</f>
        <v>0</v>
      </c>
      <c r="G71" s="19"/>
      <c r="H71" s="445"/>
      <c r="I71" s="19"/>
      <c r="J71" s="445"/>
      <c r="K71" s="19">
        <v>8.92</v>
      </c>
      <c r="L71" s="445">
        <f>F71*K71</f>
        <v>0</v>
      </c>
      <c r="M71" s="445">
        <f>H71+J71+L71</f>
        <v>0</v>
      </c>
      <c r="N71" s="240"/>
    </row>
    <row r="72" spans="1:14" s="76" customFormat="1" ht="31.5" hidden="1" x14ac:dyDescent="0.3">
      <c r="A72" s="1287" t="s">
        <v>94</v>
      </c>
      <c r="B72" s="452" t="s">
        <v>35</v>
      </c>
      <c r="C72" s="62" t="s">
        <v>375</v>
      </c>
      <c r="D72" s="452" t="s">
        <v>32</v>
      </c>
      <c r="E72" s="447"/>
      <c r="F72" s="23">
        <f>0.4*0.1*F66</f>
        <v>0</v>
      </c>
      <c r="G72" s="445"/>
      <c r="H72" s="445"/>
      <c r="I72" s="445"/>
      <c r="J72" s="445"/>
      <c r="K72" s="445"/>
      <c r="L72" s="445"/>
      <c r="M72" s="445"/>
      <c r="N72" s="240"/>
    </row>
    <row r="73" spans="1:14" s="76" customFormat="1" ht="15.75" hidden="1" x14ac:dyDescent="0.3">
      <c r="A73" s="1287"/>
      <c r="B73" s="449"/>
      <c r="C73" s="26" t="s">
        <v>13</v>
      </c>
      <c r="D73" s="449" t="s">
        <v>14</v>
      </c>
      <c r="E73" s="454">
        <v>3.52</v>
      </c>
      <c r="F73" s="36">
        <f>E73*F72</f>
        <v>0</v>
      </c>
      <c r="G73" s="445"/>
      <c r="H73" s="445"/>
      <c r="I73" s="445">
        <v>6</v>
      </c>
      <c r="J73" s="445">
        <f>F73*I73</f>
        <v>0</v>
      </c>
      <c r="K73" s="445"/>
      <c r="L73" s="445"/>
      <c r="M73" s="445">
        <f>H73+J73+L73</f>
        <v>0</v>
      </c>
      <c r="N73" s="240"/>
    </row>
    <row r="74" spans="1:14" s="76" customFormat="1" ht="15.75" hidden="1" x14ac:dyDescent="0.3">
      <c r="A74" s="1287"/>
      <c r="B74" s="449"/>
      <c r="C74" s="26" t="s">
        <v>17</v>
      </c>
      <c r="D74" s="449" t="s">
        <v>4</v>
      </c>
      <c r="E74" s="454">
        <v>1.06</v>
      </c>
      <c r="F74" s="36">
        <f>F72*E74</f>
        <v>0</v>
      </c>
      <c r="G74" s="445"/>
      <c r="H74" s="445"/>
      <c r="I74" s="445"/>
      <c r="J74" s="445"/>
      <c r="K74" s="445">
        <v>4</v>
      </c>
      <c r="L74" s="445">
        <f>F74*K74</f>
        <v>0</v>
      </c>
      <c r="M74" s="445">
        <f>H74+J74+L74</f>
        <v>0</v>
      </c>
      <c r="N74" s="240"/>
    </row>
    <row r="75" spans="1:14" s="76" customFormat="1" ht="15.75" hidden="1" x14ac:dyDescent="0.3">
      <c r="A75" s="1287"/>
      <c r="B75" s="449"/>
      <c r="C75" s="26" t="s">
        <v>374</v>
      </c>
      <c r="D75" s="449" t="s">
        <v>29</v>
      </c>
      <c r="E75" s="454">
        <f>0.18+0.09+0.97</f>
        <v>1.24</v>
      </c>
      <c r="F75" s="36">
        <f>E75*F72</f>
        <v>0</v>
      </c>
      <c r="G75" s="445"/>
      <c r="H75" s="445">
        <f>F75*G75</f>
        <v>0</v>
      </c>
      <c r="I75" s="445"/>
      <c r="J75" s="445"/>
      <c r="K75" s="445"/>
      <c r="L75" s="445"/>
      <c r="M75" s="445">
        <f>H75+J75+L75</f>
        <v>0</v>
      </c>
      <c r="N75" s="240"/>
    </row>
    <row r="76" spans="1:14" s="76" customFormat="1" ht="15.75" hidden="1" x14ac:dyDescent="0.3">
      <c r="A76" s="1287"/>
      <c r="B76" s="449"/>
      <c r="C76" s="145" t="s">
        <v>50</v>
      </c>
      <c r="D76" s="283" t="s">
        <v>4</v>
      </c>
      <c r="E76" s="454">
        <v>0.02</v>
      </c>
      <c r="F76" s="36">
        <f>F72*E76</f>
        <v>0</v>
      </c>
      <c r="G76" s="32"/>
      <c r="H76" s="445">
        <f>F76*G76</f>
        <v>0</v>
      </c>
      <c r="I76" s="17"/>
      <c r="J76" s="445"/>
      <c r="K76" s="18"/>
      <c r="L76" s="445"/>
      <c r="M76" s="445">
        <f>H76+J76+L76</f>
        <v>0</v>
      </c>
      <c r="N76" s="240"/>
    </row>
    <row r="77" spans="1:14" s="76" customFormat="1" ht="31.5" hidden="1" x14ac:dyDescent="0.3">
      <c r="A77" s="1258" t="s">
        <v>87</v>
      </c>
      <c r="B77" s="452" t="s">
        <v>147</v>
      </c>
      <c r="C77" s="62" t="s">
        <v>376</v>
      </c>
      <c r="D77" s="452" t="s">
        <v>62</v>
      </c>
      <c r="E77" s="23"/>
      <c r="F77" s="23">
        <f>F66</f>
        <v>0</v>
      </c>
      <c r="G77" s="445"/>
      <c r="H77" s="445"/>
      <c r="I77" s="445"/>
      <c r="J77" s="445"/>
      <c r="K77" s="445"/>
      <c r="L77" s="445"/>
      <c r="M77" s="445"/>
      <c r="N77" s="240"/>
    </row>
    <row r="78" spans="1:14" s="76" customFormat="1" ht="15.75" hidden="1" x14ac:dyDescent="0.3">
      <c r="A78" s="1258"/>
      <c r="B78" s="452"/>
      <c r="C78" s="26" t="s">
        <v>13</v>
      </c>
      <c r="D78" s="449" t="s">
        <v>14</v>
      </c>
      <c r="E78" s="447">
        <v>0.74</v>
      </c>
      <c r="F78" s="447">
        <f>E78*F77</f>
        <v>0</v>
      </c>
      <c r="G78" s="445"/>
      <c r="H78" s="445"/>
      <c r="I78" s="445">
        <v>6</v>
      </c>
      <c r="J78" s="445">
        <f>F78*I78</f>
        <v>0</v>
      </c>
      <c r="K78" s="445"/>
      <c r="L78" s="445"/>
      <c r="M78" s="445">
        <f t="shared" ref="M78:M84" si="11">H78+J78+L78</f>
        <v>0</v>
      </c>
      <c r="N78" s="240"/>
    </row>
    <row r="79" spans="1:14" s="76" customFormat="1" ht="15.75" hidden="1" x14ac:dyDescent="0.3">
      <c r="A79" s="1258"/>
      <c r="B79" s="452"/>
      <c r="C79" s="26" t="s">
        <v>5</v>
      </c>
      <c r="D79" s="449" t="s">
        <v>15</v>
      </c>
      <c r="E79" s="447">
        <f>0.71*0.01</f>
        <v>7.0999999999999995E-3</v>
      </c>
      <c r="F79" s="447">
        <f>E79*F77</f>
        <v>0</v>
      </c>
      <c r="G79" s="445"/>
      <c r="H79" s="445"/>
      <c r="I79" s="445"/>
      <c r="J79" s="445"/>
      <c r="K79" s="445">
        <v>4</v>
      </c>
      <c r="L79" s="445">
        <f>F79*K79</f>
        <v>0</v>
      </c>
      <c r="M79" s="445">
        <f t="shared" si="11"/>
        <v>0</v>
      </c>
      <c r="N79" s="240"/>
    </row>
    <row r="80" spans="1:14" s="76" customFormat="1" ht="15.75" hidden="1" x14ac:dyDescent="0.3">
      <c r="A80" s="1258"/>
      <c r="B80" s="452"/>
      <c r="C80" s="26" t="s">
        <v>361</v>
      </c>
      <c r="D80" s="449" t="s">
        <v>41</v>
      </c>
      <c r="E80" s="447">
        <v>1</v>
      </c>
      <c r="F80" s="23">
        <v>0</v>
      </c>
      <c r="G80" s="367"/>
      <c r="H80" s="445">
        <f>F80*G80</f>
        <v>0</v>
      </c>
      <c r="I80" s="445"/>
      <c r="J80" s="445"/>
      <c r="K80" s="445"/>
      <c r="L80" s="445"/>
      <c r="M80" s="445">
        <f t="shared" si="11"/>
        <v>0</v>
      </c>
      <c r="N80" s="240"/>
    </row>
    <row r="81" spans="1:14" s="76" customFormat="1" ht="15.75" hidden="1" x14ac:dyDescent="0.3">
      <c r="A81" s="1258"/>
      <c r="B81" s="452"/>
      <c r="C81" s="26" t="s">
        <v>362</v>
      </c>
      <c r="D81" s="449" t="s">
        <v>41</v>
      </c>
      <c r="E81" s="447">
        <v>1</v>
      </c>
      <c r="F81" s="23">
        <f>F77-F80</f>
        <v>0</v>
      </c>
      <c r="G81" s="445"/>
      <c r="H81" s="445">
        <f>F81*G81</f>
        <v>0</v>
      </c>
      <c r="I81" s="445"/>
      <c r="J81" s="445"/>
      <c r="K81" s="445"/>
      <c r="L81" s="445"/>
      <c r="M81" s="445">
        <f t="shared" si="11"/>
        <v>0</v>
      </c>
      <c r="N81" s="240"/>
    </row>
    <row r="82" spans="1:14" s="76" customFormat="1" ht="15.75" hidden="1" x14ac:dyDescent="0.3">
      <c r="A82" s="1258"/>
      <c r="B82" s="452"/>
      <c r="C82" s="141" t="s">
        <v>149</v>
      </c>
      <c r="D82" s="449" t="s">
        <v>29</v>
      </c>
      <c r="E82" s="447">
        <v>3.9E-2</v>
      </c>
      <c r="F82" s="447">
        <f>F77*E82</f>
        <v>0</v>
      </c>
      <c r="G82" s="445"/>
      <c r="H82" s="445">
        <f>F82*G82</f>
        <v>0</v>
      </c>
      <c r="I82" s="445"/>
      <c r="J82" s="445"/>
      <c r="K82" s="445"/>
      <c r="L82" s="445"/>
      <c r="M82" s="445">
        <f t="shared" si="11"/>
        <v>0</v>
      </c>
      <c r="N82" s="240"/>
    </row>
    <row r="83" spans="1:14" s="76" customFormat="1" ht="15.75" hidden="1" x14ac:dyDescent="0.3">
      <c r="A83" s="1258"/>
      <c r="B83" s="452"/>
      <c r="C83" s="26" t="s">
        <v>148</v>
      </c>
      <c r="D83" s="449" t="s">
        <v>29</v>
      </c>
      <c r="E83" s="447">
        <f>0.06*0.01</f>
        <v>5.9999999999999995E-4</v>
      </c>
      <c r="F83" s="447">
        <f>E83*F77</f>
        <v>0</v>
      </c>
      <c r="G83" s="445"/>
      <c r="H83" s="445">
        <f>F83*G83</f>
        <v>0</v>
      </c>
      <c r="I83" s="445"/>
      <c r="J83" s="445"/>
      <c r="K83" s="445"/>
      <c r="L83" s="445"/>
      <c r="M83" s="445">
        <f t="shared" si="11"/>
        <v>0</v>
      </c>
      <c r="N83" s="240"/>
    </row>
    <row r="84" spans="1:14" s="76" customFormat="1" ht="15.75" hidden="1" x14ac:dyDescent="0.3">
      <c r="A84" s="1258"/>
      <c r="B84" s="452"/>
      <c r="C84" s="26" t="s">
        <v>7</v>
      </c>
      <c r="D84" s="449" t="s">
        <v>4</v>
      </c>
      <c r="E84" s="447">
        <f>9.6*0.01</f>
        <v>9.6000000000000002E-2</v>
      </c>
      <c r="F84" s="447">
        <f>E84*F77</f>
        <v>0</v>
      </c>
      <c r="G84" s="445"/>
      <c r="H84" s="445">
        <f>F84*G84</f>
        <v>0</v>
      </c>
      <c r="I84" s="445"/>
      <c r="J84" s="445"/>
      <c r="K84" s="445"/>
      <c r="L84" s="445"/>
      <c r="M84" s="445">
        <f t="shared" si="11"/>
        <v>0</v>
      </c>
      <c r="N84" s="500">
        <f>SUM(M66:M84)</f>
        <v>0</v>
      </c>
    </row>
    <row r="85" spans="1:14" s="76" customFormat="1" ht="15.75" hidden="1" x14ac:dyDescent="0.3">
      <c r="A85" s="1109"/>
      <c r="B85" s="452"/>
      <c r="C85" s="26"/>
      <c r="D85" s="449"/>
      <c r="E85" s="447"/>
      <c r="F85" s="447"/>
      <c r="G85" s="445"/>
      <c r="H85" s="445"/>
      <c r="I85" s="445"/>
      <c r="J85" s="445"/>
      <c r="K85" s="445"/>
      <c r="L85" s="445"/>
      <c r="M85" s="445"/>
      <c r="N85" s="240"/>
    </row>
    <row r="86" spans="1:14" s="76" customFormat="1" ht="31.5" hidden="1" x14ac:dyDescent="0.3">
      <c r="A86" s="443"/>
      <c r="B86" s="405"/>
      <c r="C86" s="128" t="s">
        <v>369</v>
      </c>
      <c r="D86" s="85" t="s">
        <v>41</v>
      </c>
      <c r="E86" s="444"/>
      <c r="F86" s="406">
        <v>0</v>
      </c>
      <c r="G86" s="445"/>
      <c r="H86" s="445"/>
      <c r="I86" s="445"/>
      <c r="J86" s="445"/>
      <c r="K86" s="445"/>
      <c r="L86" s="445"/>
      <c r="M86" s="445"/>
      <c r="N86" s="240"/>
    </row>
    <row r="87" spans="1:14" s="76" customFormat="1" ht="31.5" hidden="1" x14ac:dyDescent="0.3">
      <c r="A87" s="1259" t="s">
        <v>93</v>
      </c>
      <c r="B87" s="452" t="s">
        <v>59</v>
      </c>
      <c r="C87" s="62" t="s">
        <v>353</v>
      </c>
      <c r="D87" s="452" t="s">
        <v>37</v>
      </c>
      <c r="E87" s="447"/>
      <c r="F87" s="23">
        <f>0.15*(0.1+0.1)*F86</f>
        <v>0</v>
      </c>
      <c r="G87" s="445"/>
      <c r="H87" s="445"/>
      <c r="I87" s="445"/>
      <c r="J87" s="445"/>
      <c r="K87" s="445"/>
      <c r="L87" s="445"/>
      <c r="M87" s="445"/>
      <c r="N87" s="240"/>
    </row>
    <row r="88" spans="1:14" s="76" customFormat="1" ht="15.75" hidden="1" x14ac:dyDescent="0.3">
      <c r="A88" s="1261"/>
      <c r="B88" s="363"/>
      <c r="C88" s="105" t="s">
        <v>36</v>
      </c>
      <c r="D88" s="453" t="s">
        <v>6</v>
      </c>
      <c r="E88" s="109">
        <v>2.06</v>
      </c>
      <c r="F88" s="109">
        <f>E88*F87</f>
        <v>0</v>
      </c>
      <c r="G88" s="40"/>
      <c r="H88" s="445"/>
      <c r="I88" s="40">
        <v>6</v>
      </c>
      <c r="J88" s="445">
        <f>F88*I88</f>
        <v>0</v>
      </c>
      <c r="K88" s="445"/>
      <c r="L88" s="445"/>
      <c r="M88" s="445">
        <f>H88+J88+L88</f>
        <v>0</v>
      </c>
      <c r="N88" s="240"/>
    </row>
    <row r="89" spans="1:14" s="76" customFormat="1" ht="31.5" hidden="1" x14ac:dyDescent="0.3">
      <c r="A89" s="1276" t="s">
        <v>72</v>
      </c>
      <c r="B89" s="83" t="s">
        <v>91</v>
      </c>
      <c r="C89" s="126" t="s">
        <v>269</v>
      </c>
      <c r="D89" s="452" t="s">
        <v>38</v>
      </c>
      <c r="E89" s="82"/>
      <c r="F89" s="84">
        <f>F87*1.95</f>
        <v>0</v>
      </c>
      <c r="G89" s="19"/>
      <c r="H89" s="445"/>
      <c r="I89" s="19"/>
      <c r="J89" s="445"/>
      <c r="K89" s="19"/>
      <c r="L89" s="445"/>
      <c r="M89" s="445"/>
      <c r="N89" s="240"/>
    </row>
    <row r="90" spans="1:14" s="76" customFormat="1" ht="15.75" hidden="1" x14ac:dyDescent="0.3">
      <c r="A90" s="1286"/>
      <c r="B90" s="362"/>
      <c r="C90" s="44" t="s">
        <v>56</v>
      </c>
      <c r="D90" s="45" t="s">
        <v>6</v>
      </c>
      <c r="E90" s="82">
        <v>0.53</v>
      </c>
      <c r="F90" s="46">
        <f>F89*E90</f>
        <v>0</v>
      </c>
      <c r="G90" s="19"/>
      <c r="H90" s="445"/>
      <c r="I90" s="19">
        <v>6</v>
      </c>
      <c r="J90" s="445">
        <f>F90*I90</f>
        <v>0</v>
      </c>
      <c r="K90" s="19"/>
      <c r="L90" s="445"/>
      <c r="M90" s="445">
        <f>H90+J90+L90</f>
        <v>0</v>
      </c>
      <c r="N90" s="240"/>
    </row>
    <row r="91" spans="1:14" s="76" customFormat="1" ht="31.5" hidden="1" x14ac:dyDescent="0.3">
      <c r="A91" s="1277"/>
      <c r="B91" s="452" t="s">
        <v>420</v>
      </c>
      <c r="C91" s="379" t="s">
        <v>499</v>
      </c>
      <c r="D91" s="452" t="s">
        <v>38</v>
      </c>
      <c r="E91" s="82"/>
      <c r="F91" s="84">
        <f>F89</f>
        <v>0</v>
      </c>
      <c r="G91" s="19"/>
      <c r="H91" s="445"/>
      <c r="I91" s="19"/>
      <c r="J91" s="445"/>
      <c r="K91" s="19">
        <v>8.92</v>
      </c>
      <c r="L91" s="445">
        <f>F91*K91</f>
        <v>0</v>
      </c>
      <c r="M91" s="445">
        <f>H91+J91+L91</f>
        <v>0</v>
      </c>
      <c r="N91" s="240"/>
    </row>
    <row r="92" spans="1:14" s="76" customFormat="1" ht="31.5" hidden="1" x14ac:dyDescent="0.3">
      <c r="A92" s="1287" t="s">
        <v>94</v>
      </c>
      <c r="B92" s="452" t="s">
        <v>35</v>
      </c>
      <c r="C92" s="62" t="s">
        <v>375</v>
      </c>
      <c r="D92" s="452" t="s">
        <v>32</v>
      </c>
      <c r="E92" s="447"/>
      <c r="F92" s="23">
        <f>0.15*0.1*F86</f>
        <v>0</v>
      </c>
      <c r="G92" s="445"/>
      <c r="H92" s="445"/>
      <c r="I92" s="445"/>
      <c r="J92" s="445"/>
      <c r="K92" s="445"/>
      <c r="L92" s="445"/>
      <c r="M92" s="445"/>
      <c r="N92" s="240"/>
    </row>
    <row r="93" spans="1:14" s="76" customFormat="1" ht="15.75" hidden="1" x14ac:dyDescent="0.3">
      <c r="A93" s="1287"/>
      <c r="B93" s="449"/>
      <c r="C93" s="26" t="s">
        <v>13</v>
      </c>
      <c r="D93" s="449" t="s">
        <v>14</v>
      </c>
      <c r="E93" s="454">
        <v>3.52</v>
      </c>
      <c r="F93" s="36">
        <f>E93*F92</f>
        <v>0</v>
      </c>
      <c r="G93" s="445"/>
      <c r="H93" s="445"/>
      <c r="I93" s="445">
        <v>6</v>
      </c>
      <c r="J93" s="445">
        <f>F93*I93</f>
        <v>0</v>
      </c>
      <c r="K93" s="445"/>
      <c r="L93" s="445"/>
      <c r="M93" s="445">
        <f>H93+J93+L93</f>
        <v>0</v>
      </c>
      <c r="N93" s="240"/>
    </row>
    <row r="94" spans="1:14" s="76" customFormat="1" ht="15.75" hidden="1" x14ac:dyDescent="0.3">
      <c r="A94" s="1287"/>
      <c r="B94" s="449"/>
      <c r="C94" s="26" t="s">
        <v>17</v>
      </c>
      <c r="D94" s="449" t="s">
        <v>4</v>
      </c>
      <c r="E94" s="454">
        <v>1.06</v>
      </c>
      <c r="F94" s="36">
        <f>F92*E94</f>
        <v>0</v>
      </c>
      <c r="G94" s="445"/>
      <c r="H94" s="445"/>
      <c r="I94" s="445"/>
      <c r="J94" s="445"/>
      <c r="K94" s="445">
        <v>4</v>
      </c>
      <c r="L94" s="445">
        <f>F94*K94</f>
        <v>0</v>
      </c>
      <c r="M94" s="445">
        <f>H94+J94+L94</f>
        <v>0</v>
      </c>
      <c r="N94" s="240"/>
    </row>
    <row r="95" spans="1:14" s="76" customFormat="1" ht="15.75" hidden="1" x14ac:dyDescent="0.3">
      <c r="A95" s="1287"/>
      <c r="B95" s="449"/>
      <c r="C95" s="26" t="s">
        <v>374</v>
      </c>
      <c r="D95" s="449" t="s">
        <v>29</v>
      </c>
      <c r="E95" s="454">
        <f>0.18+0.09+0.97</f>
        <v>1.24</v>
      </c>
      <c r="F95" s="36">
        <f>E95*F92</f>
        <v>0</v>
      </c>
      <c r="G95" s="445"/>
      <c r="H95" s="445">
        <f>F95*G95</f>
        <v>0</v>
      </c>
      <c r="I95" s="445"/>
      <c r="J95" s="445"/>
      <c r="K95" s="445"/>
      <c r="L95" s="445"/>
      <c r="M95" s="445">
        <f>H95+J95+L95</f>
        <v>0</v>
      </c>
      <c r="N95" s="240"/>
    </row>
    <row r="96" spans="1:14" s="76" customFormat="1" ht="15.75" hidden="1" x14ac:dyDescent="0.3">
      <c r="A96" s="1287"/>
      <c r="B96" s="449"/>
      <c r="C96" s="145" t="s">
        <v>50</v>
      </c>
      <c r="D96" s="283" t="s">
        <v>4</v>
      </c>
      <c r="E96" s="454">
        <v>0.02</v>
      </c>
      <c r="F96" s="36">
        <f>F92*E96</f>
        <v>0</v>
      </c>
      <c r="G96" s="32"/>
      <c r="H96" s="445">
        <f>F96*G96</f>
        <v>0</v>
      </c>
      <c r="I96" s="17"/>
      <c r="J96" s="445"/>
      <c r="K96" s="18"/>
      <c r="L96" s="445"/>
      <c r="M96" s="445">
        <f>H96+J96+L96</f>
        <v>0</v>
      </c>
      <c r="N96" s="240"/>
    </row>
    <row r="97" spans="1:14" s="76" customFormat="1" ht="31.5" hidden="1" x14ac:dyDescent="0.3">
      <c r="A97" s="1258" t="s">
        <v>87</v>
      </c>
      <c r="B97" s="452" t="s">
        <v>147</v>
      </c>
      <c r="C97" s="62" t="s">
        <v>370</v>
      </c>
      <c r="D97" s="452" t="s">
        <v>62</v>
      </c>
      <c r="E97" s="23"/>
      <c r="F97" s="23">
        <f>F86</f>
        <v>0</v>
      </c>
      <c r="G97" s="445"/>
      <c r="H97" s="445"/>
      <c r="I97" s="445"/>
      <c r="J97" s="445"/>
      <c r="K97" s="445"/>
      <c r="L97" s="445"/>
      <c r="M97" s="445"/>
      <c r="N97" s="240"/>
    </row>
    <row r="98" spans="1:14" s="76" customFormat="1" ht="15.75" hidden="1" x14ac:dyDescent="0.3">
      <c r="A98" s="1258"/>
      <c r="B98" s="452"/>
      <c r="C98" s="26" t="s">
        <v>13</v>
      </c>
      <c r="D98" s="449" t="s">
        <v>14</v>
      </c>
      <c r="E98" s="447">
        <v>0.74</v>
      </c>
      <c r="F98" s="447">
        <f>E98*F97</f>
        <v>0</v>
      </c>
      <c r="G98" s="445"/>
      <c r="H98" s="445"/>
      <c r="I98" s="445">
        <v>6</v>
      </c>
      <c r="J98" s="445">
        <f>F98*I98</f>
        <v>0</v>
      </c>
      <c r="K98" s="445"/>
      <c r="L98" s="445"/>
      <c r="M98" s="445">
        <f t="shared" ref="M98:M104" si="12">H98+J98+L98</f>
        <v>0</v>
      </c>
      <c r="N98" s="240"/>
    </row>
    <row r="99" spans="1:14" s="76" customFormat="1" ht="15.75" hidden="1" x14ac:dyDescent="0.3">
      <c r="A99" s="1258"/>
      <c r="B99" s="452"/>
      <c r="C99" s="26" t="s">
        <v>5</v>
      </c>
      <c r="D99" s="449" t="s">
        <v>15</v>
      </c>
      <c r="E99" s="447">
        <f>0.71*0.01</f>
        <v>7.0999999999999995E-3</v>
      </c>
      <c r="F99" s="447">
        <f>E99*F97</f>
        <v>0</v>
      </c>
      <c r="G99" s="445"/>
      <c r="H99" s="445"/>
      <c r="I99" s="445"/>
      <c r="J99" s="445"/>
      <c r="K99" s="445">
        <v>4</v>
      </c>
      <c r="L99" s="445">
        <f>F99*K99</f>
        <v>0</v>
      </c>
      <c r="M99" s="445">
        <f t="shared" si="12"/>
        <v>0</v>
      </c>
      <c r="N99" s="240"/>
    </row>
    <row r="100" spans="1:14" s="76" customFormat="1" ht="15.75" hidden="1" x14ac:dyDescent="0.3">
      <c r="A100" s="1258"/>
      <c r="B100" s="452"/>
      <c r="C100" s="26" t="s">
        <v>371</v>
      </c>
      <c r="D100" s="449" t="s">
        <v>41</v>
      </c>
      <c r="E100" s="447">
        <v>1</v>
      </c>
      <c r="F100" s="23">
        <v>0</v>
      </c>
      <c r="G100" s="367"/>
      <c r="H100" s="445">
        <f>F100*G100</f>
        <v>0</v>
      </c>
      <c r="I100" s="445"/>
      <c r="J100" s="445"/>
      <c r="K100" s="445"/>
      <c r="L100" s="445"/>
      <c r="M100" s="445">
        <f t="shared" si="12"/>
        <v>0</v>
      </c>
      <c r="N100" s="240"/>
    </row>
    <row r="101" spans="1:14" s="76" customFormat="1" ht="15.75" hidden="1" x14ac:dyDescent="0.3">
      <c r="A101" s="1258"/>
      <c r="B101" s="452"/>
      <c r="C101" s="26" t="s">
        <v>372</v>
      </c>
      <c r="D101" s="449" t="s">
        <v>41</v>
      </c>
      <c r="E101" s="447">
        <v>1</v>
      </c>
      <c r="F101" s="23">
        <f>F97-F100</f>
        <v>0</v>
      </c>
      <c r="G101" s="445"/>
      <c r="H101" s="445">
        <f>F101*G101</f>
        <v>0</v>
      </c>
      <c r="I101" s="445"/>
      <c r="J101" s="445"/>
      <c r="K101" s="445"/>
      <c r="L101" s="445"/>
      <c r="M101" s="445">
        <f t="shared" si="12"/>
        <v>0</v>
      </c>
      <c r="N101" s="240"/>
    </row>
    <row r="102" spans="1:14" s="76" customFormat="1" ht="15.75" hidden="1" x14ac:dyDescent="0.3">
      <c r="A102" s="1258"/>
      <c r="B102" s="452"/>
      <c r="C102" s="141" t="s">
        <v>149</v>
      </c>
      <c r="D102" s="449" t="s">
        <v>29</v>
      </c>
      <c r="E102" s="447">
        <v>3.9E-2</v>
      </c>
      <c r="F102" s="447">
        <f>F97*E102</f>
        <v>0</v>
      </c>
      <c r="G102" s="445"/>
      <c r="H102" s="445">
        <f>F102*G102</f>
        <v>0</v>
      </c>
      <c r="I102" s="445"/>
      <c r="J102" s="445"/>
      <c r="K102" s="445"/>
      <c r="L102" s="445"/>
      <c r="M102" s="445">
        <f t="shared" si="12"/>
        <v>0</v>
      </c>
      <c r="N102" s="240"/>
    </row>
    <row r="103" spans="1:14" s="76" customFormat="1" ht="15.75" hidden="1" x14ac:dyDescent="0.3">
      <c r="A103" s="1258"/>
      <c r="B103" s="452"/>
      <c r="C103" s="26" t="s">
        <v>148</v>
      </c>
      <c r="D103" s="449" t="s">
        <v>29</v>
      </c>
      <c r="E103" s="447">
        <f>0.06*0.01</f>
        <v>5.9999999999999995E-4</v>
      </c>
      <c r="F103" s="447">
        <f>E103*F97</f>
        <v>0</v>
      </c>
      <c r="G103" s="445"/>
      <c r="H103" s="445">
        <f>F103*G103</f>
        <v>0</v>
      </c>
      <c r="I103" s="445"/>
      <c r="J103" s="445"/>
      <c r="K103" s="445"/>
      <c r="L103" s="445"/>
      <c r="M103" s="445">
        <f t="shared" si="12"/>
        <v>0</v>
      </c>
      <c r="N103" s="240"/>
    </row>
    <row r="104" spans="1:14" s="76" customFormat="1" ht="15.75" hidden="1" x14ac:dyDescent="0.3">
      <c r="A104" s="1258"/>
      <c r="B104" s="452"/>
      <c r="C104" s="26" t="s">
        <v>7</v>
      </c>
      <c r="D104" s="449" t="s">
        <v>4</v>
      </c>
      <c r="E104" s="447">
        <f>9.6*0.01</f>
        <v>9.6000000000000002E-2</v>
      </c>
      <c r="F104" s="447">
        <f>E104*F97</f>
        <v>0</v>
      </c>
      <c r="G104" s="445"/>
      <c r="H104" s="445">
        <f>F104*G104</f>
        <v>0</v>
      </c>
      <c r="I104" s="445"/>
      <c r="J104" s="445"/>
      <c r="K104" s="445"/>
      <c r="L104" s="445"/>
      <c r="M104" s="445">
        <f t="shared" si="12"/>
        <v>0</v>
      </c>
      <c r="N104" s="500">
        <f>SUM(M86:M104)</f>
        <v>0</v>
      </c>
    </row>
    <row r="105" spans="1:14" s="76" customFormat="1" ht="15.75" x14ac:dyDescent="0.3">
      <c r="A105" s="1109"/>
      <c r="B105" s="484"/>
      <c r="C105" s="26"/>
      <c r="D105" s="505"/>
      <c r="E105" s="503"/>
      <c r="F105" s="503"/>
      <c r="G105" s="502"/>
      <c r="H105" s="502"/>
      <c r="I105" s="502"/>
      <c r="J105" s="502"/>
      <c r="K105" s="502"/>
      <c r="L105" s="502"/>
      <c r="M105" s="502"/>
      <c r="N105" s="500"/>
    </row>
    <row r="106" spans="1:14" s="76" customFormat="1" ht="31.5" x14ac:dyDescent="0.3">
      <c r="A106" s="443"/>
      <c r="B106" s="405"/>
      <c r="C106" s="128" t="s">
        <v>470</v>
      </c>
      <c r="D106" s="85" t="s">
        <v>41</v>
      </c>
      <c r="E106" s="444"/>
      <c r="F106" s="406">
        <v>455</v>
      </c>
      <c r="G106" s="502"/>
      <c r="H106" s="502"/>
      <c r="I106" s="502"/>
      <c r="J106" s="502"/>
      <c r="K106" s="502"/>
      <c r="L106" s="502"/>
      <c r="M106" s="502"/>
      <c r="N106" s="240"/>
    </row>
    <row r="107" spans="1:14" s="76" customFormat="1" ht="31.5" x14ac:dyDescent="0.3">
      <c r="A107" s="1259" t="s">
        <v>93</v>
      </c>
      <c r="B107" s="484" t="s">
        <v>59</v>
      </c>
      <c r="C107" s="62" t="s">
        <v>353</v>
      </c>
      <c r="D107" s="484" t="s">
        <v>37</v>
      </c>
      <c r="E107" s="503"/>
      <c r="F107" s="23">
        <f>0.15*(0.1+0.1)*F106</f>
        <v>13.65</v>
      </c>
      <c r="G107" s="502"/>
      <c r="H107" s="502"/>
      <c r="I107" s="502"/>
      <c r="J107" s="502"/>
      <c r="K107" s="502"/>
      <c r="L107" s="502"/>
      <c r="M107" s="502"/>
      <c r="N107" s="240"/>
    </row>
    <row r="108" spans="1:14" s="76" customFormat="1" ht="15.75" x14ac:dyDescent="0.3">
      <c r="A108" s="1261"/>
      <c r="B108" s="363"/>
      <c r="C108" s="105" t="s">
        <v>36</v>
      </c>
      <c r="D108" s="507" t="s">
        <v>6</v>
      </c>
      <c r="E108" s="109">
        <v>2.06</v>
      </c>
      <c r="F108" s="109">
        <f>E108*F107</f>
        <v>28.119</v>
      </c>
      <c r="G108" s="40"/>
      <c r="H108" s="502"/>
      <c r="I108" s="40"/>
      <c r="J108" s="502">
        <f>F108*I108</f>
        <v>0</v>
      </c>
      <c r="K108" s="502"/>
      <c r="L108" s="502"/>
      <c r="M108" s="502">
        <f>H108+J108+L108</f>
        <v>0</v>
      </c>
      <c r="N108" s="240"/>
    </row>
    <row r="109" spans="1:14" s="76" customFormat="1" ht="31.5" x14ac:dyDescent="0.3">
      <c r="A109" s="1276" t="s">
        <v>72</v>
      </c>
      <c r="B109" s="83" t="s">
        <v>91</v>
      </c>
      <c r="C109" s="126" t="s">
        <v>269</v>
      </c>
      <c r="D109" s="484" t="s">
        <v>38</v>
      </c>
      <c r="E109" s="82"/>
      <c r="F109" s="84">
        <f>F107*1.95</f>
        <v>26.6175</v>
      </c>
      <c r="G109" s="19"/>
      <c r="H109" s="502"/>
      <c r="I109" s="19"/>
      <c r="J109" s="502"/>
      <c r="K109" s="19"/>
      <c r="L109" s="502"/>
      <c r="M109" s="502"/>
      <c r="N109" s="240"/>
    </row>
    <row r="110" spans="1:14" s="76" customFormat="1" ht="15.75" x14ac:dyDescent="0.3">
      <c r="A110" s="1286"/>
      <c r="B110" s="362"/>
      <c r="C110" s="44" t="s">
        <v>56</v>
      </c>
      <c r="D110" s="45" t="s">
        <v>6</v>
      </c>
      <c r="E110" s="82">
        <v>0.53</v>
      </c>
      <c r="F110" s="46">
        <f>F109*E110</f>
        <v>14.107275000000001</v>
      </c>
      <c r="G110" s="19"/>
      <c r="H110" s="502"/>
      <c r="I110" s="19"/>
      <c r="J110" s="502">
        <f>F110*I110</f>
        <v>0</v>
      </c>
      <c r="K110" s="19"/>
      <c r="L110" s="502"/>
      <c r="M110" s="502">
        <f>H110+J110+L110</f>
        <v>0</v>
      </c>
      <c r="N110" s="240"/>
    </row>
    <row r="111" spans="1:14" s="76" customFormat="1" ht="31.5" x14ac:dyDescent="0.3">
      <c r="A111" s="1277"/>
      <c r="B111" s="484" t="s">
        <v>420</v>
      </c>
      <c r="C111" s="379" t="s">
        <v>499</v>
      </c>
      <c r="D111" s="484" t="s">
        <v>38</v>
      </c>
      <c r="E111" s="82"/>
      <c r="F111" s="84">
        <f>F109</f>
        <v>26.6175</v>
      </c>
      <c r="G111" s="19"/>
      <c r="H111" s="502"/>
      <c r="I111" s="19"/>
      <c r="J111" s="502"/>
      <c r="K111" s="19"/>
      <c r="L111" s="502">
        <f>F111*K111</f>
        <v>0</v>
      </c>
      <c r="M111" s="502">
        <f>H111+J111+L111</f>
        <v>0</v>
      </c>
      <c r="N111" s="240"/>
    </row>
    <row r="112" spans="1:14" s="76" customFormat="1" ht="31.5" x14ac:dyDescent="0.3">
      <c r="A112" s="1287" t="s">
        <v>94</v>
      </c>
      <c r="B112" s="484" t="s">
        <v>35</v>
      </c>
      <c r="C112" s="62" t="s">
        <v>375</v>
      </c>
      <c r="D112" s="484" t="s">
        <v>32</v>
      </c>
      <c r="E112" s="503"/>
      <c r="F112" s="23">
        <f>0.15*0.1*F106</f>
        <v>6.8250000000000002</v>
      </c>
      <c r="G112" s="502"/>
      <c r="H112" s="502"/>
      <c r="I112" s="502"/>
      <c r="J112" s="502"/>
      <c r="K112" s="502"/>
      <c r="L112" s="502"/>
      <c r="M112" s="502"/>
      <c r="N112" s="240"/>
    </row>
    <row r="113" spans="1:14" s="76" customFormat="1" ht="15.75" x14ac:dyDescent="0.3">
      <c r="A113" s="1287"/>
      <c r="B113" s="505"/>
      <c r="C113" s="26" t="s">
        <v>13</v>
      </c>
      <c r="D113" s="505" t="s">
        <v>14</v>
      </c>
      <c r="E113" s="508">
        <v>3.52</v>
      </c>
      <c r="F113" s="36">
        <f>E113*F112</f>
        <v>24.024000000000001</v>
      </c>
      <c r="G113" s="502"/>
      <c r="H113" s="502"/>
      <c r="I113" s="502"/>
      <c r="J113" s="502">
        <f>F113*I113</f>
        <v>0</v>
      </c>
      <c r="K113" s="502"/>
      <c r="L113" s="502"/>
      <c r="M113" s="502">
        <f>H113+J113+L113</f>
        <v>0</v>
      </c>
      <c r="N113" s="240"/>
    </row>
    <row r="114" spans="1:14" s="76" customFormat="1" ht="15.75" x14ac:dyDescent="0.3">
      <c r="A114" s="1287"/>
      <c r="B114" s="505"/>
      <c r="C114" s="26" t="s">
        <v>17</v>
      </c>
      <c r="D114" s="505" t="s">
        <v>4</v>
      </c>
      <c r="E114" s="508">
        <v>1.06</v>
      </c>
      <c r="F114" s="36">
        <f>F112*E114</f>
        <v>7.2345000000000006</v>
      </c>
      <c r="G114" s="502"/>
      <c r="H114" s="502"/>
      <c r="I114" s="502"/>
      <c r="J114" s="502"/>
      <c r="K114" s="502"/>
      <c r="L114" s="502">
        <f>F114*K114</f>
        <v>0</v>
      </c>
      <c r="M114" s="502">
        <f>H114+J114+L114</f>
        <v>0</v>
      </c>
      <c r="N114" s="240"/>
    </row>
    <row r="115" spans="1:14" s="76" customFormat="1" ht="15.75" x14ac:dyDescent="0.3">
      <c r="A115" s="1287"/>
      <c r="B115" s="505"/>
      <c r="C115" s="26" t="s">
        <v>374</v>
      </c>
      <c r="D115" s="505" t="s">
        <v>29</v>
      </c>
      <c r="E115" s="508">
        <f>0.18+0.09+0.97</f>
        <v>1.24</v>
      </c>
      <c r="F115" s="36">
        <f>E115*F112</f>
        <v>8.463000000000001</v>
      </c>
      <c r="G115" s="502"/>
      <c r="H115" s="502">
        <f>F115*G115</f>
        <v>0</v>
      </c>
      <c r="I115" s="502"/>
      <c r="J115" s="502"/>
      <c r="K115" s="502"/>
      <c r="L115" s="502"/>
      <c r="M115" s="502">
        <f>H115+J115+L115</f>
        <v>0</v>
      </c>
      <c r="N115" s="240"/>
    </row>
    <row r="116" spans="1:14" s="76" customFormat="1" ht="15.75" x14ac:dyDescent="0.3">
      <c r="A116" s="1287"/>
      <c r="B116" s="505"/>
      <c r="C116" s="145" t="s">
        <v>50</v>
      </c>
      <c r="D116" s="283" t="s">
        <v>4</v>
      </c>
      <c r="E116" s="508">
        <v>0.02</v>
      </c>
      <c r="F116" s="36">
        <f>F112*E116</f>
        <v>0.13650000000000001</v>
      </c>
      <c r="G116" s="32"/>
      <c r="H116" s="502">
        <f>F116*G116</f>
        <v>0</v>
      </c>
      <c r="I116" s="17"/>
      <c r="J116" s="502"/>
      <c r="K116" s="18"/>
      <c r="L116" s="502"/>
      <c r="M116" s="502">
        <f>H116+J116+L116</f>
        <v>0</v>
      </c>
      <c r="N116" s="240"/>
    </row>
    <row r="117" spans="1:14" s="76" customFormat="1" ht="31.5" x14ac:dyDescent="0.3">
      <c r="A117" s="1258" t="s">
        <v>87</v>
      </c>
      <c r="B117" s="484" t="s">
        <v>147</v>
      </c>
      <c r="C117" s="62" t="s">
        <v>469</v>
      </c>
      <c r="D117" s="484" t="s">
        <v>62</v>
      </c>
      <c r="E117" s="23"/>
      <c r="F117" s="23">
        <f>F106</f>
        <v>455</v>
      </c>
      <c r="G117" s="502"/>
      <c r="H117" s="502"/>
      <c r="I117" s="502"/>
      <c r="J117" s="502"/>
      <c r="K117" s="502"/>
      <c r="L117" s="502"/>
      <c r="M117" s="502"/>
      <c r="N117" s="240"/>
    </row>
    <row r="118" spans="1:14" s="76" customFormat="1" ht="15.75" x14ac:dyDescent="0.3">
      <c r="A118" s="1258"/>
      <c r="B118" s="484"/>
      <c r="C118" s="26" t="s">
        <v>13</v>
      </c>
      <c r="D118" s="505" t="s">
        <v>14</v>
      </c>
      <c r="E118" s="503">
        <v>0.74</v>
      </c>
      <c r="F118" s="503">
        <f>E118*F117</f>
        <v>336.7</v>
      </c>
      <c r="G118" s="502"/>
      <c r="H118" s="502"/>
      <c r="I118" s="502"/>
      <c r="J118" s="502">
        <f>F118*I118</f>
        <v>0</v>
      </c>
      <c r="K118" s="502"/>
      <c r="L118" s="502"/>
      <c r="M118" s="502">
        <f t="shared" ref="M118:M124" si="13">H118+J118+L118</f>
        <v>0</v>
      </c>
      <c r="N118" s="240"/>
    </row>
    <row r="119" spans="1:14" s="76" customFormat="1" ht="15" customHeight="1" x14ac:dyDescent="0.3">
      <c r="A119" s="1258"/>
      <c r="B119" s="484"/>
      <c r="C119" s="26" t="s">
        <v>5</v>
      </c>
      <c r="D119" s="505" t="s">
        <v>15</v>
      </c>
      <c r="E119" s="503">
        <f>0.71*0.01</f>
        <v>7.0999999999999995E-3</v>
      </c>
      <c r="F119" s="503">
        <f>E119*F117</f>
        <v>3.2304999999999997</v>
      </c>
      <c r="G119" s="502"/>
      <c r="H119" s="502"/>
      <c r="I119" s="502"/>
      <c r="J119" s="502"/>
      <c r="K119" s="502"/>
      <c r="L119" s="502">
        <f>F119*K119</f>
        <v>0</v>
      </c>
      <c r="M119" s="502">
        <f t="shared" si="13"/>
        <v>0</v>
      </c>
      <c r="N119" s="240"/>
    </row>
    <row r="120" spans="1:14" s="76" customFormat="1" ht="18.75" hidden="1" x14ac:dyDescent="0.3">
      <c r="A120" s="1258"/>
      <c r="B120" s="484"/>
      <c r="C120" s="26" t="s">
        <v>361</v>
      </c>
      <c r="D120" s="505" t="s">
        <v>41</v>
      </c>
      <c r="E120" s="503">
        <v>1</v>
      </c>
      <c r="F120" s="23">
        <v>0</v>
      </c>
      <c r="G120" s="367">
        <v>0</v>
      </c>
      <c r="H120" s="502">
        <f>F120*G120</f>
        <v>0</v>
      </c>
      <c r="I120" s="502"/>
      <c r="J120" s="502"/>
      <c r="K120" s="502"/>
      <c r="L120" s="502"/>
      <c r="M120" s="502">
        <f t="shared" si="13"/>
        <v>0</v>
      </c>
      <c r="N120" s="240"/>
    </row>
    <row r="121" spans="1:14" s="76" customFormat="1" ht="15.75" x14ac:dyDescent="0.3">
      <c r="A121" s="1258"/>
      <c r="B121" s="484"/>
      <c r="C121" s="26" t="s">
        <v>468</v>
      </c>
      <c r="D121" s="505" t="s">
        <v>41</v>
      </c>
      <c r="E121" s="503">
        <v>1</v>
      </c>
      <c r="F121" s="23">
        <f>F117-F120</f>
        <v>455</v>
      </c>
      <c r="G121" s="502"/>
      <c r="H121" s="502">
        <f>F121*G121</f>
        <v>0</v>
      </c>
      <c r="I121" s="502"/>
      <c r="J121" s="502"/>
      <c r="K121" s="502"/>
      <c r="L121" s="502"/>
      <c r="M121" s="502">
        <f t="shared" si="13"/>
        <v>0</v>
      </c>
      <c r="N121" s="240"/>
    </row>
    <row r="122" spans="1:14" s="76" customFormat="1" ht="15.75" x14ac:dyDescent="0.3">
      <c r="A122" s="1258"/>
      <c r="B122" s="484"/>
      <c r="C122" s="141" t="s">
        <v>149</v>
      </c>
      <c r="D122" s="505" t="s">
        <v>29</v>
      </c>
      <c r="E122" s="503">
        <v>3.9E-2</v>
      </c>
      <c r="F122" s="503">
        <f>F117*E122</f>
        <v>17.745000000000001</v>
      </c>
      <c r="G122" s="502"/>
      <c r="H122" s="502">
        <f>F122*G122</f>
        <v>0</v>
      </c>
      <c r="I122" s="502"/>
      <c r="J122" s="502"/>
      <c r="K122" s="502"/>
      <c r="L122" s="502"/>
      <c r="M122" s="502">
        <f t="shared" si="13"/>
        <v>0</v>
      </c>
      <c r="N122" s="240"/>
    </row>
    <row r="123" spans="1:14" s="76" customFormat="1" ht="15.75" x14ac:dyDescent="0.3">
      <c r="A123" s="1258"/>
      <c r="B123" s="484"/>
      <c r="C123" s="26" t="s">
        <v>148</v>
      </c>
      <c r="D123" s="505" t="s">
        <v>29</v>
      </c>
      <c r="E123" s="503">
        <f>0.06*0.01</f>
        <v>5.9999999999999995E-4</v>
      </c>
      <c r="F123" s="503">
        <f>E123*F117</f>
        <v>0.27299999999999996</v>
      </c>
      <c r="G123" s="502"/>
      <c r="H123" s="502">
        <f>F123*G123</f>
        <v>0</v>
      </c>
      <c r="I123" s="502"/>
      <c r="J123" s="502"/>
      <c r="K123" s="502"/>
      <c r="L123" s="502"/>
      <c r="M123" s="502">
        <f t="shared" si="13"/>
        <v>0</v>
      </c>
      <c r="N123" s="240"/>
    </row>
    <row r="124" spans="1:14" s="76" customFormat="1" ht="12.75" customHeight="1" x14ac:dyDescent="0.3">
      <c r="A124" s="1258"/>
      <c r="B124" s="484"/>
      <c r="C124" s="26" t="s">
        <v>7</v>
      </c>
      <c r="D124" s="505" t="s">
        <v>4</v>
      </c>
      <c r="E124" s="503">
        <f>9.6*0.01</f>
        <v>9.6000000000000002E-2</v>
      </c>
      <c r="F124" s="503">
        <f>E124*F117</f>
        <v>43.68</v>
      </c>
      <c r="G124" s="502"/>
      <c r="H124" s="502">
        <f>F124*G124</f>
        <v>0</v>
      </c>
      <c r="I124" s="502"/>
      <c r="J124" s="502"/>
      <c r="K124" s="502"/>
      <c r="L124" s="502"/>
      <c r="M124" s="502">
        <f t="shared" si="13"/>
        <v>0</v>
      </c>
      <c r="N124" s="898">
        <f>SUM(M106:M124)</f>
        <v>0</v>
      </c>
    </row>
    <row r="125" spans="1:14" s="76" customFormat="1" ht="15.75" hidden="1" x14ac:dyDescent="0.3">
      <c r="A125" s="1109"/>
      <c r="B125" s="484"/>
      <c r="C125" s="26"/>
      <c r="D125" s="505"/>
      <c r="E125" s="503"/>
      <c r="F125" s="503"/>
      <c r="G125" s="502"/>
      <c r="H125" s="502"/>
      <c r="I125" s="502"/>
      <c r="J125" s="502"/>
      <c r="K125" s="502"/>
      <c r="L125" s="502"/>
      <c r="M125" s="502"/>
      <c r="N125" s="500"/>
    </row>
    <row r="126" spans="1:14" s="76" customFormat="1" ht="47.25" hidden="1" x14ac:dyDescent="0.3">
      <c r="A126" s="369"/>
      <c r="B126" s="392"/>
      <c r="C126" s="128" t="s">
        <v>363</v>
      </c>
      <c r="D126" s="85" t="s">
        <v>47</v>
      </c>
      <c r="E126" s="393"/>
      <c r="F126" s="434">
        <v>0</v>
      </c>
      <c r="G126" s="383"/>
      <c r="H126" s="383"/>
      <c r="I126" s="383"/>
      <c r="J126" s="383"/>
      <c r="K126" s="383"/>
      <c r="L126" s="383"/>
      <c r="M126" s="383"/>
      <c r="N126" s="240"/>
    </row>
    <row r="127" spans="1:14" s="76" customFormat="1" ht="31.5" hidden="1" x14ac:dyDescent="0.3">
      <c r="A127" s="1281" t="s">
        <v>93</v>
      </c>
      <c r="B127" s="31" t="s">
        <v>31</v>
      </c>
      <c r="C127" s="37" t="s">
        <v>151</v>
      </c>
      <c r="D127" s="31" t="s">
        <v>29</v>
      </c>
      <c r="E127" s="34"/>
      <c r="F127" s="38">
        <f>F126*0.15</f>
        <v>0</v>
      </c>
      <c r="G127" s="101"/>
      <c r="H127" s="32"/>
      <c r="I127" s="101"/>
      <c r="J127" s="32"/>
      <c r="K127" s="101"/>
      <c r="L127" s="32"/>
      <c r="M127" s="32"/>
      <c r="N127" s="240"/>
    </row>
    <row r="128" spans="1:14" s="76" customFormat="1" ht="15.75" hidden="1" x14ac:dyDescent="0.3">
      <c r="A128" s="1282"/>
      <c r="B128" s="283"/>
      <c r="C128" s="33" t="s">
        <v>33</v>
      </c>
      <c r="D128" s="143" t="s">
        <v>6</v>
      </c>
      <c r="E128" s="34">
        <v>3.88</v>
      </c>
      <c r="F128" s="36">
        <f>F127*E128</f>
        <v>0</v>
      </c>
      <c r="G128" s="32"/>
      <c r="H128" s="32"/>
      <c r="I128" s="32">
        <v>6</v>
      </c>
      <c r="J128" s="32">
        <f>F128*I128</f>
        <v>0</v>
      </c>
      <c r="K128" s="32"/>
      <c r="L128" s="32"/>
      <c r="M128" s="32">
        <f>H128+J128+L128</f>
        <v>0</v>
      </c>
      <c r="N128" s="240"/>
    </row>
    <row r="129" spans="1:14" s="76" customFormat="1" ht="31.5" hidden="1" x14ac:dyDescent="0.3">
      <c r="A129" s="1260" t="s">
        <v>72</v>
      </c>
      <c r="B129" s="389" t="s">
        <v>91</v>
      </c>
      <c r="C129" s="280" t="s">
        <v>269</v>
      </c>
      <c r="D129" s="275" t="s">
        <v>294</v>
      </c>
      <c r="E129" s="276"/>
      <c r="F129" s="277">
        <f>F127*1.95</f>
        <v>0</v>
      </c>
      <c r="G129" s="383"/>
      <c r="H129" s="383"/>
      <c r="I129" s="383"/>
      <c r="J129" s="383"/>
      <c r="K129" s="383"/>
      <c r="L129" s="383"/>
      <c r="M129" s="383"/>
      <c r="N129" s="240"/>
    </row>
    <row r="130" spans="1:14" s="76" customFormat="1" ht="15.75" hidden="1" x14ac:dyDescent="0.3">
      <c r="A130" s="1261"/>
      <c r="B130" s="380"/>
      <c r="C130" s="281" t="s">
        <v>54</v>
      </c>
      <c r="D130" s="48" t="s">
        <v>6</v>
      </c>
      <c r="E130" s="49">
        <v>0.53</v>
      </c>
      <c r="F130" s="385">
        <f>F129*E130</f>
        <v>0</v>
      </c>
      <c r="G130" s="383"/>
      <c r="H130" s="383"/>
      <c r="I130" s="383">
        <v>6</v>
      </c>
      <c r="J130" s="383">
        <f>F130*I130</f>
        <v>0</v>
      </c>
      <c r="K130" s="383"/>
      <c r="L130" s="383"/>
      <c r="M130" s="383">
        <f>H130+J130+L130</f>
        <v>0</v>
      </c>
      <c r="N130" s="240"/>
    </row>
    <row r="131" spans="1:14" s="76" customFormat="1" ht="31.5" hidden="1" x14ac:dyDescent="0.3">
      <c r="A131" s="1108" t="s">
        <v>94</v>
      </c>
      <c r="B131" s="452" t="s">
        <v>420</v>
      </c>
      <c r="C131" s="379" t="s">
        <v>499</v>
      </c>
      <c r="D131" s="452" t="s">
        <v>38</v>
      </c>
      <c r="E131" s="390"/>
      <c r="F131" s="277">
        <f>F129</f>
        <v>0</v>
      </c>
      <c r="G131" s="383"/>
      <c r="H131" s="383"/>
      <c r="I131" s="383"/>
      <c r="J131" s="383"/>
      <c r="K131" s="19">
        <v>8.92</v>
      </c>
      <c r="L131" s="383">
        <f>F131*K131</f>
        <v>0</v>
      </c>
      <c r="M131" s="383">
        <f>H131+J131+L131</f>
        <v>0</v>
      </c>
      <c r="N131" s="240"/>
    </row>
    <row r="132" spans="1:14" s="76" customFormat="1" ht="31.5" hidden="1" x14ac:dyDescent="0.3">
      <c r="A132" s="1259" t="s">
        <v>87</v>
      </c>
      <c r="B132" s="224" t="s">
        <v>35</v>
      </c>
      <c r="C132" s="30" t="s">
        <v>365</v>
      </c>
      <c r="D132" s="224" t="s">
        <v>37</v>
      </c>
      <c r="E132" s="386"/>
      <c r="F132" s="38">
        <f>F126*0.1</f>
        <v>0</v>
      </c>
      <c r="G132" s="383"/>
      <c r="H132" s="383"/>
      <c r="I132" s="383"/>
      <c r="J132" s="383"/>
      <c r="K132" s="383"/>
      <c r="L132" s="383"/>
      <c r="M132" s="383"/>
      <c r="N132" s="240"/>
    </row>
    <row r="133" spans="1:14" s="76" customFormat="1" ht="15.75" hidden="1" x14ac:dyDescent="0.3">
      <c r="A133" s="1260"/>
      <c r="B133" s="380"/>
      <c r="C133" s="26" t="s">
        <v>13</v>
      </c>
      <c r="D133" s="380" t="s">
        <v>14</v>
      </c>
      <c r="E133" s="386">
        <v>3.52</v>
      </c>
      <c r="F133" s="36">
        <f>E133*F132</f>
        <v>0</v>
      </c>
      <c r="G133" s="383"/>
      <c r="H133" s="383"/>
      <c r="I133" s="383">
        <v>6</v>
      </c>
      <c r="J133" s="383">
        <f>F133*I133</f>
        <v>0</v>
      </c>
      <c r="K133" s="383"/>
      <c r="L133" s="383"/>
      <c r="M133" s="383">
        <f>H133+J133+L133</f>
        <v>0</v>
      </c>
      <c r="N133" s="240"/>
    </row>
    <row r="134" spans="1:14" s="76" customFormat="1" ht="15.75" hidden="1" x14ac:dyDescent="0.3">
      <c r="A134" s="1260"/>
      <c r="B134" s="380"/>
      <c r="C134" s="26" t="s">
        <v>17</v>
      </c>
      <c r="D134" s="380" t="s">
        <v>4</v>
      </c>
      <c r="E134" s="386">
        <v>1.06</v>
      </c>
      <c r="F134" s="36">
        <f>F132*E134</f>
        <v>0</v>
      </c>
      <c r="G134" s="383"/>
      <c r="H134" s="383"/>
      <c r="I134" s="383"/>
      <c r="J134" s="383"/>
      <c r="K134" s="383">
        <v>4</v>
      </c>
      <c r="L134" s="383">
        <f>F134*K134</f>
        <v>0</v>
      </c>
      <c r="M134" s="383">
        <f>H134+J134+L134</f>
        <v>0</v>
      </c>
      <c r="N134" s="240"/>
    </row>
    <row r="135" spans="1:14" s="76" customFormat="1" ht="15.75" hidden="1" x14ac:dyDescent="0.3">
      <c r="A135" s="1260"/>
      <c r="B135" s="380"/>
      <c r="C135" s="26" t="s">
        <v>374</v>
      </c>
      <c r="D135" s="380" t="s">
        <v>29</v>
      </c>
      <c r="E135" s="386">
        <f>0.18+0.09+0.97</f>
        <v>1.24</v>
      </c>
      <c r="F135" s="36">
        <f>E135*F132</f>
        <v>0</v>
      </c>
      <c r="G135" s="383">
        <v>16.899999999999999</v>
      </c>
      <c r="H135" s="383">
        <f>F135*G135</f>
        <v>0</v>
      </c>
      <c r="I135" s="383"/>
      <c r="J135" s="383"/>
      <c r="K135" s="383"/>
      <c r="L135" s="383"/>
      <c r="M135" s="383">
        <f>H135+J135+L135</f>
        <v>0</v>
      </c>
      <c r="N135" s="240"/>
    </row>
    <row r="136" spans="1:14" s="76" customFormat="1" ht="15.75" hidden="1" x14ac:dyDescent="0.3">
      <c r="A136" s="1261"/>
      <c r="B136" s="380"/>
      <c r="C136" s="145" t="s">
        <v>50</v>
      </c>
      <c r="D136" s="283" t="s">
        <v>4</v>
      </c>
      <c r="E136" s="386">
        <v>0.02</v>
      </c>
      <c r="F136" s="36">
        <f>F132*E136</f>
        <v>0</v>
      </c>
      <c r="G136" s="32">
        <v>4</v>
      </c>
      <c r="H136" s="383">
        <f>F136*G136</f>
        <v>0</v>
      </c>
      <c r="I136" s="17"/>
      <c r="J136" s="383"/>
      <c r="K136" s="18"/>
      <c r="L136" s="383"/>
      <c r="M136" s="383">
        <f>H136+J136+L136</f>
        <v>0</v>
      </c>
      <c r="N136" s="240"/>
    </row>
    <row r="137" spans="1:14" s="76" customFormat="1" ht="15.75" hidden="1" x14ac:dyDescent="0.3">
      <c r="A137" s="1259" t="s">
        <v>89</v>
      </c>
      <c r="B137" s="224" t="s">
        <v>84</v>
      </c>
      <c r="C137" s="1299" t="s">
        <v>312</v>
      </c>
      <c r="D137" s="224" t="s">
        <v>47</v>
      </c>
      <c r="E137" s="386"/>
      <c r="F137" s="38">
        <f>F126</f>
        <v>0</v>
      </c>
      <c r="G137" s="81"/>
      <c r="H137" s="383"/>
      <c r="I137" s="383"/>
      <c r="J137" s="383"/>
      <c r="K137" s="81"/>
      <c r="L137" s="383"/>
      <c r="M137" s="383"/>
      <c r="N137" s="240"/>
    </row>
    <row r="138" spans="1:14" s="76" customFormat="1" ht="15.75" hidden="1" x14ac:dyDescent="0.3">
      <c r="A138" s="1260"/>
      <c r="B138" s="380"/>
      <c r="C138" s="1299"/>
      <c r="D138" s="224" t="s">
        <v>37</v>
      </c>
      <c r="E138" s="386"/>
      <c r="F138" s="38">
        <f>F137*0.12</f>
        <v>0</v>
      </c>
      <c r="G138" s="81"/>
      <c r="H138" s="383"/>
      <c r="I138" s="383"/>
      <c r="J138" s="383"/>
      <c r="K138" s="81"/>
      <c r="L138" s="383"/>
      <c r="M138" s="383"/>
      <c r="N138" s="240"/>
    </row>
    <row r="139" spans="1:14" s="76" customFormat="1" ht="15.75" hidden="1" x14ac:dyDescent="0.3">
      <c r="A139" s="1260"/>
      <c r="B139" s="380"/>
      <c r="C139" s="13" t="s">
        <v>36</v>
      </c>
      <c r="D139" s="380" t="s">
        <v>6</v>
      </c>
      <c r="E139" s="386">
        <v>2.9</v>
      </c>
      <c r="F139" s="36">
        <f>F138*E139</f>
        <v>0</v>
      </c>
      <c r="G139" s="383"/>
      <c r="H139" s="383"/>
      <c r="I139" s="383">
        <v>6</v>
      </c>
      <c r="J139" s="383">
        <f>F139*I139</f>
        <v>0</v>
      </c>
      <c r="K139" s="81"/>
      <c r="L139" s="383"/>
      <c r="M139" s="383">
        <f>H139+J139+L139</f>
        <v>0</v>
      </c>
      <c r="N139" s="240"/>
    </row>
    <row r="140" spans="1:14" s="76" customFormat="1" ht="15.75" hidden="1" x14ac:dyDescent="0.3">
      <c r="A140" s="1260"/>
      <c r="B140" s="380"/>
      <c r="C140" s="13" t="s">
        <v>145</v>
      </c>
      <c r="D140" s="380" t="s">
        <v>37</v>
      </c>
      <c r="E140" s="386">
        <v>1.02</v>
      </c>
      <c r="F140" s="36">
        <f>F138*E140</f>
        <v>0</v>
      </c>
      <c r="G140" s="81">
        <v>116</v>
      </c>
      <c r="H140" s="383">
        <f>F140*G140</f>
        <v>0</v>
      </c>
      <c r="I140" s="383"/>
      <c r="J140" s="383"/>
      <c r="K140" s="81"/>
      <c r="L140" s="383"/>
      <c r="M140" s="383">
        <f>H140+J140+L140</f>
        <v>0</v>
      </c>
      <c r="N140" s="240"/>
    </row>
    <row r="141" spans="1:14" s="76" customFormat="1" ht="15.75" hidden="1" x14ac:dyDescent="0.3">
      <c r="A141" s="1260"/>
      <c r="B141" s="380"/>
      <c r="C141" s="13" t="s">
        <v>16</v>
      </c>
      <c r="D141" s="380" t="s">
        <v>4</v>
      </c>
      <c r="E141" s="386">
        <v>0.88</v>
      </c>
      <c r="F141" s="36">
        <f>F138*E141</f>
        <v>0</v>
      </c>
      <c r="G141" s="81">
        <v>4</v>
      </c>
      <c r="H141" s="383">
        <f>F141*G141</f>
        <v>0</v>
      </c>
      <c r="I141" s="383"/>
      <c r="J141" s="383"/>
      <c r="K141" s="81"/>
      <c r="L141" s="383"/>
      <c r="M141" s="383">
        <f>H141+J141+L141</f>
        <v>0</v>
      </c>
      <c r="N141" s="240"/>
    </row>
    <row r="142" spans="1:14" s="76" customFormat="1" ht="15.75" hidden="1" x14ac:dyDescent="0.3">
      <c r="A142" s="1260"/>
      <c r="B142" s="380"/>
      <c r="C142" s="30" t="s">
        <v>313</v>
      </c>
      <c r="D142" s="380" t="s">
        <v>38</v>
      </c>
      <c r="E142" s="386"/>
      <c r="F142" s="38">
        <f>F137*16*1*1.03*0.222/1000</f>
        <v>0</v>
      </c>
      <c r="G142" s="383">
        <v>1475</v>
      </c>
      <c r="H142" s="383">
        <f>F142*G142</f>
        <v>0</v>
      </c>
      <c r="I142" s="383"/>
      <c r="J142" s="383"/>
      <c r="K142" s="81"/>
      <c r="L142" s="383"/>
      <c r="M142" s="383">
        <f>H142+J142+L142</f>
        <v>0</v>
      </c>
      <c r="N142" s="240"/>
    </row>
    <row r="143" spans="1:14" s="76" customFormat="1" ht="15.75" hidden="1" x14ac:dyDescent="0.3">
      <c r="A143" s="1260"/>
      <c r="B143" s="384"/>
      <c r="C143" s="391" t="s">
        <v>295</v>
      </c>
      <c r="D143" s="384" t="s">
        <v>38</v>
      </c>
      <c r="E143" s="386"/>
      <c r="F143" s="38">
        <v>0</v>
      </c>
      <c r="G143" s="383">
        <v>1729</v>
      </c>
      <c r="H143" s="383">
        <f>F143*G143</f>
        <v>0</v>
      </c>
      <c r="I143" s="383"/>
      <c r="J143" s="383"/>
      <c r="K143" s="81"/>
      <c r="L143" s="383"/>
      <c r="M143" s="383">
        <f>H143+J143+L143</f>
        <v>0</v>
      </c>
      <c r="N143" s="240"/>
    </row>
    <row r="144" spans="1:14" s="76" customFormat="1" ht="31.5" hidden="1" x14ac:dyDescent="0.3">
      <c r="A144" s="1259" t="s">
        <v>89</v>
      </c>
      <c r="B144" s="220" t="s">
        <v>150</v>
      </c>
      <c r="C144" s="107" t="s">
        <v>366</v>
      </c>
      <c r="D144" s="381" t="s">
        <v>47</v>
      </c>
      <c r="E144" s="109"/>
      <c r="F144" s="51">
        <f>F126</f>
        <v>0</v>
      </c>
      <c r="G144" s="383"/>
      <c r="H144" s="383"/>
      <c r="I144" s="383"/>
      <c r="J144" s="383"/>
      <c r="K144" s="383"/>
      <c r="L144" s="383"/>
      <c r="M144" s="383"/>
      <c r="N144" s="240"/>
    </row>
    <row r="145" spans="1:14" s="76" customFormat="1" ht="15.75" hidden="1" x14ac:dyDescent="0.3">
      <c r="A145" s="1260"/>
      <c r="B145" s="220"/>
      <c r="C145" s="42" t="s">
        <v>36</v>
      </c>
      <c r="D145" s="297" t="s">
        <v>6</v>
      </c>
      <c r="E145" s="382">
        <v>0.77900000000000003</v>
      </c>
      <c r="F145" s="21">
        <f>F144*E145</f>
        <v>0</v>
      </c>
      <c r="G145" s="8"/>
      <c r="H145" s="8"/>
      <c r="I145" s="8">
        <v>7.8</v>
      </c>
      <c r="J145" s="8">
        <f>F145*I145</f>
        <v>0</v>
      </c>
      <c r="K145" s="8"/>
      <c r="L145" s="223"/>
      <c r="M145" s="223">
        <f>H145+J145+L145</f>
        <v>0</v>
      </c>
      <c r="N145" s="240"/>
    </row>
    <row r="146" spans="1:14" s="76" customFormat="1" ht="15.75" hidden="1" x14ac:dyDescent="0.3">
      <c r="A146" s="1260"/>
      <c r="B146" s="220"/>
      <c r="C146" s="42" t="s">
        <v>17</v>
      </c>
      <c r="D146" s="297" t="s">
        <v>4</v>
      </c>
      <c r="E146" s="382">
        <v>0.104</v>
      </c>
      <c r="F146" s="21">
        <f>F144*E146</f>
        <v>0</v>
      </c>
      <c r="G146" s="8"/>
      <c r="H146" s="8"/>
      <c r="I146" s="8"/>
      <c r="J146" s="8"/>
      <c r="K146" s="8">
        <v>4</v>
      </c>
      <c r="L146" s="223">
        <f>F146*K146</f>
        <v>0</v>
      </c>
      <c r="M146" s="223">
        <f>H146+J146+L146</f>
        <v>0</v>
      </c>
      <c r="N146" s="240"/>
    </row>
    <row r="147" spans="1:14" s="76" customFormat="1" ht="15.75" hidden="1" x14ac:dyDescent="0.3">
      <c r="A147" s="1260"/>
      <c r="B147" s="220"/>
      <c r="C147" s="42" t="s">
        <v>403</v>
      </c>
      <c r="D147" s="297" t="s">
        <v>47</v>
      </c>
      <c r="E147" s="20">
        <v>1.01</v>
      </c>
      <c r="F147" s="21">
        <f>F144*E147</f>
        <v>0</v>
      </c>
      <c r="G147" s="8">
        <v>68</v>
      </c>
      <c r="H147" s="8">
        <f>F147*G147</f>
        <v>0</v>
      </c>
      <c r="I147" s="8"/>
      <c r="J147" s="8"/>
      <c r="K147" s="8"/>
      <c r="L147" s="223"/>
      <c r="M147" s="223">
        <f>H147+J147+L147</f>
        <v>0</v>
      </c>
      <c r="N147" s="240"/>
    </row>
    <row r="148" spans="1:14" s="76" customFormat="1" ht="15.75" hidden="1" x14ac:dyDescent="0.3">
      <c r="A148" s="1260"/>
      <c r="B148" s="220"/>
      <c r="C148" s="42" t="s">
        <v>286</v>
      </c>
      <c r="D148" s="297" t="s">
        <v>37</v>
      </c>
      <c r="E148" s="447">
        <v>2.1100000000000001E-2</v>
      </c>
      <c r="F148" s="21">
        <f>F144*E148</f>
        <v>0</v>
      </c>
      <c r="G148" s="8">
        <v>118</v>
      </c>
      <c r="H148" s="8">
        <f>F148*G148</f>
        <v>0</v>
      </c>
      <c r="I148" s="8"/>
      <c r="J148" s="8"/>
      <c r="K148" s="8"/>
      <c r="L148" s="8"/>
      <c r="M148" s="8">
        <f>H148+J148+L148</f>
        <v>0</v>
      </c>
      <c r="N148" s="240"/>
    </row>
    <row r="149" spans="1:14" s="76" customFormat="1" ht="15.75" hidden="1" x14ac:dyDescent="0.3">
      <c r="A149" s="1261"/>
      <c r="B149" s="220"/>
      <c r="C149" s="42" t="s">
        <v>50</v>
      </c>
      <c r="D149" s="297" t="s">
        <v>4</v>
      </c>
      <c r="E149" s="382">
        <v>4.6600000000000003E-2</v>
      </c>
      <c r="F149" s="21">
        <f>F144*E149</f>
        <v>0</v>
      </c>
      <c r="G149" s="8">
        <v>4</v>
      </c>
      <c r="H149" s="8">
        <f>F149*G149</f>
        <v>0</v>
      </c>
      <c r="I149" s="8"/>
      <c r="J149" s="8"/>
      <c r="K149" s="8"/>
      <c r="L149" s="223"/>
      <c r="M149" s="223">
        <f>H149+J149+L149</f>
        <v>0</v>
      </c>
      <c r="N149" s="500">
        <f>SUM(M126:M149)</f>
        <v>0</v>
      </c>
    </row>
    <row r="150" spans="1:14" s="76" customFormat="1" ht="15.75" hidden="1" x14ac:dyDescent="0.3">
      <c r="A150" s="1108"/>
      <c r="B150" s="220"/>
      <c r="C150" s="42"/>
      <c r="D150" s="297"/>
      <c r="E150" s="435"/>
      <c r="F150" s="21"/>
      <c r="G150" s="8"/>
      <c r="H150" s="8"/>
      <c r="I150" s="8"/>
      <c r="J150" s="8"/>
      <c r="K150" s="8"/>
      <c r="L150" s="223"/>
      <c r="M150" s="223"/>
      <c r="N150" s="240"/>
    </row>
    <row r="151" spans="1:14" s="76" customFormat="1" ht="47.25" hidden="1" x14ac:dyDescent="0.3">
      <c r="A151" s="369"/>
      <c r="B151" s="392"/>
      <c r="C151" s="128" t="s">
        <v>471</v>
      </c>
      <c r="D151" s="85" t="s">
        <v>47</v>
      </c>
      <c r="E151" s="393"/>
      <c r="F151" s="434">
        <v>0</v>
      </c>
      <c r="G151" s="502"/>
      <c r="H151" s="502"/>
      <c r="I151" s="502"/>
      <c r="J151" s="502"/>
      <c r="K151" s="502"/>
      <c r="L151" s="502"/>
      <c r="M151" s="502"/>
      <c r="N151" s="240"/>
    </row>
    <row r="152" spans="1:14" s="76" customFormat="1" ht="31.5" hidden="1" x14ac:dyDescent="0.3">
      <c r="A152" s="1281" t="s">
        <v>93</v>
      </c>
      <c r="B152" s="31" t="s">
        <v>31</v>
      </c>
      <c r="C152" s="37" t="s">
        <v>151</v>
      </c>
      <c r="D152" s="31" t="s">
        <v>29</v>
      </c>
      <c r="E152" s="34"/>
      <c r="F152" s="38">
        <f>F151*0.15</f>
        <v>0</v>
      </c>
      <c r="G152" s="101"/>
      <c r="H152" s="32"/>
      <c r="I152" s="101"/>
      <c r="J152" s="32"/>
      <c r="K152" s="101"/>
      <c r="L152" s="32"/>
      <c r="M152" s="32"/>
      <c r="N152" s="240"/>
    </row>
    <row r="153" spans="1:14" s="76" customFormat="1" ht="15.75" hidden="1" x14ac:dyDescent="0.3">
      <c r="A153" s="1282"/>
      <c r="B153" s="283"/>
      <c r="C153" s="33" t="s">
        <v>33</v>
      </c>
      <c r="D153" s="143" t="s">
        <v>6</v>
      </c>
      <c r="E153" s="34">
        <v>3.88</v>
      </c>
      <c r="F153" s="36">
        <f>F152*E153</f>
        <v>0</v>
      </c>
      <c r="G153" s="32"/>
      <c r="H153" s="32"/>
      <c r="I153" s="32">
        <v>6</v>
      </c>
      <c r="J153" s="32">
        <f>F153*I153</f>
        <v>0</v>
      </c>
      <c r="K153" s="32"/>
      <c r="L153" s="32"/>
      <c r="M153" s="32">
        <f>H153+J153+L153</f>
        <v>0</v>
      </c>
      <c r="N153" s="240"/>
    </row>
    <row r="154" spans="1:14" s="76" customFormat="1" ht="31.5" hidden="1" x14ac:dyDescent="0.3">
      <c r="A154" s="1260" t="s">
        <v>72</v>
      </c>
      <c r="B154" s="389" t="s">
        <v>91</v>
      </c>
      <c r="C154" s="280" t="s">
        <v>269</v>
      </c>
      <c r="D154" s="275" t="s">
        <v>294</v>
      </c>
      <c r="E154" s="276"/>
      <c r="F154" s="277">
        <f>F152*1.95</f>
        <v>0</v>
      </c>
      <c r="G154" s="502"/>
      <c r="H154" s="502"/>
      <c r="I154" s="502"/>
      <c r="J154" s="502"/>
      <c r="K154" s="502"/>
      <c r="L154" s="502"/>
      <c r="M154" s="502"/>
      <c r="N154" s="240"/>
    </row>
    <row r="155" spans="1:14" s="76" customFormat="1" ht="15.75" hidden="1" x14ac:dyDescent="0.3">
      <c r="A155" s="1261"/>
      <c r="B155" s="505"/>
      <c r="C155" s="281" t="s">
        <v>54</v>
      </c>
      <c r="D155" s="48" t="s">
        <v>6</v>
      </c>
      <c r="E155" s="49">
        <v>0.53</v>
      </c>
      <c r="F155" s="506">
        <f>F154*E155</f>
        <v>0</v>
      </c>
      <c r="G155" s="502"/>
      <c r="H155" s="502"/>
      <c r="I155" s="502">
        <v>6</v>
      </c>
      <c r="J155" s="502">
        <f>F155*I155</f>
        <v>0</v>
      </c>
      <c r="K155" s="502"/>
      <c r="L155" s="502"/>
      <c r="M155" s="502">
        <f>H155+J155+L155</f>
        <v>0</v>
      </c>
      <c r="N155" s="240"/>
    </row>
    <row r="156" spans="1:14" s="76" customFormat="1" ht="31.5" hidden="1" x14ac:dyDescent="0.3">
      <c r="A156" s="1108" t="s">
        <v>94</v>
      </c>
      <c r="B156" s="484" t="s">
        <v>420</v>
      </c>
      <c r="C156" s="379" t="s">
        <v>499</v>
      </c>
      <c r="D156" s="484" t="s">
        <v>38</v>
      </c>
      <c r="E156" s="390"/>
      <c r="F156" s="277">
        <f>F154</f>
        <v>0</v>
      </c>
      <c r="G156" s="502"/>
      <c r="H156" s="502"/>
      <c r="I156" s="502"/>
      <c r="J156" s="502"/>
      <c r="K156" s="19">
        <v>8.92</v>
      </c>
      <c r="L156" s="502">
        <f>F156*K156</f>
        <v>0</v>
      </c>
      <c r="M156" s="502">
        <f>H156+J156+L156</f>
        <v>0</v>
      </c>
      <c r="N156" s="240"/>
    </row>
    <row r="157" spans="1:14" s="76" customFormat="1" ht="31.5" hidden="1" x14ac:dyDescent="0.3">
      <c r="A157" s="1259" t="s">
        <v>87</v>
      </c>
      <c r="B157" s="484" t="s">
        <v>35</v>
      </c>
      <c r="C157" s="504" t="s">
        <v>365</v>
      </c>
      <c r="D157" s="484" t="s">
        <v>37</v>
      </c>
      <c r="E157" s="508"/>
      <c r="F157" s="38">
        <f>F151*0.1</f>
        <v>0</v>
      </c>
      <c r="G157" s="502"/>
      <c r="H157" s="502"/>
      <c r="I157" s="502"/>
      <c r="J157" s="502"/>
      <c r="K157" s="502"/>
      <c r="L157" s="502"/>
      <c r="M157" s="502"/>
      <c r="N157" s="240"/>
    </row>
    <row r="158" spans="1:14" s="76" customFormat="1" ht="15.75" hidden="1" x14ac:dyDescent="0.3">
      <c r="A158" s="1260"/>
      <c r="B158" s="505"/>
      <c r="C158" s="26" t="s">
        <v>13</v>
      </c>
      <c r="D158" s="505" t="s">
        <v>14</v>
      </c>
      <c r="E158" s="508">
        <v>3.52</v>
      </c>
      <c r="F158" s="36">
        <f>E158*F157</f>
        <v>0</v>
      </c>
      <c r="G158" s="502"/>
      <c r="H158" s="502"/>
      <c r="I158" s="502">
        <v>6</v>
      </c>
      <c r="J158" s="502">
        <f>F158*I158</f>
        <v>0</v>
      </c>
      <c r="K158" s="502"/>
      <c r="L158" s="502"/>
      <c r="M158" s="502">
        <f>H158+J158+L158</f>
        <v>0</v>
      </c>
      <c r="N158" s="240"/>
    </row>
    <row r="159" spans="1:14" s="76" customFormat="1" ht="15.75" hidden="1" x14ac:dyDescent="0.3">
      <c r="A159" s="1260"/>
      <c r="B159" s="505"/>
      <c r="C159" s="26" t="s">
        <v>17</v>
      </c>
      <c r="D159" s="505" t="s">
        <v>4</v>
      </c>
      <c r="E159" s="508">
        <v>1.06</v>
      </c>
      <c r="F159" s="36">
        <f>F157*E159</f>
        <v>0</v>
      </c>
      <c r="G159" s="502"/>
      <c r="H159" s="502"/>
      <c r="I159" s="502"/>
      <c r="J159" s="502"/>
      <c r="K159" s="502">
        <v>4</v>
      </c>
      <c r="L159" s="502">
        <f>F159*K159</f>
        <v>0</v>
      </c>
      <c r="M159" s="502">
        <f>H159+J159+L159</f>
        <v>0</v>
      </c>
      <c r="N159" s="240"/>
    </row>
    <row r="160" spans="1:14" s="76" customFormat="1" ht="15.75" hidden="1" x14ac:dyDescent="0.3">
      <c r="A160" s="1260"/>
      <c r="B160" s="505"/>
      <c r="C160" s="26" t="s">
        <v>374</v>
      </c>
      <c r="D160" s="505" t="s">
        <v>29</v>
      </c>
      <c r="E160" s="508">
        <f>0.18+0.09+0.97</f>
        <v>1.24</v>
      </c>
      <c r="F160" s="36">
        <f>E160*F157</f>
        <v>0</v>
      </c>
      <c r="G160" s="502">
        <v>16.899999999999999</v>
      </c>
      <c r="H160" s="502">
        <f>F160*G160</f>
        <v>0</v>
      </c>
      <c r="I160" s="502"/>
      <c r="J160" s="502"/>
      <c r="K160" s="502"/>
      <c r="L160" s="502"/>
      <c r="M160" s="502">
        <f>H160+J160+L160</f>
        <v>0</v>
      </c>
      <c r="N160" s="240"/>
    </row>
    <row r="161" spans="1:14" s="76" customFormat="1" ht="15.75" hidden="1" x14ac:dyDescent="0.3">
      <c r="A161" s="1261"/>
      <c r="B161" s="505"/>
      <c r="C161" s="145" t="s">
        <v>50</v>
      </c>
      <c r="D161" s="283" t="s">
        <v>4</v>
      </c>
      <c r="E161" s="508">
        <v>0.02</v>
      </c>
      <c r="F161" s="36">
        <f>F157*E161</f>
        <v>0</v>
      </c>
      <c r="G161" s="32">
        <v>4</v>
      </c>
      <c r="H161" s="502">
        <f>F161*G161</f>
        <v>0</v>
      </c>
      <c r="I161" s="17"/>
      <c r="J161" s="502"/>
      <c r="K161" s="18"/>
      <c r="L161" s="502"/>
      <c r="M161" s="502">
        <f>H161+J161+L161</f>
        <v>0</v>
      </c>
      <c r="N161" s="240"/>
    </row>
    <row r="162" spans="1:14" s="76" customFormat="1" ht="15.75" hidden="1" x14ac:dyDescent="0.3">
      <c r="A162" s="1259" t="s">
        <v>89</v>
      </c>
      <c r="B162" s="484" t="s">
        <v>84</v>
      </c>
      <c r="C162" s="1299" t="s">
        <v>312</v>
      </c>
      <c r="D162" s="484" t="s">
        <v>47</v>
      </c>
      <c r="E162" s="508"/>
      <c r="F162" s="38">
        <f>F151</f>
        <v>0</v>
      </c>
      <c r="G162" s="81"/>
      <c r="H162" s="502"/>
      <c r="I162" s="502"/>
      <c r="J162" s="502"/>
      <c r="K162" s="81"/>
      <c r="L162" s="502"/>
      <c r="M162" s="502"/>
      <c r="N162" s="240"/>
    </row>
    <row r="163" spans="1:14" s="76" customFormat="1" ht="15.75" hidden="1" x14ac:dyDescent="0.3">
      <c r="A163" s="1260"/>
      <c r="B163" s="505"/>
      <c r="C163" s="1299"/>
      <c r="D163" s="484" t="s">
        <v>37</v>
      </c>
      <c r="E163" s="508"/>
      <c r="F163" s="38">
        <f>F162*0.12</f>
        <v>0</v>
      </c>
      <c r="G163" s="81"/>
      <c r="H163" s="502"/>
      <c r="I163" s="502"/>
      <c r="J163" s="502"/>
      <c r="K163" s="81"/>
      <c r="L163" s="502"/>
      <c r="M163" s="502"/>
      <c r="N163" s="240"/>
    </row>
    <row r="164" spans="1:14" s="76" customFormat="1" ht="15.75" hidden="1" x14ac:dyDescent="0.3">
      <c r="A164" s="1260"/>
      <c r="B164" s="505"/>
      <c r="C164" s="13" t="s">
        <v>36</v>
      </c>
      <c r="D164" s="505" t="s">
        <v>6</v>
      </c>
      <c r="E164" s="508">
        <v>2.9</v>
      </c>
      <c r="F164" s="36">
        <f>F163*E164</f>
        <v>0</v>
      </c>
      <c r="G164" s="502"/>
      <c r="H164" s="502"/>
      <c r="I164" s="502">
        <v>6</v>
      </c>
      <c r="J164" s="502">
        <f>F164*I164</f>
        <v>0</v>
      </c>
      <c r="K164" s="81"/>
      <c r="L164" s="502"/>
      <c r="M164" s="502">
        <f>H164+J164+L164</f>
        <v>0</v>
      </c>
      <c r="N164" s="240"/>
    </row>
    <row r="165" spans="1:14" s="76" customFormat="1" ht="15.75" hidden="1" x14ac:dyDescent="0.3">
      <c r="A165" s="1260"/>
      <c r="B165" s="505"/>
      <c r="C165" s="13" t="s">
        <v>145</v>
      </c>
      <c r="D165" s="505" t="s">
        <v>37</v>
      </c>
      <c r="E165" s="508">
        <v>1.02</v>
      </c>
      <c r="F165" s="36">
        <f>F163*E165</f>
        <v>0</v>
      </c>
      <c r="G165" s="81">
        <v>116</v>
      </c>
      <c r="H165" s="502">
        <f>F165*G165</f>
        <v>0</v>
      </c>
      <c r="I165" s="502"/>
      <c r="J165" s="502"/>
      <c r="K165" s="81"/>
      <c r="L165" s="502"/>
      <c r="M165" s="502">
        <f>H165+J165+L165</f>
        <v>0</v>
      </c>
      <c r="N165" s="240"/>
    </row>
    <row r="166" spans="1:14" s="76" customFormat="1" ht="15.75" hidden="1" x14ac:dyDescent="0.3">
      <c r="A166" s="1260"/>
      <c r="B166" s="505"/>
      <c r="C166" s="13" t="s">
        <v>16</v>
      </c>
      <c r="D166" s="505" t="s">
        <v>4</v>
      </c>
      <c r="E166" s="508">
        <v>0.88</v>
      </c>
      <c r="F166" s="36">
        <f>F163*E166</f>
        <v>0</v>
      </c>
      <c r="G166" s="81">
        <v>4</v>
      </c>
      <c r="H166" s="502">
        <f>F166*G166</f>
        <v>0</v>
      </c>
      <c r="I166" s="502"/>
      <c r="J166" s="502"/>
      <c r="K166" s="81"/>
      <c r="L166" s="502"/>
      <c r="M166" s="502">
        <f>H166+J166+L166</f>
        <v>0</v>
      </c>
      <c r="N166" s="240"/>
    </row>
    <row r="167" spans="1:14" s="76" customFormat="1" ht="15.75" hidden="1" x14ac:dyDescent="0.3">
      <c r="A167" s="1260"/>
      <c r="B167" s="505"/>
      <c r="C167" s="504" t="s">
        <v>313</v>
      </c>
      <c r="D167" s="505" t="s">
        <v>38</v>
      </c>
      <c r="E167" s="508"/>
      <c r="F167" s="38">
        <f>F162*16*1*1.03*0.222/1000</f>
        <v>0</v>
      </c>
      <c r="G167" s="502">
        <v>1475</v>
      </c>
      <c r="H167" s="502">
        <f>F167*G167</f>
        <v>0</v>
      </c>
      <c r="I167" s="502"/>
      <c r="J167" s="502"/>
      <c r="K167" s="81"/>
      <c r="L167" s="502"/>
      <c r="M167" s="502">
        <f>H167+J167+L167</f>
        <v>0</v>
      </c>
      <c r="N167" s="240"/>
    </row>
    <row r="168" spans="1:14" s="76" customFormat="1" ht="15.75" hidden="1" x14ac:dyDescent="0.3">
      <c r="A168" s="1260"/>
      <c r="B168" s="505"/>
      <c r="C168" s="504" t="s">
        <v>295</v>
      </c>
      <c r="D168" s="505" t="s">
        <v>38</v>
      </c>
      <c r="E168" s="508"/>
      <c r="F168" s="38">
        <v>0</v>
      </c>
      <c r="G168" s="502">
        <v>1729</v>
      </c>
      <c r="H168" s="502">
        <f>F168*G168</f>
        <v>0</v>
      </c>
      <c r="I168" s="502"/>
      <c r="J168" s="502"/>
      <c r="K168" s="81"/>
      <c r="L168" s="502"/>
      <c r="M168" s="502">
        <f>H168+J168+L168</f>
        <v>0</v>
      </c>
      <c r="N168" s="240"/>
    </row>
    <row r="169" spans="1:14" s="76" customFormat="1" ht="31.5" hidden="1" x14ac:dyDescent="0.3">
      <c r="A169" s="1259" t="s">
        <v>89</v>
      </c>
      <c r="B169" s="220" t="s">
        <v>150</v>
      </c>
      <c r="C169" s="107" t="s">
        <v>472</v>
      </c>
      <c r="D169" s="507" t="s">
        <v>47</v>
      </c>
      <c r="E169" s="109"/>
      <c r="F169" s="51">
        <f>F151</f>
        <v>0</v>
      </c>
      <c r="G169" s="502"/>
      <c r="H169" s="502"/>
      <c r="I169" s="502"/>
      <c r="J169" s="502"/>
      <c r="K169" s="502"/>
      <c r="L169" s="502"/>
      <c r="M169" s="502"/>
      <c r="N169" s="240"/>
    </row>
    <row r="170" spans="1:14" s="76" customFormat="1" ht="15.75" hidden="1" x14ac:dyDescent="0.3">
      <c r="A170" s="1260"/>
      <c r="B170" s="220"/>
      <c r="C170" s="42" t="s">
        <v>36</v>
      </c>
      <c r="D170" s="297" t="s">
        <v>6</v>
      </c>
      <c r="E170" s="503">
        <v>0.77900000000000003</v>
      </c>
      <c r="F170" s="21">
        <f>F169*E170</f>
        <v>0</v>
      </c>
      <c r="G170" s="8"/>
      <c r="H170" s="8"/>
      <c r="I170" s="8">
        <v>7.8</v>
      </c>
      <c r="J170" s="8">
        <f>F170*I170</f>
        <v>0</v>
      </c>
      <c r="K170" s="8"/>
      <c r="L170" s="223"/>
      <c r="M170" s="223">
        <f>H170+J170+L170</f>
        <v>0</v>
      </c>
      <c r="N170" s="240"/>
    </row>
    <row r="171" spans="1:14" s="76" customFormat="1" ht="15.75" hidden="1" x14ac:dyDescent="0.3">
      <c r="A171" s="1260"/>
      <c r="B171" s="220"/>
      <c r="C171" s="42" t="s">
        <v>17</v>
      </c>
      <c r="D171" s="297" t="s">
        <v>4</v>
      </c>
      <c r="E171" s="503">
        <v>0.104</v>
      </c>
      <c r="F171" s="21">
        <f>F169*E171</f>
        <v>0</v>
      </c>
      <c r="G171" s="8"/>
      <c r="H171" s="8"/>
      <c r="I171" s="8"/>
      <c r="J171" s="8"/>
      <c r="K171" s="8">
        <v>4</v>
      </c>
      <c r="L171" s="223">
        <f>F171*K171</f>
        <v>0</v>
      </c>
      <c r="M171" s="223">
        <f>H171+J171+L171</f>
        <v>0</v>
      </c>
      <c r="N171" s="240"/>
    </row>
    <row r="172" spans="1:14" s="76" customFormat="1" ht="15.75" hidden="1" x14ac:dyDescent="0.3">
      <c r="A172" s="1260"/>
      <c r="B172" s="220"/>
      <c r="C172" s="42" t="s">
        <v>478</v>
      </c>
      <c r="D172" s="297" t="s">
        <v>47</v>
      </c>
      <c r="E172" s="20">
        <v>1.01</v>
      </c>
      <c r="F172" s="21">
        <f>F169*E172</f>
        <v>0</v>
      </c>
      <c r="G172" s="8">
        <v>44</v>
      </c>
      <c r="H172" s="8">
        <f>F172*G172</f>
        <v>0</v>
      </c>
      <c r="I172" s="8"/>
      <c r="J172" s="8"/>
      <c r="K172" s="8"/>
      <c r="L172" s="223"/>
      <c r="M172" s="223">
        <f>H172+J172+L172</f>
        <v>0</v>
      </c>
      <c r="N172" s="240"/>
    </row>
    <row r="173" spans="1:14" s="76" customFormat="1" ht="15.75" hidden="1" x14ac:dyDescent="0.3">
      <c r="A173" s="1260"/>
      <c r="B173" s="220"/>
      <c r="C173" s="42" t="s">
        <v>286</v>
      </c>
      <c r="D173" s="297" t="s">
        <v>37</v>
      </c>
      <c r="E173" s="503">
        <v>2.1100000000000001E-2</v>
      </c>
      <c r="F173" s="21">
        <f>F169*E173</f>
        <v>0</v>
      </c>
      <c r="G173" s="8">
        <v>118</v>
      </c>
      <c r="H173" s="8">
        <f>F173*G173</f>
        <v>0</v>
      </c>
      <c r="I173" s="8"/>
      <c r="J173" s="8"/>
      <c r="K173" s="8"/>
      <c r="L173" s="8"/>
      <c r="M173" s="8">
        <f>H173+J173+L173</f>
        <v>0</v>
      </c>
      <c r="N173" s="240"/>
    </row>
    <row r="174" spans="1:14" s="76" customFormat="1" ht="15.75" hidden="1" x14ac:dyDescent="0.3">
      <c r="A174" s="1261"/>
      <c r="B174" s="220"/>
      <c r="C174" s="42" t="s">
        <v>50</v>
      </c>
      <c r="D174" s="297" t="s">
        <v>4</v>
      </c>
      <c r="E174" s="503">
        <v>4.6600000000000003E-2</v>
      </c>
      <c r="F174" s="21">
        <f>F169*E174</f>
        <v>0</v>
      </c>
      <c r="G174" s="8">
        <v>4</v>
      </c>
      <c r="H174" s="8">
        <f>F174*G174</f>
        <v>0</v>
      </c>
      <c r="I174" s="8"/>
      <c r="J174" s="8"/>
      <c r="K174" s="8"/>
      <c r="L174" s="223"/>
      <c r="M174" s="223">
        <f>H174+J174+L174</f>
        <v>0</v>
      </c>
      <c r="N174" s="240"/>
    </row>
    <row r="175" spans="1:14" s="76" customFormat="1" ht="15.75" x14ac:dyDescent="0.3">
      <c r="A175" s="1108"/>
      <c r="B175" s="220"/>
      <c r="C175" s="42"/>
      <c r="D175" s="297"/>
      <c r="E175" s="761"/>
      <c r="F175" s="21"/>
      <c r="G175" s="8"/>
      <c r="H175" s="8"/>
      <c r="I175" s="8"/>
      <c r="J175" s="8"/>
      <c r="K175" s="8"/>
      <c r="L175" s="223"/>
      <c r="M175" s="223"/>
      <c r="N175" s="240"/>
    </row>
    <row r="176" spans="1:14" s="76" customFormat="1" ht="47.25" x14ac:dyDescent="0.3">
      <c r="A176" s="369"/>
      <c r="B176" s="392"/>
      <c r="C176" s="128" t="s">
        <v>363</v>
      </c>
      <c r="D176" s="85" t="s">
        <v>47</v>
      </c>
      <c r="E176" s="393"/>
      <c r="F176" s="434">
        <v>566</v>
      </c>
      <c r="G176" s="1091"/>
      <c r="H176" s="1091"/>
      <c r="I176" s="1091"/>
      <c r="J176" s="1091"/>
      <c r="K176" s="1091"/>
      <c r="L176" s="1091"/>
      <c r="M176" s="1091"/>
      <c r="N176" s="240"/>
    </row>
    <row r="177" spans="1:14" s="76" customFormat="1" ht="31.5" x14ac:dyDescent="0.3">
      <c r="A177" s="1118" t="s">
        <v>93</v>
      </c>
      <c r="B177" s="31" t="s">
        <v>31</v>
      </c>
      <c r="C177" s="37" t="s">
        <v>151</v>
      </c>
      <c r="D177" s="31" t="s">
        <v>29</v>
      </c>
      <c r="E177" s="34"/>
      <c r="F177" s="38">
        <f>F176*0.15</f>
        <v>84.899999999999991</v>
      </c>
      <c r="G177" s="101"/>
      <c r="H177" s="32"/>
      <c r="I177" s="101"/>
      <c r="J177" s="32"/>
      <c r="K177" s="101"/>
      <c r="L177" s="32"/>
      <c r="M177" s="32"/>
      <c r="N177" s="240"/>
    </row>
    <row r="178" spans="1:14" s="76" customFormat="1" ht="15.75" x14ac:dyDescent="0.3">
      <c r="A178" s="1119"/>
      <c r="B178" s="1098"/>
      <c r="C178" s="33" t="s">
        <v>33</v>
      </c>
      <c r="D178" s="143" t="s">
        <v>6</v>
      </c>
      <c r="E178" s="34">
        <v>3.88</v>
      </c>
      <c r="F178" s="36">
        <f>F177*E178</f>
        <v>329.41199999999998</v>
      </c>
      <c r="G178" s="32"/>
      <c r="H178" s="32"/>
      <c r="I178" s="32"/>
      <c r="J178" s="32">
        <f>F178*I178</f>
        <v>0</v>
      </c>
      <c r="K178" s="32"/>
      <c r="L178" s="32"/>
      <c r="M178" s="32">
        <f>H178+J178+L178</f>
        <v>0</v>
      </c>
      <c r="N178" s="240"/>
    </row>
    <row r="179" spans="1:14" s="76" customFormat="1" ht="31.5" x14ac:dyDescent="0.3">
      <c r="A179" s="1106" t="s">
        <v>72</v>
      </c>
      <c r="B179" s="389" t="s">
        <v>91</v>
      </c>
      <c r="C179" s="280" t="s">
        <v>269</v>
      </c>
      <c r="D179" s="275" t="s">
        <v>294</v>
      </c>
      <c r="E179" s="276"/>
      <c r="F179" s="277">
        <f>F177*1.95</f>
        <v>165.55499999999998</v>
      </c>
      <c r="G179" s="1091"/>
      <c r="H179" s="1091"/>
      <c r="I179" s="1091"/>
      <c r="J179" s="1091"/>
      <c r="K179" s="1091"/>
      <c r="L179" s="1091"/>
      <c r="M179" s="1091"/>
      <c r="N179" s="240"/>
    </row>
    <row r="180" spans="1:14" s="76" customFormat="1" ht="15.75" x14ac:dyDescent="0.3">
      <c r="A180" s="1108"/>
      <c r="B180" s="1100"/>
      <c r="C180" s="281" t="s">
        <v>54</v>
      </c>
      <c r="D180" s="48" t="s">
        <v>6</v>
      </c>
      <c r="E180" s="49">
        <v>0.53</v>
      </c>
      <c r="F180" s="520">
        <f>F179*E180</f>
        <v>87.744149999999991</v>
      </c>
      <c r="G180" s="1091"/>
      <c r="H180" s="1091"/>
      <c r="I180" s="1091"/>
      <c r="J180" s="1091">
        <f>F180*I180</f>
        <v>0</v>
      </c>
      <c r="K180" s="1091"/>
      <c r="L180" s="1091"/>
      <c r="M180" s="1091">
        <f>H180+J180+L180</f>
        <v>0</v>
      </c>
      <c r="N180" s="240"/>
    </row>
    <row r="181" spans="1:14" s="76" customFormat="1" ht="31.5" x14ac:dyDescent="0.3">
      <c r="A181" s="1108" t="s">
        <v>94</v>
      </c>
      <c r="B181" s="484" t="s">
        <v>420</v>
      </c>
      <c r="C181" s="1094" t="s">
        <v>499</v>
      </c>
      <c r="D181" s="484" t="s">
        <v>38</v>
      </c>
      <c r="E181" s="390"/>
      <c r="F181" s="277">
        <f>F179</f>
        <v>165.55499999999998</v>
      </c>
      <c r="G181" s="1091"/>
      <c r="H181" s="1091"/>
      <c r="I181" s="1091"/>
      <c r="J181" s="1091"/>
      <c r="K181" s="19"/>
      <c r="L181" s="1091">
        <f>F181*K181</f>
        <v>0</v>
      </c>
      <c r="M181" s="1091">
        <f>H181+J181+L181</f>
        <v>0</v>
      </c>
      <c r="N181" s="240"/>
    </row>
    <row r="182" spans="1:14" s="76" customFormat="1" ht="31.5" x14ac:dyDescent="0.3">
      <c r="A182" s="1106" t="s">
        <v>87</v>
      </c>
      <c r="B182" s="484" t="s">
        <v>35</v>
      </c>
      <c r="C182" s="1096" t="s">
        <v>365</v>
      </c>
      <c r="D182" s="484" t="s">
        <v>37</v>
      </c>
      <c r="E182" s="524"/>
      <c r="F182" s="38">
        <f>F176*0.1</f>
        <v>56.6</v>
      </c>
      <c r="G182" s="1091"/>
      <c r="H182" s="1091"/>
      <c r="I182" s="1091"/>
      <c r="J182" s="1091"/>
      <c r="K182" s="1091"/>
      <c r="L182" s="1091"/>
      <c r="M182" s="1091"/>
      <c r="N182" s="240"/>
    </row>
    <row r="183" spans="1:14" s="76" customFormat="1" ht="15.75" x14ac:dyDescent="0.3">
      <c r="A183" s="1107"/>
      <c r="B183" s="1100"/>
      <c r="C183" s="26" t="s">
        <v>13</v>
      </c>
      <c r="D183" s="1100" t="s">
        <v>14</v>
      </c>
      <c r="E183" s="524">
        <v>3.52</v>
      </c>
      <c r="F183" s="36">
        <f>E183*F182</f>
        <v>199.232</v>
      </c>
      <c r="G183" s="1091"/>
      <c r="H183" s="1091"/>
      <c r="I183" s="1091"/>
      <c r="J183" s="1091">
        <f>F183*I183</f>
        <v>0</v>
      </c>
      <c r="K183" s="1091"/>
      <c r="L183" s="1091"/>
      <c r="M183" s="1091">
        <f>H183+J183+L183</f>
        <v>0</v>
      </c>
      <c r="N183" s="240"/>
    </row>
    <row r="184" spans="1:14" s="76" customFormat="1" ht="15.75" x14ac:dyDescent="0.3">
      <c r="A184" s="1107"/>
      <c r="B184" s="1100"/>
      <c r="C184" s="26" t="s">
        <v>17</v>
      </c>
      <c r="D184" s="1100" t="s">
        <v>4</v>
      </c>
      <c r="E184" s="524">
        <v>1.06</v>
      </c>
      <c r="F184" s="36">
        <f>F182*E184</f>
        <v>59.996000000000002</v>
      </c>
      <c r="G184" s="1091"/>
      <c r="H184" s="1091"/>
      <c r="I184" s="1091"/>
      <c r="J184" s="1091"/>
      <c r="K184" s="1091"/>
      <c r="L184" s="1091">
        <f>F184*K184</f>
        <v>0</v>
      </c>
      <c r="M184" s="1091">
        <f>H184+J184+L184</f>
        <v>0</v>
      </c>
      <c r="N184" s="240"/>
    </row>
    <row r="185" spans="1:14" s="76" customFormat="1" ht="15.75" x14ac:dyDescent="0.3">
      <c r="A185" s="1107"/>
      <c r="B185" s="1100"/>
      <c r="C185" s="26" t="s">
        <v>374</v>
      </c>
      <c r="D185" s="1100" t="s">
        <v>29</v>
      </c>
      <c r="E185" s="524">
        <f>0.18+0.09+0.97</f>
        <v>1.24</v>
      </c>
      <c r="F185" s="36">
        <f>E185*F182</f>
        <v>70.183999999999997</v>
      </c>
      <c r="G185" s="1091"/>
      <c r="H185" s="1091">
        <f>F185*G185</f>
        <v>0</v>
      </c>
      <c r="I185" s="1091"/>
      <c r="J185" s="1091"/>
      <c r="K185" s="1091"/>
      <c r="L185" s="1091"/>
      <c r="M185" s="1091">
        <f>H185+J185+L185</f>
        <v>0</v>
      </c>
      <c r="N185" s="240"/>
    </row>
    <row r="186" spans="1:14" s="76" customFormat="1" ht="15.75" x14ac:dyDescent="0.3">
      <c r="A186" s="1108"/>
      <c r="B186" s="1100"/>
      <c r="C186" s="145" t="s">
        <v>50</v>
      </c>
      <c r="D186" s="1098" t="s">
        <v>4</v>
      </c>
      <c r="E186" s="524">
        <v>0.02</v>
      </c>
      <c r="F186" s="36">
        <f>F182*E186</f>
        <v>1.1320000000000001</v>
      </c>
      <c r="G186" s="32"/>
      <c r="H186" s="1091">
        <f>F186*G186</f>
        <v>0</v>
      </c>
      <c r="I186" s="17"/>
      <c r="J186" s="1091"/>
      <c r="K186" s="18"/>
      <c r="L186" s="1091"/>
      <c r="M186" s="1091">
        <f>H186+J186+L186</f>
        <v>0</v>
      </c>
      <c r="N186" s="240"/>
    </row>
    <row r="187" spans="1:14" s="76" customFormat="1" ht="15.75" x14ac:dyDescent="0.3">
      <c r="A187" s="1106" t="s">
        <v>89</v>
      </c>
      <c r="B187" s="484" t="s">
        <v>84</v>
      </c>
      <c r="C187" s="1094" t="s">
        <v>312</v>
      </c>
      <c r="D187" s="484" t="s">
        <v>47</v>
      </c>
      <c r="E187" s="524"/>
      <c r="F187" s="38">
        <f>F176</f>
        <v>566</v>
      </c>
      <c r="G187" s="81"/>
      <c r="H187" s="1091"/>
      <c r="I187" s="1091"/>
      <c r="J187" s="1091"/>
      <c r="K187" s="81"/>
      <c r="L187" s="1091"/>
      <c r="M187" s="1091"/>
      <c r="N187" s="240"/>
    </row>
    <row r="188" spans="1:14" s="76" customFormat="1" ht="15.75" x14ac:dyDescent="0.3">
      <c r="A188" s="1107"/>
      <c r="B188" s="1100"/>
      <c r="C188" s="1095"/>
      <c r="D188" s="484" t="s">
        <v>37</v>
      </c>
      <c r="E188" s="524"/>
      <c r="F188" s="38">
        <f>F187*0.12</f>
        <v>67.92</v>
      </c>
      <c r="G188" s="81"/>
      <c r="H188" s="1091"/>
      <c r="I188" s="1091"/>
      <c r="J188" s="1091"/>
      <c r="K188" s="81"/>
      <c r="L188" s="1091"/>
      <c r="M188" s="1091"/>
      <c r="N188" s="240"/>
    </row>
    <row r="189" spans="1:14" s="76" customFormat="1" ht="15.75" x14ac:dyDescent="0.3">
      <c r="A189" s="1107"/>
      <c r="B189" s="1100"/>
      <c r="C189" s="13" t="s">
        <v>36</v>
      </c>
      <c r="D189" s="1100" t="s">
        <v>6</v>
      </c>
      <c r="E189" s="524">
        <v>2.9</v>
      </c>
      <c r="F189" s="36">
        <f>F188*E189</f>
        <v>196.96799999999999</v>
      </c>
      <c r="G189" s="1091"/>
      <c r="H189" s="1091"/>
      <c r="I189" s="1091"/>
      <c r="J189" s="1091">
        <f>F189*I189</f>
        <v>0</v>
      </c>
      <c r="K189" s="81"/>
      <c r="L189" s="1091"/>
      <c r="M189" s="1091">
        <f>H189+J189+L189</f>
        <v>0</v>
      </c>
      <c r="N189" s="240"/>
    </row>
    <row r="190" spans="1:14" s="76" customFormat="1" ht="15.75" x14ac:dyDescent="0.3">
      <c r="A190" s="1107"/>
      <c r="B190" s="1100"/>
      <c r="C190" s="13" t="s">
        <v>145</v>
      </c>
      <c r="D190" s="1100" t="s">
        <v>37</v>
      </c>
      <c r="E190" s="524">
        <v>1.02</v>
      </c>
      <c r="F190" s="36">
        <f>F188*E190</f>
        <v>69.278400000000005</v>
      </c>
      <c r="G190" s="81"/>
      <c r="H190" s="1091">
        <f>F190*G190</f>
        <v>0</v>
      </c>
      <c r="I190" s="1091"/>
      <c r="J190" s="1091"/>
      <c r="K190" s="81"/>
      <c r="L190" s="1091"/>
      <c r="M190" s="1091">
        <f>H190+J190+L190</f>
        <v>0</v>
      </c>
      <c r="N190" s="240"/>
    </row>
    <row r="191" spans="1:14" s="76" customFormat="1" ht="15.75" x14ac:dyDescent="0.3">
      <c r="A191" s="1107"/>
      <c r="B191" s="1100"/>
      <c r="C191" s="13" t="s">
        <v>16</v>
      </c>
      <c r="D191" s="1100" t="s">
        <v>4</v>
      </c>
      <c r="E191" s="524">
        <v>0.88</v>
      </c>
      <c r="F191" s="36">
        <f>F188*E191</f>
        <v>59.769600000000004</v>
      </c>
      <c r="G191" s="81"/>
      <c r="H191" s="1091">
        <f>F191*G191</f>
        <v>0</v>
      </c>
      <c r="I191" s="1091"/>
      <c r="J191" s="1091"/>
      <c r="K191" s="81"/>
      <c r="L191" s="1091"/>
      <c r="M191" s="1091">
        <f>H191+J191+L191</f>
        <v>0</v>
      </c>
      <c r="N191" s="240"/>
    </row>
    <row r="192" spans="1:14" s="76" customFormat="1" ht="15.75" x14ac:dyDescent="0.3">
      <c r="A192" s="1107"/>
      <c r="B192" s="1100"/>
      <c r="C192" s="1129" t="s">
        <v>313</v>
      </c>
      <c r="D192" s="1100" t="s">
        <v>38</v>
      </c>
      <c r="E192" s="524"/>
      <c r="F192" s="1130">
        <f>F187*16*1*1.03*0.222/1000</f>
        <v>2.0707449599999999</v>
      </c>
      <c r="G192" s="1091"/>
      <c r="H192" s="1091">
        <f>F192*G192</f>
        <v>0</v>
      </c>
      <c r="I192" s="1091"/>
      <c r="J192" s="1091"/>
      <c r="K192" s="81"/>
      <c r="L192" s="1091"/>
      <c r="M192" s="1091">
        <f>H192+J192+L192</f>
        <v>0</v>
      </c>
      <c r="N192" s="240"/>
    </row>
    <row r="193" spans="1:14" s="76" customFormat="1" ht="15.75" hidden="1" x14ac:dyDescent="0.3">
      <c r="A193" s="1108"/>
      <c r="B193" s="1100"/>
      <c r="C193" s="1129" t="s">
        <v>295</v>
      </c>
      <c r="D193" s="1100" t="s">
        <v>38</v>
      </c>
      <c r="E193" s="524"/>
      <c r="F193" s="1130">
        <v>0</v>
      </c>
      <c r="G193" s="1091">
        <v>1729</v>
      </c>
      <c r="H193" s="1091">
        <f>F193*G193</f>
        <v>0</v>
      </c>
      <c r="I193" s="1091"/>
      <c r="J193" s="1091"/>
      <c r="K193" s="81"/>
      <c r="L193" s="1091"/>
      <c r="M193" s="1091">
        <f>H193+J193+L193</f>
        <v>0</v>
      </c>
      <c r="N193" s="240"/>
    </row>
    <row r="194" spans="1:14" s="76" customFormat="1" ht="47.25" hidden="1" x14ac:dyDescent="0.3">
      <c r="A194" s="1106" t="s">
        <v>89</v>
      </c>
      <c r="B194" s="220" t="s">
        <v>150</v>
      </c>
      <c r="C194" s="107" t="s">
        <v>479</v>
      </c>
      <c r="D194" s="1102" t="s">
        <v>47</v>
      </c>
      <c r="E194" s="109"/>
      <c r="F194" s="51">
        <v>0</v>
      </c>
      <c r="G194" s="1091"/>
      <c r="H194" s="1091"/>
      <c r="I194" s="1091"/>
      <c r="J194" s="1091"/>
      <c r="K194" s="1091"/>
      <c r="L194" s="1091"/>
      <c r="M194" s="1091"/>
      <c r="N194" s="240"/>
    </row>
    <row r="195" spans="1:14" s="76" customFormat="1" ht="15.75" hidden="1" x14ac:dyDescent="0.3">
      <c r="A195" s="1107"/>
      <c r="B195" s="220"/>
      <c r="C195" s="42" t="s">
        <v>36</v>
      </c>
      <c r="D195" s="297" t="s">
        <v>6</v>
      </c>
      <c r="E195" s="1093">
        <v>0.77900000000000003</v>
      </c>
      <c r="F195" s="21">
        <f>F194*E195</f>
        <v>0</v>
      </c>
      <c r="G195" s="8"/>
      <c r="H195" s="8"/>
      <c r="I195" s="8">
        <v>7.8</v>
      </c>
      <c r="J195" s="8">
        <f>F195*I195</f>
        <v>0</v>
      </c>
      <c r="K195" s="8"/>
      <c r="L195" s="223"/>
      <c r="M195" s="223">
        <f>H195+J195+L195</f>
        <v>0</v>
      </c>
      <c r="N195" s="240"/>
    </row>
    <row r="196" spans="1:14" s="76" customFormat="1" ht="15.75" hidden="1" x14ac:dyDescent="0.3">
      <c r="A196" s="1107"/>
      <c r="B196" s="220"/>
      <c r="C196" s="42" t="s">
        <v>17</v>
      </c>
      <c r="D196" s="297" t="s">
        <v>4</v>
      </c>
      <c r="E196" s="1093">
        <v>0.104</v>
      </c>
      <c r="F196" s="21">
        <f>F194*E196</f>
        <v>0</v>
      </c>
      <c r="G196" s="8"/>
      <c r="H196" s="8"/>
      <c r="I196" s="8"/>
      <c r="J196" s="8"/>
      <c r="K196" s="8">
        <v>4</v>
      </c>
      <c r="L196" s="223">
        <f>F196*K196</f>
        <v>0</v>
      </c>
      <c r="M196" s="223">
        <f>H196+J196+L196</f>
        <v>0</v>
      </c>
      <c r="N196" s="240"/>
    </row>
    <row r="197" spans="1:14" s="76" customFormat="1" ht="15.75" hidden="1" x14ac:dyDescent="0.3">
      <c r="A197" s="1107"/>
      <c r="B197" s="220"/>
      <c r="C197" s="13" t="s">
        <v>477</v>
      </c>
      <c r="D197" s="297" t="s">
        <v>47</v>
      </c>
      <c r="E197" s="20">
        <v>1.05</v>
      </c>
      <c r="F197" s="21">
        <f>F194*E197</f>
        <v>0</v>
      </c>
      <c r="G197" s="8">
        <v>10</v>
      </c>
      <c r="H197" s="8">
        <f>F197*G197</f>
        <v>0</v>
      </c>
      <c r="I197" s="8"/>
      <c r="J197" s="8"/>
      <c r="K197" s="8"/>
      <c r="L197" s="223"/>
      <c r="M197" s="223">
        <f>H197+J197+L197</f>
        <v>0</v>
      </c>
      <c r="N197" s="240"/>
    </row>
    <row r="198" spans="1:14" s="76" customFormat="1" ht="15.75" hidden="1" x14ac:dyDescent="0.3">
      <c r="A198" s="1107"/>
      <c r="B198" s="220"/>
      <c r="C198" s="42" t="s">
        <v>286</v>
      </c>
      <c r="D198" s="297" t="s">
        <v>37</v>
      </c>
      <c r="E198" s="1093">
        <v>2.1100000000000001E-2</v>
      </c>
      <c r="F198" s="21">
        <f>F194*E198</f>
        <v>0</v>
      </c>
      <c r="G198" s="8">
        <v>118</v>
      </c>
      <c r="H198" s="8">
        <f>F198*G198</f>
        <v>0</v>
      </c>
      <c r="I198" s="8"/>
      <c r="J198" s="8"/>
      <c r="K198" s="8"/>
      <c r="L198" s="8"/>
      <c r="M198" s="8">
        <f>H198+J198+L198</f>
        <v>0</v>
      </c>
      <c r="N198" s="240"/>
    </row>
    <row r="199" spans="1:14" s="76" customFormat="1" ht="15.75" hidden="1" x14ac:dyDescent="0.3">
      <c r="A199" s="1108"/>
      <c r="B199" s="220"/>
      <c r="C199" s="42" t="s">
        <v>50</v>
      </c>
      <c r="D199" s="297" t="s">
        <v>4</v>
      </c>
      <c r="E199" s="1093">
        <v>4.6600000000000003E-2</v>
      </c>
      <c r="F199" s="21">
        <f>F194*E199</f>
        <v>0</v>
      </c>
      <c r="G199" s="8">
        <v>4</v>
      </c>
      <c r="H199" s="8">
        <f>F199*G199</f>
        <v>0</v>
      </c>
      <c r="I199" s="8"/>
      <c r="J199" s="8"/>
      <c r="K199" s="8"/>
      <c r="L199" s="223"/>
      <c r="M199" s="223">
        <f>H199+J199+L199</f>
        <v>0</v>
      </c>
      <c r="N199" s="898">
        <f>SUM(M176:M199)</f>
        <v>0</v>
      </c>
    </row>
    <row r="200" spans="1:14" s="76" customFormat="1" ht="31.5" x14ac:dyDescent="0.3">
      <c r="A200" s="1223" t="s">
        <v>89</v>
      </c>
      <c r="B200" s="220" t="s">
        <v>150</v>
      </c>
      <c r="C200" s="107" t="s">
        <v>366</v>
      </c>
      <c r="D200" s="1102" t="s">
        <v>47</v>
      </c>
      <c r="E200" s="1131"/>
      <c r="F200" s="1132">
        <f>F176</f>
        <v>566</v>
      </c>
      <c r="G200" s="1133"/>
      <c r="H200" s="1133"/>
      <c r="I200" s="1133"/>
      <c r="J200" s="1133"/>
      <c r="K200" s="1133"/>
      <c r="L200" s="1133"/>
      <c r="M200" s="223"/>
      <c r="N200" s="898"/>
    </row>
    <row r="201" spans="1:14" s="76" customFormat="1" ht="15.75" x14ac:dyDescent="0.3">
      <c r="A201" s="1224"/>
      <c r="B201" s="220"/>
      <c r="C201" s="42" t="s">
        <v>36</v>
      </c>
      <c r="D201" s="297" t="s">
        <v>6</v>
      </c>
      <c r="E201" s="1134">
        <v>0.77900000000000003</v>
      </c>
      <c r="F201" s="1135">
        <f>F200*E201</f>
        <v>440.91399999999999</v>
      </c>
      <c r="G201" s="1136"/>
      <c r="H201" s="1136"/>
      <c r="I201" s="1136"/>
      <c r="J201" s="1136">
        <f>F201*I201</f>
        <v>0</v>
      </c>
      <c r="K201" s="1136"/>
      <c r="L201" s="1137"/>
      <c r="M201" s="223">
        <f t="shared" ref="M201:M205" si="14">H201+J201+L201</f>
        <v>0</v>
      </c>
      <c r="N201" s="898"/>
    </row>
    <row r="202" spans="1:14" s="76" customFormat="1" ht="15.75" x14ac:dyDescent="0.3">
      <c r="A202" s="1224"/>
      <c r="B202" s="220"/>
      <c r="C202" s="42" t="s">
        <v>17</v>
      </c>
      <c r="D202" s="297" t="s">
        <v>4</v>
      </c>
      <c r="E202" s="1134">
        <v>0.104</v>
      </c>
      <c r="F202" s="1135">
        <f>F200*E202</f>
        <v>58.863999999999997</v>
      </c>
      <c r="G202" s="1136"/>
      <c r="H202" s="1136"/>
      <c r="I202" s="1136"/>
      <c r="J202" s="1136"/>
      <c r="K202" s="1136"/>
      <c r="L202" s="1137">
        <f>F202*K202</f>
        <v>0</v>
      </c>
      <c r="M202" s="223">
        <f t="shared" si="14"/>
        <v>0</v>
      </c>
      <c r="N202" s="898"/>
    </row>
    <row r="203" spans="1:14" s="76" customFormat="1" ht="15.75" x14ac:dyDescent="0.3">
      <c r="A203" s="1224"/>
      <c r="B203" s="220"/>
      <c r="C203" s="42" t="s">
        <v>403</v>
      </c>
      <c r="D203" s="297" t="s">
        <v>47</v>
      </c>
      <c r="E203" s="1135">
        <v>1.01</v>
      </c>
      <c r="F203" s="1135">
        <f>F200*E203</f>
        <v>571.66</v>
      </c>
      <c r="G203" s="1136"/>
      <c r="H203" s="1136">
        <f>F203*G203</f>
        <v>0</v>
      </c>
      <c r="I203" s="1136"/>
      <c r="J203" s="1136"/>
      <c r="K203" s="1136"/>
      <c r="L203" s="1137"/>
      <c r="M203" s="223">
        <f t="shared" si="14"/>
        <v>0</v>
      </c>
      <c r="N203" s="898"/>
    </row>
    <row r="204" spans="1:14" s="76" customFormat="1" ht="15.75" x14ac:dyDescent="0.3">
      <c r="A204" s="1224"/>
      <c r="B204" s="220"/>
      <c r="C204" s="42" t="s">
        <v>286</v>
      </c>
      <c r="D204" s="297" t="s">
        <v>37</v>
      </c>
      <c r="E204" s="1134">
        <v>2.1100000000000001E-2</v>
      </c>
      <c r="F204" s="1135">
        <f>F200*E204</f>
        <v>11.942600000000001</v>
      </c>
      <c r="G204" s="1136"/>
      <c r="H204" s="1136">
        <f>F204*G204</f>
        <v>0</v>
      </c>
      <c r="I204" s="1136"/>
      <c r="J204" s="1136"/>
      <c r="K204" s="1136"/>
      <c r="L204" s="1136"/>
      <c r="M204" s="223">
        <f t="shared" si="14"/>
        <v>0</v>
      </c>
      <c r="N204" s="898"/>
    </row>
    <row r="205" spans="1:14" s="76" customFormat="1" ht="15.75" x14ac:dyDescent="0.3">
      <c r="A205" s="1222"/>
      <c r="B205" s="220"/>
      <c r="C205" s="42" t="s">
        <v>50</v>
      </c>
      <c r="D205" s="297" t="s">
        <v>4</v>
      </c>
      <c r="E205" s="1134">
        <v>4.6600000000000003E-2</v>
      </c>
      <c r="F205" s="1135">
        <f>F200*E205</f>
        <v>26.375600000000002</v>
      </c>
      <c r="G205" s="1136"/>
      <c r="H205" s="1136">
        <f>F205*G205</f>
        <v>0</v>
      </c>
      <c r="I205" s="1136"/>
      <c r="J205" s="1136"/>
      <c r="K205" s="1136"/>
      <c r="L205" s="1137"/>
      <c r="M205" s="223">
        <f t="shared" si="14"/>
        <v>0</v>
      </c>
      <c r="N205" s="898"/>
    </row>
    <row r="206" spans="1:14" s="76" customFormat="1" ht="15.75" x14ac:dyDescent="0.3">
      <c r="A206" s="1108"/>
      <c r="B206" s="220"/>
      <c r="C206" s="42"/>
      <c r="D206" s="297"/>
      <c r="E206" s="1134"/>
      <c r="F206" s="1135"/>
      <c r="G206" s="1136"/>
      <c r="H206" s="1136"/>
      <c r="I206" s="1136"/>
      <c r="J206" s="1136"/>
      <c r="K206" s="1136"/>
      <c r="L206" s="1137"/>
      <c r="M206" s="223"/>
      <c r="N206" s="898"/>
    </row>
    <row r="207" spans="1:14" s="76" customFormat="1" ht="15.75" x14ac:dyDescent="0.3">
      <c r="A207" s="1221"/>
      <c r="B207" s="392"/>
      <c r="C207" s="128" t="s">
        <v>1371</v>
      </c>
      <c r="D207" s="85" t="s">
        <v>47</v>
      </c>
      <c r="E207" s="393"/>
      <c r="F207" s="434">
        <v>95</v>
      </c>
      <c r="G207" s="1091"/>
      <c r="H207" s="1091"/>
      <c r="I207" s="1091"/>
      <c r="J207" s="1091"/>
      <c r="K207" s="1091"/>
      <c r="L207" s="1091"/>
      <c r="M207" s="1091"/>
      <c r="N207" s="240"/>
    </row>
    <row r="208" spans="1:14" s="76" customFormat="1" ht="31.5" x14ac:dyDescent="0.3">
      <c r="A208" s="1225" t="s">
        <v>93</v>
      </c>
      <c r="B208" s="31" t="s">
        <v>31</v>
      </c>
      <c r="C208" s="37" t="s">
        <v>151</v>
      </c>
      <c r="D208" s="31" t="s">
        <v>29</v>
      </c>
      <c r="E208" s="34"/>
      <c r="F208" s="38">
        <f>F207*0.15</f>
        <v>14.25</v>
      </c>
      <c r="G208" s="101"/>
      <c r="H208" s="32"/>
      <c r="I208" s="101"/>
      <c r="J208" s="32"/>
      <c r="K208" s="101"/>
      <c r="L208" s="32"/>
      <c r="M208" s="32"/>
      <c r="N208" s="240"/>
    </row>
    <row r="209" spans="1:14" s="76" customFormat="1" ht="15.75" x14ac:dyDescent="0.3">
      <c r="A209" s="1226"/>
      <c r="B209" s="1098"/>
      <c r="C209" s="33" t="s">
        <v>33</v>
      </c>
      <c r="D209" s="143" t="s">
        <v>6</v>
      </c>
      <c r="E209" s="34">
        <v>3.88</v>
      </c>
      <c r="F209" s="36">
        <f>F208*E209</f>
        <v>55.29</v>
      </c>
      <c r="G209" s="32"/>
      <c r="H209" s="32"/>
      <c r="I209" s="32"/>
      <c r="J209" s="32">
        <f>F209*I209</f>
        <v>0</v>
      </c>
      <c r="K209" s="32"/>
      <c r="L209" s="32"/>
      <c r="M209" s="32">
        <f>H209+J209+L209</f>
        <v>0</v>
      </c>
      <c r="N209" s="240"/>
    </row>
    <row r="210" spans="1:14" s="76" customFormat="1" ht="31.5" x14ac:dyDescent="0.3">
      <c r="A210" s="1223" t="s">
        <v>72</v>
      </c>
      <c r="B210" s="389" t="s">
        <v>91</v>
      </c>
      <c r="C210" s="280" t="s">
        <v>269</v>
      </c>
      <c r="D210" s="275" t="s">
        <v>294</v>
      </c>
      <c r="E210" s="276"/>
      <c r="F210" s="277">
        <f>F208*1.95</f>
        <v>27.787499999999998</v>
      </c>
      <c r="G210" s="1091"/>
      <c r="H210" s="1091"/>
      <c r="I210" s="1091"/>
      <c r="J210" s="1091"/>
      <c r="K210" s="1091"/>
      <c r="L210" s="1091"/>
      <c r="M210" s="1091"/>
      <c r="N210" s="240"/>
    </row>
    <row r="211" spans="1:14" s="76" customFormat="1" ht="15.75" x14ac:dyDescent="0.3">
      <c r="A211" s="1222"/>
      <c r="B211" s="1100"/>
      <c r="C211" s="281" t="s">
        <v>54</v>
      </c>
      <c r="D211" s="48" t="s">
        <v>6</v>
      </c>
      <c r="E211" s="49">
        <v>0.53</v>
      </c>
      <c r="F211" s="520">
        <f>F210*E211</f>
        <v>14.727375</v>
      </c>
      <c r="G211" s="1091"/>
      <c r="H211" s="1091"/>
      <c r="I211" s="1091"/>
      <c r="J211" s="1091">
        <f>F211*I211</f>
        <v>0</v>
      </c>
      <c r="K211" s="1091"/>
      <c r="L211" s="1091"/>
      <c r="M211" s="1091">
        <f>H211+J211+L211</f>
        <v>0</v>
      </c>
      <c r="N211" s="240"/>
    </row>
    <row r="212" spans="1:14" s="76" customFormat="1" ht="31.5" x14ac:dyDescent="0.3">
      <c r="A212" s="1222" t="s">
        <v>94</v>
      </c>
      <c r="B212" s="484" t="s">
        <v>420</v>
      </c>
      <c r="C212" s="1094" t="s">
        <v>499</v>
      </c>
      <c r="D212" s="484" t="s">
        <v>38</v>
      </c>
      <c r="E212" s="390"/>
      <c r="F212" s="277">
        <f>F210</f>
        <v>27.787499999999998</v>
      </c>
      <c r="G212" s="1091"/>
      <c r="H212" s="1091"/>
      <c r="I212" s="1091"/>
      <c r="J212" s="1091"/>
      <c r="K212" s="19"/>
      <c r="L212" s="1091">
        <f>F212*K212</f>
        <v>0</v>
      </c>
      <c r="M212" s="1091">
        <f>H212+J212+L212</f>
        <v>0</v>
      </c>
      <c r="N212" s="240"/>
    </row>
    <row r="213" spans="1:14" s="76" customFormat="1" ht="31.5" x14ac:dyDescent="0.3">
      <c r="A213" s="1223" t="s">
        <v>87</v>
      </c>
      <c r="B213" s="484" t="s">
        <v>35</v>
      </c>
      <c r="C213" s="1096" t="s">
        <v>365</v>
      </c>
      <c r="D213" s="484" t="s">
        <v>37</v>
      </c>
      <c r="E213" s="524"/>
      <c r="F213" s="38">
        <f>F207*0.1</f>
        <v>9.5</v>
      </c>
      <c r="G213" s="1091"/>
      <c r="H213" s="1091"/>
      <c r="I213" s="1091"/>
      <c r="J213" s="1091"/>
      <c r="K213" s="1091"/>
      <c r="L213" s="1091"/>
      <c r="M213" s="1091"/>
      <c r="N213" s="240"/>
    </row>
    <row r="214" spans="1:14" s="76" customFormat="1" ht="15.75" x14ac:dyDescent="0.3">
      <c r="A214" s="1224"/>
      <c r="B214" s="1100"/>
      <c r="C214" s="26" t="s">
        <v>13</v>
      </c>
      <c r="D214" s="1100" t="s">
        <v>14</v>
      </c>
      <c r="E214" s="524">
        <v>3.52</v>
      </c>
      <c r="F214" s="36">
        <f>E214*F213</f>
        <v>33.44</v>
      </c>
      <c r="G214" s="1091"/>
      <c r="H214" s="1091"/>
      <c r="I214" s="1091"/>
      <c r="J214" s="1091">
        <f>F214*I214</f>
        <v>0</v>
      </c>
      <c r="K214" s="1091"/>
      <c r="L214" s="1091"/>
      <c r="M214" s="1091">
        <f>H214+J214+L214</f>
        <v>0</v>
      </c>
      <c r="N214" s="240"/>
    </row>
    <row r="215" spans="1:14" s="76" customFormat="1" ht="15.75" x14ac:dyDescent="0.3">
      <c r="A215" s="1224"/>
      <c r="B215" s="1100"/>
      <c r="C215" s="26" t="s">
        <v>17</v>
      </c>
      <c r="D215" s="1100" t="s">
        <v>4</v>
      </c>
      <c r="E215" s="524">
        <v>1.06</v>
      </c>
      <c r="F215" s="36">
        <f>F213*E215</f>
        <v>10.07</v>
      </c>
      <c r="G215" s="1091"/>
      <c r="H215" s="1091"/>
      <c r="I215" s="1091"/>
      <c r="J215" s="1091"/>
      <c r="K215" s="1091"/>
      <c r="L215" s="1091">
        <f>F215*K215</f>
        <v>0</v>
      </c>
      <c r="M215" s="1091">
        <f>H215+J215+L215</f>
        <v>0</v>
      </c>
      <c r="N215" s="240"/>
    </row>
    <row r="216" spans="1:14" s="76" customFormat="1" ht="15.75" x14ac:dyDescent="0.3">
      <c r="A216" s="1224"/>
      <c r="B216" s="1100"/>
      <c r="C216" s="26" t="s">
        <v>374</v>
      </c>
      <c r="D216" s="1100" t="s">
        <v>29</v>
      </c>
      <c r="E216" s="524">
        <f>0.18+0.09+0.97</f>
        <v>1.24</v>
      </c>
      <c r="F216" s="36">
        <f>E216*F213</f>
        <v>11.78</v>
      </c>
      <c r="G216" s="1091"/>
      <c r="H216" s="1091">
        <f>F216*G216</f>
        <v>0</v>
      </c>
      <c r="I216" s="1091"/>
      <c r="J216" s="1091"/>
      <c r="K216" s="1091"/>
      <c r="L216" s="1091"/>
      <c r="M216" s="1091">
        <f>H216+J216+L216</f>
        <v>0</v>
      </c>
      <c r="N216" s="240"/>
    </row>
    <row r="217" spans="1:14" s="76" customFormat="1" ht="15.75" x14ac:dyDescent="0.3">
      <c r="A217" s="1222"/>
      <c r="B217" s="1100"/>
      <c r="C217" s="145" t="s">
        <v>50</v>
      </c>
      <c r="D217" s="1098" t="s">
        <v>4</v>
      </c>
      <c r="E217" s="524">
        <v>0.02</v>
      </c>
      <c r="F217" s="36">
        <f>F213*E217</f>
        <v>0.19</v>
      </c>
      <c r="G217" s="32"/>
      <c r="H217" s="1091">
        <f>F217*G217</f>
        <v>0</v>
      </c>
      <c r="I217" s="17"/>
      <c r="J217" s="1091"/>
      <c r="K217" s="18"/>
      <c r="L217" s="1091"/>
      <c r="M217" s="1091">
        <f>H217+J217+L217</f>
        <v>0</v>
      </c>
      <c r="N217" s="240"/>
    </row>
    <row r="218" spans="1:14" s="76" customFormat="1" ht="15.75" x14ac:dyDescent="0.3">
      <c r="A218" s="1223" t="s">
        <v>89</v>
      </c>
      <c r="B218" s="484" t="s">
        <v>84</v>
      </c>
      <c r="C218" s="1094" t="s">
        <v>312</v>
      </c>
      <c r="D218" s="484" t="s">
        <v>47</v>
      </c>
      <c r="E218" s="524"/>
      <c r="F218" s="38">
        <f>F207</f>
        <v>95</v>
      </c>
      <c r="G218" s="81"/>
      <c r="H218" s="1091"/>
      <c r="I218" s="1091"/>
      <c r="J218" s="1091"/>
      <c r="K218" s="81"/>
      <c r="L218" s="1091"/>
      <c r="M218" s="1091"/>
      <c r="N218" s="240"/>
    </row>
    <row r="219" spans="1:14" s="76" customFormat="1" ht="15.75" x14ac:dyDescent="0.3">
      <c r="A219" s="1224"/>
      <c r="B219" s="1100"/>
      <c r="C219" s="1095"/>
      <c r="D219" s="484" t="s">
        <v>37</v>
      </c>
      <c r="E219" s="524"/>
      <c r="F219" s="38">
        <f>F218*0.12</f>
        <v>11.4</v>
      </c>
      <c r="G219" s="81"/>
      <c r="H219" s="1091"/>
      <c r="I219" s="1091"/>
      <c r="J219" s="1091"/>
      <c r="K219" s="81"/>
      <c r="L219" s="1091"/>
      <c r="M219" s="1091"/>
      <c r="N219" s="240"/>
    </row>
    <row r="220" spans="1:14" s="76" customFormat="1" ht="15.75" x14ac:dyDescent="0.3">
      <c r="A220" s="1224"/>
      <c r="B220" s="1100"/>
      <c r="C220" s="13" t="s">
        <v>36</v>
      </c>
      <c r="D220" s="1100" t="s">
        <v>6</v>
      </c>
      <c r="E220" s="524">
        <v>2.9</v>
      </c>
      <c r="F220" s="36">
        <f>F219*E220</f>
        <v>33.06</v>
      </c>
      <c r="G220" s="1091"/>
      <c r="H220" s="1091"/>
      <c r="I220" s="1091"/>
      <c r="J220" s="1091">
        <f>F220*I220</f>
        <v>0</v>
      </c>
      <c r="K220" s="81"/>
      <c r="L220" s="1091"/>
      <c r="M220" s="1091">
        <f>H220+J220+L220</f>
        <v>0</v>
      </c>
      <c r="N220" s="240"/>
    </row>
    <row r="221" spans="1:14" s="76" customFormat="1" ht="15.75" x14ac:dyDescent="0.3">
      <c r="A221" s="1224"/>
      <c r="B221" s="1100"/>
      <c r="C221" s="13" t="s">
        <v>145</v>
      </c>
      <c r="D221" s="1100" t="s">
        <v>37</v>
      </c>
      <c r="E221" s="524">
        <v>1.02</v>
      </c>
      <c r="F221" s="36">
        <f>F219*E221</f>
        <v>11.628</v>
      </c>
      <c r="G221" s="81"/>
      <c r="H221" s="1091">
        <f>F221*G221</f>
        <v>0</v>
      </c>
      <c r="I221" s="1091"/>
      <c r="J221" s="1091"/>
      <c r="K221" s="81"/>
      <c r="L221" s="1091"/>
      <c r="M221" s="1091">
        <f>H221+J221+L221</f>
        <v>0</v>
      </c>
      <c r="N221" s="240"/>
    </row>
    <row r="222" spans="1:14" s="76" customFormat="1" ht="15.75" x14ac:dyDescent="0.3">
      <c r="A222" s="1224"/>
      <c r="B222" s="1100"/>
      <c r="C222" s="13" t="s">
        <v>16</v>
      </c>
      <c r="D222" s="1100" t="s">
        <v>4</v>
      </c>
      <c r="E222" s="524">
        <v>0.88</v>
      </c>
      <c r="F222" s="36">
        <f>F219*E222</f>
        <v>10.032</v>
      </c>
      <c r="G222" s="81"/>
      <c r="H222" s="1091">
        <f>F222*G222</f>
        <v>0</v>
      </c>
      <c r="I222" s="1091"/>
      <c r="J222" s="1091"/>
      <c r="K222" s="81"/>
      <c r="L222" s="1091"/>
      <c r="M222" s="1091">
        <f>H222+J222+L222</f>
        <v>0</v>
      </c>
      <c r="N222" s="240"/>
    </row>
    <row r="223" spans="1:14" s="76" customFormat="1" ht="15.75" x14ac:dyDescent="0.3">
      <c r="A223" s="1224"/>
      <c r="B223" s="1100"/>
      <c r="C223" s="1129" t="s">
        <v>313</v>
      </c>
      <c r="D223" s="1100" t="s">
        <v>38</v>
      </c>
      <c r="E223" s="524"/>
      <c r="F223" s="1130">
        <f>F218*16*1*1.03*0.222/1000</f>
        <v>0.34756320000000007</v>
      </c>
      <c r="G223" s="1091"/>
      <c r="H223" s="1091">
        <f>F223*G223</f>
        <v>0</v>
      </c>
      <c r="I223" s="1091"/>
      <c r="J223" s="1091"/>
      <c r="K223" s="81"/>
      <c r="L223" s="1091"/>
      <c r="M223" s="1091">
        <f>H223+J223+L223</f>
        <v>0</v>
      </c>
      <c r="N223" s="240"/>
    </row>
    <row r="224" spans="1:14" s="76" customFormat="1" ht="15.75" x14ac:dyDescent="0.3">
      <c r="A224" s="1222"/>
      <c r="B224" s="1100"/>
      <c r="C224" s="1129" t="s">
        <v>295</v>
      </c>
      <c r="D224" s="1100" t="s">
        <v>38</v>
      </c>
      <c r="E224" s="524"/>
      <c r="F224" s="1130">
        <v>0</v>
      </c>
      <c r="G224" s="1091"/>
      <c r="H224" s="1091">
        <f>F224*G224</f>
        <v>0</v>
      </c>
      <c r="I224" s="1091"/>
      <c r="J224" s="1091"/>
      <c r="K224" s="81"/>
      <c r="L224" s="1091"/>
      <c r="M224" s="1091">
        <f>H224+J224+L224</f>
        <v>0</v>
      </c>
      <c r="N224" s="240"/>
    </row>
    <row r="225" spans="1:14" s="76" customFormat="1" ht="31.5" x14ac:dyDescent="0.3">
      <c r="A225" s="1223" t="s">
        <v>89</v>
      </c>
      <c r="B225" s="220" t="s">
        <v>150</v>
      </c>
      <c r="C225" s="107" t="s">
        <v>366</v>
      </c>
      <c r="D225" s="1102" t="s">
        <v>47</v>
      </c>
      <c r="E225" s="1131"/>
      <c r="F225" s="1132">
        <f>F207</f>
        <v>95</v>
      </c>
      <c r="G225" s="1133"/>
      <c r="H225" s="1133"/>
      <c r="I225" s="1133"/>
      <c r="J225" s="1133"/>
      <c r="K225" s="1133"/>
      <c r="L225" s="1133"/>
      <c r="M225" s="1120"/>
      <c r="N225" s="898"/>
    </row>
    <row r="226" spans="1:14" s="76" customFormat="1" ht="15.75" x14ac:dyDescent="0.3">
      <c r="A226" s="1224"/>
      <c r="B226" s="220"/>
      <c r="C226" s="42" t="s">
        <v>36</v>
      </c>
      <c r="D226" s="297" t="s">
        <v>6</v>
      </c>
      <c r="E226" s="1134">
        <v>0.77900000000000003</v>
      </c>
      <c r="F226" s="1135">
        <f>F225*E226</f>
        <v>74.004999999999995</v>
      </c>
      <c r="G226" s="1136"/>
      <c r="H226" s="1136"/>
      <c r="I226" s="1136"/>
      <c r="J226" s="1136">
        <f>F226*I226</f>
        <v>0</v>
      </c>
      <c r="K226" s="1136"/>
      <c r="L226" s="1137"/>
      <c r="M226" s="1120">
        <f t="shared" ref="M226:M230" si="15">H226+J226+L226</f>
        <v>0</v>
      </c>
      <c r="N226" s="898"/>
    </row>
    <row r="227" spans="1:14" s="76" customFormat="1" ht="15.75" x14ac:dyDescent="0.3">
      <c r="A227" s="1224"/>
      <c r="B227" s="220"/>
      <c r="C227" s="42" t="s">
        <v>17</v>
      </c>
      <c r="D227" s="297" t="s">
        <v>4</v>
      </c>
      <c r="E227" s="1134">
        <v>0.104</v>
      </c>
      <c r="F227" s="1135">
        <f>F225*E227</f>
        <v>9.879999999999999</v>
      </c>
      <c r="G227" s="1136"/>
      <c r="H227" s="1136"/>
      <c r="I227" s="1136"/>
      <c r="J227" s="1136"/>
      <c r="K227" s="1136"/>
      <c r="L227" s="1137">
        <f>F227*K227</f>
        <v>0</v>
      </c>
      <c r="M227" s="1120">
        <f t="shared" si="15"/>
        <v>0</v>
      </c>
      <c r="N227" s="898"/>
    </row>
    <row r="228" spans="1:14" s="76" customFormat="1" ht="15.75" x14ac:dyDescent="0.3">
      <c r="A228" s="1224"/>
      <c r="B228" s="220"/>
      <c r="C228" s="42" t="s">
        <v>403</v>
      </c>
      <c r="D228" s="297" t="s">
        <v>47</v>
      </c>
      <c r="E228" s="1135">
        <v>1.01</v>
      </c>
      <c r="F228" s="1135">
        <f>F225*E228</f>
        <v>95.95</v>
      </c>
      <c r="G228" s="1136"/>
      <c r="H228" s="1136">
        <f>F228*G228</f>
        <v>0</v>
      </c>
      <c r="I228" s="1136"/>
      <c r="J228" s="1136"/>
      <c r="K228" s="1136"/>
      <c r="L228" s="1137"/>
      <c r="M228" s="1120">
        <f t="shared" si="15"/>
        <v>0</v>
      </c>
      <c r="N228" s="898"/>
    </row>
    <row r="229" spans="1:14" s="76" customFormat="1" ht="15.75" x14ac:dyDescent="0.3">
      <c r="A229" s="1224"/>
      <c r="B229" s="220"/>
      <c r="C229" s="42" t="s">
        <v>286</v>
      </c>
      <c r="D229" s="297" t="s">
        <v>37</v>
      </c>
      <c r="E229" s="1134">
        <v>2.1100000000000001E-2</v>
      </c>
      <c r="F229" s="1135">
        <f>F225*E229</f>
        <v>2.0045000000000002</v>
      </c>
      <c r="G229" s="1136"/>
      <c r="H229" s="1136">
        <f>F229*G229</f>
        <v>0</v>
      </c>
      <c r="I229" s="1136"/>
      <c r="J229" s="1136"/>
      <c r="K229" s="1136"/>
      <c r="L229" s="1136"/>
      <c r="M229" s="1120">
        <f t="shared" si="15"/>
        <v>0</v>
      </c>
      <c r="N229" s="898"/>
    </row>
    <row r="230" spans="1:14" s="76" customFormat="1" ht="15.75" x14ac:dyDescent="0.3">
      <c r="A230" s="1222"/>
      <c r="B230" s="220"/>
      <c r="C230" s="42" t="s">
        <v>50</v>
      </c>
      <c r="D230" s="297" t="s">
        <v>4</v>
      </c>
      <c r="E230" s="1134">
        <v>4.6600000000000003E-2</v>
      </c>
      <c r="F230" s="1135">
        <f>F225*E230</f>
        <v>4.4270000000000005</v>
      </c>
      <c r="G230" s="1136"/>
      <c r="H230" s="1136">
        <f>F230*G230</f>
        <v>0</v>
      </c>
      <c r="I230" s="1136"/>
      <c r="J230" s="1136"/>
      <c r="K230" s="1136"/>
      <c r="L230" s="1137"/>
      <c r="M230" s="1120">
        <f t="shared" si="15"/>
        <v>0</v>
      </c>
      <c r="N230" s="898"/>
    </row>
    <row r="231" spans="1:14" s="76" customFormat="1" ht="15.75" x14ac:dyDescent="0.3">
      <c r="A231" s="1108"/>
      <c r="B231" s="220"/>
      <c r="C231" s="42"/>
      <c r="D231" s="297"/>
      <c r="E231" s="1134"/>
      <c r="F231" s="1135"/>
      <c r="G231" s="1136"/>
      <c r="H231" s="1136"/>
      <c r="I231" s="1136"/>
      <c r="J231" s="1136"/>
      <c r="K231" s="1136"/>
      <c r="L231" s="1137"/>
      <c r="M231" s="223"/>
      <c r="N231" s="898"/>
    </row>
    <row r="232" spans="1:14" s="76" customFormat="1" ht="31.5" x14ac:dyDescent="0.3">
      <c r="A232" s="528"/>
      <c r="B232" s="364"/>
      <c r="C232" s="120" t="s">
        <v>481</v>
      </c>
      <c r="D232" s="119"/>
      <c r="E232" s="529"/>
      <c r="F232" s="530"/>
      <c r="G232" s="32"/>
      <c r="H232" s="32"/>
      <c r="I232" s="32"/>
      <c r="J232" s="32"/>
      <c r="K232" s="32"/>
      <c r="L232" s="32"/>
      <c r="M232" s="32"/>
      <c r="N232" s="240"/>
    </row>
    <row r="233" spans="1:14" s="76" customFormat="1" ht="31.5" x14ac:dyDescent="0.3">
      <c r="A233" s="542"/>
      <c r="B233" s="543"/>
      <c r="C233" s="128" t="s">
        <v>482</v>
      </c>
      <c r="D233" s="128" t="s">
        <v>47</v>
      </c>
      <c r="E233" s="53"/>
      <c r="F233" s="53">
        <v>130</v>
      </c>
      <c r="G233" s="142"/>
      <c r="H233" s="32"/>
      <c r="I233" s="32"/>
      <c r="J233" s="32"/>
      <c r="K233" s="32"/>
      <c r="L233" s="32"/>
      <c r="M233" s="32"/>
      <c r="N233" s="240"/>
    </row>
    <row r="234" spans="1:14" s="76" customFormat="1" ht="31.5" x14ac:dyDescent="0.3">
      <c r="A234" s="1283" t="s">
        <v>93</v>
      </c>
      <c r="B234" s="492" t="s">
        <v>31</v>
      </c>
      <c r="C234" s="531" t="s">
        <v>483</v>
      </c>
      <c r="D234" s="532" t="s">
        <v>37</v>
      </c>
      <c r="E234" s="533"/>
      <c r="F234" s="22">
        <f>F233*0.25</f>
        <v>32.5</v>
      </c>
      <c r="G234" s="8"/>
      <c r="H234" s="32"/>
      <c r="I234" s="8"/>
      <c r="J234" s="32"/>
      <c r="K234" s="8"/>
      <c r="L234" s="32"/>
      <c r="M234" s="32"/>
      <c r="N234" s="240"/>
    </row>
    <row r="235" spans="1:14" s="76" customFormat="1" ht="15.75" x14ac:dyDescent="0.3">
      <c r="A235" s="1284"/>
      <c r="B235" s="492"/>
      <c r="C235" s="24" t="s">
        <v>36</v>
      </c>
      <c r="D235" s="532" t="s">
        <v>6</v>
      </c>
      <c r="E235" s="533">
        <v>3.88</v>
      </c>
      <c r="F235" s="293">
        <f>F234*E235</f>
        <v>126.1</v>
      </c>
      <c r="G235" s="8"/>
      <c r="H235" s="32"/>
      <c r="I235" s="8"/>
      <c r="J235" s="32">
        <f>F235*I235</f>
        <v>0</v>
      </c>
      <c r="K235" s="8"/>
      <c r="L235" s="32"/>
      <c r="M235" s="32">
        <f>H235+J235+L235</f>
        <v>0</v>
      </c>
      <c r="N235" s="240"/>
    </row>
    <row r="236" spans="1:14" s="76" customFormat="1" ht="27" x14ac:dyDescent="0.3">
      <c r="A236" s="1260" t="s">
        <v>72</v>
      </c>
      <c r="B236" s="225" t="s">
        <v>91</v>
      </c>
      <c r="C236" s="534" t="s">
        <v>269</v>
      </c>
      <c r="D236" s="275" t="s">
        <v>294</v>
      </c>
      <c r="E236" s="276"/>
      <c r="F236" s="277">
        <f>F234*1.95</f>
        <v>63.375</v>
      </c>
      <c r="G236" s="514"/>
      <c r="H236" s="8"/>
      <c r="I236" s="514"/>
      <c r="J236" s="8"/>
      <c r="K236" s="514"/>
      <c r="L236" s="8"/>
      <c r="M236" s="8"/>
      <c r="N236" s="240"/>
    </row>
    <row r="237" spans="1:14" s="76" customFormat="1" ht="15.75" x14ac:dyDescent="0.3">
      <c r="A237" s="1261"/>
      <c r="B237" s="484"/>
      <c r="C237" s="535" t="s">
        <v>54</v>
      </c>
      <c r="D237" s="48" t="s">
        <v>6</v>
      </c>
      <c r="E237" s="49">
        <v>0.53</v>
      </c>
      <c r="F237" s="520">
        <f>F236*E237</f>
        <v>33.588750000000005</v>
      </c>
      <c r="G237" s="514"/>
      <c r="H237" s="8"/>
      <c r="I237" s="514"/>
      <c r="J237" s="8">
        <f>F237*I237</f>
        <v>0</v>
      </c>
      <c r="K237" s="514"/>
      <c r="L237" s="8"/>
      <c r="M237" s="8">
        <f>H237+J237+L237</f>
        <v>0</v>
      </c>
      <c r="N237" s="240"/>
    </row>
    <row r="238" spans="1:14" s="76" customFormat="1" ht="27" x14ac:dyDescent="0.3">
      <c r="A238" s="1108" t="s">
        <v>94</v>
      </c>
      <c r="B238" s="484" t="s">
        <v>484</v>
      </c>
      <c r="C238" s="536" t="s">
        <v>499</v>
      </c>
      <c r="D238" s="484" t="s">
        <v>38</v>
      </c>
      <c r="E238" s="10"/>
      <c r="F238" s="23">
        <f>F236</f>
        <v>63.375</v>
      </c>
      <c r="G238" s="514"/>
      <c r="H238" s="8"/>
      <c r="I238" s="514"/>
      <c r="J238" s="8"/>
      <c r="K238" s="19"/>
      <c r="L238" s="8">
        <f>F238*K238</f>
        <v>0</v>
      </c>
      <c r="M238" s="8">
        <f>H238+J238+L238</f>
        <v>0</v>
      </c>
      <c r="N238" s="240"/>
    </row>
    <row r="239" spans="1:14" s="76" customFormat="1" ht="31.5" x14ac:dyDescent="0.3">
      <c r="A239" s="1283" t="s">
        <v>87</v>
      </c>
      <c r="B239" s="492" t="s">
        <v>35</v>
      </c>
      <c r="C239" s="531" t="s">
        <v>485</v>
      </c>
      <c r="D239" s="532" t="s">
        <v>37</v>
      </c>
      <c r="E239" s="533"/>
      <c r="F239" s="22">
        <f>F233*0.1</f>
        <v>13</v>
      </c>
      <c r="G239" s="8"/>
      <c r="H239" s="32"/>
      <c r="I239" s="8"/>
      <c r="J239" s="32"/>
      <c r="K239" s="8"/>
      <c r="L239" s="32"/>
      <c r="M239" s="32"/>
      <c r="N239" s="240"/>
    </row>
    <row r="240" spans="1:14" s="76" customFormat="1" ht="15.75" x14ac:dyDescent="0.3">
      <c r="A240" s="1285"/>
      <c r="B240" s="484"/>
      <c r="C240" s="13" t="s">
        <v>36</v>
      </c>
      <c r="D240" s="519" t="s">
        <v>6</v>
      </c>
      <c r="E240" s="524">
        <v>3.52</v>
      </c>
      <c r="F240" s="515">
        <f>F239*E240</f>
        <v>45.76</v>
      </c>
      <c r="G240" s="514"/>
      <c r="H240" s="514"/>
      <c r="I240" s="514"/>
      <c r="J240" s="514">
        <f>F240*I240</f>
        <v>0</v>
      </c>
      <c r="K240" s="514"/>
      <c r="L240" s="514"/>
      <c r="M240" s="514">
        <f>H240+J240+L240</f>
        <v>0</v>
      </c>
      <c r="N240" s="240"/>
    </row>
    <row r="241" spans="1:14" s="76" customFormat="1" ht="15.75" x14ac:dyDescent="0.3">
      <c r="A241" s="1285"/>
      <c r="B241" s="484"/>
      <c r="C241" s="13" t="s">
        <v>5</v>
      </c>
      <c r="D241" s="519" t="s">
        <v>4</v>
      </c>
      <c r="E241" s="524">
        <v>1.06</v>
      </c>
      <c r="F241" s="515">
        <f>F239*E241</f>
        <v>13.780000000000001</v>
      </c>
      <c r="G241" s="514"/>
      <c r="H241" s="514"/>
      <c r="I241" s="514"/>
      <c r="J241" s="514"/>
      <c r="K241" s="514"/>
      <c r="L241" s="514">
        <f>F241*K241</f>
        <v>0</v>
      </c>
      <c r="M241" s="514">
        <f>H241+J241+L241</f>
        <v>0</v>
      </c>
      <c r="N241" s="240"/>
    </row>
    <row r="242" spans="1:14" s="76" customFormat="1" ht="15.75" x14ac:dyDescent="0.3">
      <c r="A242" s="1285"/>
      <c r="B242" s="484"/>
      <c r="C242" s="13" t="s">
        <v>30</v>
      </c>
      <c r="D242" s="519" t="s">
        <v>37</v>
      </c>
      <c r="E242" s="524">
        <f>0.18+0.09+0.97</f>
        <v>1.24</v>
      </c>
      <c r="F242" s="515">
        <f>F239*E242</f>
        <v>16.12</v>
      </c>
      <c r="G242" s="514"/>
      <c r="H242" s="514">
        <f>F242*G242</f>
        <v>0</v>
      </c>
      <c r="I242" s="514"/>
      <c r="J242" s="514"/>
      <c r="K242" s="514"/>
      <c r="L242" s="514"/>
      <c r="M242" s="514">
        <f>H242+J242+L242</f>
        <v>0</v>
      </c>
      <c r="N242" s="240"/>
    </row>
    <row r="243" spans="1:14" s="76" customFormat="1" ht="15.75" x14ac:dyDescent="0.3">
      <c r="A243" s="1284"/>
      <c r="B243" s="484"/>
      <c r="C243" s="13" t="s">
        <v>7</v>
      </c>
      <c r="D243" s="519" t="s">
        <v>4</v>
      </c>
      <c r="E243" s="524">
        <v>0.02</v>
      </c>
      <c r="F243" s="515">
        <f>F239*E243</f>
        <v>0.26</v>
      </c>
      <c r="G243" s="514"/>
      <c r="H243" s="514">
        <f>F243*G243</f>
        <v>0</v>
      </c>
      <c r="I243" s="514"/>
      <c r="J243" s="514"/>
      <c r="K243" s="514"/>
      <c r="L243" s="514"/>
      <c r="M243" s="514">
        <f>H243+J243+L243</f>
        <v>0</v>
      </c>
      <c r="N243" s="240"/>
    </row>
    <row r="244" spans="1:14" s="76" customFormat="1" ht="31.5" x14ac:dyDescent="0.3">
      <c r="A244" s="1259" t="s">
        <v>89</v>
      </c>
      <c r="B244" s="484" t="s">
        <v>486</v>
      </c>
      <c r="C244" s="62" t="s">
        <v>487</v>
      </c>
      <c r="D244" s="484" t="s">
        <v>37</v>
      </c>
      <c r="E244" s="524"/>
      <c r="F244" s="22">
        <f>F233*0.12</f>
        <v>15.6</v>
      </c>
      <c r="G244" s="8"/>
      <c r="H244" s="32"/>
      <c r="I244" s="8"/>
      <c r="J244" s="32"/>
      <c r="K244" s="8"/>
      <c r="L244" s="32"/>
      <c r="M244" s="32"/>
      <c r="N244" s="240"/>
    </row>
    <row r="245" spans="1:14" s="76" customFormat="1" ht="15.75" x14ac:dyDescent="0.3">
      <c r="A245" s="1260"/>
      <c r="B245" s="484"/>
      <c r="C245" s="26" t="s">
        <v>36</v>
      </c>
      <c r="D245" s="519" t="s">
        <v>6</v>
      </c>
      <c r="E245" s="524">
        <v>1.87</v>
      </c>
      <c r="F245" s="515">
        <f>F244*E245</f>
        <v>29.172000000000001</v>
      </c>
      <c r="G245" s="537"/>
      <c r="H245" s="32"/>
      <c r="I245" s="537"/>
      <c r="J245" s="32">
        <f>F245*I245</f>
        <v>0</v>
      </c>
      <c r="K245" s="537"/>
      <c r="L245" s="32"/>
      <c r="M245" s="32">
        <f t="shared" ref="M245:M253" si="16">H245+J245+L245</f>
        <v>0</v>
      </c>
      <c r="N245" s="240"/>
    </row>
    <row r="246" spans="1:14" s="76" customFormat="1" ht="15.75" x14ac:dyDescent="0.3">
      <c r="A246" s="1260"/>
      <c r="B246" s="484"/>
      <c r="C246" s="26" t="s">
        <v>17</v>
      </c>
      <c r="D246" s="519" t="s">
        <v>4</v>
      </c>
      <c r="E246" s="524">
        <v>0.77</v>
      </c>
      <c r="F246" s="515">
        <f>F244*E246</f>
        <v>12.012</v>
      </c>
      <c r="G246" s="537"/>
      <c r="H246" s="32"/>
      <c r="I246" s="537"/>
      <c r="J246" s="32"/>
      <c r="K246" s="537"/>
      <c r="L246" s="32">
        <f>F246*K246</f>
        <v>0</v>
      </c>
      <c r="M246" s="32">
        <f t="shared" si="16"/>
        <v>0</v>
      </c>
      <c r="N246" s="240"/>
    </row>
    <row r="247" spans="1:14" s="76" customFormat="1" ht="15.75" x14ac:dyDescent="0.3">
      <c r="A247" s="1260"/>
      <c r="B247" s="484"/>
      <c r="C247" s="26" t="s">
        <v>145</v>
      </c>
      <c r="D247" s="519" t="s">
        <v>488</v>
      </c>
      <c r="E247" s="524">
        <v>1.0149999999999999</v>
      </c>
      <c r="F247" s="515">
        <f>F244*E247</f>
        <v>15.833999999999998</v>
      </c>
      <c r="G247" s="537"/>
      <c r="H247" s="32">
        <f t="shared" ref="H247:H253" si="17">F247*G247</f>
        <v>0</v>
      </c>
      <c r="I247" s="537"/>
      <c r="J247" s="32"/>
      <c r="K247" s="537"/>
      <c r="L247" s="32"/>
      <c r="M247" s="32">
        <f t="shared" si="16"/>
        <v>0</v>
      </c>
      <c r="N247" s="240"/>
    </row>
    <row r="248" spans="1:14" s="76" customFormat="1" ht="15.75" hidden="1" x14ac:dyDescent="0.3">
      <c r="A248" s="1260"/>
      <c r="B248" s="484"/>
      <c r="C248" s="26" t="s">
        <v>489</v>
      </c>
      <c r="D248" s="519" t="s">
        <v>47</v>
      </c>
      <c r="E248" s="524">
        <v>0</v>
      </c>
      <c r="F248" s="515">
        <f>F244*E248</f>
        <v>0</v>
      </c>
      <c r="G248" s="537"/>
      <c r="H248" s="32">
        <f t="shared" si="17"/>
        <v>0</v>
      </c>
      <c r="I248" s="537"/>
      <c r="J248" s="32"/>
      <c r="K248" s="537"/>
      <c r="L248" s="32"/>
      <c r="M248" s="32">
        <f t="shared" si="16"/>
        <v>0</v>
      </c>
      <c r="N248" s="240"/>
    </row>
    <row r="249" spans="1:14" s="76" customFormat="1" ht="15.75" x14ac:dyDescent="0.3">
      <c r="A249" s="1260"/>
      <c r="B249" s="484"/>
      <c r="C249" s="26" t="s">
        <v>490</v>
      </c>
      <c r="D249" s="519" t="s">
        <v>47</v>
      </c>
      <c r="E249" s="524">
        <v>7.5399999999999995E-2</v>
      </c>
      <c r="F249" s="515">
        <f>F244*E249</f>
        <v>1.17624</v>
      </c>
      <c r="G249" s="537"/>
      <c r="H249" s="32">
        <f t="shared" si="17"/>
        <v>0</v>
      </c>
      <c r="I249" s="537"/>
      <c r="J249" s="32"/>
      <c r="K249" s="537"/>
      <c r="L249" s="32"/>
      <c r="M249" s="32">
        <f t="shared" si="16"/>
        <v>0</v>
      </c>
      <c r="N249" s="240"/>
    </row>
    <row r="250" spans="1:14" s="76" customFormat="1" ht="15.75" x14ac:dyDescent="0.3">
      <c r="A250" s="1260"/>
      <c r="B250" s="484"/>
      <c r="C250" s="26" t="s">
        <v>39</v>
      </c>
      <c r="D250" s="519" t="s">
        <v>37</v>
      </c>
      <c r="E250" s="524">
        <f>0.0008</f>
        <v>8.0000000000000004E-4</v>
      </c>
      <c r="F250" s="515">
        <f>F244*E250</f>
        <v>1.248E-2</v>
      </c>
      <c r="G250" s="537"/>
      <c r="H250" s="32">
        <f t="shared" si="17"/>
        <v>0</v>
      </c>
      <c r="I250" s="537"/>
      <c r="J250" s="32"/>
      <c r="K250" s="537"/>
      <c r="L250" s="32"/>
      <c r="M250" s="32">
        <f t="shared" si="16"/>
        <v>0</v>
      </c>
      <c r="N250" s="240"/>
    </row>
    <row r="251" spans="1:14" s="76" customFormat="1" ht="15.75" x14ac:dyDescent="0.3">
      <c r="A251" s="1260"/>
      <c r="B251" s="484"/>
      <c r="C251" s="26" t="s">
        <v>7</v>
      </c>
      <c r="D251" s="519" t="s">
        <v>4</v>
      </c>
      <c r="E251" s="524">
        <v>7.0000000000000007E-2</v>
      </c>
      <c r="F251" s="515">
        <f>F244*E251</f>
        <v>1.0920000000000001</v>
      </c>
      <c r="G251" s="537"/>
      <c r="H251" s="32">
        <f t="shared" si="17"/>
        <v>0</v>
      </c>
      <c r="I251" s="537"/>
      <c r="J251" s="32"/>
      <c r="K251" s="537"/>
      <c r="L251" s="32"/>
      <c r="M251" s="32">
        <f t="shared" si="16"/>
        <v>0</v>
      </c>
      <c r="N251" s="240"/>
    </row>
    <row r="252" spans="1:14" s="76" customFormat="1" ht="15.75" x14ac:dyDescent="0.3">
      <c r="A252" s="1260"/>
      <c r="B252" s="484"/>
      <c r="C252" s="513" t="s">
        <v>313</v>
      </c>
      <c r="D252" s="484" t="s">
        <v>38</v>
      </c>
      <c r="E252" s="10"/>
      <c r="F252" s="22">
        <f>F233*16*1*1.03*0.222/1000</f>
        <v>0.47561280000000006</v>
      </c>
      <c r="G252" s="537"/>
      <c r="H252" s="32">
        <f t="shared" si="17"/>
        <v>0</v>
      </c>
      <c r="I252" s="537"/>
      <c r="J252" s="32"/>
      <c r="K252" s="537"/>
      <c r="L252" s="32"/>
      <c r="M252" s="32">
        <f t="shared" si="16"/>
        <v>0</v>
      </c>
      <c r="N252" s="240"/>
    </row>
    <row r="253" spans="1:14" s="76" customFormat="1" ht="15.75" x14ac:dyDescent="0.3">
      <c r="A253" s="1261"/>
      <c r="B253" s="484"/>
      <c r="C253" s="62" t="s">
        <v>295</v>
      </c>
      <c r="D253" s="484" t="s">
        <v>38</v>
      </c>
      <c r="E253" s="10"/>
      <c r="F253" s="23">
        <f>0*1.03*0.222/1000</f>
        <v>0</v>
      </c>
      <c r="G253" s="537"/>
      <c r="H253" s="32">
        <f t="shared" si="17"/>
        <v>0</v>
      </c>
      <c r="I253" s="32"/>
      <c r="J253" s="32"/>
      <c r="K253" s="32"/>
      <c r="L253" s="32"/>
      <c r="M253" s="32">
        <f t="shared" si="16"/>
        <v>0</v>
      </c>
      <c r="N253" s="240"/>
    </row>
    <row r="254" spans="1:14" s="76" customFormat="1" ht="60" x14ac:dyDescent="0.3">
      <c r="A254" s="1262" t="s">
        <v>90</v>
      </c>
      <c r="B254" s="538" t="s">
        <v>491</v>
      </c>
      <c r="C254" s="35" t="s">
        <v>492</v>
      </c>
      <c r="D254" s="144" t="s">
        <v>493</v>
      </c>
      <c r="E254" s="524"/>
      <c r="F254" s="38">
        <f>F233</f>
        <v>130</v>
      </c>
      <c r="G254" s="539"/>
      <c r="H254" s="32"/>
      <c r="I254" s="540"/>
      <c r="J254" s="32"/>
      <c r="K254" s="540"/>
      <c r="L254" s="32"/>
      <c r="M254" s="32"/>
      <c r="N254" s="240"/>
    </row>
    <row r="255" spans="1:14" s="76" customFormat="1" ht="15.75" x14ac:dyDescent="0.3">
      <c r="A255" s="1263"/>
      <c r="B255" s="538"/>
      <c r="C255" s="33" t="s">
        <v>494</v>
      </c>
      <c r="D255" s="541" t="s">
        <v>68</v>
      </c>
      <c r="E255" s="524">
        <v>0.41599999999999998</v>
      </c>
      <c r="F255" s="515">
        <f>F254*E255</f>
        <v>54.08</v>
      </c>
      <c r="G255" s="539"/>
      <c r="H255" s="32"/>
      <c r="I255" s="539"/>
      <c r="J255" s="32">
        <f>F255*I255</f>
        <v>0</v>
      </c>
      <c r="K255" s="539"/>
      <c r="L255" s="32"/>
      <c r="M255" s="32">
        <f>H255+J255+L255</f>
        <v>0</v>
      </c>
      <c r="N255" s="240"/>
    </row>
    <row r="256" spans="1:14" s="76" customFormat="1" ht="27" x14ac:dyDescent="0.3">
      <c r="A256" s="1263"/>
      <c r="B256" s="484"/>
      <c r="C256" s="26" t="s">
        <v>17</v>
      </c>
      <c r="D256" s="519" t="s">
        <v>43</v>
      </c>
      <c r="E256" s="524">
        <f>0.0059</f>
        <v>5.8999999999999999E-3</v>
      </c>
      <c r="F256" s="515">
        <f>F254*E256</f>
        <v>0.76700000000000002</v>
      </c>
      <c r="G256" s="32"/>
      <c r="H256" s="32"/>
      <c r="I256" s="32"/>
      <c r="J256" s="32"/>
      <c r="K256" s="32"/>
      <c r="L256" s="32">
        <f>F256*K256</f>
        <v>0</v>
      </c>
      <c r="M256" s="32">
        <f>H256+J256+L256</f>
        <v>0</v>
      </c>
      <c r="N256" s="240"/>
    </row>
    <row r="257" spans="1:14" s="76" customFormat="1" ht="15.75" x14ac:dyDescent="0.3">
      <c r="A257" s="1263"/>
      <c r="B257" s="31"/>
      <c r="C257" s="39" t="s">
        <v>495</v>
      </c>
      <c r="D257" s="541" t="s">
        <v>110</v>
      </c>
      <c r="E257" s="524">
        <v>0.19</v>
      </c>
      <c r="F257" s="515">
        <f>F254*E257</f>
        <v>24.7</v>
      </c>
      <c r="G257" s="539"/>
      <c r="H257" s="32">
        <f>F257*G257</f>
        <v>0</v>
      </c>
      <c r="I257" s="539"/>
      <c r="J257" s="32"/>
      <c r="K257" s="539"/>
      <c r="L257" s="32"/>
      <c r="M257" s="32">
        <f>H257+J257+L257</f>
        <v>0</v>
      </c>
      <c r="N257" s="240"/>
    </row>
    <row r="258" spans="1:14" s="76" customFormat="1" ht="15.75" x14ac:dyDescent="0.3">
      <c r="A258" s="1263"/>
      <c r="B258" s="484"/>
      <c r="C258" s="33" t="s">
        <v>496</v>
      </c>
      <c r="D258" s="68" t="s">
        <v>497</v>
      </c>
      <c r="E258" s="524">
        <v>1.02</v>
      </c>
      <c r="F258" s="515">
        <f>F254*E258</f>
        <v>132.6</v>
      </c>
      <c r="G258" s="539"/>
      <c r="H258" s="32">
        <f>F258*G258</f>
        <v>0</v>
      </c>
      <c r="I258" s="539"/>
      <c r="J258" s="32"/>
      <c r="K258" s="539"/>
      <c r="L258" s="32"/>
      <c r="M258" s="32">
        <f>H258+J258+L258</f>
        <v>0</v>
      </c>
      <c r="N258" s="240"/>
    </row>
    <row r="259" spans="1:14" s="76" customFormat="1" ht="15.75" x14ac:dyDescent="0.3">
      <c r="A259" s="1264"/>
      <c r="B259" s="538"/>
      <c r="C259" s="145" t="s">
        <v>50</v>
      </c>
      <c r="D259" s="541" t="s">
        <v>498</v>
      </c>
      <c r="E259" s="524">
        <v>0.08</v>
      </c>
      <c r="F259" s="515">
        <f>F254*E259</f>
        <v>10.4</v>
      </c>
      <c r="G259" s="539"/>
      <c r="H259" s="32">
        <f>F259*G259</f>
        <v>0</v>
      </c>
      <c r="I259" s="539"/>
      <c r="J259" s="32"/>
      <c r="K259" s="539"/>
      <c r="L259" s="32"/>
      <c r="M259" s="32">
        <f>H259+J259+L259</f>
        <v>0</v>
      </c>
      <c r="N259" s="898">
        <f>SUM(M233:M259)</f>
        <v>0</v>
      </c>
    </row>
    <row r="260" spans="1:14" s="76" customFormat="1" ht="15.75" x14ac:dyDescent="0.25">
      <c r="A260" s="1108"/>
      <c r="B260" s="220"/>
      <c r="C260" s="42"/>
      <c r="D260" s="297"/>
      <c r="E260" s="515"/>
      <c r="F260" s="21"/>
      <c r="G260" s="8"/>
      <c r="H260" s="8"/>
      <c r="I260" s="8"/>
      <c r="J260" s="8"/>
      <c r="K260" s="8"/>
      <c r="L260" s="223"/>
      <c r="M260" s="223"/>
      <c r="N260" s="899"/>
    </row>
    <row r="261" spans="1:14" s="76" customFormat="1" ht="15.75" x14ac:dyDescent="0.3">
      <c r="A261" s="443"/>
      <c r="B261" s="405"/>
      <c r="C261" s="128" t="s">
        <v>373</v>
      </c>
      <c r="D261" s="85"/>
      <c r="E261" s="444"/>
      <c r="F261" s="406"/>
      <c r="G261" s="8"/>
      <c r="H261" s="8"/>
      <c r="I261" s="8"/>
      <c r="J261" s="8"/>
      <c r="K261" s="8"/>
      <c r="L261" s="223"/>
      <c r="M261" s="223"/>
      <c r="N261" s="240"/>
    </row>
    <row r="262" spans="1:14" s="76" customFormat="1" ht="31.5" x14ac:dyDescent="0.3">
      <c r="A262" s="1281" t="s">
        <v>93</v>
      </c>
      <c r="B262" s="31" t="s">
        <v>59</v>
      </c>
      <c r="C262" s="37" t="s">
        <v>151</v>
      </c>
      <c r="D262" s="31" t="s">
        <v>29</v>
      </c>
      <c r="E262" s="34"/>
      <c r="F262" s="38">
        <f>0.5*0.5*(3.14*2.4+3.14*5.2+3.14*1.4+3.14*1.8+3.14*0.9+3.14*1.3*2)</f>
        <v>11.225500000000002</v>
      </c>
      <c r="G262" s="101"/>
      <c r="H262" s="32"/>
      <c r="I262" s="101"/>
      <c r="J262" s="32"/>
      <c r="K262" s="101"/>
      <c r="L262" s="32"/>
      <c r="M262" s="32"/>
      <c r="N262" s="240"/>
    </row>
    <row r="263" spans="1:14" s="76" customFormat="1" ht="15.75" x14ac:dyDescent="0.3">
      <c r="A263" s="1282"/>
      <c r="B263" s="283"/>
      <c r="C263" s="33" t="s">
        <v>33</v>
      </c>
      <c r="D263" s="143" t="s">
        <v>6</v>
      </c>
      <c r="E263" s="34">
        <v>2.06</v>
      </c>
      <c r="F263" s="36">
        <f>F262*E263</f>
        <v>23.124530000000004</v>
      </c>
      <c r="G263" s="32"/>
      <c r="H263" s="32"/>
      <c r="I263" s="32"/>
      <c r="J263" s="32">
        <f>F263*I263</f>
        <v>0</v>
      </c>
      <c r="K263" s="32"/>
      <c r="L263" s="32"/>
      <c r="M263" s="32">
        <f>H263+J263+L263</f>
        <v>0</v>
      </c>
      <c r="N263" s="240"/>
    </row>
    <row r="264" spans="1:14" s="76" customFormat="1" ht="31.5" x14ac:dyDescent="0.3">
      <c r="A264" s="1259" t="s">
        <v>72</v>
      </c>
      <c r="B264" s="389" t="s">
        <v>91</v>
      </c>
      <c r="C264" s="280" t="s">
        <v>269</v>
      </c>
      <c r="D264" s="275" t="s">
        <v>294</v>
      </c>
      <c r="E264" s="276"/>
      <c r="F264" s="277">
        <f>F262*1.95</f>
        <v>21.889725000000002</v>
      </c>
      <c r="G264" s="514"/>
      <c r="H264" s="514"/>
      <c r="I264" s="514"/>
      <c r="J264" s="514"/>
      <c r="K264" s="514"/>
      <c r="L264" s="514"/>
      <c r="M264" s="514"/>
      <c r="N264" s="240"/>
    </row>
    <row r="265" spans="1:14" s="76" customFormat="1" ht="15.75" x14ac:dyDescent="0.3">
      <c r="A265" s="1261"/>
      <c r="B265" s="519"/>
      <c r="C265" s="281" t="s">
        <v>54</v>
      </c>
      <c r="D265" s="48" t="s">
        <v>6</v>
      </c>
      <c r="E265" s="49">
        <v>0.53</v>
      </c>
      <c r="F265" s="520">
        <f>F264*E265</f>
        <v>11.601554250000001</v>
      </c>
      <c r="G265" s="514"/>
      <c r="H265" s="514"/>
      <c r="I265" s="514"/>
      <c r="J265" s="514">
        <f>F265*I265</f>
        <v>0</v>
      </c>
      <c r="K265" s="514"/>
      <c r="L265" s="514"/>
      <c r="M265" s="514">
        <f>H265+J265+L265</f>
        <v>0</v>
      </c>
      <c r="N265" s="240"/>
    </row>
    <row r="266" spans="1:14" s="76" customFormat="1" ht="31.5" x14ac:dyDescent="0.3">
      <c r="A266" s="1108" t="s">
        <v>94</v>
      </c>
      <c r="B266" s="484" t="s">
        <v>420</v>
      </c>
      <c r="C266" s="379" t="s">
        <v>499</v>
      </c>
      <c r="D266" s="484" t="s">
        <v>38</v>
      </c>
      <c r="E266" s="390"/>
      <c r="F266" s="277">
        <f>F264</f>
        <v>21.889725000000002</v>
      </c>
      <c r="G266" s="514"/>
      <c r="H266" s="514"/>
      <c r="I266" s="514"/>
      <c r="J266" s="514"/>
      <c r="K266" s="19"/>
      <c r="L266" s="514">
        <f>F266*K266</f>
        <v>0</v>
      </c>
      <c r="M266" s="514">
        <f>H266+J266+L266</f>
        <v>0</v>
      </c>
      <c r="N266" s="240"/>
    </row>
    <row r="267" spans="1:14" s="76" customFormat="1" ht="31.5" x14ac:dyDescent="0.3">
      <c r="A267" s="1259" t="s">
        <v>87</v>
      </c>
      <c r="B267" s="452" t="s">
        <v>35</v>
      </c>
      <c r="C267" s="448" t="s">
        <v>365</v>
      </c>
      <c r="D267" s="452" t="s">
        <v>37</v>
      </c>
      <c r="E267" s="454"/>
      <c r="F267" s="38">
        <f>0.5*(3.14*2.4+3.14*5.2+3.14*1.4+3.14*1.8+3.14*0.9+3.14*1.3*2)*0.1</f>
        <v>2.2451000000000003</v>
      </c>
      <c r="G267" s="445"/>
      <c r="H267" s="445"/>
      <c r="I267" s="445"/>
      <c r="J267" s="445"/>
      <c r="K267" s="445"/>
      <c r="L267" s="445"/>
      <c r="M267" s="445"/>
      <c r="N267" s="240"/>
    </row>
    <row r="268" spans="1:14" s="76" customFormat="1" ht="15.75" x14ac:dyDescent="0.3">
      <c r="A268" s="1260"/>
      <c r="B268" s="449"/>
      <c r="C268" s="26" t="s">
        <v>13</v>
      </c>
      <c r="D268" s="449" t="s">
        <v>14</v>
      </c>
      <c r="E268" s="454">
        <v>3.52</v>
      </c>
      <c r="F268" s="36">
        <f>E268*F267</f>
        <v>7.9027520000000013</v>
      </c>
      <c r="G268" s="445"/>
      <c r="H268" s="445"/>
      <c r="I268" s="445"/>
      <c r="J268" s="445">
        <f>F268*I268</f>
        <v>0</v>
      </c>
      <c r="K268" s="445"/>
      <c r="L268" s="445"/>
      <c r="M268" s="445">
        <f>H268+J268+L268</f>
        <v>0</v>
      </c>
      <c r="N268" s="240"/>
    </row>
    <row r="269" spans="1:14" s="76" customFormat="1" ht="15.75" x14ac:dyDescent="0.3">
      <c r="A269" s="1260"/>
      <c r="B269" s="449"/>
      <c r="C269" s="26" t="s">
        <v>17</v>
      </c>
      <c r="D269" s="449" t="s">
        <v>4</v>
      </c>
      <c r="E269" s="454">
        <v>1.06</v>
      </c>
      <c r="F269" s="36">
        <f>F267*E269</f>
        <v>2.3798060000000003</v>
      </c>
      <c r="G269" s="445"/>
      <c r="H269" s="445"/>
      <c r="I269" s="445"/>
      <c r="J269" s="445"/>
      <c r="K269" s="445"/>
      <c r="L269" s="445">
        <f>F269*K269</f>
        <v>0</v>
      </c>
      <c r="M269" s="445">
        <f>H269+J269+L269</f>
        <v>0</v>
      </c>
      <c r="N269" s="240"/>
    </row>
    <row r="270" spans="1:14" s="76" customFormat="1" ht="15.75" x14ac:dyDescent="0.3">
      <c r="A270" s="1260"/>
      <c r="B270" s="449"/>
      <c r="C270" s="26" t="s">
        <v>374</v>
      </c>
      <c r="D270" s="449" t="s">
        <v>29</v>
      </c>
      <c r="E270" s="454">
        <f>0.18+0.09+0.97</f>
        <v>1.24</v>
      </c>
      <c r="F270" s="36">
        <f>E270*F267</f>
        <v>2.7839240000000003</v>
      </c>
      <c r="G270" s="445"/>
      <c r="H270" s="445">
        <f>F270*G270</f>
        <v>0</v>
      </c>
      <c r="I270" s="445"/>
      <c r="J270" s="445"/>
      <c r="K270" s="445"/>
      <c r="L270" s="445"/>
      <c r="M270" s="445">
        <f>H270+J270+L270</f>
        <v>0</v>
      </c>
      <c r="N270" s="240"/>
    </row>
    <row r="271" spans="1:14" s="76" customFormat="1" ht="15.75" x14ac:dyDescent="0.3">
      <c r="A271" s="1261"/>
      <c r="B271" s="449"/>
      <c r="C271" s="145" t="s">
        <v>50</v>
      </c>
      <c r="D271" s="283" t="s">
        <v>4</v>
      </c>
      <c r="E271" s="454">
        <v>0.02</v>
      </c>
      <c r="F271" s="36">
        <f>F267*E271</f>
        <v>4.4902000000000004E-2</v>
      </c>
      <c r="G271" s="32"/>
      <c r="H271" s="445">
        <f>F271*G271</f>
        <v>0</v>
      </c>
      <c r="I271" s="17"/>
      <c r="J271" s="445"/>
      <c r="K271" s="18"/>
      <c r="L271" s="445"/>
      <c r="M271" s="445">
        <f>H271+J271+L271</f>
        <v>0</v>
      </c>
      <c r="N271" s="240"/>
    </row>
    <row r="272" spans="1:14" s="76" customFormat="1" ht="15.75" x14ac:dyDescent="0.3">
      <c r="A272" s="1273" t="s">
        <v>89</v>
      </c>
      <c r="B272" s="220" t="s">
        <v>378</v>
      </c>
      <c r="C272" s="442" t="s">
        <v>377</v>
      </c>
      <c r="D272" s="220" t="s">
        <v>37</v>
      </c>
      <c r="E272" s="23"/>
      <c r="F272" s="38">
        <f>(0.4*0.4+0.2*0.8)*(3.14*2.4+3.14*5.2+3.14*1.4+3.14*1.8+3.14*0.9+3.14*1.3*2)</f>
        <v>14.368640000000005</v>
      </c>
      <c r="G272" s="8"/>
      <c r="H272" s="8"/>
      <c r="I272" s="8"/>
      <c r="J272" s="8"/>
      <c r="K272" s="8"/>
      <c r="L272" s="223"/>
      <c r="M272" s="223"/>
      <c r="N272" s="240"/>
    </row>
    <row r="273" spans="1:15" s="76" customFormat="1" ht="15.75" x14ac:dyDescent="0.3">
      <c r="A273" s="1274"/>
      <c r="B273" s="220"/>
      <c r="C273" s="26" t="s">
        <v>13</v>
      </c>
      <c r="D273" s="449" t="s">
        <v>14</v>
      </c>
      <c r="E273" s="454">
        <v>8.44</v>
      </c>
      <c r="F273" s="36">
        <f>F272*E273</f>
        <v>121.27132160000004</v>
      </c>
      <c r="G273" s="445"/>
      <c r="H273" s="445"/>
      <c r="I273" s="445"/>
      <c r="J273" s="445">
        <f>F273*I273</f>
        <v>0</v>
      </c>
      <c r="K273" s="445"/>
      <c r="L273" s="445"/>
      <c r="M273" s="445">
        <f>H273+J273+L273</f>
        <v>0</v>
      </c>
      <c r="N273" s="240"/>
    </row>
    <row r="274" spans="1:15" s="76" customFormat="1" ht="15.75" x14ac:dyDescent="0.3">
      <c r="A274" s="1274"/>
      <c r="B274" s="220"/>
      <c r="C274" s="26" t="s">
        <v>17</v>
      </c>
      <c r="D274" s="449" t="s">
        <v>4</v>
      </c>
      <c r="E274" s="454">
        <v>1.1000000000000001</v>
      </c>
      <c r="F274" s="36">
        <f>F272*E274</f>
        <v>15.805504000000006</v>
      </c>
      <c r="G274" s="445"/>
      <c r="H274" s="445"/>
      <c r="I274" s="445"/>
      <c r="J274" s="445"/>
      <c r="K274" s="445"/>
      <c r="L274" s="445">
        <f>F274*K274</f>
        <v>0</v>
      </c>
      <c r="M274" s="445">
        <f>H274+J274+L274</f>
        <v>0</v>
      </c>
      <c r="N274" s="240"/>
    </row>
    <row r="275" spans="1:15" s="76" customFormat="1" ht="15.75" x14ac:dyDescent="0.3">
      <c r="A275" s="1274"/>
      <c r="C275" s="42" t="s">
        <v>317</v>
      </c>
      <c r="D275" s="297" t="s">
        <v>37</v>
      </c>
      <c r="E275" s="447">
        <v>1.0149999999999999</v>
      </c>
      <c r="F275" s="21">
        <f>F272*E275</f>
        <v>14.584169600000003</v>
      </c>
      <c r="G275" s="8"/>
      <c r="H275" s="445">
        <f t="shared" ref="H275:H279" si="18">F275*G275</f>
        <v>0</v>
      </c>
      <c r="I275" s="17"/>
      <c r="J275" s="445"/>
      <c r="K275" s="18"/>
      <c r="L275" s="445"/>
      <c r="M275" s="445">
        <f t="shared" ref="M275:M279" si="19">H275+J275+L275</f>
        <v>0</v>
      </c>
      <c r="N275" s="240"/>
    </row>
    <row r="276" spans="1:15" s="76" customFormat="1" ht="15.75" x14ac:dyDescent="0.3">
      <c r="A276" s="1274"/>
      <c r="B276" s="220"/>
      <c r="C276" s="42" t="s">
        <v>336</v>
      </c>
      <c r="D276" s="297" t="s">
        <v>47</v>
      </c>
      <c r="E276" s="447">
        <v>1.84</v>
      </c>
      <c r="F276" s="21">
        <f>F272*E276</f>
        <v>26.438297600000009</v>
      </c>
      <c r="G276" s="8"/>
      <c r="H276" s="445">
        <f t="shared" si="18"/>
        <v>0</v>
      </c>
      <c r="I276" s="17"/>
      <c r="J276" s="445"/>
      <c r="K276" s="18"/>
      <c r="L276" s="445"/>
      <c r="M276" s="445">
        <f t="shared" si="19"/>
        <v>0</v>
      </c>
      <c r="N276" s="240"/>
    </row>
    <row r="277" spans="1:15" s="76" customFormat="1" ht="15.75" x14ac:dyDescent="0.3">
      <c r="A277" s="1274"/>
      <c r="B277" s="220"/>
      <c r="C277" s="42" t="s">
        <v>39</v>
      </c>
      <c r="D277" s="297" t="s">
        <v>37</v>
      </c>
      <c r="E277" s="447">
        <f>(0.34+3.91)/100</f>
        <v>4.2500000000000003E-2</v>
      </c>
      <c r="F277" s="21">
        <f>F272*E277</f>
        <v>0.61066720000000019</v>
      </c>
      <c r="G277" s="8"/>
      <c r="H277" s="445">
        <f t="shared" si="18"/>
        <v>0</v>
      </c>
      <c r="I277" s="17"/>
      <c r="J277" s="445"/>
      <c r="K277" s="18"/>
      <c r="L277" s="445"/>
      <c r="M277" s="445">
        <f t="shared" si="19"/>
        <v>0</v>
      </c>
      <c r="N277" s="240"/>
    </row>
    <row r="278" spans="1:15" s="76" customFormat="1" ht="15.75" x14ac:dyDescent="0.3">
      <c r="A278" s="1274"/>
      <c r="B278" s="220"/>
      <c r="C278" s="42" t="s">
        <v>267</v>
      </c>
      <c r="D278" s="297" t="s">
        <v>2</v>
      </c>
      <c r="E278" s="447">
        <v>2.2000000000000002</v>
      </c>
      <c r="F278" s="21">
        <f>F272*E278</f>
        <v>31.611008000000012</v>
      </c>
      <c r="G278" s="8"/>
      <c r="H278" s="445">
        <f t="shared" si="18"/>
        <v>0</v>
      </c>
      <c r="I278" s="17"/>
      <c r="J278" s="445"/>
      <c r="K278" s="18"/>
      <c r="L278" s="445"/>
      <c r="M278" s="445">
        <f t="shared" si="19"/>
        <v>0</v>
      </c>
      <c r="N278" s="240"/>
    </row>
    <row r="279" spans="1:15" s="76" customFormat="1" ht="15.75" x14ac:dyDescent="0.3">
      <c r="A279" s="1274"/>
      <c r="B279" s="220"/>
      <c r="C279" s="42" t="s">
        <v>45</v>
      </c>
      <c r="D279" s="297" t="s">
        <v>2</v>
      </c>
      <c r="E279" s="447">
        <v>1</v>
      </c>
      <c r="F279" s="21">
        <f>F272*E279</f>
        <v>14.368640000000005</v>
      </c>
      <c r="G279" s="8"/>
      <c r="H279" s="445">
        <f t="shared" si="18"/>
        <v>0</v>
      </c>
      <c r="I279" s="17"/>
      <c r="J279" s="445"/>
      <c r="K279" s="18"/>
      <c r="L279" s="445"/>
      <c r="M279" s="445">
        <f t="shared" si="19"/>
        <v>0</v>
      </c>
      <c r="N279" s="240"/>
    </row>
    <row r="280" spans="1:15" s="76" customFormat="1" ht="15.75" x14ac:dyDescent="0.3">
      <c r="A280" s="1274"/>
      <c r="B280" s="220"/>
      <c r="C280" s="42" t="s">
        <v>50</v>
      </c>
      <c r="D280" s="297" t="s">
        <v>4</v>
      </c>
      <c r="E280" s="447">
        <v>0.46</v>
      </c>
      <c r="F280" s="21">
        <f>F272*E280</f>
        <v>6.6095744000000023</v>
      </c>
      <c r="G280" s="32"/>
      <c r="H280" s="445">
        <f>F280*G280</f>
        <v>0</v>
      </c>
      <c r="I280" s="17"/>
      <c r="J280" s="445"/>
      <c r="K280" s="18"/>
      <c r="L280" s="445"/>
      <c r="M280" s="445">
        <f>H280+J280+L280</f>
        <v>0</v>
      </c>
      <c r="N280" s="240"/>
    </row>
    <row r="281" spans="1:15" s="76" customFormat="1" ht="15.75" x14ac:dyDescent="0.3">
      <c r="A281" s="1274"/>
      <c r="B281" s="449"/>
      <c r="C281" s="448" t="s">
        <v>383</v>
      </c>
      <c r="D281" s="449" t="s">
        <v>38</v>
      </c>
      <c r="E281" s="454"/>
      <c r="F281" s="38">
        <f>(  ((50/0.15)+0)*(1.2+0.1+0.4+0.4)*2+50*(6+4)*2  )*1.03*0.395/1000</f>
        <v>0.97644000000000009</v>
      </c>
      <c r="G281" s="445"/>
      <c r="H281" s="445">
        <f>F281*G281</f>
        <v>0</v>
      </c>
      <c r="I281" s="445"/>
      <c r="J281" s="445"/>
      <c r="K281" s="81"/>
      <c r="L281" s="445"/>
      <c r="M281" s="445">
        <f>H281+J281+L281</f>
        <v>0</v>
      </c>
      <c r="N281" s="240"/>
      <c r="O281" s="240">
        <f>(3.14*2.4+3.14*5.2+3.14*1.4+3.14*1.8+3.14*0.9+3.14*1.3*2)</f>
        <v>44.902000000000008</v>
      </c>
    </row>
    <row r="282" spans="1:15" s="76" customFormat="1" ht="15.75" x14ac:dyDescent="0.3">
      <c r="A282" s="1275"/>
      <c r="B282" s="449"/>
      <c r="C282" s="448" t="s">
        <v>295</v>
      </c>
      <c r="D282" s="449" t="s">
        <v>38</v>
      </c>
      <c r="E282" s="454"/>
      <c r="F282" s="38">
        <f>(  ((50/0.15)+0)*3*0.3)*1.03*0.222/1000</f>
        <v>6.8597999999999992E-2</v>
      </c>
      <c r="G282" s="445"/>
      <c r="H282" s="445">
        <f>F282*G282</f>
        <v>0</v>
      </c>
      <c r="I282" s="445"/>
      <c r="J282" s="445"/>
      <c r="K282" s="81"/>
      <c r="L282" s="445"/>
      <c r="M282" s="445">
        <f>H282+J282+L282</f>
        <v>0</v>
      </c>
      <c r="N282" s="240"/>
    </row>
    <row r="283" spans="1:15" s="76" customFormat="1" ht="31.5" hidden="1" x14ac:dyDescent="0.3">
      <c r="A283" s="1115" t="s">
        <v>90</v>
      </c>
      <c r="B283" s="449"/>
      <c r="C283" s="448" t="s">
        <v>423</v>
      </c>
      <c r="D283" s="449"/>
      <c r="E283" s="454"/>
      <c r="F283" s="38"/>
      <c r="G283" s="445"/>
      <c r="H283" s="445"/>
      <c r="I283" s="445"/>
      <c r="J283" s="445"/>
      <c r="K283" s="81"/>
      <c r="L283" s="445"/>
      <c r="M283" s="445"/>
      <c r="N283" s="240"/>
    </row>
    <row r="284" spans="1:15" s="76" customFormat="1" ht="31.5" hidden="1" x14ac:dyDescent="0.3">
      <c r="A284" s="1259" t="s">
        <v>415</v>
      </c>
      <c r="B284" s="452" t="s">
        <v>35</v>
      </c>
      <c r="C284" s="448" t="s">
        <v>365</v>
      </c>
      <c r="D284" s="452" t="s">
        <v>37</v>
      </c>
      <c r="E284" s="454"/>
      <c r="F284" s="38">
        <v>0</v>
      </c>
      <c r="G284" s="445"/>
      <c r="H284" s="445"/>
      <c r="I284" s="445"/>
      <c r="J284" s="445"/>
      <c r="K284" s="445"/>
      <c r="L284" s="445"/>
      <c r="M284" s="445"/>
      <c r="N284" s="240"/>
    </row>
    <row r="285" spans="1:15" s="76" customFormat="1" ht="15.75" hidden="1" x14ac:dyDescent="0.3">
      <c r="A285" s="1260"/>
      <c r="B285" s="449"/>
      <c r="C285" s="26" t="s">
        <v>13</v>
      </c>
      <c r="D285" s="449" t="s">
        <v>14</v>
      </c>
      <c r="E285" s="454">
        <v>3.52</v>
      </c>
      <c r="F285" s="36">
        <f>E285*F284</f>
        <v>0</v>
      </c>
      <c r="G285" s="445"/>
      <c r="H285" s="445"/>
      <c r="I285" s="445">
        <v>6</v>
      </c>
      <c r="J285" s="445">
        <f>F285*I285</f>
        <v>0</v>
      </c>
      <c r="K285" s="445"/>
      <c r="L285" s="445"/>
      <c r="M285" s="445">
        <f>H285+J285+L285</f>
        <v>0</v>
      </c>
      <c r="N285" s="240"/>
    </row>
    <row r="286" spans="1:15" s="76" customFormat="1" ht="15.75" hidden="1" x14ac:dyDescent="0.3">
      <c r="A286" s="1260"/>
      <c r="B286" s="449"/>
      <c r="C286" s="26" t="s">
        <v>17</v>
      </c>
      <c r="D286" s="449" t="s">
        <v>4</v>
      </c>
      <c r="E286" s="454">
        <v>1.06</v>
      </c>
      <c r="F286" s="36">
        <f>F284*E286</f>
        <v>0</v>
      </c>
      <c r="G286" s="445"/>
      <c r="H286" s="445"/>
      <c r="I286" s="445"/>
      <c r="J286" s="445"/>
      <c r="K286" s="445">
        <v>4</v>
      </c>
      <c r="L286" s="445">
        <f>F286*K286</f>
        <v>0</v>
      </c>
      <c r="M286" s="445">
        <f>H286+J286+L286</f>
        <v>0</v>
      </c>
      <c r="N286" s="240"/>
    </row>
    <row r="287" spans="1:15" s="76" customFormat="1" ht="15.75" hidden="1" x14ac:dyDescent="0.3">
      <c r="A287" s="1260"/>
      <c r="B287" s="449"/>
      <c r="C287" s="26" t="s">
        <v>374</v>
      </c>
      <c r="D287" s="449" t="s">
        <v>29</v>
      </c>
      <c r="E287" s="454">
        <f>0.18+0.09+0.97</f>
        <v>1.24</v>
      </c>
      <c r="F287" s="36">
        <f>E287*F284</f>
        <v>0</v>
      </c>
      <c r="G287" s="445"/>
      <c r="H287" s="445">
        <f>F287*G287</f>
        <v>0</v>
      </c>
      <c r="I287" s="445"/>
      <c r="J287" s="445"/>
      <c r="K287" s="445"/>
      <c r="L287" s="445"/>
      <c r="M287" s="445">
        <f>H287+J287+L287</f>
        <v>0</v>
      </c>
      <c r="N287" s="240"/>
    </row>
    <row r="288" spans="1:15" s="76" customFormat="1" ht="15.75" hidden="1" x14ac:dyDescent="0.3">
      <c r="A288" s="1261"/>
      <c r="B288" s="449"/>
      <c r="C288" s="145" t="s">
        <v>50</v>
      </c>
      <c r="D288" s="283" t="s">
        <v>4</v>
      </c>
      <c r="E288" s="454">
        <v>0.02</v>
      </c>
      <c r="F288" s="36">
        <f>F284*E288</f>
        <v>0</v>
      </c>
      <c r="G288" s="32"/>
      <c r="H288" s="445">
        <f>F288*G288</f>
        <v>0</v>
      </c>
      <c r="I288" s="17"/>
      <c r="J288" s="445"/>
      <c r="K288" s="18"/>
      <c r="L288" s="445"/>
      <c r="M288" s="445">
        <f>H288+J288+L288</f>
        <v>0</v>
      </c>
      <c r="N288" s="240"/>
    </row>
    <row r="289" spans="1:14" s="76" customFormat="1" ht="31.5" hidden="1" x14ac:dyDescent="0.3">
      <c r="A289" s="1273" t="s">
        <v>416</v>
      </c>
      <c r="B289" s="449" t="s">
        <v>382</v>
      </c>
      <c r="C289" s="448" t="s">
        <v>381</v>
      </c>
      <c r="D289" s="452" t="s">
        <v>37</v>
      </c>
      <c r="E289" s="454"/>
      <c r="F289" s="38">
        <v>0</v>
      </c>
      <c r="G289" s="445"/>
      <c r="H289" s="445"/>
      <c r="I289" s="445"/>
      <c r="J289" s="445"/>
      <c r="K289" s="81"/>
      <c r="L289" s="445"/>
      <c r="M289" s="445"/>
      <c r="N289" s="240"/>
    </row>
    <row r="290" spans="1:14" s="76" customFormat="1" ht="15.75" hidden="1" x14ac:dyDescent="0.3">
      <c r="A290" s="1274"/>
      <c r="B290" s="220"/>
      <c r="C290" s="26" t="s">
        <v>13</v>
      </c>
      <c r="D290" s="449" t="s">
        <v>14</v>
      </c>
      <c r="E290" s="454">
        <v>11.1</v>
      </c>
      <c r="F290" s="36">
        <f>F289*E290</f>
        <v>0</v>
      </c>
      <c r="G290" s="445"/>
      <c r="H290" s="445"/>
      <c r="I290" s="445">
        <v>6</v>
      </c>
      <c r="J290" s="445">
        <f>F290*I290</f>
        <v>0</v>
      </c>
      <c r="K290" s="445"/>
      <c r="L290" s="445"/>
      <c r="M290" s="445">
        <f>H290+J290+L290</f>
        <v>0</v>
      </c>
      <c r="N290" s="240"/>
    </row>
    <row r="291" spans="1:14" s="76" customFormat="1" ht="15.75" hidden="1" x14ac:dyDescent="0.3">
      <c r="A291" s="1274"/>
      <c r="B291" s="220"/>
      <c r="C291" s="26" t="s">
        <v>17</v>
      </c>
      <c r="D291" s="449" t="s">
        <v>4</v>
      </c>
      <c r="E291" s="454">
        <v>0.96</v>
      </c>
      <c r="F291" s="36">
        <f>F289*E291</f>
        <v>0</v>
      </c>
      <c r="G291" s="445"/>
      <c r="H291" s="445"/>
      <c r="I291" s="445"/>
      <c r="J291" s="445"/>
      <c r="K291" s="445">
        <v>4</v>
      </c>
      <c r="L291" s="445">
        <f>F291*K291</f>
        <v>0</v>
      </c>
      <c r="M291" s="445">
        <f>H291+J291+L291</f>
        <v>0</v>
      </c>
      <c r="N291" s="240"/>
    </row>
    <row r="292" spans="1:14" s="76" customFormat="1" ht="15.75" hidden="1" x14ac:dyDescent="0.3">
      <c r="A292" s="1274"/>
      <c r="C292" s="42" t="s">
        <v>317</v>
      </c>
      <c r="D292" s="297" t="s">
        <v>37</v>
      </c>
      <c r="E292" s="447">
        <v>1.0149999999999999</v>
      </c>
      <c r="F292" s="21">
        <f>F289*E292</f>
        <v>0</v>
      </c>
      <c r="G292" s="8"/>
      <c r="H292" s="445">
        <f t="shared" ref="H292:H296" si="20">F292*G292</f>
        <v>0</v>
      </c>
      <c r="I292" s="17"/>
      <c r="J292" s="445"/>
      <c r="K292" s="18"/>
      <c r="L292" s="445"/>
      <c r="M292" s="445">
        <f t="shared" ref="M292:M296" si="21">H292+J292+L292</f>
        <v>0</v>
      </c>
      <c r="N292" s="240"/>
    </row>
    <row r="293" spans="1:14" s="76" customFormat="1" ht="15.75" hidden="1" x14ac:dyDescent="0.3">
      <c r="A293" s="1274"/>
      <c r="B293" s="220"/>
      <c r="C293" s="42" t="s">
        <v>336</v>
      </c>
      <c r="D293" s="297" t="s">
        <v>47</v>
      </c>
      <c r="E293" s="447">
        <v>2.0499999999999998</v>
      </c>
      <c r="F293" s="21">
        <f>F289*E293</f>
        <v>0</v>
      </c>
      <c r="G293" s="8"/>
      <c r="H293" s="445">
        <f t="shared" si="20"/>
        <v>0</v>
      </c>
      <c r="I293" s="17"/>
      <c r="J293" s="445"/>
      <c r="K293" s="18"/>
      <c r="L293" s="445"/>
      <c r="M293" s="445">
        <f t="shared" si="21"/>
        <v>0</v>
      </c>
      <c r="N293" s="240"/>
    </row>
    <row r="294" spans="1:14" s="76" customFormat="1" ht="15.75" hidden="1" x14ac:dyDescent="0.3">
      <c r="A294" s="1274"/>
      <c r="B294" s="220"/>
      <c r="C294" s="42" t="s">
        <v>39</v>
      </c>
      <c r="D294" s="297" t="s">
        <v>37</v>
      </c>
      <c r="E294" s="447">
        <f>(0.3+2.78)/100</f>
        <v>3.0799999999999998E-2</v>
      </c>
      <c r="F294" s="21">
        <f>F289*E294</f>
        <v>0</v>
      </c>
      <c r="G294" s="8"/>
      <c r="H294" s="445">
        <f t="shared" si="20"/>
        <v>0</v>
      </c>
      <c r="I294" s="17"/>
      <c r="J294" s="445"/>
      <c r="K294" s="18"/>
      <c r="L294" s="445"/>
      <c r="M294" s="445">
        <f t="shared" si="21"/>
        <v>0</v>
      </c>
      <c r="N294" s="240"/>
    </row>
    <row r="295" spans="1:14" s="76" customFormat="1" ht="15.75" hidden="1" x14ac:dyDescent="0.3">
      <c r="A295" s="1274"/>
      <c r="B295" s="220"/>
      <c r="C295" s="42" t="s">
        <v>267</v>
      </c>
      <c r="D295" s="297" t="s">
        <v>2</v>
      </c>
      <c r="E295" s="447">
        <v>0</v>
      </c>
      <c r="F295" s="21">
        <f>F289*E295</f>
        <v>0</v>
      </c>
      <c r="G295" s="8"/>
      <c r="H295" s="445">
        <f t="shared" si="20"/>
        <v>0</v>
      </c>
      <c r="I295" s="17"/>
      <c r="J295" s="445"/>
      <c r="K295" s="18"/>
      <c r="L295" s="445"/>
      <c r="M295" s="445">
        <f t="shared" si="21"/>
        <v>0</v>
      </c>
      <c r="N295" s="240"/>
    </row>
    <row r="296" spans="1:14" s="76" customFormat="1" ht="15.75" hidden="1" x14ac:dyDescent="0.3">
      <c r="A296" s="1274"/>
      <c r="B296" s="220"/>
      <c r="C296" s="42" t="s">
        <v>45</v>
      </c>
      <c r="D296" s="297" t="s">
        <v>2</v>
      </c>
      <c r="E296" s="447">
        <v>1.7</v>
      </c>
      <c r="F296" s="21">
        <f>F289*E296</f>
        <v>0</v>
      </c>
      <c r="G296" s="8"/>
      <c r="H296" s="445">
        <f t="shared" si="20"/>
        <v>0</v>
      </c>
      <c r="I296" s="17"/>
      <c r="J296" s="445"/>
      <c r="K296" s="18"/>
      <c r="L296" s="445"/>
      <c r="M296" s="445">
        <f t="shared" si="21"/>
        <v>0</v>
      </c>
      <c r="N296" s="240"/>
    </row>
    <row r="297" spans="1:14" s="76" customFormat="1" ht="15.75" hidden="1" x14ac:dyDescent="0.3">
      <c r="A297" s="1274"/>
      <c r="B297" s="220"/>
      <c r="C297" s="42" t="s">
        <v>50</v>
      </c>
      <c r="D297" s="297" t="s">
        <v>4</v>
      </c>
      <c r="E297" s="447">
        <v>0.7</v>
      </c>
      <c r="F297" s="21">
        <f>F289*E297</f>
        <v>0</v>
      </c>
      <c r="G297" s="32"/>
      <c r="H297" s="445">
        <f>F297*G297</f>
        <v>0</v>
      </c>
      <c r="I297" s="17"/>
      <c r="J297" s="445"/>
      <c r="K297" s="18"/>
      <c r="L297" s="445"/>
      <c r="M297" s="445">
        <f>H297+J297+L297</f>
        <v>0</v>
      </c>
      <c r="N297" s="240"/>
    </row>
    <row r="298" spans="1:14" s="76" customFormat="1" ht="15.75" hidden="1" x14ac:dyDescent="0.3">
      <c r="A298" s="1274"/>
      <c r="B298" s="449"/>
      <c r="C298" s="448" t="s">
        <v>383</v>
      </c>
      <c r="D298" s="449" t="s">
        <v>38</v>
      </c>
      <c r="E298" s="454"/>
      <c r="F298" s="38">
        <v>0</v>
      </c>
      <c r="G298" s="445"/>
      <c r="H298" s="445">
        <f>F298*G298</f>
        <v>0</v>
      </c>
      <c r="I298" s="445"/>
      <c r="J298" s="445"/>
      <c r="K298" s="81"/>
      <c r="L298" s="445"/>
      <c r="M298" s="445">
        <f>H298+J298+L298</f>
        <v>0</v>
      </c>
      <c r="N298" s="240"/>
    </row>
    <row r="299" spans="1:14" s="76" customFormat="1" ht="15.75" hidden="1" x14ac:dyDescent="0.3">
      <c r="A299" s="1275"/>
      <c r="B299" s="449"/>
      <c r="C299" s="448" t="s">
        <v>295</v>
      </c>
      <c r="D299" s="449" t="s">
        <v>38</v>
      </c>
      <c r="E299" s="454"/>
      <c r="F299" s="38">
        <v>0</v>
      </c>
      <c r="G299" s="445"/>
      <c r="H299" s="445">
        <f>F299*G299</f>
        <v>0</v>
      </c>
      <c r="I299" s="445"/>
      <c r="J299" s="445"/>
      <c r="K299" s="81"/>
      <c r="L299" s="445"/>
      <c r="M299" s="445">
        <f>H299+J299+L299</f>
        <v>0</v>
      </c>
      <c r="N299" s="240"/>
    </row>
    <row r="300" spans="1:14" s="76" customFormat="1" ht="31.5" x14ac:dyDescent="0.3">
      <c r="A300" s="1273" t="s">
        <v>82</v>
      </c>
      <c r="B300" s="452" t="s">
        <v>326</v>
      </c>
      <c r="C300" s="448" t="s">
        <v>380</v>
      </c>
      <c r="D300" s="452" t="s">
        <v>47</v>
      </c>
      <c r="E300" s="10"/>
      <c r="F300" s="38">
        <f>(0.4*2)*(3.14*2.4+3.14*5.2+3.14*1.4+3.14*1.8+3.14*0.9+3.14*1.3*2)</f>
        <v>35.921600000000005</v>
      </c>
      <c r="G300" s="445"/>
      <c r="H300" s="445"/>
      <c r="I300" s="445"/>
      <c r="J300" s="445"/>
      <c r="K300" s="81"/>
      <c r="L300" s="445"/>
      <c r="M300" s="445"/>
      <c r="N300" s="240"/>
    </row>
    <row r="301" spans="1:14" s="76" customFormat="1" ht="15.75" x14ac:dyDescent="0.3">
      <c r="A301" s="1274"/>
      <c r="B301" s="451"/>
      <c r="C301" s="295" t="s">
        <v>327</v>
      </c>
      <c r="D301" s="347" t="s">
        <v>14</v>
      </c>
      <c r="E301" s="293">
        <f>(19.2+5.97)/100</f>
        <v>0.25169999999999998</v>
      </c>
      <c r="F301" s="293">
        <f>F300*E301</f>
        <v>9.0414667200000007</v>
      </c>
      <c r="G301" s="8"/>
      <c r="H301" s="8"/>
      <c r="I301" s="8"/>
      <c r="J301" s="8">
        <f>F301*I301</f>
        <v>0</v>
      </c>
      <c r="K301" s="8"/>
      <c r="L301" s="8"/>
      <c r="M301" s="8">
        <f>H301+J301+L301</f>
        <v>0</v>
      </c>
      <c r="N301" s="240"/>
    </row>
    <row r="302" spans="1:14" s="76" customFormat="1" ht="15.75" x14ac:dyDescent="0.3">
      <c r="A302" s="1274"/>
      <c r="B302" s="451"/>
      <c r="C302" s="26" t="s">
        <v>17</v>
      </c>
      <c r="D302" s="451" t="s">
        <v>4</v>
      </c>
      <c r="E302" s="447">
        <f>(0.59+0.24)/100</f>
        <v>8.3000000000000001E-3</v>
      </c>
      <c r="F302" s="447">
        <f>F300*E302</f>
        <v>0.29814928000000007</v>
      </c>
      <c r="G302" s="445"/>
      <c r="H302" s="12"/>
      <c r="I302" s="445"/>
      <c r="J302" s="445"/>
      <c r="K302" s="445"/>
      <c r="L302" s="445">
        <f>F302*K302</f>
        <v>0</v>
      </c>
      <c r="M302" s="8">
        <f>H302+J302+L302</f>
        <v>0</v>
      </c>
      <c r="N302" s="240"/>
    </row>
    <row r="303" spans="1:14" s="76" customFormat="1" ht="15.75" x14ac:dyDescent="0.3">
      <c r="A303" s="1274"/>
      <c r="B303" s="449"/>
      <c r="C303" s="26" t="s">
        <v>328</v>
      </c>
      <c r="D303" s="449" t="s">
        <v>2</v>
      </c>
      <c r="E303" s="454">
        <f>(0.29+0.14)*1000/100</f>
        <v>4.3</v>
      </c>
      <c r="F303" s="447">
        <f>E303*F300</f>
        <v>154.46288000000001</v>
      </c>
      <c r="G303" s="445"/>
      <c r="H303" s="445">
        <f>G303*F303</f>
        <v>0</v>
      </c>
      <c r="I303" s="445"/>
      <c r="J303" s="445"/>
      <c r="K303" s="445"/>
      <c r="L303" s="445"/>
      <c r="M303" s="445">
        <f>H303</f>
        <v>0</v>
      </c>
      <c r="N303" s="240"/>
    </row>
    <row r="304" spans="1:14" s="76" customFormat="1" ht="15.75" x14ac:dyDescent="0.3">
      <c r="A304" s="1274"/>
      <c r="B304" s="449"/>
      <c r="C304" s="26" t="s">
        <v>329</v>
      </c>
      <c r="D304" s="449" t="s">
        <v>2</v>
      </c>
      <c r="E304" s="454">
        <v>0.76</v>
      </c>
      <c r="F304" s="447">
        <f>E304*F300</f>
        <v>27.300416000000006</v>
      </c>
      <c r="G304" s="445"/>
      <c r="H304" s="445">
        <f>G304*F304</f>
        <v>0</v>
      </c>
      <c r="I304" s="445"/>
      <c r="J304" s="445"/>
      <c r="K304" s="445"/>
      <c r="L304" s="445"/>
      <c r="M304" s="445">
        <f>H304</f>
        <v>0</v>
      </c>
      <c r="N304" s="240"/>
    </row>
    <row r="305" spans="1:14" s="76" customFormat="1" ht="15.75" x14ac:dyDescent="0.3">
      <c r="A305" s="1275"/>
      <c r="B305" s="449"/>
      <c r="C305" s="26" t="s">
        <v>330</v>
      </c>
      <c r="D305" s="449" t="s">
        <v>331</v>
      </c>
      <c r="E305" s="454">
        <v>1.9E-3</v>
      </c>
      <c r="F305" s="447">
        <f>E305*F300</f>
        <v>6.8251040000000013E-2</v>
      </c>
      <c r="G305" s="445"/>
      <c r="H305" s="445">
        <f>G305*F305</f>
        <v>0</v>
      </c>
      <c r="I305" s="445"/>
      <c r="J305" s="445"/>
      <c r="K305" s="445"/>
      <c r="L305" s="445"/>
      <c r="M305" s="445">
        <f>H305</f>
        <v>0</v>
      </c>
      <c r="N305" s="240"/>
    </row>
    <row r="306" spans="1:14" s="76" customFormat="1" ht="47.25" x14ac:dyDescent="0.3">
      <c r="A306" s="1273" t="s">
        <v>40</v>
      </c>
      <c r="B306" s="220" t="s">
        <v>333</v>
      </c>
      <c r="C306" s="442" t="s">
        <v>385</v>
      </c>
      <c r="D306" s="220" t="s">
        <v>47</v>
      </c>
      <c r="E306" s="23"/>
      <c r="F306" s="78">
        <f>(0.8+0.3+0.2)*(3.14*2.4+3.14*5.2+3.14*1.4+3.14*1.8+3.14*0.9+3.14*1.3*2)</f>
        <v>58.372600000000013</v>
      </c>
      <c r="G306" s="8"/>
      <c r="H306" s="8"/>
      <c r="I306" s="8"/>
      <c r="J306" s="8"/>
      <c r="K306" s="8"/>
      <c r="L306" s="223"/>
      <c r="M306" s="223"/>
      <c r="N306" s="240"/>
    </row>
    <row r="307" spans="1:14" s="76" customFormat="1" ht="15.75" x14ac:dyDescent="0.3">
      <c r="A307" s="1274"/>
      <c r="B307" s="449"/>
      <c r="C307" s="26" t="s">
        <v>332</v>
      </c>
      <c r="D307" s="449" t="s">
        <v>6</v>
      </c>
      <c r="E307" s="454">
        <v>11.8</v>
      </c>
      <c r="F307" s="447">
        <f>E307*F306</f>
        <v>688.79668000000015</v>
      </c>
      <c r="G307" s="420"/>
      <c r="H307" s="420"/>
      <c r="I307" s="445"/>
      <c r="J307" s="445">
        <f>I307*F307</f>
        <v>0</v>
      </c>
      <c r="K307" s="420"/>
      <c r="L307" s="420"/>
      <c r="M307" s="445">
        <f>L307+J307+H307</f>
        <v>0</v>
      </c>
      <c r="N307" s="240"/>
    </row>
    <row r="308" spans="1:14" s="76" customFormat="1" ht="15.75" x14ac:dyDescent="0.3">
      <c r="A308" s="1274"/>
      <c r="B308" s="449"/>
      <c r="C308" s="26" t="s">
        <v>334</v>
      </c>
      <c r="D308" s="449" t="s">
        <v>4</v>
      </c>
      <c r="E308" s="454">
        <v>0.15</v>
      </c>
      <c r="F308" s="447">
        <f>E308*F306</f>
        <v>8.7558900000000008</v>
      </c>
      <c r="G308" s="420"/>
      <c r="H308" s="420"/>
      <c r="I308" s="420"/>
      <c r="J308" s="420"/>
      <c r="K308" s="445"/>
      <c r="L308" s="445">
        <f>K308*F308</f>
        <v>0</v>
      </c>
      <c r="M308" s="420">
        <f>L308+J308+H308</f>
        <v>0</v>
      </c>
      <c r="N308" s="240"/>
    </row>
    <row r="309" spans="1:14" s="76" customFormat="1" ht="15.75" x14ac:dyDescent="0.3">
      <c r="A309" s="1274"/>
      <c r="B309" s="449"/>
      <c r="C309" s="26" t="s">
        <v>402</v>
      </c>
      <c r="D309" s="449" t="s">
        <v>47</v>
      </c>
      <c r="E309" s="454">
        <v>1.05</v>
      </c>
      <c r="F309" s="447">
        <f>E309*F306</f>
        <v>61.291230000000013</v>
      </c>
      <c r="G309" s="445"/>
      <c r="H309" s="445">
        <f>G309*F309</f>
        <v>0</v>
      </c>
      <c r="I309" s="420"/>
      <c r="J309" s="420"/>
      <c r="K309" s="420"/>
      <c r="L309" s="420"/>
      <c r="M309" s="420">
        <f>L309+J309+H309</f>
        <v>0</v>
      </c>
      <c r="N309" s="240"/>
    </row>
    <row r="310" spans="1:14" s="76" customFormat="1" ht="15.75" x14ac:dyDescent="0.3">
      <c r="A310" s="1274"/>
      <c r="B310" s="449"/>
      <c r="C310" s="26" t="s">
        <v>88</v>
      </c>
      <c r="D310" s="449" t="s">
        <v>335</v>
      </c>
      <c r="E310" s="454">
        <v>3.5999999999999997E-2</v>
      </c>
      <c r="F310" s="447">
        <f>E310*F306</f>
        <v>2.1014136000000003</v>
      </c>
      <c r="G310" s="445"/>
      <c r="H310" s="445">
        <f>G310*F310</f>
        <v>0</v>
      </c>
      <c r="I310" s="420"/>
      <c r="J310" s="420"/>
      <c r="K310" s="420"/>
      <c r="L310" s="420"/>
      <c r="M310" s="420">
        <f>L310+J310+H310</f>
        <v>0</v>
      </c>
      <c r="N310" s="240"/>
    </row>
    <row r="311" spans="1:14" s="76" customFormat="1" ht="15.75" x14ac:dyDescent="0.3">
      <c r="A311" s="1275"/>
      <c r="B311" s="449"/>
      <c r="C311" s="26" t="s">
        <v>50</v>
      </c>
      <c r="D311" s="449" t="s">
        <v>21</v>
      </c>
      <c r="E311" s="454">
        <v>0.01</v>
      </c>
      <c r="F311" s="447">
        <f>E311*F306</f>
        <v>0.58372600000000019</v>
      </c>
      <c r="G311" s="445"/>
      <c r="H311" s="445">
        <f>G311*F311</f>
        <v>0</v>
      </c>
      <c r="I311" s="420"/>
      <c r="J311" s="420"/>
      <c r="K311" s="420"/>
      <c r="L311" s="420"/>
      <c r="M311" s="420">
        <f>L311+J311+H311</f>
        <v>0</v>
      </c>
      <c r="N311" s="240"/>
    </row>
    <row r="312" spans="1:14" s="76" customFormat="1" ht="15.75" x14ac:dyDescent="0.3">
      <c r="A312" s="1273" t="s">
        <v>46</v>
      </c>
      <c r="B312" s="452" t="s">
        <v>63</v>
      </c>
      <c r="C312" s="62" t="s">
        <v>387</v>
      </c>
      <c r="D312" s="452" t="s">
        <v>37</v>
      </c>
      <c r="E312" s="10"/>
      <c r="F312" s="23">
        <f>3.14*1*1*0.7+3.14*2.4*2.4*0.7+3.14*0.5*0.5*0.8314*0.7*0.7*0.7+3.14*0.25*0.25*0.7+3.14*0.45*0.45*0.7*2</f>
        <v>16.109903607</v>
      </c>
      <c r="G312" s="445"/>
      <c r="H312" s="445"/>
      <c r="I312" s="420"/>
      <c r="J312" s="420"/>
      <c r="K312" s="420"/>
      <c r="L312" s="420"/>
      <c r="M312" s="420"/>
      <c r="N312" s="240"/>
    </row>
    <row r="313" spans="1:14" s="76" customFormat="1" ht="15.75" x14ac:dyDescent="0.3">
      <c r="A313" s="1274"/>
      <c r="B313" s="449"/>
      <c r="C313" s="26" t="s">
        <v>54</v>
      </c>
      <c r="D313" s="449" t="s">
        <v>6</v>
      </c>
      <c r="E313" s="454">
        <v>1.21</v>
      </c>
      <c r="F313" s="447">
        <f>F312*E313</f>
        <v>19.49298336447</v>
      </c>
      <c r="G313" s="445"/>
      <c r="H313" s="445"/>
      <c r="I313" s="420"/>
      <c r="J313" s="445">
        <f>I313*F313</f>
        <v>0</v>
      </c>
      <c r="K313" s="420"/>
      <c r="L313" s="420"/>
      <c r="M313" s="445">
        <f>L313+J313+H313</f>
        <v>0</v>
      </c>
      <c r="N313" s="240"/>
    </row>
    <row r="314" spans="1:14" s="76" customFormat="1" ht="15.75" x14ac:dyDescent="0.3">
      <c r="A314" s="1275"/>
      <c r="B314" s="449"/>
      <c r="C314" s="26" t="s">
        <v>386</v>
      </c>
      <c r="D314" s="449" t="s">
        <v>37</v>
      </c>
      <c r="E314" s="454">
        <v>1.3</v>
      </c>
      <c r="F314" s="447">
        <f>F312*E314</f>
        <v>20.942874689100002</v>
      </c>
      <c r="G314" s="445"/>
      <c r="H314" s="445">
        <f>G314*F314</f>
        <v>0</v>
      </c>
      <c r="I314" s="420"/>
      <c r="J314" s="420"/>
      <c r="K314" s="420"/>
      <c r="L314" s="420"/>
      <c r="M314" s="420">
        <f>L314+J314+H314</f>
        <v>0</v>
      </c>
      <c r="N314" s="240"/>
    </row>
    <row r="315" spans="1:14" s="76" customFormat="1" ht="62.25" hidden="1" x14ac:dyDescent="0.3">
      <c r="A315" s="1273" t="s">
        <v>48</v>
      </c>
      <c r="B315" s="452" t="s">
        <v>18</v>
      </c>
      <c r="C315" s="148" t="s">
        <v>832</v>
      </c>
      <c r="D315" s="31" t="s">
        <v>47</v>
      </c>
      <c r="E315" s="10"/>
      <c r="F315" s="38">
        <v>0</v>
      </c>
      <c r="G315" s="32"/>
      <c r="H315" s="445"/>
      <c r="I315" s="17"/>
      <c r="J315" s="445"/>
      <c r="K315" s="18"/>
      <c r="L315" s="445"/>
      <c r="M315" s="445"/>
      <c r="N315" s="240"/>
    </row>
    <row r="316" spans="1:14" s="76" customFormat="1" ht="15.75" hidden="1" x14ac:dyDescent="0.3">
      <c r="A316" s="1274"/>
      <c r="B316" s="452"/>
      <c r="C316" s="145" t="s">
        <v>36</v>
      </c>
      <c r="D316" s="283" t="s">
        <v>6</v>
      </c>
      <c r="E316" s="454">
        <v>1</v>
      </c>
      <c r="F316" s="36">
        <f>F315*E316</f>
        <v>0</v>
      </c>
      <c r="G316" s="32"/>
      <c r="H316" s="445"/>
      <c r="I316" s="17">
        <v>10</v>
      </c>
      <c r="J316" s="445">
        <f>I316*F316</f>
        <v>0</v>
      </c>
      <c r="K316" s="420"/>
      <c r="L316" s="420"/>
      <c r="M316" s="445">
        <f>L316+J316+H316</f>
        <v>0</v>
      </c>
      <c r="N316" s="240"/>
    </row>
    <row r="317" spans="1:14" s="76" customFormat="1" ht="31.5" hidden="1" x14ac:dyDescent="0.3">
      <c r="A317" s="1275"/>
      <c r="B317" s="449"/>
      <c r="C317" s="13" t="s">
        <v>408</v>
      </c>
      <c r="D317" s="449" t="s">
        <v>47</v>
      </c>
      <c r="E317" s="454">
        <v>1.1000000000000001</v>
      </c>
      <c r="F317" s="36">
        <f>F315*E317</f>
        <v>0</v>
      </c>
      <c r="G317" s="445">
        <v>100</v>
      </c>
      <c r="H317" s="445">
        <f>G317*F317</f>
        <v>0</v>
      </c>
      <c r="I317" s="420"/>
      <c r="J317" s="420"/>
      <c r="K317" s="420"/>
      <c r="L317" s="420"/>
      <c r="M317" s="420">
        <f>L317+J317+H317</f>
        <v>0</v>
      </c>
      <c r="N317" s="500">
        <f>SUM(M261:M317)</f>
        <v>0</v>
      </c>
    </row>
    <row r="318" spans="1:14" s="76" customFormat="1" ht="31.5" x14ac:dyDescent="0.3">
      <c r="A318" s="1116" t="s">
        <v>553</v>
      </c>
      <c r="B318" s="519"/>
      <c r="C318" s="582" t="s">
        <v>833</v>
      </c>
      <c r="D318" s="519"/>
      <c r="E318" s="524"/>
      <c r="F318" s="36"/>
      <c r="G318" s="514"/>
      <c r="H318" s="514"/>
      <c r="I318" s="420"/>
      <c r="J318" s="420"/>
      <c r="K318" s="420"/>
      <c r="L318" s="420"/>
      <c r="M318" s="420"/>
      <c r="N318" s="500"/>
    </row>
    <row r="319" spans="1:14" s="76" customFormat="1" ht="31.5" x14ac:dyDescent="0.3">
      <c r="A319" s="1259" t="s">
        <v>90</v>
      </c>
      <c r="B319" s="484" t="s">
        <v>835</v>
      </c>
      <c r="C319" s="876" t="s">
        <v>836</v>
      </c>
      <c r="D319" s="877"/>
      <c r="E319" s="655"/>
      <c r="F319" s="655"/>
      <c r="G319" s="407"/>
      <c r="H319" s="408"/>
      <c r="I319" s="408"/>
      <c r="J319" s="408"/>
      <c r="K319" s="408"/>
      <c r="L319" s="408"/>
      <c r="M319" s="409"/>
      <c r="N319" s="240"/>
    </row>
    <row r="320" spans="1:14" s="76" customFormat="1" ht="15.75" x14ac:dyDescent="0.3">
      <c r="A320" s="1260"/>
      <c r="B320" s="1322" t="s">
        <v>848</v>
      </c>
      <c r="C320" s="885" t="s">
        <v>837</v>
      </c>
      <c r="D320" s="886" t="s">
        <v>41</v>
      </c>
      <c r="E320" s="878"/>
      <c r="F320" s="878">
        <f>(0.3+0.45+0.5)*20*1.1</f>
        <v>27.500000000000004</v>
      </c>
      <c r="G320" s="410"/>
      <c r="H320" s="411"/>
      <c r="I320" s="411"/>
      <c r="J320" s="411"/>
      <c r="K320" s="411"/>
      <c r="L320" s="411"/>
      <c r="M320" s="412"/>
      <c r="N320" s="240"/>
    </row>
    <row r="321" spans="1:14" s="76" customFormat="1" ht="15.75" x14ac:dyDescent="0.3">
      <c r="A321" s="1260"/>
      <c r="B321" s="1323"/>
      <c r="C321" s="887"/>
      <c r="D321" s="886" t="s">
        <v>38</v>
      </c>
      <c r="E321" s="878"/>
      <c r="F321" s="878">
        <f>F320*0.00471</f>
        <v>0.129525</v>
      </c>
      <c r="G321" s="410"/>
      <c r="H321" s="411"/>
      <c r="I321" s="411"/>
      <c r="J321" s="411"/>
      <c r="K321" s="411"/>
      <c r="L321" s="411"/>
      <c r="M321" s="412"/>
      <c r="N321" s="240"/>
    </row>
    <row r="322" spans="1:14" s="76" customFormat="1" ht="15.75" x14ac:dyDescent="0.3">
      <c r="A322" s="1260"/>
      <c r="B322" s="1323"/>
      <c r="C322" s="888" t="s">
        <v>838</v>
      </c>
      <c r="D322" s="886" t="s">
        <v>41</v>
      </c>
      <c r="E322" s="878"/>
      <c r="F322" s="878">
        <f>(3.14*2.4)*3*1.1</f>
        <v>24.8688</v>
      </c>
      <c r="G322" s="410"/>
      <c r="H322" s="411"/>
      <c r="I322" s="411"/>
      <c r="J322" s="411"/>
      <c r="K322" s="411"/>
      <c r="L322" s="411"/>
      <c r="M322" s="412"/>
      <c r="N322" s="240"/>
    </row>
    <row r="323" spans="1:14" s="76" customFormat="1" ht="15.75" x14ac:dyDescent="0.3">
      <c r="A323" s="1260"/>
      <c r="B323" s="1323"/>
      <c r="C323" s="889"/>
      <c r="D323" s="886" t="s">
        <v>38</v>
      </c>
      <c r="E323" s="878"/>
      <c r="F323" s="878">
        <f>F322*0.00188</f>
        <v>4.6753344000000002E-2</v>
      </c>
      <c r="G323" s="410"/>
      <c r="H323" s="411"/>
      <c r="I323" s="411"/>
      <c r="J323" s="411"/>
      <c r="K323" s="411"/>
      <c r="L323" s="411"/>
      <c r="M323" s="412"/>
      <c r="N323" s="240"/>
    </row>
    <row r="324" spans="1:14" s="76" customFormat="1" ht="15.75" x14ac:dyDescent="0.3">
      <c r="A324" s="1260"/>
      <c r="B324" s="1324"/>
      <c r="C324" s="885" t="s">
        <v>858</v>
      </c>
      <c r="D324" s="886" t="s">
        <v>52</v>
      </c>
      <c r="E324" s="878"/>
      <c r="F324" s="878">
        <f>20*2</f>
        <v>40</v>
      </c>
      <c r="G324" s="410"/>
      <c r="H324" s="411"/>
      <c r="I324" s="411"/>
      <c r="J324" s="411"/>
      <c r="K324" s="411"/>
      <c r="L324" s="411"/>
      <c r="M324" s="412"/>
      <c r="N324" s="240"/>
    </row>
    <row r="325" spans="1:14" s="76" customFormat="1" ht="15.75" x14ac:dyDescent="0.3">
      <c r="A325" s="1260"/>
      <c r="B325" s="1322" t="s">
        <v>849</v>
      </c>
      <c r="C325" s="885" t="s">
        <v>837</v>
      </c>
      <c r="D325" s="886" t="s">
        <v>41</v>
      </c>
      <c r="E325" s="878"/>
      <c r="F325" s="878">
        <f>(0.3+0.45+0.5)*41*1.1</f>
        <v>56.375000000000007</v>
      </c>
      <c r="G325" s="410"/>
      <c r="H325" s="411"/>
      <c r="I325" s="411"/>
      <c r="J325" s="411"/>
      <c r="K325" s="411"/>
      <c r="L325" s="411"/>
      <c r="M325" s="412"/>
      <c r="N325" s="240"/>
    </row>
    <row r="326" spans="1:14" s="76" customFormat="1" ht="15.75" x14ac:dyDescent="0.3">
      <c r="A326" s="1260"/>
      <c r="B326" s="1323"/>
      <c r="C326" s="887"/>
      <c r="D326" s="886" t="s">
        <v>38</v>
      </c>
      <c r="E326" s="878"/>
      <c r="F326" s="878">
        <f>F325*0.00471</f>
        <v>0.26552625000000002</v>
      </c>
      <c r="G326" s="410"/>
      <c r="H326" s="411"/>
      <c r="I326" s="411"/>
      <c r="J326" s="411"/>
      <c r="K326" s="411"/>
      <c r="L326" s="411"/>
      <c r="M326" s="412"/>
      <c r="N326" s="240"/>
    </row>
    <row r="327" spans="1:14" s="76" customFormat="1" ht="15.75" x14ac:dyDescent="0.3">
      <c r="A327" s="1260"/>
      <c r="B327" s="1323"/>
      <c r="C327" s="888" t="s">
        <v>838</v>
      </c>
      <c r="D327" s="886" t="s">
        <v>41</v>
      </c>
      <c r="E327" s="878"/>
      <c r="F327" s="878">
        <f>(3.14*5.2)*3*1.1</f>
        <v>53.882400000000011</v>
      </c>
      <c r="G327" s="410"/>
      <c r="H327" s="411"/>
      <c r="I327" s="411"/>
      <c r="J327" s="411"/>
      <c r="K327" s="411"/>
      <c r="L327" s="411"/>
      <c r="M327" s="412"/>
      <c r="N327" s="240"/>
    </row>
    <row r="328" spans="1:14" s="76" customFormat="1" ht="15.75" x14ac:dyDescent="0.3">
      <c r="A328" s="1260"/>
      <c r="B328" s="1323"/>
      <c r="C328" s="889"/>
      <c r="D328" s="886" t="s">
        <v>38</v>
      </c>
      <c r="E328" s="878"/>
      <c r="F328" s="878">
        <f>F327*0.00188</f>
        <v>0.10129891200000002</v>
      </c>
      <c r="G328" s="410"/>
      <c r="H328" s="411"/>
      <c r="I328" s="411"/>
      <c r="J328" s="411"/>
      <c r="K328" s="411"/>
      <c r="L328" s="411"/>
      <c r="M328" s="412"/>
      <c r="N328" s="240"/>
    </row>
    <row r="329" spans="1:14" s="76" customFormat="1" ht="15.75" x14ac:dyDescent="0.3">
      <c r="A329" s="1260"/>
      <c r="B329" s="1324"/>
      <c r="C329" s="885" t="s">
        <v>858</v>
      </c>
      <c r="D329" s="886" t="s">
        <v>52</v>
      </c>
      <c r="E329" s="878"/>
      <c r="F329" s="878">
        <f>41*2</f>
        <v>82</v>
      </c>
      <c r="G329" s="410"/>
      <c r="H329" s="411"/>
      <c r="I329" s="411"/>
      <c r="J329" s="411"/>
      <c r="K329" s="411"/>
      <c r="L329" s="411"/>
      <c r="M329" s="412"/>
      <c r="N329" s="240"/>
    </row>
    <row r="330" spans="1:14" s="76" customFormat="1" ht="27" customHeight="1" x14ac:dyDescent="0.3">
      <c r="A330" s="1260"/>
      <c r="B330" s="1322" t="s">
        <v>850</v>
      </c>
      <c r="C330" s="885" t="s">
        <v>837</v>
      </c>
      <c r="D330" s="886" t="s">
        <v>41</v>
      </c>
      <c r="E330" s="878"/>
      <c r="F330" s="878">
        <f>(0.3+0.45+0.5)*12*1.1</f>
        <v>16.5</v>
      </c>
      <c r="G330" s="410"/>
      <c r="H330" s="411"/>
      <c r="I330" s="411"/>
      <c r="J330" s="411"/>
      <c r="K330" s="411"/>
      <c r="L330" s="411"/>
      <c r="M330" s="412"/>
      <c r="N330" s="240"/>
    </row>
    <row r="331" spans="1:14" s="76" customFormat="1" ht="15.75" x14ac:dyDescent="0.3">
      <c r="A331" s="1260"/>
      <c r="B331" s="1323"/>
      <c r="C331" s="887"/>
      <c r="D331" s="886" t="s">
        <v>38</v>
      </c>
      <c r="E331" s="878"/>
      <c r="F331" s="878">
        <f>F330*0.00471</f>
        <v>7.7714999999999992E-2</v>
      </c>
      <c r="G331" s="410"/>
      <c r="H331" s="411"/>
      <c r="I331" s="411"/>
      <c r="J331" s="411"/>
      <c r="K331" s="411"/>
      <c r="L331" s="411"/>
      <c r="M331" s="412"/>
      <c r="N331" s="240"/>
    </row>
    <row r="332" spans="1:14" s="76" customFormat="1" ht="15.75" x14ac:dyDescent="0.3">
      <c r="A332" s="1260"/>
      <c r="B332" s="1323"/>
      <c r="C332" s="888" t="s">
        <v>838</v>
      </c>
      <c r="D332" s="886" t="s">
        <v>41</v>
      </c>
      <c r="E332" s="878"/>
      <c r="F332" s="878">
        <f>(3.14*1.4)*3*1.1</f>
        <v>14.5068</v>
      </c>
      <c r="G332" s="410"/>
      <c r="H332" s="411"/>
      <c r="I332" s="411"/>
      <c r="J332" s="411"/>
      <c r="K332" s="411"/>
      <c r="L332" s="411"/>
      <c r="M332" s="412"/>
      <c r="N332" s="240"/>
    </row>
    <row r="333" spans="1:14" s="76" customFormat="1" ht="15.75" x14ac:dyDescent="0.3">
      <c r="A333" s="1260"/>
      <c r="B333" s="1323"/>
      <c r="C333" s="889"/>
      <c r="D333" s="886" t="s">
        <v>38</v>
      </c>
      <c r="E333" s="878"/>
      <c r="F333" s="878">
        <f>F332*0.00188</f>
        <v>2.7272783999999998E-2</v>
      </c>
      <c r="G333" s="410"/>
      <c r="H333" s="411"/>
      <c r="I333" s="411"/>
      <c r="J333" s="411"/>
      <c r="K333" s="411"/>
      <c r="L333" s="411"/>
      <c r="M333" s="412"/>
      <c r="N333" s="240"/>
    </row>
    <row r="334" spans="1:14" s="76" customFormat="1" ht="15.75" x14ac:dyDescent="0.3">
      <c r="A334" s="1260"/>
      <c r="B334" s="1323"/>
      <c r="C334" s="885" t="s">
        <v>858</v>
      </c>
      <c r="D334" s="886" t="s">
        <v>52</v>
      </c>
      <c r="E334" s="878"/>
      <c r="F334" s="878">
        <f>12*2</f>
        <v>24</v>
      </c>
      <c r="G334" s="410"/>
      <c r="H334" s="411"/>
      <c r="I334" s="411"/>
      <c r="J334" s="411"/>
      <c r="K334" s="411"/>
      <c r="L334" s="411"/>
      <c r="M334" s="412"/>
      <c r="N334" s="240"/>
    </row>
    <row r="335" spans="1:14" s="76" customFormat="1" ht="15.75" x14ac:dyDescent="0.3">
      <c r="A335" s="1260"/>
      <c r="B335" s="1323"/>
      <c r="C335" s="885" t="s">
        <v>851</v>
      </c>
      <c r="D335" s="886" t="s">
        <v>41</v>
      </c>
      <c r="E335" s="878"/>
      <c r="F335" s="878">
        <f>(0.35*5+2.25)*2 *1.1</f>
        <v>8.8000000000000007</v>
      </c>
      <c r="G335" s="410"/>
      <c r="H335" s="411"/>
      <c r="I335" s="411"/>
      <c r="J335" s="411"/>
      <c r="K335" s="411"/>
      <c r="L335" s="411"/>
      <c r="M335" s="412"/>
      <c r="N335" s="240"/>
    </row>
    <row r="336" spans="1:14" s="76" customFormat="1" ht="15.75" x14ac:dyDescent="0.3">
      <c r="A336" s="1260"/>
      <c r="B336" s="1323"/>
      <c r="C336" s="887"/>
      <c r="D336" s="886" t="s">
        <v>38</v>
      </c>
      <c r="E336" s="878"/>
      <c r="F336" s="878">
        <f>F335*0.005651</f>
        <v>4.9728800000000004E-2</v>
      </c>
      <c r="G336" s="410"/>
      <c r="H336" s="411"/>
      <c r="I336" s="411"/>
      <c r="J336" s="411"/>
      <c r="K336" s="411"/>
      <c r="L336" s="411"/>
      <c r="M336" s="412"/>
      <c r="N336" s="240"/>
    </row>
    <row r="337" spans="1:14" s="76" customFormat="1" ht="15.75" x14ac:dyDescent="0.3">
      <c r="A337" s="1260"/>
      <c r="B337" s="1323"/>
      <c r="C337" s="888" t="s">
        <v>838</v>
      </c>
      <c r="D337" s="886" t="s">
        <v>41</v>
      </c>
      <c r="E337" s="878"/>
      <c r="F337" s="878">
        <f>(2.25*2+0.45*5)*2 *1.1</f>
        <v>14.850000000000001</v>
      </c>
      <c r="G337" s="410"/>
      <c r="H337" s="411"/>
      <c r="I337" s="411"/>
      <c r="J337" s="411"/>
      <c r="K337" s="411"/>
      <c r="L337" s="411"/>
      <c r="M337" s="412"/>
      <c r="N337" s="240"/>
    </row>
    <row r="338" spans="1:14" s="76" customFormat="1" ht="15.75" x14ac:dyDescent="0.3">
      <c r="A338" s="1260"/>
      <c r="B338" s="1323"/>
      <c r="C338" s="889"/>
      <c r="D338" s="886" t="s">
        <v>38</v>
      </c>
      <c r="E338" s="878"/>
      <c r="F338" s="878">
        <f>F337*0.00188</f>
        <v>2.7918000000000002E-2</v>
      </c>
      <c r="G338" s="410"/>
      <c r="H338" s="411"/>
      <c r="I338" s="411"/>
      <c r="J338" s="411"/>
      <c r="K338" s="411"/>
      <c r="L338" s="411"/>
      <c r="M338" s="412"/>
      <c r="N338" s="240"/>
    </row>
    <row r="339" spans="1:14" s="76" customFormat="1" ht="15.75" x14ac:dyDescent="0.3">
      <c r="A339" s="1260"/>
      <c r="B339" s="1323"/>
      <c r="C339" s="888" t="s">
        <v>854</v>
      </c>
      <c r="D339" s="886" t="s">
        <v>47</v>
      </c>
      <c r="E339" s="878"/>
      <c r="F339" s="878">
        <f>5*0.15*0.15*1.1</f>
        <v>0.12375</v>
      </c>
      <c r="G339" s="410"/>
      <c r="H339" s="411"/>
      <c r="I339" s="411"/>
      <c r="J339" s="411"/>
      <c r="K339" s="411"/>
      <c r="L339" s="411"/>
      <c r="M339" s="412"/>
      <c r="N339" s="240"/>
    </row>
    <row r="340" spans="1:14" s="76" customFormat="1" ht="15.75" x14ac:dyDescent="0.3">
      <c r="A340" s="1260"/>
      <c r="B340" s="1324"/>
      <c r="C340" s="889"/>
      <c r="D340" s="886" t="s">
        <v>38</v>
      </c>
      <c r="E340" s="878"/>
      <c r="F340" s="878">
        <f>F339*0.0735</f>
        <v>9.0956249999999995E-3</v>
      </c>
      <c r="G340" s="410"/>
      <c r="H340" s="411"/>
      <c r="I340" s="411"/>
      <c r="J340" s="411"/>
      <c r="K340" s="411"/>
      <c r="L340" s="411"/>
      <c r="M340" s="412"/>
      <c r="N340" s="240"/>
    </row>
    <row r="341" spans="1:14" s="76" customFormat="1" ht="15.75" customHeight="1" x14ac:dyDescent="0.3">
      <c r="A341" s="1260"/>
      <c r="B341" s="1322" t="s">
        <v>852</v>
      </c>
      <c r="C341" s="885" t="s">
        <v>837</v>
      </c>
      <c r="D341" s="886" t="s">
        <v>41</v>
      </c>
      <c r="E341" s="878"/>
      <c r="F341" s="878">
        <f>(0.3+0.45+0.5)*(15+8)*1.1</f>
        <v>31.625000000000004</v>
      </c>
      <c r="G341" s="410"/>
      <c r="H341" s="411"/>
      <c r="I341" s="411"/>
      <c r="J341" s="411"/>
      <c r="K341" s="411"/>
      <c r="L341" s="411"/>
      <c r="M341" s="412"/>
      <c r="N341" s="240"/>
    </row>
    <row r="342" spans="1:14" s="76" customFormat="1" ht="15.75" x14ac:dyDescent="0.3">
      <c r="A342" s="1260"/>
      <c r="B342" s="1323"/>
      <c r="C342" s="887"/>
      <c r="D342" s="886" t="s">
        <v>38</v>
      </c>
      <c r="E342" s="878"/>
      <c r="F342" s="878">
        <f>F341*0.00471</f>
        <v>0.14895375</v>
      </c>
      <c r="G342" s="410"/>
      <c r="H342" s="411"/>
      <c r="I342" s="411"/>
      <c r="J342" s="411"/>
      <c r="K342" s="411"/>
      <c r="L342" s="411"/>
      <c r="M342" s="412"/>
      <c r="N342" s="240"/>
    </row>
    <row r="343" spans="1:14" s="76" customFormat="1" ht="15.75" x14ac:dyDescent="0.3">
      <c r="A343" s="1260"/>
      <c r="B343" s="1323"/>
      <c r="C343" s="888" t="s">
        <v>838</v>
      </c>
      <c r="D343" s="886" t="s">
        <v>41</v>
      </c>
      <c r="E343" s="878"/>
      <c r="F343" s="878">
        <f>(3.14*1.8+3.14*0.9)*3*1.1</f>
        <v>27.977399999999999</v>
      </c>
      <c r="G343" s="410"/>
      <c r="H343" s="411"/>
      <c r="I343" s="411"/>
      <c r="J343" s="411"/>
      <c r="K343" s="411"/>
      <c r="L343" s="411"/>
      <c r="M343" s="412"/>
      <c r="N343" s="240"/>
    </row>
    <row r="344" spans="1:14" s="76" customFormat="1" ht="15.75" x14ac:dyDescent="0.3">
      <c r="A344" s="1260"/>
      <c r="B344" s="1323"/>
      <c r="C344" s="889"/>
      <c r="D344" s="886" t="s">
        <v>38</v>
      </c>
      <c r="E344" s="878"/>
      <c r="F344" s="878">
        <f>F343*0.00188</f>
        <v>5.2597511999999999E-2</v>
      </c>
      <c r="G344" s="410"/>
      <c r="H344" s="411"/>
      <c r="I344" s="411"/>
      <c r="J344" s="411"/>
      <c r="K344" s="411"/>
      <c r="L344" s="411"/>
      <c r="M344" s="412"/>
      <c r="N344" s="240"/>
    </row>
    <row r="345" spans="1:14" s="76" customFormat="1" ht="15.75" x14ac:dyDescent="0.3">
      <c r="A345" s="1260"/>
      <c r="B345" s="1323"/>
      <c r="C345" s="885" t="s">
        <v>858</v>
      </c>
      <c r="D345" s="886" t="s">
        <v>52</v>
      </c>
      <c r="E345" s="878"/>
      <c r="F345" s="878">
        <f>(15+8)*2</f>
        <v>46</v>
      </c>
      <c r="G345" s="410"/>
      <c r="H345" s="411"/>
      <c r="I345" s="411"/>
      <c r="J345" s="411"/>
      <c r="K345" s="411"/>
      <c r="L345" s="411"/>
      <c r="M345" s="412"/>
      <c r="N345" s="240"/>
    </row>
    <row r="346" spans="1:14" s="76" customFormat="1" ht="15.75" x14ac:dyDescent="0.3">
      <c r="A346" s="1260"/>
      <c r="B346" s="1323"/>
      <c r="C346" s="885" t="s">
        <v>851</v>
      </c>
      <c r="D346" s="886" t="s">
        <v>41</v>
      </c>
      <c r="E346" s="878"/>
      <c r="F346" s="878">
        <f>(0.35*20+8.7) *1.1</f>
        <v>17.27</v>
      </c>
      <c r="G346" s="410"/>
      <c r="H346" s="411"/>
      <c r="I346" s="411"/>
      <c r="J346" s="411"/>
      <c r="K346" s="411"/>
      <c r="L346" s="411"/>
      <c r="M346" s="412"/>
      <c r="N346" s="240"/>
    </row>
    <row r="347" spans="1:14" s="76" customFormat="1" ht="15.75" x14ac:dyDescent="0.3">
      <c r="A347" s="1260"/>
      <c r="B347" s="1323"/>
      <c r="C347" s="887"/>
      <c r="D347" s="886" t="s">
        <v>38</v>
      </c>
      <c r="E347" s="878"/>
      <c r="F347" s="878">
        <f>F346*0.005651</f>
        <v>9.7592769999999995E-2</v>
      </c>
      <c r="G347" s="410"/>
      <c r="H347" s="411"/>
      <c r="I347" s="411"/>
      <c r="J347" s="411"/>
      <c r="K347" s="411"/>
      <c r="L347" s="411"/>
      <c r="M347" s="412"/>
      <c r="N347" s="240"/>
    </row>
    <row r="348" spans="1:14" s="76" customFormat="1" ht="15.75" x14ac:dyDescent="0.3">
      <c r="A348" s="1260"/>
      <c r="B348" s="1323"/>
      <c r="C348" s="888" t="s">
        <v>838</v>
      </c>
      <c r="D348" s="886" t="s">
        <v>41</v>
      </c>
      <c r="E348" s="878"/>
      <c r="F348" s="878">
        <f>(4.4*2+0.45*10+4.3*2+0.45*10) *1.1</f>
        <v>29.04</v>
      </c>
      <c r="G348" s="410"/>
      <c r="H348" s="411"/>
      <c r="I348" s="411"/>
      <c r="J348" s="411"/>
      <c r="K348" s="411"/>
      <c r="L348" s="411"/>
      <c r="M348" s="412"/>
      <c r="N348" s="240"/>
    </row>
    <row r="349" spans="1:14" s="76" customFormat="1" ht="15.75" x14ac:dyDescent="0.3">
      <c r="A349" s="1260"/>
      <c r="B349" s="1323"/>
      <c r="C349" s="889"/>
      <c r="D349" s="886" t="s">
        <v>38</v>
      </c>
      <c r="E349" s="878"/>
      <c r="F349" s="878">
        <f>F348*0.00188</f>
        <v>5.4595199999999997E-2</v>
      </c>
      <c r="G349" s="410"/>
      <c r="H349" s="411"/>
      <c r="I349" s="411"/>
      <c r="J349" s="411"/>
      <c r="K349" s="411"/>
      <c r="L349" s="411"/>
      <c r="M349" s="412"/>
      <c r="N349" s="240"/>
    </row>
    <row r="350" spans="1:14" s="76" customFormat="1" ht="15.75" x14ac:dyDescent="0.3">
      <c r="A350" s="1260"/>
      <c r="B350" s="1323"/>
      <c r="C350" s="888" t="s">
        <v>854</v>
      </c>
      <c r="D350" s="886" t="s">
        <v>47</v>
      </c>
      <c r="E350" s="878"/>
      <c r="F350" s="878">
        <f>20*0.15*0.15*1.1</f>
        <v>0.495</v>
      </c>
      <c r="G350" s="410"/>
      <c r="H350" s="411"/>
      <c r="I350" s="411"/>
      <c r="J350" s="411"/>
      <c r="K350" s="411"/>
      <c r="L350" s="411"/>
      <c r="M350" s="412"/>
      <c r="N350" s="240"/>
    </row>
    <row r="351" spans="1:14" s="76" customFormat="1" ht="15.75" x14ac:dyDescent="0.3">
      <c r="A351" s="1260"/>
      <c r="B351" s="1324"/>
      <c r="C351" s="889"/>
      <c r="D351" s="886" t="s">
        <v>38</v>
      </c>
      <c r="E351" s="878"/>
      <c r="F351" s="878">
        <f>F350*0.0735</f>
        <v>3.6382499999999998E-2</v>
      </c>
      <c r="G351" s="410"/>
      <c r="H351" s="411"/>
      <c r="I351" s="411"/>
      <c r="J351" s="411"/>
      <c r="K351" s="411"/>
      <c r="L351" s="411"/>
      <c r="M351" s="412"/>
      <c r="N351" s="240"/>
    </row>
    <row r="352" spans="1:14" s="76" customFormat="1" ht="15.75" customHeight="1" x14ac:dyDescent="0.3">
      <c r="A352" s="1260"/>
      <c r="B352" s="1322" t="s">
        <v>853</v>
      </c>
      <c r="C352" s="885" t="s">
        <v>837</v>
      </c>
      <c r="D352" s="886" t="s">
        <v>41</v>
      </c>
      <c r="E352" s="878"/>
      <c r="F352" s="878">
        <f>(0.3+0.45+0.5)*(11*2)*1.1</f>
        <v>30.250000000000004</v>
      </c>
      <c r="G352" s="410"/>
      <c r="H352" s="411"/>
      <c r="I352" s="411"/>
      <c r="J352" s="411"/>
      <c r="K352" s="411"/>
      <c r="L352" s="411"/>
      <c r="M352" s="412"/>
      <c r="N352" s="240"/>
    </row>
    <row r="353" spans="1:14" s="76" customFormat="1" ht="15.75" x14ac:dyDescent="0.3">
      <c r="A353" s="1260"/>
      <c r="B353" s="1323"/>
      <c r="C353" s="887"/>
      <c r="D353" s="886" t="s">
        <v>38</v>
      </c>
      <c r="E353" s="878"/>
      <c r="F353" s="878">
        <f>F352*0.00471</f>
        <v>0.14247750000000001</v>
      </c>
      <c r="G353" s="410"/>
      <c r="H353" s="411"/>
      <c r="I353" s="411"/>
      <c r="J353" s="411"/>
      <c r="K353" s="411"/>
      <c r="L353" s="411"/>
      <c r="M353" s="412"/>
      <c r="N353" s="240"/>
    </row>
    <row r="354" spans="1:14" s="76" customFormat="1" ht="15.75" x14ac:dyDescent="0.3">
      <c r="A354" s="1260"/>
      <c r="B354" s="1323"/>
      <c r="C354" s="888" t="s">
        <v>838</v>
      </c>
      <c r="D354" s="886" t="s">
        <v>41</v>
      </c>
      <c r="E354" s="878"/>
      <c r="F354" s="878">
        <f>(3.14*1.3*2)*3*1.1</f>
        <v>26.941200000000006</v>
      </c>
      <c r="G354" s="410"/>
      <c r="H354" s="411"/>
      <c r="I354" s="411"/>
      <c r="J354" s="411"/>
      <c r="K354" s="411"/>
      <c r="L354" s="411"/>
      <c r="M354" s="412"/>
      <c r="N354" s="240"/>
    </row>
    <row r="355" spans="1:14" s="76" customFormat="1" ht="15.75" x14ac:dyDescent="0.3">
      <c r="A355" s="1260"/>
      <c r="B355" s="1323"/>
      <c r="C355" s="889"/>
      <c r="D355" s="886" t="s">
        <v>38</v>
      </c>
      <c r="E355" s="878"/>
      <c r="F355" s="878">
        <f>F354*0.00188</f>
        <v>5.0649456000000009E-2</v>
      </c>
      <c r="G355" s="410"/>
      <c r="H355" s="411"/>
      <c r="I355" s="411"/>
      <c r="J355" s="411"/>
      <c r="K355" s="411"/>
      <c r="L355" s="411"/>
      <c r="M355" s="412"/>
      <c r="N355" s="240"/>
    </row>
    <row r="356" spans="1:14" s="76" customFormat="1" ht="15.75" x14ac:dyDescent="0.3">
      <c r="A356" s="1260"/>
      <c r="B356" s="1323"/>
      <c r="C356" s="885" t="s">
        <v>858</v>
      </c>
      <c r="D356" s="886" t="s">
        <v>52</v>
      </c>
      <c r="E356" s="878"/>
      <c r="F356" s="878">
        <f>(11*2)*2</f>
        <v>44</v>
      </c>
      <c r="G356" s="410"/>
      <c r="H356" s="411"/>
      <c r="I356" s="411"/>
      <c r="J356" s="411"/>
      <c r="K356" s="411"/>
      <c r="L356" s="411"/>
      <c r="M356" s="412"/>
      <c r="N356" s="240"/>
    </row>
    <row r="357" spans="1:14" s="76" customFormat="1" ht="15.75" x14ac:dyDescent="0.3">
      <c r="A357" s="1260"/>
      <c r="B357" s="1323"/>
      <c r="C357" s="885" t="s">
        <v>851</v>
      </c>
      <c r="D357" s="886" t="s">
        <v>41</v>
      </c>
      <c r="E357" s="878"/>
      <c r="F357" s="878">
        <f>(0.35*(3+5+3)+(1+2+1)) *1.1</f>
        <v>8.6349999999999998</v>
      </c>
      <c r="G357" s="410"/>
      <c r="H357" s="411"/>
      <c r="I357" s="411"/>
      <c r="J357" s="411"/>
      <c r="K357" s="411"/>
      <c r="L357" s="411"/>
      <c r="M357" s="412"/>
      <c r="N357" s="240"/>
    </row>
    <row r="358" spans="1:14" s="76" customFormat="1" ht="15.75" x14ac:dyDescent="0.3">
      <c r="A358" s="1260"/>
      <c r="B358" s="1323"/>
      <c r="C358" s="887"/>
      <c r="D358" s="886" t="s">
        <v>38</v>
      </c>
      <c r="E358" s="878"/>
      <c r="F358" s="878">
        <f>F357*0.005651</f>
        <v>4.8796384999999998E-2</v>
      </c>
      <c r="G358" s="410"/>
      <c r="H358" s="411"/>
      <c r="I358" s="411"/>
      <c r="J358" s="411"/>
      <c r="K358" s="411"/>
      <c r="L358" s="411"/>
      <c r="M358" s="412"/>
      <c r="N358" s="240"/>
    </row>
    <row r="359" spans="1:14" s="76" customFormat="1" ht="15.75" x14ac:dyDescent="0.3">
      <c r="A359" s="1260"/>
      <c r="B359" s="1323"/>
      <c r="C359" s="888" t="s">
        <v>838</v>
      </c>
      <c r="D359" s="886" t="s">
        <v>41</v>
      </c>
      <c r="E359" s="878"/>
      <c r="F359" s="878">
        <f>((1+2+1)*2+0.45*(3+5+3)) *1.1</f>
        <v>14.245000000000001</v>
      </c>
      <c r="G359" s="410"/>
      <c r="H359" s="411"/>
      <c r="I359" s="411"/>
      <c r="J359" s="411"/>
      <c r="K359" s="411"/>
      <c r="L359" s="411"/>
      <c r="M359" s="412"/>
      <c r="N359" s="240"/>
    </row>
    <row r="360" spans="1:14" s="76" customFormat="1" ht="15.75" x14ac:dyDescent="0.3">
      <c r="A360" s="1260"/>
      <c r="B360" s="1323"/>
      <c r="C360" s="889"/>
      <c r="D360" s="886" t="s">
        <v>38</v>
      </c>
      <c r="E360" s="878"/>
      <c r="F360" s="878">
        <f>F359*0.00188</f>
        <v>2.6780600000000002E-2</v>
      </c>
      <c r="G360" s="410"/>
      <c r="H360" s="411"/>
      <c r="I360" s="411"/>
      <c r="J360" s="411"/>
      <c r="K360" s="411"/>
      <c r="L360" s="411"/>
      <c r="M360" s="412"/>
      <c r="N360" s="240"/>
    </row>
    <row r="361" spans="1:14" s="76" customFormat="1" ht="15.75" x14ac:dyDescent="0.3">
      <c r="A361" s="1260"/>
      <c r="B361" s="1323"/>
      <c r="C361" s="888" t="s">
        <v>854</v>
      </c>
      <c r="D361" s="886" t="s">
        <v>47</v>
      </c>
      <c r="E361" s="878"/>
      <c r="F361" s="878">
        <f>(3+5+3)*0.15*0.15*1.1</f>
        <v>0.27224999999999999</v>
      </c>
      <c r="G361" s="410"/>
      <c r="H361" s="411"/>
      <c r="I361" s="411"/>
      <c r="J361" s="411"/>
      <c r="K361" s="411"/>
      <c r="L361" s="411"/>
      <c r="M361" s="412"/>
      <c r="N361" s="240"/>
    </row>
    <row r="362" spans="1:14" s="76" customFormat="1" ht="15.75" x14ac:dyDescent="0.3">
      <c r="A362" s="1260"/>
      <c r="B362" s="1324"/>
      <c r="C362" s="889"/>
      <c r="D362" s="886" t="s">
        <v>38</v>
      </c>
      <c r="E362" s="878"/>
      <c r="F362" s="878">
        <f>F361*0.0735</f>
        <v>2.0010374999999997E-2</v>
      </c>
      <c r="G362" s="410"/>
      <c r="H362" s="411"/>
      <c r="I362" s="411"/>
      <c r="J362" s="411"/>
      <c r="K362" s="411"/>
      <c r="L362" s="411"/>
      <c r="M362" s="412"/>
      <c r="N362" s="240"/>
    </row>
    <row r="363" spans="1:14" s="76" customFormat="1" ht="15.75" x14ac:dyDescent="0.3">
      <c r="A363" s="1260"/>
      <c r="B363" s="835"/>
      <c r="C363" s="826"/>
      <c r="D363" s="835"/>
      <c r="E363" s="831"/>
      <c r="F363" s="831"/>
      <c r="G363" s="410"/>
      <c r="H363" s="411"/>
      <c r="I363" s="411"/>
      <c r="J363" s="411"/>
      <c r="K363" s="411"/>
      <c r="L363" s="411"/>
      <c r="M363" s="412"/>
      <c r="N363" s="240"/>
    </row>
    <row r="364" spans="1:14" s="76" customFormat="1" ht="15.75" x14ac:dyDescent="0.3">
      <c r="A364" s="1260"/>
      <c r="B364" s="835"/>
      <c r="C364" s="827" t="s">
        <v>323</v>
      </c>
      <c r="D364" s="484" t="s">
        <v>38</v>
      </c>
      <c r="E364" s="23"/>
      <c r="F364" s="53">
        <f>F321+F323+F326+F328+F331+F333+F336+F338+F340+F342+F344+F347+F349+F351+F353+F355+F358+F360+F362</f>
        <v>1.4136697629999999</v>
      </c>
      <c r="G364" s="413"/>
      <c r="H364" s="414"/>
      <c r="I364" s="414"/>
      <c r="J364" s="414"/>
      <c r="K364" s="414"/>
      <c r="L364" s="414"/>
      <c r="M364" s="415"/>
      <c r="N364" s="240"/>
    </row>
    <row r="365" spans="1:14" s="76" customFormat="1" ht="15.75" x14ac:dyDescent="0.3">
      <c r="A365" s="1260"/>
      <c r="B365" s="835"/>
      <c r="C365" s="13" t="s">
        <v>36</v>
      </c>
      <c r="D365" s="835" t="s">
        <v>6</v>
      </c>
      <c r="E365" s="524">
        <v>23.6</v>
      </c>
      <c r="F365" s="36">
        <f>F364*E365</f>
        <v>33.362606406799998</v>
      </c>
      <c r="G365" s="828"/>
      <c r="H365" s="32"/>
      <c r="I365" s="828"/>
      <c r="J365" s="32">
        <f>F365*I365</f>
        <v>0</v>
      </c>
      <c r="K365" s="828"/>
      <c r="L365" s="32"/>
      <c r="M365" s="32">
        <f t="shared" ref="M365:M378" si="22">H365+J365+L365</f>
        <v>0</v>
      </c>
      <c r="N365" s="240"/>
    </row>
    <row r="366" spans="1:14" s="76" customFormat="1" ht="27" hidden="1" x14ac:dyDescent="0.3">
      <c r="A366" s="1260"/>
      <c r="B366" s="484" t="s">
        <v>42</v>
      </c>
      <c r="C366" s="13" t="s">
        <v>318</v>
      </c>
      <c r="D366" s="835" t="s">
        <v>43</v>
      </c>
      <c r="E366" s="524">
        <v>0</v>
      </c>
      <c r="F366" s="36">
        <f>F364*E366</f>
        <v>0</v>
      </c>
      <c r="G366" s="828"/>
      <c r="H366" s="32"/>
      <c r="I366" s="828"/>
      <c r="J366" s="32"/>
      <c r="K366" s="828">
        <v>47.41</v>
      </c>
      <c r="L366" s="32">
        <f>F366*K366</f>
        <v>0</v>
      </c>
      <c r="M366" s="32">
        <f t="shared" si="22"/>
        <v>0</v>
      </c>
      <c r="N366" s="240"/>
    </row>
    <row r="367" spans="1:14" s="76" customFormat="1" ht="27" x14ac:dyDescent="0.3">
      <c r="A367" s="1260"/>
      <c r="B367" s="484" t="s">
        <v>42</v>
      </c>
      <c r="C367" s="13" t="s">
        <v>44</v>
      </c>
      <c r="D367" s="835" t="s">
        <v>43</v>
      </c>
      <c r="E367" s="524">
        <v>2.87</v>
      </c>
      <c r="F367" s="36">
        <f>F364*E367</f>
        <v>4.0572322198099995</v>
      </c>
      <c r="G367" s="828"/>
      <c r="H367" s="32"/>
      <c r="I367" s="828"/>
      <c r="J367" s="32"/>
      <c r="K367" s="828"/>
      <c r="L367" s="32">
        <f>F367*K367</f>
        <v>0</v>
      </c>
      <c r="M367" s="32">
        <f t="shared" si="22"/>
        <v>0</v>
      </c>
      <c r="N367" s="240"/>
    </row>
    <row r="368" spans="1:14" s="76" customFormat="1" ht="15.75" x14ac:dyDescent="0.3">
      <c r="A368" s="1260"/>
      <c r="B368" s="835"/>
      <c r="C368" s="13" t="s">
        <v>5</v>
      </c>
      <c r="D368" s="835" t="s">
        <v>4</v>
      </c>
      <c r="E368" s="524">
        <v>4.0199999999999996</v>
      </c>
      <c r="F368" s="36">
        <f>F364*E368</f>
        <v>5.682952447259999</v>
      </c>
      <c r="G368" s="828"/>
      <c r="H368" s="32"/>
      <c r="I368" s="828"/>
      <c r="J368" s="32"/>
      <c r="K368" s="828"/>
      <c r="L368" s="32">
        <f>F368*K368</f>
        <v>0</v>
      </c>
      <c r="M368" s="32">
        <f t="shared" si="22"/>
        <v>0</v>
      </c>
      <c r="N368" s="240"/>
    </row>
    <row r="369" spans="1:14" s="76" customFormat="1" ht="15.75" x14ac:dyDescent="0.3">
      <c r="A369" s="1260"/>
      <c r="B369" s="835"/>
      <c r="C369" s="13" t="s">
        <v>324</v>
      </c>
      <c r="D369" s="835" t="s">
        <v>38</v>
      </c>
      <c r="E369" s="146"/>
      <c r="F369" s="416">
        <f>F321+F326+F331+F342+F353</f>
        <v>0.76419750000000009</v>
      </c>
      <c r="G369" s="142"/>
      <c r="H369" s="32">
        <f t="shared" ref="H369:H378" si="23">F369*G369</f>
        <v>0</v>
      </c>
      <c r="I369" s="828"/>
      <c r="J369" s="32"/>
      <c r="K369" s="828"/>
      <c r="L369" s="32"/>
      <c r="M369" s="32">
        <f t="shared" si="22"/>
        <v>0</v>
      </c>
      <c r="N369" s="240"/>
    </row>
    <row r="370" spans="1:14" s="76" customFormat="1" ht="15.75" x14ac:dyDescent="0.3">
      <c r="A370" s="1260"/>
      <c r="B370" s="835"/>
      <c r="C370" s="13" t="s">
        <v>319</v>
      </c>
      <c r="D370" s="835" t="s">
        <v>38</v>
      </c>
      <c r="E370" s="146"/>
      <c r="F370" s="416">
        <f>F323+F328+F333+F344+F355</f>
        <v>0.27857200800000004</v>
      </c>
      <c r="G370" s="142"/>
      <c r="H370" s="32">
        <f t="shared" si="23"/>
        <v>0</v>
      </c>
      <c r="I370" s="828"/>
      <c r="J370" s="32"/>
      <c r="K370" s="828"/>
      <c r="L370" s="32"/>
      <c r="M370" s="32">
        <f t="shared" si="22"/>
        <v>0</v>
      </c>
      <c r="N370" s="240"/>
    </row>
    <row r="371" spans="1:14" s="76" customFormat="1" ht="15.75" x14ac:dyDescent="0.3">
      <c r="A371" s="1260"/>
      <c r="B371" s="835"/>
      <c r="C371" s="403" t="s">
        <v>858</v>
      </c>
      <c r="D371" s="835" t="s">
        <v>52</v>
      </c>
      <c r="E371" s="146"/>
      <c r="F371" s="416">
        <f>F324+F329+F334+F345+F356</f>
        <v>236</v>
      </c>
      <c r="G371" s="142"/>
      <c r="H371" s="32">
        <f t="shared" si="23"/>
        <v>0</v>
      </c>
      <c r="I371" s="828"/>
      <c r="J371" s="32"/>
      <c r="K371" s="828"/>
      <c r="L371" s="32"/>
      <c r="M371" s="32">
        <f t="shared" si="22"/>
        <v>0</v>
      </c>
      <c r="N371" s="240"/>
    </row>
    <row r="372" spans="1:14" s="76" customFormat="1" ht="15.75" x14ac:dyDescent="0.3">
      <c r="A372" s="1260"/>
      <c r="B372" s="835"/>
      <c r="C372" s="13" t="s">
        <v>855</v>
      </c>
      <c r="D372" s="835" t="s">
        <v>38</v>
      </c>
      <c r="E372" s="146"/>
      <c r="F372" s="416">
        <f>F336+F347+F358</f>
        <v>0.19611795500000001</v>
      </c>
      <c r="G372" s="142"/>
      <c r="H372" s="32">
        <f t="shared" ref="H372:H374" si="24">F372*G372</f>
        <v>0</v>
      </c>
      <c r="I372" s="828"/>
      <c r="J372" s="32"/>
      <c r="K372" s="828"/>
      <c r="L372" s="32"/>
      <c r="M372" s="32">
        <f t="shared" ref="M372:M374" si="25">H372+J372+L372</f>
        <v>0</v>
      </c>
      <c r="N372" s="240"/>
    </row>
    <row r="373" spans="1:14" s="76" customFormat="1" ht="15.75" x14ac:dyDescent="0.3">
      <c r="A373" s="1260"/>
      <c r="B373" s="835"/>
      <c r="C373" s="13" t="s">
        <v>856</v>
      </c>
      <c r="D373" s="835" t="s">
        <v>38</v>
      </c>
      <c r="E373" s="146"/>
      <c r="F373" s="416">
        <f>F338+F349+F360</f>
        <v>0.1092938</v>
      </c>
      <c r="G373" s="142"/>
      <c r="H373" s="32">
        <f t="shared" si="24"/>
        <v>0</v>
      </c>
      <c r="I373" s="828"/>
      <c r="J373" s="32"/>
      <c r="K373" s="828"/>
      <c r="L373" s="32"/>
      <c r="M373" s="32">
        <f t="shared" si="25"/>
        <v>0</v>
      </c>
      <c r="N373" s="240"/>
    </row>
    <row r="374" spans="1:14" s="76" customFormat="1" ht="15.75" x14ac:dyDescent="0.3">
      <c r="A374" s="1260"/>
      <c r="B374" s="835"/>
      <c r="C374" s="403" t="s">
        <v>857</v>
      </c>
      <c r="D374" s="835" t="s">
        <v>38</v>
      </c>
      <c r="E374" s="146"/>
      <c r="F374" s="416">
        <f>F340+F351+F362</f>
        <v>6.5488499999999991E-2</v>
      </c>
      <c r="G374" s="142"/>
      <c r="H374" s="32">
        <f t="shared" si="24"/>
        <v>0</v>
      </c>
      <c r="I374" s="828"/>
      <c r="J374" s="32"/>
      <c r="K374" s="828"/>
      <c r="L374" s="32"/>
      <c r="M374" s="32">
        <f t="shared" si="25"/>
        <v>0</v>
      </c>
      <c r="N374" s="240"/>
    </row>
    <row r="375" spans="1:14" s="76" customFormat="1" ht="31.5" x14ac:dyDescent="0.3">
      <c r="A375" s="1260"/>
      <c r="B375" s="835"/>
      <c r="C375" s="26" t="s">
        <v>321</v>
      </c>
      <c r="D375" s="835" t="s">
        <v>2</v>
      </c>
      <c r="E375" s="146">
        <v>22.9</v>
      </c>
      <c r="F375" s="147">
        <f>F364*E375</f>
        <v>32.373037572699999</v>
      </c>
      <c r="G375" s="142"/>
      <c r="H375" s="32">
        <f t="shared" si="23"/>
        <v>0</v>
      </c>
      <c r="I375" s="828"/>
      <c r="J375" s="32"/>
      <c r="K375" s="828"/>
      <c r="L375" s="32"/>
      <c r="M375" s="32">
        <f t="shared" si="22"/>
        <v>0</v>
      </c>
      <c r="N375" s="240"/>
    </row>
    <row r="376" spans="1:14" s="76" customFormat="1" ht="15.75" x14ac:dyDescent="0.3">
      <c r="A376" s="1260"/>
      <c r="B376" s="835"/>
      <c r="C376" s="26" t="s">
        <v>45</v>
      </c>
      <c r="D376" s="835" t="s">
        <v>2</v>
      </c>
      <c r="E376" s="146"/>
      <c r="F376" s="147">
        <v>10</v>
      </c>
      <c r="G376" s="142"/>
      <c r="H376" s="32">
        <f t="shared" si="23"/>
        <v>0</v>
      </c>
      <c r="I376" s="828"/>
      <c r="J376" s="32"/>
      <c r="K376" s="828"/>
      <c r="L376" s="32"/>
      <c r="M376" s="32">
        <f t="shared" si="22"/>
        <v>0</v>
      </c>
      <c r="N376" s="240"/>
    </row>
    <row r="377" spans="1:14" s="76" customFormat="1" ht="15.75" x14ac:dyDescent="0.3">
      <c r="A377" s="1260"/>
      <c r="B377" s="835"/>
      <c r="C377" s="26" t="s">
        <v>322</v>
      </c>
      <c r="D377" s="835" t="s">
        <v>2</v>
      </c>
      <c r="E377" s="146">
        <v>8.6</v>
      </c>
      <c r="F377" s="147">
        <f>F364*E377</f>
        <v>12.157559961799999</v>
      </c>
      <c r="G377" s="142"/>
      <c r="H377" s="32">
        <f t="shared" si="23"/>
        <v>0</v>
      </c>
      <c r="I377" s="828"/>
      <c r="J377" s="32"/>
      <c r="K377" s="828"/>
      <c r="L377" s="32"/>
      <c r="M377" s="32">
        <f t="shared" si="22"/>
        <v>0</v>
      </c>
      <c r="N377" s="240"/>
    </row>
    <row r="378" spans="1:14" s="76" customFormat="1" ht="15.75" x14ac:dyDescent="0.3">
      <c r="A378" s="1261"/>
      <c r="B378" s="835"/>
      <c r="C378" s="26" t="s">
        <v>7</v>
      </c>
      <c r="D378" s="835" t="s">
        <v>4</v>
      </c>
      <c r="E378" s="524">
        <v>2.78</v>
      </c>
      <c r="F378" s="831">
        <f>F364*E378</f>
        <v>3.9300019411399996</v>
      </c>
      <c r="G378" s="828"/>
      <c r="H378" s="32">
        <f t="shared" si="23"/>
        <v>0</v>
      </c>
      <c r="I378" s="828"/>
      <c r="J378" s="32"/>
      <c r="K378" s="828"/>
      <c r="L378" s="32"/>
      <c r="M378" s="32">
        <f t="shared" si="22"/>
        <v>0</v>
      </c>
      <c r="N378" s="240"/>
    </row>
    <row r="379" spans="1:14" s="76" customFormat="1" ht="47.25" x14ac:dyDescent="0.3">
      <c r="A379" s="1259" t="s">
        <v>82</v>
      </c>
      <c r="B379" s="484" t="s">
        <v>23</v>
      </c>
      <c r="C379" s="62" t="s">
        <v>325</v>
      </c>
      <c r="D379" s="484" t="s">
        <v>47</v>
      </c>
      <c r="E379" s="23"/>
      <c r="F379" s="23">
        <f>(0.04+0.06)*2*(F320+F325+F330+F341+F352)/1.1+(0.02+0.04)*2*(F322+F327+F332+F337+F343+F348+F354+F359)/1.1+(0.04+0.08)*2*(F335+F346+F357)/1.1+F339+F350+F361</f>
        <v>60.469720000000002</v>
      </c>
      <c r="G379" s="828"/>
      <c r="H379" s="828"/>
      <c r="I379" s="828"/>
      <c r="J379" s="828"/>
      <c r="K379" s="828"/>
      <c r="L379" s="828"/>
      <c r="M379" s="828"/>
      <c r="N379" s="240"/>
    </row>
    <row r="380" spans="1:14" s="76" customFormat="1" ht="15.75" x14ac:dyDescent="0.3">
      <c r="A380" s="1260"/>
      <c r="B380" s="835"/>
      <c r="C380" s="26" t="s">
        <v>36</v>
      </c>
      <c r="D380" s="835" t="s">
        <v>6</v>
      </c>
      <c r="E380" s="524">
        <v>0.68</v>
      </c>
      <c r="F380" s="36">
        <f>F379*E380</f>
        <v>41.119409600000004</v>
      </c>
      <c r="G380" s="828"/>
      <c r="H380" s="32"/>
      <c r="I380" s="828"/>
      <c r="J380" s="32">
        <f>F380*I380</f>
        <v>0</v>
      </c>
      <c r="K380" s="828"/>
      <c r="L380" s="32"/>
      <c r="M380" s="32">
        <f>H380+J380+L380</f>
        <v>0</v>
      </c>
      <c r="N380" s="240"/>
    </row>
    <row r="381" spans="1:14" s="76" customFormat="1" ht="15.75" x14ac:dyDescent="0.3">
      <c r="A381" s="1260"/>
      <c r="B381" s="835"/>
      <c r="C381" s="26" t="s">
        <v>17</v>
      </c>
      <c r="D381" s="835" t="s">
        <v>6</v>
      </c>
      <c r="E381" s="524">
        <v>2.9999999999999997E-4</v>
      </c>
      <c r="F381" s="36">
        <f>F379*E381</f>
        <v>1.8140916E-2</v>
      </c>
      <c r="G381" s="828"/>
      <c r="H381" s="32"/>
      <c r="I381" s="828"/>
      <c r="J381" s="32"/>
      <c r="K381" s="828"/>
      <c r="L381" s="32">
        <f>F381*K381</f>
        <v>0</v>
      </c>
      <c r="M381" s="32">
        <f>H381+J381+L381</f>
        <v>0</v>
      </c>
      <c r="N381" s="240"/>
    </row>
    <row r="382" spans="1:14" s="76" customFormat="1" ht="15.75" x14ac:dyDescent="0.3">
      <c r="A382" s="1260"/>
      <c r="B382" s="835"/>
      <c r="C382" s="105" t="s">
        <v>49</v>
      </c>
      <c r="D382" s="388" t="s">
        <v>81</v>
      </c>
      <c r="E382" s="103">
        <v>0.35</v>
      </c>
      <c r="F382" s="103">
        <f>E382*F379</f>
        <v>21.164401999999999</v>
      </c>
      <c r="G382" s="828"/>
      <c r="H382" s="828">
        <f>F382*G382</f>
        <v>0</v>
      </c>
      <c r="I382" s="828"/>
      <c r="J382" s="828"/>
      <c r="K382" s="828"/>
      <c r="L382" s="828"/>
      <c r="M382" s="828">
        <f>H382+J382+L382</f>
        <v>0</v>
      </c>
      <c r="N382" s="240"/>
    </row>
    <row r="383" spans="1:14" s="76" customFormat="1" ht="15.75" x14ac:dyDescent="0.3">
      <c r="A383" s="1260"/>
      <c r="B383" s="835"/>
      <c r="C383" s="105" t="s">
        <v>310</v>
      </c>
      <c r="D383" s="388" t="s">
        <v>81</v>
      </c>
      <c r="E383" s="103">
        <v>2.7E-2</v>
      </c>
      <c r="F383" s="103">
        <f>E383*F379</f>
        <v>1.63268244</v>
      </c>
      <c r="G383" s="828"/>
      <c r="H383" s="828">
        <f>F383*G383</f>
        <v>0</v>
      </c>
      <c r="I383" s="828"/>
      <c r="J383" s="828"/>
      <c r="K383" s="828"/>
      <c r="L383" s="828"/>
      <c r="M383" s="828">
        <f>H383+J383+L383</f>
        <v>0</v>
      </c>
      <c r="N383" s="240"/>
    </row>
    <row r="384" spans="1:14" s="76" customFormat="1" ht="15.75" x14ac:dyDescent="0.3">
      <c r="A384" s="1261"/>
      <c r="B384" s="835"/>
      <c r="C384" s="26" t="s">
        <v>7</v>
      </c>
      <c r="D384" s="835" t="s">
        <v>4</v>
      </c>
      <c r="E384" s="524">
        <v>1.9E-3</v>
      </c>
      <c r="F384" s="36">
        <f>F379*E384</f>
        <v>0.114892468</v>
      </c>
      <c r="G384" s="828"/>
      <c r="H384" s="32">
        <f>F384*G384</f>
        <v>0</v>
      </c>
      <c r="I384" s="828"/>
      <c r="J384" s="32"/>
      <c r="K384" s="828"/>
      <c r="L384" s="32"/>
      <c r="M384" s="32">
        <f>H384+J384+L384</f>
        <v>0</v>
      </c>
      <c r="N384" s="240"/>
    </row>
    <row r="385" spans="1:16" s="76" customFormat="1" ht="27" x14ac:dyDescent="0.3">
      <c r="A385" s="1313">
        <v>8</v>
      </c>
      <c r="B385" s="1316" t="s">
        <v>839</v>
      </c>
      <c r="C385" s="843" t="s">
        <v>840</v>
      </c>
      <c r="D385" s="844" t="s">
        <v>47</v>
      </c>
      <c r="E385" s="836"/>
      <c r="F385" s="390">
        <f>(   (3.14*2.4)+(3.14*5.2)+  (3.14*1.4 + 2.5*2)+ (3.14*1.8+3.14*0.9 + 3.4+1+2.55+1.75) + (3.14*1.3*2 + 1+2+1)    )*0.45</f>
        <v>28.170900000000003</v>
      </c>
      <c r="G385" s="845"/>
      <c r="H385" s="846"/>
      <c r="I385" s="846"/>
      <c r="J385" s="846"/>
      <c r="K385" s="846"/>
      <c r="L385" s="846"/>
      <c r="M385" s="847"/>
      <c r="O385" s="240">
        <f>(   (3.14*2.4)+(3.14*5.2)+  (3.14*1.4 + 2.5*2)+ (3.14*1.8+3.14*0.9 + 3.4+1+2.55+1.75) + (3.14*1.3*2 + 1+2+1)    )*0.45</f>
        <v>28.170900000000003</v>
      </c>
      <c r="P385" s="76" t="s">
        <v>47</v>
      </c>
    </row>
    <row r="386" spans="1:16" s="76" customFormat="1" ht="15.75" x14ac:dyDescent="0.3">
      <c r="A386" s="1314"/>
      <c r="B386" s="1317"/>
      <c r="C386" s="848" t="s">
        <v>841</v>
      </c>
      <c r="D386" s="849" t="s">
        <v>41</v>
      </c>
      <c r="E386" s="418"/>
      <c r="F386" s="390">
        <f>575*0.45</f>
        <v>258.75</v>
      </c>
      <c r="G386" s="850"/>
      <c r="H386" s="851"/>
      <c r="I386" s="851"/>
      <c r="J386" s="851"/>
      <c r="K386" s="851"/>
      <c r="L386" s="851"/>
      <c r="M386" s="852"/>
      <c r="O386" s="240">
        <f>(3.14*2.4)+(3.14*5.2)+  (3.14*1.4 + 2.5*2)+ (3.14*1.8+3.14*0.9 + 3.4+1+2.55+1.75) + (3.14*1.3*2 + 1+2+1)</f>
        <v>62.602000000000004</v>
      </c>
      <c r="P386" s="76" t="s">
        <v>41</v>
      </c>
    </row>
    <row r="387" spans="1:16" s="76" customFormat="1" ht="63" x14ac:dyDescent="0.3">
      <c r="A387" s="1314"/>
      <c r="B387" s="1318"/>
      <c r="C387" s="853"/>
      <c r="D387" s="849" t="s">
        <v>37</v>
      </c>
      <c r="E387" s="418"/>
      <c r="F387" s="495">
        <f>0.04*0.07*F386</f>
        <v>0.72450000000000014</v>
      </c>
      <c r="G387" s="854"/>
      <c r="H387" s="855"/>
      <c r="I387" s="855"/>
      <c r="J387" s="855"/>
      <c r="K387" s="855"/>
      <c r="L387" s="855"/>
      <c r="M387" s="856"/>
      <c r="O387" s="240" t="s">
        <v>842</v>
      </c>
    </row>
    <row r="388" spans="1:16" s="76" customFormat="1" ht="15.75" x14ac:dyDescent="0.3">
      <c r="A388" s="1314"/>
      <c r="B388" s="857"/>
      <c r="C388" s="858" t="s">
        <v>36</v>
      </c>
      <c r="D388" s="524" t="s">
        <v>41</v>
      </c>
      <c r="E388" s="859">
        <v>0.42099999999999999</v>
      </c>
      <c r="F388" s="860">
        <f>F386*E388</f>
        <v>108.93374999999999</v>
      </c>
      <c r="G388" s="46"/>
      <c r="H388" s="828"/>
      <c r="I388" s="46"/>
      <c r="J388" s="828">
        <f>F388*I388</f>
        <v>0</v>
      </c>
      <c r="K388" s="46"/>
      <c r="L388" s="828"/>
      <c r="M388" s="828">
        <f>H388+J388+L388</f>
        <v>0</v>
      </c>
      <c r="O388" s="240">
        <f>O386/0.11</f>
        <v>569.10909090909092</v>
      </c>
    </row>
    <row r="389" spans="1:16" s="76" customFormat="1" ht="15.75" x14ac:dyDescent="0.3">
      <c r="A389" s="1314"/>
      <c r="B389" s="835"/>
      <c r="C389" s="861" t="s">
        <v>17</v>
      </c>
      <c r="D389" s="524" t="s">
        <v>4</v>
      </c>
      <c r="E389" s="859">
        <v>2.18E-2</v>
      </c>
      <c r="F389" s="860">
        <f>F387*E389</f>
        <v>1.5794100000000002E-2</v>
      </c>
      <c r="G389" s="831"/>
      <c r="H389" s="828"/>
      <c r="I389" s="831"/>
      <c r="J389" s="828"/>
      <c r="K389" s="828"/>
      <c r="L389" s="828">
        <f>F389*K389</f>
        <v>0</v>
      </c>
      <c r="M389" s="828">
        <f>H389+J389+L389</f>
        <v>0</v>
      </c>
      <c r="O389" s="240" t="s">
        <v>859</v>
      </c>
    </row>
    <row r="390" spans="1:16" s="76" customFormat="1" ht="33" x14ac:dyDescent="0.3">
      <c r="A390" s="1314"/>
      <c r="B390" s="551"/>
      <c r="C390" s="862" t="s">
        <v>50</v>
      </c>
      <c r="D390" s="863" t="s">
        <v>4</v>
      </c>
      <c r="E390" s="864">
        <v>2.4E-2</v>
      </c>
      <c r="F390" s="520">
        <f>F387*E390</f>
        <v>1.7388000000000004E-2</v>
      </c>
      <c r="G390" s="520"/>
      <c r="H390" s="521">
        <f>F390*G390</f>
        <v>0</v>
      </c>
      <c r="I390" s="520"/>
      <c r="J390" s="521"/>
      <c r="K390" s="520"/>
      <c r="L390" s="521"/>
      <c r="M390" s="521">
        <f>H390+J390+L390</f>
        <v>0</v>
      </c>
      <c r="N390" s="240"/>
    </row>
    <row r="391" spans="1:16" s="76" customFormat="1" ht="15.75" x14ac:dyDescent="0.3">
      <c r="A391" s="1314"/>
      <c r="B391" s="551"/>
      <c r="C391" s="861" t="s">
        <v>843</v>
      </c>
      <c r="D391" s="524" t="s">
        <v>41</v>
      </c>
      <c r="E391" s="865"/>
      <c r="F391" s="670">
        <f>F386*1.1</f>
        <v>284.625</v>
      </c>
      <c r="G391" s="831"/>
      <c r="H391" s="828">
        <f>F391*G391</f>
        <v>0</v>
      </c>
      <c r="I391" s="831"/>
      <c r="J391" s="828"/>
      <c r="K391" s="831"/>
      <c r="L391" s="828"/>
      <c r="M391" s="828">
        <f>H391+J391+L391</f>
        <v>0</v>
      </c>
      <c r="N391" s="240"/>
    </row>
    <row r="392" spans="1:16" s="76" customFormat="1" ht="16.5" x14ac:dyDescent="0.3">
      <c r="A392" s="1315"/>
      <c r="B392" s="551"/>
      <c r="C392" s="866" t="s">
        <v>844</v>
      </c>
      <c r="D392" s="867" t="s">
        <v>52</v>
      </c>
      <c r="E392" s="868"/>
      <c r="F392" s="869">
        <f>575*3*2</f>
        <v>3450</v>
      </c>
      <c r="G392" s="831"/>
      <c r="H392" s="223">
        <f>F392*G392</f>
        <v>0</v>
      </c>
      <c r="I392" s="293"/>
      <c r="J392" s="223"/>
      <c r="K392" s="293"/>
      <c r="L392" s="223"/>
      <c r="M392" s="223">
        <f>H392+J392+L392</f>
        <v>0</v>
      </c>
      <c r="N392" s="240"/>
    </row>
    <row r="393" spans="1:16" s="76" customFormat="1" ht="63" x14ac:dyDescent="0.3">
      <c r="A393" s="1319">
        <v>9</v>
      </c>
      <c r="B393" s="601" t="s">
        <v>845</v>
      </c>
      <c r="C393" s="419" t="s">
        <v>846</v>
      </c>
      <c r="D393" s="359" t="s">
        <v>47</v>
      </c>
      <c r="E393" s="359"/>
      <c r="F393" s="84">
        <f>F386*(0.04+0.07)*2</f>
        <v>56.925000000000004</v>
      </c>
      <c r="G393" s="359"/>
      <c r="H393" s="870"/>
      <c r="I393" s="359"/>
      <c r="J393" s="870"/>
      <c r="K393" s="870"/>
      <c r="L393" s="870"/>
      <c r="M393" s="870"/>
      <c r="N393" s="240"/>
    </row>
    <row r="394" spans="1:16" s="76" customFormat="1" ht="27" x14ac:dyDescent="0.3">
      <c r="A394" s="1320"/>
      <c r="B394" s="871"/>
      <c r="C394" s="872" t="s">
        <v>36</v>
      </c>
      <c r="D394" s="871" t="s">
        <v>802</v>
      </c>
      <c r="E394" s="873">
        <v>8.7999999999999995E-2</v>
      </c>
      <c r="F394" s="874">
        <f>F393*E394</f>
        <v>5.0094000000000003</v>
      </c>
      <c r="G394" s="199"/>
      <c r="H394" s="870"/>
      <c r="I394" s="46"/>
      <c r="J394" s="870">
        <f>F394*I394</f>
        <v>0</v>
      </c>
      <c r="K394" s="8"/>
      <c r="L394" s="870"/>
      <c r="M394" s="870">
        <f>H394+J394+L394</f>
        <v>0</v>
      </c>
      <c r="N394" s="240"/>
    </row>
    <row r="395" spans="1:16" s="76" customFormat="1" ht="33" x14ac:dyDescent="0.3">
      <c r="A395" s="1320"/>
      <c r="B395" s="871"/>
      <c r="C395" s="872" t="s">
        <v>847</v>
      </c>
      <c r="D395" s="871" t="s">
        <v>81</v>
      </c>
      <c r="E395" s="875">
        <v>0.3</v>
      </c>
      <c r="F395" s="874">
        <f>F393*E395</f>
        <v>17.077500000000001</v>
      </c>
      <c r="G395" s="831"/>
      <c r="H395" s="870">
        <f>F395*G395</f>
        <v>0</v>
      </c>
      <c r="I395" s="293"/>
      <c r="J395" s="870"/>
      <c r="K395" s="8"/>
      <c r="L395" s="870"/>
      <c r="M395" s="870">
        <f>H395+J395+L395</f>
        <v>0</v>
      </c>
      <c r="N395" s="240"/>
    </row>
    <row r="396" spans="1:16" s="76" customFormat="1" ht="16.5" x14ac:dyDescent="0.3">
      <c r="A396" s="1321"/>
      <c r="B396" s="871"/>
      <c r="C396" s="872" t="s">
        <v>7</v>
      </c>
      <c r="D396" s="871" t="s">
        <v>4</v>
      </c>
      <c r="E396" s="873">
        <f>0.06/100</f>
        <v>5.9999999999999995E-4</v>
      </c>
      <c r="F396" s="874">
        <f>F393*E396</f>
        <v>3.4154999999999998E-2</v>
      </c>
      <c r="G396" s="831"/>
      <c r="H396" s="870">
        <f>F396*G396</f>
        <v>0</v>
      </c>
      <c r="I396" s="293"/>
      <c r="J396" s="870"/>
      <c r="K396" s="8"/>
      <c r="L396" s="870"/>
      <c r="M396" s="870">
        <f>H396+J396+L396</f>
        <v>0</v>
      </c>
      <c r="N396" s="898">
        <f>SUM(M261:M396)</f>
        <v>0</v>
      </c>
    </row>
    <row r="397" spans="1:16" s="76" customFormat="1" ht="15.75" x14ac:dyDescent="0.3">
      <c r="A397" s="1116"/>
      <c r="B397" s="519"/>
      <c r="C397" s="13"/>
      <c r="D397" s="519"/>
      <c r="E397" s="524"/>
      <c r="F397" s="36"/>
      <c r="G397" s="514"/>
      <c r="H397" s="514"/>
      <c r="I397" s="420"/>
      <c r="J397" s="420"/>
      <c r="K397" s="420"/>
      <c r="L397" s="420"/>
      <c r="M397" s="420"/>
      <c r="N397" s="500"/>
    </row>
    <row r="398" spans="1:16" s="76" customFormat="1" ht="31.5" hidden="1" x14ac:dyDescent="0.3">
      <c r="A398" s="469"/>
      <c r="B398" s="364"/>
      <c r="C398" s="467" t="s">
        <v>404</v>
      </c>
      <c r="D398" s="364" t="s">
        <v>52</v>
      </c>
      <c r="E398" s="122"/>
      <c r="F398" s="394">
        <f>F399+F436</f>
        <v>0</v>
      </c>
      <c r="G398" s="8"/>
      <c r="H398" s="8"/>
      <c r="I398" s="8"/>
      <c r="J398" s="8"/>
      <c r="K398" s="8"/>
      <c r="L398" s="223"/>
      <c r="M398" s="223"/>
      <c r="N398" s="240" t="s">
        <v>389</v>
      </c>
    </row>
    <row r="399" spans="1:16" s="76" customFormat="1" ht="31.5" hidden="1" x14ac:dyDescent="0.3">
      <c r="A399" s="470"/>
      <c r="B399" s="471"/>
      <c r="C399" s="474" t="s">
        <v>391</v>
      </c>
      <c r="D399" s="471" t="s">
        <v>52</v>
      </c>
      <c r="E399" s="472"/>
      <c r="F399" s="473">
        <v>0</v>
      </c>
      <c r="G399" s="8"/>
      <c r="H399" s="8"/>
      <c r="I399" s="8"/>
      <c r="J399" s="8"/>
      <c r="K399" s="8"/>
      <c r="L399" s="223"/>
      <c r="M399" s="223"/>
      <c r="N399" s="240" t="s">
        <v>405</v>
      </c>
    </row>
    <row r="400" spans="1:16" s="76" customFormat="1" ht="31.5" hidden="1" x14ac:dyDescent="0.3">
      <c r="A400" s="1259" t="s">
        <v>93</v>
      </c>
      <c r="B400" s="446" t="s">
        <v>31</v>
      </c>
      <c r="C400" s="468" t="s">
        <v>392</v>
      </c>
      <c r="D400" s="425" t="s">
        <v>37</v>
      </c>
      <c r="E400" s="22"/>
      <c r="F400" s="22">
        <f>3.14*0.8*0.8*0.5*F399</f>
        <v>0</v>
      </c>
      <c r="G400" s="8"/>
      <c r="H400" s="8"/>
      <c r="I400" s="8"/>
      <c r="J400" s="8"/>
      <c r="K400" s="8"/>
      <c r="L400" s="8"/>
      <c r="M400" s="8"/>
      <c r="N400" s="240"/>
    </row>
    <row r="401" spans="1:14" s="76" customFormat="1" ht="15.75" hidden="1" x14ac:dyDescent="0.3">
      <c r="A401" s="1261"/>
      <c r="B401" s="283"/>
      <c r="C401" s="33" t="s">
        <v>33</v>
      </c>
      <c r="D401" s="143" t="s">
        <v>6</v>
      </c>
      <c r="E401" s="34">
        <v>3.88</v>
      </c>
      <c r="F401" s="36">
        <f>F400*E401</f>
        <v>0</v>
      </c>
      <c r="G401" s="32"/>
      <c r="H401" s="32"/>
      <c r="I401" s="32">
        <v>6</v>
      </c>
      <c r="J401" s="32">
        <f>F401*I401</f>
        <v>0</v>
      </c>
      <c r="K401" s="32"/>
      <c r="L401" s="32"/>
      <c r="M401" s="32">
        <f>H401+J401+L401</f>
        <v>0</v>
      </c>
      <c r="N401" s="240"/>
    </row>
    <row r="402" spans="1:14" s="76" customFormat="1" ht="31.5" hidden="1" x14ac:dyDescent="0.3">
      <c r="A402" s="1260" t="s">
        <v>72</v>
      </c>
      <c r="B402" s="389" t="s">
        <v>91</v>
      </c>
      <c r="C402" s="280" t="s">
        <v>269</v>
      </c>
      <c r="D402" s="275" t="s">
        <v>294</v>
      </c>
      <c r="E402" s="276"/>
      <c r="F402" s="277">
        <f>F400*1.95</f>
        <v>0</v>
      </c>
      <c r="G402" s="445"/>
      <c r="H402" s="445"/>
      <c r="I402" s="445"/>
      <c r="J402" s="445"/>
      <c r="K402" s="445"/>
      <c r="L402" s="445"/>
      <c r="M402" s="445"/>
      <c r="N402" s="240"/>
    </row>
    <row r="403" spans="1:14" s="76" customFormat="1" ht="15.75" hidden="1" x14ac:dyDescent="0.3">
      <c r="A403" s="1261"/>
      <c r="B403" s="449"/>
      <c r="C403" s="281" t="s">
        <v>54</v>
      </c>
      <c r="D403" s="48" t="s">
        <v>6</v>
      </c>
      <c r="E403" s="49">
        <v>0.53</v>
      </c>
      <c r="F403" s="450">
        <f>F402*E403</f>
        <v>0</v>
      </c>
      <c r="G403" s="445"/>
      <c r="H403" s="445"/>
      <c r="I403" s="445">
        <v>6</v>
      </c>
      <c r="J403" s="445">
        <f>F403*I403</f>
        <v>0</v>
      </c>
      <c r="K403" s="445"/>
      <c r="L403" s="445"/>
      <c r="M403" s="445">
        <f>H403+J403+L403</f>
        <v>0</v>
      </c>
      <c r="N403" s="240"/>
    </row>
    <row r="404" spans="1:14" s="76" customFormat="1" ht="31.5" hidden="1" x14ac:dyDescent="0.3">
      <c r="A404" s="1108" t="s">
        <v>94</v>
      </c>
      <c r="B404" s="452" t="s">
        <v>420</v>
      </c>
      <c r="C404" s="379" t="s">
        <v>499</v>
      </c>
      <c r="D404" s="452" t="s">
        <v>38</v>
      </c>
      <c r="E404" s="390"/>
      <c r="F404" s="277">
        <f>F402</f>
        <v>0</v>
      </c>
      <c r="G404" s="445"/>
      <c r="H404" s="445"/>
      <c r="I404" s="445"/>
      <c r="J404" s="445"/>
      <c r="K404" s="19">
        <v>8.92</v>
      </c>
      <c r="L404" s="445">
        <f>F404*K404</f>
        <v>0</v>
      </c>
      <c r="M404" s="445">
        <f>H404+J404+L404</f>
        <v>0</v>
      </c>
      <c r="N404" s="240"/>
    </row>
    <row r="405" spans="1:14" s="76" customFormat="1" ht="31.5" hidden="1" x14ac:dyDescent="0.3">
      <c r="A405" s="1259" t="s">
        <v>87</v>
      </c>
      <c r="B405" s="452" t="s">
        <v>35</v>
      </c>
      <c r="C405" s="448" t="s">
        <v>365</v>
      </c>
      <c r="D405" s="452" t="s">
        <v>37</v>
      </c>
      <c r="E405" s="454"/>
      <c r="F405" s="38">
        <f>3.14*0.8*0.8*F399*0.1</f>
        <v>0</v>
      </c>
      <c r="G405" s="445"/>
      <c r="H405" s="445"/>
      <c r="I405" s="445"/>
      <c r="J405" s="445"/>
      <c r="K405" s="445"/>
      <c r="L405" s="445"/>
      <c r="M405" s="445"/>
      <c r="N405" s="240"/>
    </row>
    <row r="406" spans="1:14" s="76" customFormat="1" ht="15.75" hidden="1" x14ac:dyDescent="0.3">
      <c r="A406" s="1260"/>
      <c r="B406" s="449"/>
      <c r="C406" s="26" t="s">
        <v>13</v>
      </c>
      <c r="D406" s="449" t="s">
        <v>14</v>
      </c>
      <c r="E406" s="454">
        <v>3.52</v>
      </c>
      <c r="F406" s="36">
        <f>E406*F405</f>
        <v>0</v>
      </c>
      <c r="G406" s="445"/>
      <c r="H406" s="445"/>
      <c r="I406" s="445">
        <v>6</v>
      </c>
      <c r="J406" s="445">
        <f>F406*I406</f>
        <v>0</v>
      </c>
      <c r="K406" s="445"/>
      <c r="L406" s="445"/>
      <c r="M406" s="445">
        <f>H406+J406+L406</f>
        <v>0</v>
      </c>
      <c r="N406" s="240"/>
    </row>
    <row r="407" spans="1:14" s="76" customFormat="1" ht="15.75" hidden="1" x14ac:dyDescent="0.3">
      <c r="A407" s="1260"/>
      <c r="B407" s="449"/>
      <c r="C407" s="26" t="s">
        <v>17</v>
      </c>
      <c r="D407" s="449" t="s">
        <v>4</v>
      </c>
      <c r="E407" s="454">
        <v>1.06</v>
      </c>
      <c r="F407" s="36">
        <f>F405*E407</f>
        <v>0</v>
      </c>
      <c r="G407" s="445"/>
      <c r="H407" s="445"/>
      <c r="I407" s="445"/>
      <c r="J407" s="445"/>
      <c r="K407" s="445">
        <v>4</v>
      </c>
      <c r="L407" s="445">
        <f>F407*K407</f>
        <v>0</v>
      </c>
      <c r="M407" s="445">
        <f>H407+J407+L407</f>
        <v>0</v>
      </c>
      <c r="N407" s="240"/>
    </row>
    <row r="408" spans="1:14" s="76" customFormat="1" ht="15.75" hidden="1" x14ac:dyDescent="0.3">
      <c r="A408" s="1260"/>
      <c r="B408" s="449"/>
      <c r="C408" s="26" t="s">
        <v>374</v>
      </c>
      <c r="D408" s="449" t="s">
        <v>29</v>
      </c>
      <c r="E408" s="454">
        <f>0.18+0.09+0.97</f>
        <v>1.24</v>
      </c>
      <c r="F408" s="36">
        <f>E408*F405</f>
        <v>0</v>
      </c>
      <c r="G408" s="445">
        <v>16.899999999999999</v>
      </c>
      <c r="H408" s="445">
        <f>F408*G408</f>
        <v>0</v>
      </c>
      <c r="I408" s="445"/>
      <c r="J408" s="445"/>
      <c r="K408" s="445"/>
      <c r="L408" s="445"/>
      <c r="M408" s="445">
        <f>H408+J408+L408</f>
        <v>0</v>
      </c>
      <c r="N408" s="240"/>
    </row>
    <row r="409" spans="1:14" s="76" customFormat="1" ht="15.75" hidden="1" x14ac:dyDescent="0.3">
      <c r="A409" s="1261"/>
      <c r="B409" s="449"/>
      <c r="C409" s="145" t="s">
        <v>50</v>
      </c>
      <c r="D409" s="283" t="s">
        <v>4</v>
      </c>
      <c r="E409" s="454">
        <v>0.02</v>
      </c>
      <c r="F409" s="36">
        <f>F405*E409</f>
        <v>0</v>
      </c>
      <c r="G409" s="32">
        <v>4</v>
      </c>
      <c r="H409" s="445">
        <f>F409*G409</f>
        <v>0</v>
      </c>
      <c r="I409" s="17"/>
      <c r="J409" s="445"/>
      <c r="K409" s="18"/>
      <c r="L409" s="445"/>
      <c r="M409" s="445">
        <f>H409+J409+L409</f>
        <v>0</v>
      </c>
      <c r="N409" s="240"/>
    </row>
    <row r="410" spans="1:14" s="76" customFormat="1" ht="31.5" hidden="1" x14ac:dyDescent="0.3">
      <c r="A410" s="1273" t="s">
        <v>89</v>
      </c>
      <c r="B410" s="220" t="s">
        <v>378</v>
      </c>
      <c r="C410" s="442" t="s">
        <v>393</v>
      </c>
      <c r="D410" s="220" t="s">
        <v>37</v>
      </c>
      <c r="E410" s="23"/>
      <c r="F410" s="78">
        <f>0.8*6*(0.6+0.4)*0.12*F399</f>
        <v>0</v>
      </c>
      <c r="G410" s="8"/>
      <c r="H410" s="8"/>
      <c r="I410" s="8"/>
      <c r="J410" s="8"/>
      <c r="K410" s="8"/>
      <c r="L410" s="223"/>
      <c r="M410" s="223"/>
      <c r="N410" s="240"/>
    </row>
    <row r="411" spans="1:14" s="76" customFormat="1" ht="15.75" hidden="1" x14ac:dyDescent="0.3">
      <c r="A411" s="1274"/>
      <c r="B411" s="220"/>
      <c r="C411" s="26" t="s">
        <v>13</v>
      </c>
      <c r="D411" s="449" t="s">
        <v>14</v>
      </c>
      <c r="E411" s="454">
        <v>8.44</v>
      </c>
      <c r="F411" s="36">
        <f>F410*E411</f>
        <v>0</v>
      </c>
      <c r="G411" s="445"/>
      <c r="H411" s="445"/>
      <c r="I411" s="445">
        <v>6</v>
      </c>
      <c r="J411" s="445">
        <f>F411*I411</f>
        <v>0</v>
      </c>
      <c r="K411" s="445"/>
      <c r="L411" s="445"/>
      <c r="M411" s="445">
        <f>H411+J411+L411</f>
        <v>0</v>
      </c>
      <c r="N411" s="240"/>
    </row>
    <row r="412" spans="1:14" s="76" customFormat="1" ht="15.75" hidden="1" x14ac:dyDescent="0.3">
      <c r="A412" s="1274"/>
      <c r="B412" s="220"/>
      <c r="C412" s="26" t="s">
        <v>17</v>
      </c>
      <c r="D412" s="449" t="s">
        <v>4</v>
      </c>
      <c r="E412" s="454">
        <v>1.1000000000000001</v>
      </c>
      <c r="F412" s="36">
        <f>F410*E412</f>
        <v>0</v>
      </c>
      <c r="G412" s="445"/>
      <c r="H412" s="445"/>
      <c r="I412" s="445"/>
      <c r="J412" s="445"/>
      <c r="K412" s="445">
        <v>4</v>
      </c>
      <c r="L412" s="445">
        <f>F412*K412</f>
        <v>0</v>
      </c>
      <c r="M412" s="445">
        <f>H412+J412+L412</f>
        <v>0</v>
      </c>
      <c r="N412" s="240"/>
    </row>
    <row r="413" spans="1:14" s="76" customFormat="1" ht="15.75" hidden="1" x14ac:dyDescent="0.3">
      <c r="A413" s="1274"/>
      <c r="C413" s="42" t="s">
        <v>317</v>
      </c>
      <c r="D413" s="297" t="s">
        <v>37</v>
      </c>
      <c r="E413" s="447">
        <v>1.0149999999999999</v>
      </c>
      <c r="F413" s="21">
        <f>F410*E413</f>
        <v>0</v>
      </c>
      <c r="G413" s="8">
        <v>116</v>
      </c>
      <c r="H413" s="445">
        <f t="shared" ref="H413:H417" si="26">F413*G413</f>
        <v>0</v>
      </c>
      <c r="I413" s="17"/>
      <c r="J413" s="445"/>
      <c r="K413" s="18"/>
      <c r="L413" s="445"/>
      <c r="M413" s="445">
        <f t="shared" ref="M413:M417" si="27">H413+J413+L413</f>
        <v>0</v>
      </c>
      <c r="N413" s="240"/>
    </row>
    <row r="414" spans="1:14" s="76" customFormat="1" ht="15.75" hidden="1" x14ac:dyDescent="0.3">
      <c r="A414" s="1274"/>
      <c r="B414" s="220"/>
      <c r="C414" s="42" t="s">
        <v>336</v>
      </c>
      <c r="D414" s="297" t="s">
        <v>47</v>
      </c>
      <c r="E414" s="447">
        <v>1.84</v>
      </c>
      <c r="F414" s="21">
        <f>F410*E414</f>
        <v>0</v>
      </c>
      <c r="G414" s="8">
        <v>16</v>
      </c>
      <c r="H414" s="445">
        <f t="shared" si="26"/>
        <v>0</v>
      </c>
      <c r="I414" s="17"/>
      <c r="J414" s="445"/>
      <c r="K414" s="18"/>
      <c r="L414" s="445"/>
      <c r="M414" s="445">
        <f t="shared" si="27"/>
        <v>0</v>
      </c>
      <c r="N414" s="240"/>
    </row>
    <row r="415" spans="1:14" s="76" customFormat="1" ht="15.75" hidden="1" x14ac:dyDescent="0.3">
      <c r="A415" s="1274"/>
      <c r="B415" s="220"/>
      <c r="C415" s="42" t="s">
        <v>39</v>
      </c>
      <c r="D415" s="297" t="s">
        <v>37</v>
      </c>
      <c r="E415" s="447">
        <f>(0.34+3.91)/100</f>
        <v>4.2500000000000003E-2</v>
      </c>
      <c r="F415" s="21">
        <f>F410*E415</f>
        <v>0</v>
      </c>
      <c r="G415" s="8">
        <v>542</v>
      </c>
      <c r="H415" s="445">
        <f t="shared" si="26"/>
        <v>0</v>
      </c>
      <c r="I415" s="17"/>
      <c r="J415" s="445"/>
      <c r="K415" s="18"/>
      <c r="L415" s="445"/>
      <c r="M415" s="445">
        <f t="shared" si="27"/>
        <v>0</v>
      </c>
      <c r="N415" s="240"/>
    </row>
    <row r="416" spans="1:14" s="76" customFormat="1" ht="15.75" hidden="1" x14ac:dyDescent="0.3">
      <c r="A416" s="1274"/>
      <c r="B416" s="220"/>
      <c r="C416" s="42" t="s">
        <v>267</v>
      </c>
      <c r="D416" s="297" t="s">
        <v>2</v>
      </c>
      <c r="E416" s="447">
        <v>2.2000000000000002</v>
      </c>
      <c r="F416" s="21">
        <f>F410*E416</f>
        <v>0</v>
      </c>
      <c r="G416" s="8">
        <v>3.6</v>
      </c>
      <c r="H416" s="445">
        <f t="shared" si="26"/>
        <v>0</v>
      </c>
      <c r="I416" s="17"/>
      <c r="J416" s="445"/>
      <c r="K416" s="18"/>
      <c r="L416" s="445"/>
      <c r="M416" s="445">
        <f t="shared" si="27"/>
        <v>0</v>
      </c>
      <c r="N416" s="240"/>
    </row>
    <row r="417" spans="1:14" s="76" customFormat="1" ht="15.75" hidden="1" x14ac:dyDescent="0.3">
      <c r="A417" s="1274"/>
      <c r="B417" s="220"/>
      <c r="C417" s="42" t="s">
        <v>45</v>
      </c>
      <c r="D417" s="297" t="s">
        <v>2</v>
      </c>
      <c r="E417" s="447">
        <v>1</v>
      </c>
      <c r="F417" s="21">
        <f>F410*E417</f>
        <v>0</v>
      </c>
      <c r="G417" s="8">
        <v>3.7</v>
      </c>
      <c r="H417" s="445">
        <f t="shared" si="26"/>
        <v>0</v>
      </c>
      <c r="I417" s="17"/>
      <c r="J417" s="445"/>
      <c r="K417" s="18"/>
      <c r="L417" s="445"/>
      <c r="M417" s="445">
        <f t="shared" si="27"/>
        <v>0</v>
      </c>
      <c r="N417" s="240"/>
    </row>
    <row r="418" spans="1:14" s="76" customFormat="1" ht="15.75" hidden="1" x14ac:dyDescent="0.3">
      <c r="A418" s="1274"/>
      <c r="B418" s="220"/>
      <c r="C418" s="42" t="s">
        <v>50</v>
      </c>
      <c r="D418" s="297" t="s">
        <v>4</v>
      </c>
      <c r="E418" s="447">
        <v>0.46</v>
      </c>
      <c r="F418" s="21">
        <f>F410*E418</f>
        <v>0</v>
      </c>
      <c r="G418" s="32">
        <v>4</v>
      </c>
      <c r="H418" s="445">
        <f>F418*G418</f>
        <v>0</v>
      </c>
      <c r="I418" s="17"/>
      <c r="J418" s="445"/>
      <c r="K418" s="18"/>
      <c r="L418" s="445"/>
      <c r="M418" s="445">
        <f>H418+J418+L418</f>
        <v>0</v>
      </c>
      <c r="N418" s="240"/>
    </row>
    <row r="419" spans="1:14" s="76" customFormat="1" ht="15.75" hidden="1" x14ac:dyDescent="0.3">
      <c r="A419" s="1274"/>
      <c r="B419" s="449"/>
      <c r="C419" s="448" t="s">
        <v>383</v>
      </c>
      <c r="D419" s="449" t="s">
        <v>38</v>
      </c>
      <c r="E419" s="454"/>
      <c r="F419" s="38">
        <f>( (((0.8*6)/0.15)*(0.6+0.4)+7*0.8*6 )*F399 )*1.03*0.395/1000</f>
        <v>0</v>
      </c>
      <c r="G419" s="445">
        <v>1475</v>
      </c>
      <c r="H419" s="445">
        <f>F419*G419</f>
        <v>0</v>
      </c>
      <c r="I419" s="445"/>
      <c r="J419" s="445"/>
      <c r="K419" s="81"/>
      <c r="L419" s="445"/>
      <c r="M419" s="445">
        <f>H419+J419+L419</f>
        <v>0</v>
      </c>
      <c r="N419" s="240"/>
    </row>
    <row r="420" spans="1:14" s="76" customFormat="1" ht="15.75" hidden="1" x14ac:dyDescent="0.3">
      <c r="A420" s="1275"/>
      <c r="B420" s="449"/>
      <c r="C420" s="448" t="s">
        <v>295</v>
      </c>
      <c r="D420" s="449" t="s">
        <v>38</v>
      </c>
      <c r="E420" s="454"/>
      <c r="F420" s="38">
        <v>0</v>
      </c>
      <c r="G420" s="445">
        <v>1729</v>
      </c>
      <c r="H420" s="445">
        <f>F420*G420</f>
        <v>0</v>
      </c>
      <c r="I420" s="445"/>
      <c r="J420" s="445"/>
      <c r="K420" s="81"/>
      <c r="L420" s="445"/>
      <c r="M420" s="445">
        <f>H420+J420+L420</f>
        <v>0</v>
      </c>
      <c r="N420" s="240"/>
    </row>
    <row r="421" spans="1:14" s="76" customFormat="1" ht="31.5" hidden="1" x14ac:dyDescent="0.3">
      <c r="A421" s="1273" t="s">
        <v>90</v>
      </c>
      <c r="B421" s="452" t="s">
        <v>326</v>
      </c>
      <c r="C421" s="448" t="s">
        <v>413</v>
      </c>
      <c r="D421" s="452" t="s">
        <v>47</v>
      </c>
      <c r="E421" s="10"/>
      <c r="F421" s="38">
        <f>0.8*6*(0.4*2)*F399</f>
        <v>0</v>
      </c>
      <c r="G421" s="445"/>
      <c r="H421" s="445"/>
      <c r="I421" s="445"/>
      <c r="J421" s="445"/>
      <c r="K421" s="81"/>
      <c r="L421" s="445"/>
      <c r="M421" s="445"/>
      <c r="N421" s="240"/>
    </row>
    <row r="422" spans="1:14" s="76" customFormat="1" ht="15.75" hidden="1" x14ac:dyDescent="0.3">
      <c r="A422" s="1274"/>
      <c r="B422" s="451"/>
      <c r="C422" s="295" t="s">
        <v>327</v>
      </c>
      <c r="D422" s="347" t="s">
        <v>14</v>
      </c>
      <c r="E422" s="293">
        <f>(19.2+5.97)/100</f>
        <v>0.25169999999999998</v>
      </c>
      <c r="F422" s="293">
        <f>F421*E422</f>
        <v>0</v>
      </c>
      <c r="G422" s="8"/>
      <c r="H422" s="8"/>
      <c r="I422" s="8">
        <v>7.8</v>
      </c>
      <c r="J422" s="8">
        <f>F422*I422</f>
        <v>0</v>
      </c>
      <c r="K422" s="8"/>
      <c r="L422" s="8"/>
      <c r="M422" s="8">
        <f>H422+J422+L422</f>
        <v>0</v>
      </c>
      <c r="N422" s="240"/>
    </row>
    <row r="423" spans="1:14" s="76" customFormat="1" ht="15.75" hidden="1" x14ac:dyDescent="0.3">
      <c r="A423" s="1274"/>
      <c r="B423" s="451"/>
      <c r="C423" s="26" t="s">
        <v>17</v>
      </c>
      <c r="D423" s="451" t="s">
        <v>4</v>
      </c>
      <c r="E423" s="447">
        <f>(0.59+0.24)/100</f>
        <v>8.3000000000000001E-3</v>
      </c>
      <c r="F423" s="447">
        <f>F421*E423</f>
        <v>0</v>
      </c>
      <c r="G423" s="445"/>
      <c r="H423" s="12"/>
      <c r="I423" s="445"/>
      <c r="J423" s="445"/>
      <c r="K423" s="445">
        <v>4</v>
      </c>
      <c r="L423" s="445">
        <f>F423*K423</f>
        <v>0</v>
      </c>
      <c r="M423" s="8">
        <f>H423+J423+L423</f>
        <v>0</v>
      </c>
      <c r="N423" s="240"/>
    </row>
    <row r="424" spans="1:14" s="76" customFormat="1" ht="15.75" hidden="1" x14ac:dyDescent="0.3">
      <c r="A424" s="1274"/>
      <c r="B424" s="449"/>
      <c r="C424" s="26" t="s">
        <v>328</v>
      </c>
      <c r="D424" s="449" t="s">
        <v>2</v>
      </c>
      <c r="E424" s="454">
        <f>(0.29+0.14)*1000/100</f>
        <v>4.3</v>
      </c>
      <c r="F424" s="447">
        <f>E424*F421</f>
        <v>0</v>
      </c>
      <c r="G424" s="445">
        <v>1.25</v>
      </c>
      <c r="H424" s="445">
        <f>G424*F424</f>
        <v>0</v>
      </c>
      <c r="I424" s="445"/>
      <c r="J424" s="445"/>
      <c r="K424" s="445"/>
      <c r="L424" s="445"/>
      <c r="M424" s="445">
        <f>H424</f>
        <v>0</v>
      </c>
      <c r="N424" s="240"/>
    </row>
    <row r="425" spans="1:14" s="76" customFormat="1" ht="15.75" hidden="1" x14ac:dyDescent="0.3">
      <c r="A425" s="1274"/>
      <c r="B425" s="449"/>
      <c r="C425" s="26" t="s">
        <v>329</v>
      </c>
      <c r="D425" s="449" t="s">
        <v>2</v>
      </c>
      <c r="E425" s="454">
        <v>0.76</v>
      </c>
      <c r="F425" s="447">
        <f>E425*F421</f>
        <v>0</v>
      </c>
      <c r="G425" s="445">
        <v>1</v>
      </c>
      <c r="H425" s="445">
        <f>G425*F425</f>
        <v>0</v>
      </c>
      <c r="I425" s="445"/>
      <c r="J425" s="445"/>
      <c r="K425" s="445"/>
      <c r="L425" s="445"/>
      <c r="M425" s="445">
        <f>H425</f>
        <v>0</v>
      </c>
      <c r="N425" s="240"/>
    </row>
    <row r="426" spans="1:14" s="76" customFormat="1" ht="15.75" hidden="1" x14ac:dyDescent="0.3">
      <c r="A426" s="1275"/>
      <c r="B426" s="449"/>
      <c r="C426" s="26" t="s">
        <v>330</v>
      </c>
      <c r="D426" s="449" t="s">
        <v>331</v>
      </c>
      <c r="E426" s="454">
        <v>1.9E-3</v>
      </c>
      <c r="F426" s="447">
        <f>E426*F421</f>
        <v>0</v>
      </c>
      <c r="G426" s="445">
        <v>4</v>
      </c>
      <c r="H426" s="445">
        <f>G426*F426</f>
        <v>0</v>
      </c>
      <c r="I426" s="445"/>
      <c r="J426" s="445"/>
      <c r="K426" s="445"/>
      <c r="L426" s="445"/>
      <c r="M426" s="445">
        <f>H426</f>
        <v>0</v>
      </c>
      <c r="N426" s="240"/>
    </row>
    <row r="427" spans="1:14" s="76" customFormat="1" ht="47.25" hidden="1" x14ac:dyDescent="0.3">
      <c r="A427" s="1273" t="s">
        <v>82</v>
      </c>
      <c r="B427" s="220" t="s">
        <v>333</v>
      </c>
      <c r="C427" s="442" t="s">
        <v>400</v>
      </c>
      <c r="D427" s="220" t="s">
        <v>47</v>
      </c>
      <c r="E427" s="23"/>
      <c r="F427" s="78">
        <f>0.8*6*(0.7+0.22+0.2)*F399</f>
        <v>0</v>
      </c>
      <c r="G427" s="8"/>
      <c r="H427" s="8"/>
      <c r="I427" s="8"/>
      <c r="J427" s="8"/>
      <c r="K427" s="8"/>
      <c r="L427" s="223"/>
      <c r="M427" s="223"/>
      <c r="N427" s="240"/>
    </row>
    <row r="428" spans="1:14" s="76" customFormat="1" ht="15.75" hidden="1" x14ac:dyDescent="0.3">
      <c r="A428" s="1274"/>
      <c r="B428" s="449"/>
      <c r="C428" s="26" t="s">
        <v>332</v>
      </c>
      <c r="D428" s="449" t="s">
        <v>6</v>
      </c>
      <c r="E428" s="454">
        <v>11.8</v>
      </c>
      <c r="F428" s="447">
        <f>E428*F427</f>
        <v>0</v>
      </c>
      <c r="G428" s="420"/>
      <c r="H428" s="420"/>
      <c r="I428" s="445">
        <v>7.8</v>
      </c>
      <c r="J428" s="445">
        <f>I428*F428</f>
        <v>0</v>
      </c>
      <c r="K428" s="420"/>
      <c r="L428" s="420"/>
      <c r="M428" s="445">
        <f>L428+J428+H428</f>
        <v>0</v>
      </c>
      <c r="N428" s="240"/>
    </row>
    <row r="429" spans="1:14" s="76" customFormat="1" ht="15.75" hidden="1" x14ac:dyDescent="0.3">
      <c r="A429" s="1274"/>
      <c r="B429" s="449"/>
      <c r="C429" s="26" t="s">
        <v>334</v>
      </c>
      <c r="D429" s="449" t="s">
        <v>4</v>
      </c>
      <c r="E429" s="454">
        <v>0.15</v>
      </c>
      <c r="F429" s="447">
        <f>E429*F427</f>
        <v>0</v>
      </c>
      <c r="G429" s="420"/>
      <c r="H429" s="420"/>
      <c r="I429" s="420"/>
      <c r="J429" s="420"/>
      <c r="K429" s="445">
        <v>4</v>
      </c>
      <c r="L429" s="445">
        <f>K429*F429</f>
        <v>0</v>
      </c>
      <c r="M429" s="420">
        <f>L429+J429+H429</f>
        <v>0</v>
      </c>
      <c r="N429" s="240"/>
    </row>
    <row r="430" spans="1:14" s="76" customFormat="1" ht="15.75" hidden="1" x14ac:dyDescent="0.3">
      <c r="A430" s="1274"/>
      <c r="B430" s="449"/>
      <c r="C430" s="26" t="s">
        <v>402</v>
      </c>
      <c r="D430" s="449" t="s">
        <v>47</v>
      </c>
      <c r="E430" s="454">
        <v>1.05</v>
      </c>
      <c r="F430" s="447">
        <f>E430*F427</f>
        <v>0</v>
      </c>
      <c r="G430" s="445">
        <v>68</v>
      </c>
      <c r="H430" s="445">
        <f>G430*F430</f>
        <v>0</v>
      </c>
      <c r="I430" s="420"/>
      <c r="J430" s="420"/>
      <c r="K430" s="420"/>
      <c r="L430" s="420"/>
      <c r="M430" s="420">
        <f>L430+J430+H430</f>
        <v>0</v>
      </c>
      <c r="N430" s="240"/>
    </row>
    <row r="431" spans="1:14" s="76" customFormat="1" ht="15.75" hidden="1" x14ac:dyDescent="0.3">
      <c r="A431" s="1274"/>
      <c r="B431" s="449"/>
      <c r="C431" s="26" t="s">
        <v>88</v>
      </c>
      <c r="D431" s="449" t="s">
        <v>335</v>
      </c>
      <c r="E431" s="454">
        <v>3.5999999999999997E-2</v>
      </c>
      <c r="F431" s="447">
        <f>E431*F427</f>
        <v>0</v>
      </c>
      <c r="G431" s="445">
        <v>118</v>
      </c>
      <c r="H431" s="445">
        <f>G431*F431</f>
        <v>0</v>
      </c>
      <c r="I431" s="420"/>
      <c r="J431" s="420"/>
      <c r="K431" s="420"/>
      <c r="L431" s="420"/>
      <c r="M431" s="420">
        <f>L431+J431+H431</f>
        <v>0</v>
      </c>
      <c r="N431" s="240"/>
    </row>
    <row r="432" spans="1:14" s="76" customFormat="1" ht="15.75" hidden="1" x14ac:dyDescent="0.3">
      <c r="A432" s="1275"/>
      <c r="B432" s="449"/>
      <c r="C432" s="26" t="s">
        <v>50</v>
      </c>
      <c r="D432" s="449" t="s">
        <v>21</v>
      </c>
      <c r="E432" s="454">
        <v>0.01</v>
      </c>
      <c r="F432" s="447">
        <f>E432*F427</f>
        <v>0</v>
      </c>
      <c r="G432" s="445">
        <v>4</v>
      </c>
      <c r="H432" s="445">
        <f>G432*F432</f>
        <v>0</v>
      </c>
      <c r="I432" s="420"/>
      <c r="J432" s="420"/>
      <c r="K432" s="420"/>
      <c r="L432" s="420"/>
      <c r="M432" s="420">
        <f>L432+J432+H432</f>
        <v>0</v>
      </c>
      <c r="N432" s="240"/>
    </row>
    <row r="433" spans="1:14" s="76" customFormat="1" ht="31.5" hidden="1" x14ac:dyDescent="0.25">
      <c r="A433" s="1273" t="s">
        <v>40</v>
      </c>
      <c r="B433" s="452" t="s">
        <v>63</v>
      </c>
      <c r="C433" s="62" t="s">
        <v>394</v>
      </c>
      <c r="D433" s="452" t="s">
        <v>37</v>
      </c>
      <c r="E433" s="10"/>
      <c r="F433" s="23">
        <f>1.22*0.5*F399</f>
        <v>0</v>
      </c>
      <c r="G433" s="445"/>
      <c r="H433" s="445"/>
      <c r="I433" s="420"/>
      <c r="J433" s="420"/>
      <c r="K433" s="420"/>
      <c r="L433" s="420"/>
      <c r="M433" s="420"/>
    </row>
    <row r="434" spans="1:14" s="76" customFormat="1" ht="15.75" hidden="1" x14ac:dyDescent="0.25">
      <c r="A434" s="1274"/>
      <c r="B434" s="449"/>
      <c r="C434" s="26" t="s">
        <v>54</v>
      </c>
      <c r="D434" s="449" t="s">
        <v>6</v>
      </c>
      <c r="E434" s="454">
        <v>1.21</v>
      </c>
      <c r="F434" s="447">
        <f>F433*E434</f>
        <v>0</v>
      </c>
      <c r="G434" s="445"/>
      <c r="H434" s="445"/>
      <c r="I434" s="420">
        <v>6</v>
      </c>
      <c r="J434" s="445">
        <f>I434*F434</f>
        <v>0</v>
      </c>
      <c r="K434" s="420"/>
      <c r="L434" s="420"/>
      <c r="M434" s="445">
        <f>L434+J434+H434</f>
        <v>0</v>
      </c>
    </row>
    <row r="435" spans="1:14" s="76" customFormat="1" ht="15.75" hidden="1" x14ac:dyDescent="0.3">
      <c r="A435" s="1275"/>
      <c r="B435" s="449"/>
      <c r="C435" s="26" t="s">
        <v>386</v>
      </c>
      <c r="D435" s="449" t="s">
        <v>37</v>
      </c>
      <c r="E435" s="454">
        <v>1.3</v>
      </c>
      <c r="F435" s="447">
        <f>F433*E435</f>
        <v>0</v>
      </c>
      <c r="G435" s="445">
        <v>15</v>
      </c>
      <c r="H435" s="445">
        <f>G435*F435</f>
        <v>0</v>
      </c>
      <c r="I435" s="420"/>
      <c r="J435" s="420"/>
      <c r="K435" s="420"/>
      <c r="L435" s="420"/>
      <c r="M435" s="420">
        <f>L435+J435+H435</f>
        <v>0</v>
      </c>
      <c r="N435" s="500">
        <f>SUM(M399:M435)</f>
        <v>0</v>
      </c>
    </row>
    <row r="436" spans="1:14" s="76" customFormat="1" ht="15.75" hidden="1" x14ac:dyDescent="0.3">
      <c r="A436" s="759"/>
      <c r="B436" s="476"/>
      <c r="C436" s="475" t="s">
        <v>390</v>
      </c>
      <c r="D436" s="477" t="s">
        <v>52</v>
      </c>
      <c r="E436" s="478"/>
      <c r="F436" s="472">
        <v>0</v>
      </c>
      <c r="G436" s="8"/>
      <c r="H436" s="8"/>
      <c r="I436" s="8"/>
      <c r="J436" s="8"/>
      <c r="K436" s="8"/>
      <c r="L436" s="223"/>
      <c r="M436" s="223"/>
      <c r="N436" s="240"/>
    </row>
    <row r="437" spans="1:14" s="76" customFormat="1" ht="31.5" hidden="1" x14ac:dyDescent="0.3">
      <c r="A437" s="1259" t="s">
        <v>93</v>
      </c>
      <c r="B437" s="446" t="s">
        <v>31</v>
      </c>
      <c r="C437" s="468" t="s">
        <v>395</v>
      </c>
      <c r="D437" s="425" t="s">
        <v>37</v>
      </c>
      <c r="E437" s="22"/>
      <c r="F437" s="22">
        <f>3.14*0.8*0.8*0.5*F436</f>
        <v>0</v>
      </c>
      <c r="G437" s="8"/>
      <c r="H437" s="8"/>
      <c r="I437" s="8"/>
      <c r="J437" s="8"/>
      <c r="K437" s="8"/>
      <c r="L437" s="8"/>
      <c r="M437" s="8"/>
      <c r="N437" s="240"/>
    </row>
    <row r="438" spans="1:14" s="76" customFormat="1" ht="15.75" hidden="1" x14ac:dyDescent="0.3">
      <c r="A438" s="1261"/>
      <c r="B438" s="283"/>
      <c r="C438" s="33" t="s">
        <v>33</v>
      </c>
      <c r="D438" s="143" t="s">
        <v>6</v>
      </c>
      <c r="E438" s="34">
        <v>3.88</v>
      </c>
      <c r="F438" s="36">
        <f>F437*E438</f>
        <v>0</v>
      </c>
      <c r="G438" s="32"/>
      <c r="H438" s="32"/>
      <c r="I438" s="32">
        <v>6</v>
      </c>
      <c r="J438" s="32">
        <f>F438*I438</f>
        <v>0</v>
      </c>
      <c r="K438" s="32"/>
      <c r="L438" s="32"/>
      <c r="M438" s="32">
        <f>H438+J438+L438</f>
        <v>0</v>
      </c>
      <c r="N438" s="240"/>
    </row>
    <row r="439" spans="1:14" s="76" customFormat="1" ht="31.5" hidden="1" x14ac:dyDescent="0.3">
      <c r="A439" s="1260" t="s">
        <v>72</v>
      </c>
      <c r="B439" s="389" t="s">
        <v>91</v>
      </c>
      <c r="C439" s="280" t="s">
        <v>269</v>
      </c>
      <c r="D439" s="275" t="s">
        <v>294</v>
      </c>
      <c r="E439" s="276"/>
      <c r="F439" s="277">
        <f>F437*1.95</f>
        <v>0</v>
      </c>
      <c r="G439" s="445"/>
      <c r="H439" s="445"/>
      <c r="I439" s="445"/>
      <c r="J439" s="445"/>
      <c r="K439" s="445"/>
      <c r="L439" s="445"/>
      <c r="M439" s="445"/>
      <c r="N439" s="240"/>
    </row>
    <row r="440" spans="1:14" s="76" customFormat="1" ht="15.75" hidden="1" x14ac:dyDescent="0.3">
      <c r="A440" s="1261"/>
      <c r="B440" s="449"/>
      <c r="C440" s="281" t="s">
        <v>54</v>
      </c>
      <c r="D440" s="48" t="s">
        <v>6</v>
      </c>
      <c r="E440" s="49">
        <v>0.53</v>
      </c>
      <c r="F440" s="450">
        <f>F439*E440</f>
        <v>0</v>
      </c>
      <c r="G440" s="445"/>
      <c r="H440" s="445"/>
      <c r="I440" s="445">
        <v>6</v>
      </c>
      <c r="J440" s="445">
        <f>F440*I440</f>
        <v>0</v>
      </c>
      <c r="K440" s="445"/>
      <c r="L440" s="445"/>
      <c r="M440" s="445">
        <f>H440+J440+L440</f>
        <v>0</v>
      </c>
      <c r="N440" s="240"/>
    </row>
    <row r="441" spans="1:14" s="76" customFormat="1" ht="31.5" hidden="1" x14ac:dyDescent="0.3">
      <c r="A441" s="1108" t="s">
        <v>94</v>
      </c>
      <c r="B441" s="452" t="s">
        <v>420</v>
      </c>
      <c r="C441" s="379" t="s">
        <v>499</v>
      </c>
      <c r="D441" s="452" t="s">
        <v>38</v>
      </c>
      <c r="E441" s="390"/>
      <c r="F441" s="277">
        <f>F439</f>
        <v>0</v>
      </c>
      <c r="G441" s="445"/>
      <c r="H441" s="445"/>
      <c r="I441" s="445"/>
      <c r="J441" s="445"/>
      <c r="K441" s="19">
        <v>8.92</v>
      </c>
      <c r="L441" s="445">
        <f>F441*K441</f>
        <v>0</v>
      </c>
      <c r="M441" s="445">
        <f>H441+J441+L441</f>
        <v>0</v>
      </c>
      <c r="N441" s="240"/>
    </row>
    <row r="442" spans="1:14" s="76" customFormat="1" ht="31.5" hidden="1" x14ac:dyDescent="0.3">
      <c r="A442" s="1259" t="s">
        <v>87</v>
      </c>
      <c r="B442" s="452" t="s">
        <v>35</v>
      </c>
      <c r="C442" s="448" t="s">
        <v>365</v>
      </c>
      <c r="D442" s="452" t="s">
        <v>37</v>
      </c>
      <c r="E442" s="454"/>
      <c r="F442" s="38">
        <f>3.14*0.8*0.8*F436*0.1</f>
        <v>0</v>
      </c>
      <c r="G442" s="445"/>
      <c r="H442" s="445"/>
      <c r="I442" s="445"/>
      <c r="J442" s="445"/>
      <c r="K442" s="445"/>
      <c r="L442" s="445"/>
      <c r="M442" s="445"/>
      <c r="N442" s="240"/>
    </row>
    <row r="443" spans="1:14" s="76" customFormat="1" ht="15.75" hidden="1" x14ac:dyDescent="0.3">
      <c r="A443" s="1260"/>
      <c r="B443" s="449"/>
      <c r="C443" s="26" t="s">
        <v>13</v>
      </c>
      <c r="D443" s="449" t="s">
        <v>14</v>
      </c>
      <c r="E443" s="454">
        <v>3.52</v>
      </c>
      <c r="F443" s="36">
        <f>E443*F442</f>
        <v>0</v>
      </c>
      <c r="G443" s="445"/>
      <c r="H443" s="445"/>
      <c r="I443" s="445">
        <v>6</v>
      </c>
      <c r="J443" s="445">
        <f>F443*I443</f>
        <v>0</v>
      </c>
      <c r="K443" s="445"/>
      <c r="L443" s="445"/>
      <c r="M443" s="445">
        <f>H443+J443+L443</f>
        <v>0</v>
      </c>
      <c r="N443" s="240"/>
    </row>
    <row r="444" spans="1:14" s="76" customFormat="1" ht="15.75" hidden="1" x14ac:dyDescent="0.3">
      <c r="A444" s="1260"/>
      <c r="B444" s="449"/>
      <c r="C444" s="26" t="s">
        <v>17</v>
      </c>
      <c r="D444" s="449" t="s">
        <v>4</v>
      </c>
      <c r="E444" s="454">
        <v>1.06</v>
      </c>
      <c r="F444" s="36">
        <f>F442*E444</f>
        <v>0</v>
      </c>
      <c r="G444" s="445"/>
      <c r="H444" s="445"/>
      <c r="I444" s="445"/>
      <c r="J444" s="445"/>
      <c r="K444" s="445">
        <v>4</v>
      </c>
      <c r="L444" s="445">
        <f>F444*K444</f>
        <v>0</v>
      </c>
      <c r="M444" s="445">
        <f>H444+J444+L444</f>
        <v>0</v>
      </c>
      <c r="N444" s="240"/>
    </row>
    <row r="445" spans="1:14" s="76" customFormat="1" ht="15.75" hidden="1" x14ac:dyDescent="0.3">
      <c r="A445" s="1260"/>
      <c r="B445" s="449"/>
      <c r="C445" s="26" t="s">
        <v>374</v>
      </c>
      <c r="D445" s="449" t="s">
        <v>29</v>
      </c>
      <c r="E445" s="454">
        <f>0.18+0.09+0.97</f>
        <v>1.24</v>
      </c>
      <c r="F445" s="36">
        <f>E445*F442</f>
        <v>0</v>
      </c>
      <c r="G445" s="445">
        <v>16.899999999999999</v>
      </c>
      <c r="H445" s="445">
        <f>F445*G445</f>
        <v>0</v>
      </c>
      <c r="I445" s="445"/>
      <c r="J445" s="445"/>
      <c r="K445" s="445"/>
      <c r="L445" s="445"/>
      <c r="M445" s="445">
        <f>H445+J445+L445</f>
        <v>0</v>
      </c>
      <c r="N445" s="240"/>
    </row>
    <row r="446" spans="1:14" s="76" customFormat="1" ht="15.75" hidden="1" x14ac:dyDescent="0.3">
      <c r="A446" s="1261"/>
      <c r="B446" s="449"/>
      <c r="C446" s="145" t="s">
        <v>50</v>
      </c>
      <c r="D446" s="283" t="s">
        <v>4</v>
      </c>
      <c r="E446" s="454">
        <v>0.02</v>
      </c>
      <c r="F446" s="36">
        <f>F442*E446</f>
        <v>0</v>
      </c>
      <c r="G446" s="32">
        <v>4</v>
      </c>
      <c r="H446" s="445">
        <f>F446*G446</f>
        <v>0</v>
      </c>
      <c r="I446" s="17"/>
      <c r="J446" s="445"/>
      <c r="K446" s="18"/>
      <c r="L446" s="445"/>
      <c r="M446" s="445">
        <f>H446+J446+L446</f>
        <v>0</v>
      </c>
      <c r="N446" s="240"/>
    </row>
    <row r="447" spans="1:14" s="76" customFormat="1" ht="31.5" hidden="1" x14ac:dyDescent="0.3">
      <c r="A447" s="1273" t="s">
        <v>89</v>
      </c>
      <c r="B447" s="220" t="s">
        <v>378</v>
      </c>
      <c r="C447" s="442" t="s">
        <v>396</v>
      </c>
      <c r="D447" s="220" t="s">
        <v>37</v>
      </c>
      <c r="E447" s="23"/>
      <c r="F447" s="78">
        <f>0.8*6*(0.45+0.4)*0.12*F436</f>
        <v>0</v>
      </c>
      <c r="G447" s="8"/>
      <c r="H447" s="8"/>
      <c r="I447" s="8"/>
      <c r="J447" s="8"/>
      <c r="K447" s="8"/>
      <c r="L447" s="223"/>
      <c r="M447" s="223"/>
      <c r="N447" s="240"/>
    </row>
    <row r="448" spans="1:14" s="76" customFormat="1" ht="15.75" hidden="1" x14ac:dyDescent="0.3">
      <c r="A448" s="1274"/>
      <c r="B448" s="220"/>
      <c r="C448" s="26" t="s">
        <v>13</v>
      </c>
      <c r="D448" s="449" t="s">
        <v>14</v>
      </c>
      <c r="E448" s="454">
        <v>8.44</v>
      </c>
      <c r="F448" s="36">
        <f>F447*E448</f>
        <v>0</v>
      </c>
      <c r="G448" s="445"/>
      <c r="H448" s="445"/>
      <c r="I448" s="445">
        <v>6</v>
      </c>
      <c r="J448" s="445">
        <f>F448*I448</f>
        <v>0</v>
      </c>
      <c r="K448" s="445"/>
      <c r="L448" s="445"/>
      <c r="M448" s="445">
        <f>H448+J448+L448</f>
        <v>0</v>
      </c>
      <c r="N448" s="240"/>
    </row>
    <row r="449" spans="1:14" s="76" customFormat="1" ht="15.75" hidden="1" x14ac:dyDescent="0.3">
      <c r="A449" s="1274"/>
      <c r="B449" s="220"/>
      <c r="C449" s="26" t="s">
        <v>17</v>
      </c>
      <c r="D449" s="449" t="s">
        <v>4</v>
      </c>
      <c r="E449" s="454">
        <v>1.1000000000000001</v>
      </c>
      <c r="F449" s="36">
        <f>F447*E449</f>
        <v>0</v>
      </c>
      <c r="G449" s="445"/>
      <c r="H449" s="445"/>
      <c r="I449" s="445"/>
      <c r="J449" s="445"/>
      <c r="K449" s="445">
        <v>4</v>
      </c>
      <c r="L449" s="445">
        <f>F449*K449</f>
        <v>0</v>
      </c>
      <c r="M449" s="445">
        <f>H449+J449+L449</f>
        <v>0</v>
      </c>
      <c r="N449" s="240"/>
    </row>
    <row r="450" spans="1:14" s="76" customFormat="1" ht="15.75" hidden="1" x14ac:dyDescent="0.3">
      <c r="A450" s="1274"/>
      <c r="C450" s="42" t="s">
        <v>317</v>
      </c>
      <c r="D450" s="297" t="s">
        <v>37</v>
      </c>
      <c r="E450" s="447">
        <v>1.0149999999999999</v>
      </c>
      <c r="F450" s="21">
        <f>F447*E450</f>
        <v>0</v>
      </c>
      <c r="G450" s="8">
        <v>116</v>
      </c>
      <c r="H450" s="445">
        <f t="shared" ref="H450:H454" si="28">F450*G450</f>
        <v>0</v>
      </c>
      <c r="I450" s="17"/>
      <c r="J450" s="445"/>
      <c r="K450" s="18"/>
      <c r="L450" s="445"/>
      <c r="M450" s="445">
        <f t="shared" ref="M450:M454" si="29">H450+J450+L450</f>
        <v>0</v>
      </c>
      <c r="N450" s="240"/>
    </row>
    <row r="451" spans="1:14" s="76" customFormat="1" ht="15.75" hidden="1" x14ac:dyDescent="0.3">
      <c r="A451" s="1274"/>
      <c r="B451" s="220"/>
      <c r="C451" s="42" t="s">
        <v>336</v>
      </c>
      <c r="D451" s="297" t="s">
        <v>47</v>
      </c>
      <c r="E451" s="447">
        <v>1.84</v>
      </c>
      <c r="F451" s="21">
        <f>F447*E451</f>
        <v>0</v>
      </c>
      <c r="G451" s="8">
        <v>16</v>
      </c>
      <c r="H451" s="445">
        <f t="shared" si="28"/>
        <v>0</v>
      </c>
      <c r="I451" s="17"/>
      <c r="J451" s="445"/>
      <c r="K451" s="18"/>
      <c r="L451" s="445"/>
      <c r="M451" s="445">
        <f t="shared" si="29"/>
        <v>0</v>
      </c>
      <c r="N451" s="240"/>
    </row>
    <row r="452" spans="1:14" s="76" customFormat="1" ht="15.75" hidden="1" x14ac:dyDescent="0.3">
      <c r="A452" s="1274"/>
      <c r="B452" s="220"/>
      <c r="C452" s="42" t="s">
        <v>39</v>
      </c>
      <c r="D452" s="297" t="s">
        <v>37</v>
      </c>
      <c r="E452" s="447">
        <f>(0.34+3.91)/100</f>
        <v>4.2500000000000003E-2</v>
      </c>
      <c r="F452" s="21">
        <f>F447*E452</f>
        <v>0</v>
      </c>
      <c r="G452" s="8">
        <v>542</v>
      </c>
      <c r="H452" s="445">
        <f t="shared" si="28"/>
        <v>0</v>
      </c>
      <c r="I452" s="17"/>
      <c r="J452" s="445"/>
      <c r="K452" s="18"/>
      <c r="L452" s="445"/>
      <c r="M452" s="445">
        <f t="shared" si="29"/>
        <v>0</v>
      </c>
      <c r="N452" s="240"/>
    </row>
    <row r="453" spans="1:14" s="76" customFormat="1" ht="15.75" hidden="1" x14ac:dyDescent="0.3">
      <c r="A453" s="1274"/>
      <c r="B453" s="220"/>
      <c r="C453" s="42" t="s">
        <v>267</v>
      </c>
      <c r="D453" s="297" t="s">
        <v>2</v>
      </c>
      <c r="E453" s="447">
        <v>2.2000000000000002</v>
      </c>
      <c r="F453" s="21">
        <f>F447*E453</f>
        <v>0</v>
      </c>
      <c r="G453" s="8">
        <v>3.6</v>
      </c>
      <c r="H453" s="445">
        <f t="shared" si="28"/>
        <v>0</v>
      </c>
      <c r="I453" s="17"/>
      <c r="J453" s="445"/>
      <c r="K453" s="18"/>
      <c r="L453" s="445"/>
      <c r="M453" s="445">
        <f t="shared" si="29"/>
        <v>0</v>
      </c>
      <c r="N453" s="240"/>
    </row>
    <row r="454" spans="1:14" s="76" customFormat="1" ht="15.75" hidden="1" x14ac:dyDescent="0.3">
      <c r="A454" s="1274"/>
      <c r="B454" s="220"/>
      <c r="C454" s="42" t="s">
        <v>45</v>
      </c>
      <c r="D454" s="297" t="s">
        <v>2</v>
      </c>
      <c r="E454" s="447">
        <v>1</v>
      </c>
      <c r="F454" s="21">
        <f>F447*E454</f>
        <v>0</v>
      </c>
      <c r="G454" s="8">
        <v>3.7</v>
      </c>
      <c r="H454" s="445">
        <f t="shared" si="28"/>
        <v>0</v>
      </c>
      <c r="I454" s="17"/>
      <c r="J454" s="445"/>
      <c r="K454" s="18"/>
      <c r="L454" s="445"/>
      <c r="M454" s="445">
        <f t="shared" si="29"/>
        <v>0</v>
      </c>
      <c r="N454" s="240"/>
    </row>
    <row r="455" spans="1:14" s="76" customFormat="1" ht="15.75" hidden="1" x14ac:dyDescent="0.3">
      <c r="A455" s="1274"/>
      <c r="B455" s="220"/>
      <c r="C455" s="42" t="s">
        <v>50</v>
      </c>
      <c r="D455" s="297" t="s">
        <v>4</v>
      </c>
      <c r="E455" s="447">
        <v>0.46</v>
      </c>
      <c r="F455" s="21">
        <f>F447*E455</f>
        <v>0</v>
      </c>
      <c r="G455" s="32">
        <v>4</v>
      </c>
      <c r="H455" s="445">
        <f>F455*G455</f>
        <v>0</v>
      </c>
      <c r="I455" s="17"/>
      <c r="J455" s="445"/>
      <c r="K455" s="18"/>
      <c r="L455" s="445"/>
      <c r="M455" s="445">
        <f>H455+J455+L455</f>
        <v>0</v>
      </c>
      <c r="N455" s="240"/>
    </row>
    <row r="456" spans="1:14" s="76" customFormat="1" ht="15.75" hidden="1" x14ac:dyDescent="0.3">
      <c r="A456" s="1274"/>
      <c r="B456" s="449"/>
      <c r="C456" s="448" t="s">
        <v>383</v>
      </c>
      <c r="D456" s="449" t="s">
        <v>38</v>
      </c>
      <c r="E456" s="454"/>
      <c r="F456" s="38">
        <f>( (((0.8*6)/0.15)*(0.45+0.4)+5*0.8*6)*F436  )*1.03*0.395/1000</f>
        <v>0</v>
      </c>
      <c r="G456" s="445">
        <v>1475</v>
      </c>
      <c r="H456" s="445">
        <f>F456*G456</f>
        <v>0</v>
      </c>
      <c r="I456" s="445"/>
      <c r="J456" s="445"/>
      <c r="K456" s="81"/>
      <c r="L456" s="445"/>
      <c r="M456" s="445">
        <f>H456+J456+L456</f>
        <v>0</v>
      </c>
      <c r="N456" s="240"/>
    </row>
    <row r="457" spans="1:14" s="76" customFormat="1" ht="15.75" hidden="1" x14ac:dyDescent="0.3">
      <c r="A457" s="1275"/>
      <c r="B457" s="449"/>
      <c r="C457" s="448" t="s">
        <v>295</v>
      </c>
      <c r="D457" s="449" t="s">
        <v>38</v>
      </c>
      <c r="E457" s="454"/>
      <c r="F457" s="38">
        <v>0</v>
      </c>
      <c r="G457" s="445">
        <v>1729</v>
      </c>
      <c r="H457" s="445">
        <f>F457*G457</f>
        <v>0</v>
      </c>
      <c r="I457" s="445"/>
      <c r="J457" s="445"/>
      <c r="K457" s="81"/>
      <c r="L457" s="445"/>
      <c r="M457" s="445">
        <f>H457+J457+L457</f>
        <v>0</v>
      </c>
      <c r="N457" s="240"/>
    </row>
    <row r="458" spans="1:14" s="76" customFormat="1" ht="31.5" hidden="1" x14ac:dyDescent="0.3">
      <c r="A458" s="1273" t="s">
        <v>90</v>
      </c>
      <c r="B458" s="452" t="s">
        <v>326</v>
      </c>
      <c r="C458" s="448" t="s">
        <v>414</v>
      </c>
      <c r="D458" s="452" t="s">
        <v>47</v>
      </c>
      <c r="E458" s="10"/>
      <c r="F458" s="38">
        <f>0.8*6*(0.4*2)*F436</f>
        <v>0</v>
      </c>
      <c r="G458" s="445"/>
      <c r="H458" s="445"/>
      <c r="I458" s="445"/>
      <c r="J458" s="445"/>
      <c r="K458" s="81"/>
      <c r="L458" s="445"/>
      <c r="M458" s="445"/>
      <c r="N458" s="240"/>
    </row>
    <row r="459" spans="1:14" s="76" customFormat="1" ht="15.75" hidden="1" x14ac:dyDescent="0.3">
      <c r="A459" s="1274"/>
      <c r="B459" s="451"/>
      <c r="C459" s="295" t="s">
        <v>327</v>
      </c>
      <c r="D459" s="347" t="s">
        <v>14</v>
      </c>
      <c r="E459" s="293">
        <f>(19.2+5.97)/100</f>
        <v>0.25169999999999998</v>
      </c>
      <c r="F459" s="293">
        <f>F458*E459</f>
        <v>0</v>
      </c>
      <c r="G459" s="8"/>
      <c r="H459" s="8"/>
      <c r="I459" s="8">
        <v>7.8</v>
      </c>
      <c r="J459" s="8">
        <f>F459*I459</f>
        <v>0</v>
      </c>
      <c r="K459" s="8"/>
      <c r="L459" s="8"/>
      <c r="M459" s="8">
        <f>H459+J459+L459</f>
        <v>0</v>
      </c>
      <c r="N459" s="240"/>
    </row>
    <row r="460" spans="1:14" s="76" customFormat="1" ht="15.75" hidden="1" x14ac:dyDescent="0.3">
      <c r="A460" s="1274"/>
      <c r="B460" s="451"/>
      <c r="C460" s="26" t="s">
        <v>17</v>
      </c>
      <c r="D460" s="451" t="s">
        <v>4</v>
      </c>
      <c r="E460" s="447">
        <f>(0.59+0.24)/100</f>
        <v>8.3000000000000001E-3</v>
      </c>
      <c r="F460" s="447">
        <f>F458*E460</f>
        <v>0</v>
      </c>
      <c r="G460" s="445"/>
      <c r="H460" s="12"/>
      <c r="I460" s="445"/>
      <c r="J460" s="445"/>
      <c r="K460" s="445">
        <v>4</v>
      </c>
      <c r="L460" s="445">
        <f>F460*K460</f>
        <v>0</v>
      </c>
      <c r="M460" s="8">
        <f>H460+J460+L460</f>
        <v>0</v>
      </c>
      <c r="N460" s="240"/>
    </row>
    <row r="461" spans="1:14" s="76" customFormat="1" ht="15.75" hidden="1" x14ac:dyDescent="0.3">
      <c r="A461" s="1274"/>
      <c r="B461" s="449"/>
      <c r="C461" s="26" t="s">
        <v>328</v>
      </c>
      <c r="D461" s="449" t="s">
        <v>2</v>
      </c>
      <c r="E461" s="454">
        <f>(0.29+0.14)*1000/100</f>
        <v>4.3</v>
      </c>
      <c r="F461" s="447">
        <f>E461*F458</f>
        <v>0</v>
      </c>
      <c r="G461" s="445">
        <v>1.25</v>
      </c>
      <c r="H461" s="445">
        <f>G461*F461</f>
        <v>0</v>
      </c>
      <c r="I461" s="445"/>
      <c r="J461" s="445"/>
      <c r="K461" s="445"/>
      <c r="L461" s="445"/>
      <c r="M461" s="445">
        <f>H461</f>
        <v>0</v>
      </c>
      <c r="N461" s="240"/>
    </row>
    <row r="462" spans="1:14" s="76" customFormat="1" ht="15.75" hidden="1" x14ac:dyDescent="0.3">
      <c r="A462" s="1274"/>
      <c r="B462" s="449"/>
      <c r="C462" s="26" t="s">
        <v>329</v>
      </c>
      <c r="D462" s="449" t="s">
        <v>2</v>
      </c>
      <c r="E462" s="454">
        <v>0.76</v>
      </c>
      <c r="F462" s="447">
        <f>E462*F458</f>
        <v>0</v>
      </c>
      <c r="G462" s="445">
        <v>1</v>
      </c>
      <c r="H462" s="445">
        <f>G462*F462</f>
        <v>0</v>
      </c>
      <c r="I462" s="445"/>
      <c r="J462" s="445"/>
      <c r="K462" s="445"/>
      <c r="L462" s="445"/>
      <c r="M462" s="445">
        <f>H462</f>
        <v>0</v>
      </c>
      <c r="N462" s="240"/>
    </row>
    <row r="463" spans="1:14" s="76" customFormat="1" ht="15.75" hidden="1" x14ac:dyDescent="0.3">
      <c r="A463" s="1275"/>
      <c r="B463" s="449"/>
      <c r="C463" s="26" t="s">
        <v>330</v>
      </c>
      <c r="D463" s="449" t="s">
        <v>331</v>
      </c>
      <c r="E463" s="454">
        <v>1.9E-3</v>
      </c>
      <c r="F463" s="447">
        <f>E463*F458</f>
        <v>0</v>
      </c>
      <c r="G463" s="445">
        <v>4</v>
      </c>
      <c r="H463" s="445">
        <f>G463*F463</f>
        <v>0</v>
      </c>
      <c r="I463" s="445"/>
      <c r="J463" s="445"/>
      <c r="K463" s="445"/>
      <c r="L463" s="445"/>
      <c r="M463" s="445">
        <f>H463</f>
        <v>0</v>
      </c>
      <c r="N463" s="240"/>
    </row>
    <row r="464" spans="1:14" s="76" customFormat="1" ht="15.75" hidden="1" x14ac:dyDescent="0.3">
      <c r="A464" s="1259" t="s">
        <v>82</v>
      </c>
      <c r="B464" s="452" t="s">
        <v>388</v>
      </c>
      <c r="C464" s="448" t="s">
        <v>397</v>
      </c>
      <c r="D464" s="452" t="s">
        <v>37</v>
      </c>
      <c r="E464" s="454"/>
      <c r="F464" s="38">
        <f>1.22*(0.45-0.12)*F436</f>
        <v>0</v>
      </c>
      <c r="G464" s="445"/>
      <c r="H464" s="445"/>
      <c r="I464" s="445"/>
      <c r="J464" s="445"/>
      <c r="K464" s="445"/>
      <c r="L464" s="445"/>
      <c r="M464" s="445"/>
      <c r="N464" s="240"/>
    </row>
    <row r="465" spans="1:14" s="76" customFormat="1" ht="15.75" hidden="1" x14ac:dyDescent="0.3">
      <c r="A465" s="1260"/>
      <c r="B465" s="449"/>
      <c r="C465" s="26" t="s">
        <v>13</v>
      </c>
      <c r="D465" s="449" t="s">
        <v>14</v>
      </c>
      <c r="E465" s="454">
        <v>3.16</v>
      </c>
      <c r="F465" s="36">
        <f>E465*F464</f>
        <v>0</v>
      </c>
      <c r="G465" s="445"/>
      <c r="H465" s="445"/>
      <c r="I465" s="445">
        <v>6</v>
      </c>
      <c r="J465" s="445">
        <f>F465*I465</f>
        <v>0</v>
      </c>
      <c r="K465" s="445"/>
      <c r="L465" s="445"/>
      <c r="M465" s="445">
        <f>H465+J465+L465</f>
        <v>0</v>
      </c>
      <c r="N465" s="240"/>
    </row>
    <row r="466" spans="1:14" s="76" customFormat="1" ht="15.75" hidden="1" x14ac:dyDescent="0.3">
      <c r="A466" s="1260"/>
      <c r="B466" s="449"/>
      <c r="C466" s="26" t="s">
        <v>17</v>
      </c>
      <c r="D466" s="449" t="s">
        <v>4</v>
      </c>
      <c r="E466" s="454">
        <v>0</v>
      </c>
      <c r="F466" s="36">
        <f>F464*E466</f>
        <v>0</v>
      </c>
      <c r="G466" s="445"/>
      <c r="H466" s="445"/>
      <c r="I466" s="445"/>
      <c r="J466" s="445"/>
      <c r="K466" s="445">
        <v>4</v>
      </c>
      <c r="L466" s="445">
        <f>F466*K466</f>
        <v>0</v>
      </c>
      <c r="M466" s="445">
        <f>H466+J466+L466</f>
        <v>0</v>
      </c>
      <c r="N466" s="240"/>
    </row>
    <row r="467" spans="1:14" s="76" customFormat="1" ht="15.75" hidden="1" x14ac:dyDescent="0.3">
      <c r="A467" s="1260"/>
      <c r="B467" s="449"/>
      <c r="C467" s="26" t="s">
        <v>374</v>
      </c>
      <c r="D467" s="449" t="s">
        <v>29</v>
      </c>
      <c r="E467" s="454">
        <v>1.25</v>
      </c>
      <c r="F467" s="36">
        <f>E467*F464</f>
        <v>0</v>
      </c>
      <c r="G467" s="445">
        <v>16.899999999999999</v>
      </c>
      <c r="H467" s="445">
        <f>F467*G467</f>
        <v>0</v>
      </c>
      <c r="I467" s="445"/>
      <c r="J467" s="445"/>
      <c r="K467" s="445"/>
      <c r="L467" s="445"/>
      <c r="M467" s="445">
        <f>H467+J467+L467</f>
        <v>0</v>
      </c>
      <c r="N467" s="240"/>
    </row>
    <row r="468" spans="1:14" s="76" customFormat="1" ht="15.75" hidden="1" x14ac:dyDescent="0.3">
      <c r="A468" s="1261"/>
      <c r="B468" s="449"/>
      <c r="C468" s="145" t="s">
        <v>50</v>
      </c>
      <c r="D468" s="283" t="s">
        <v>4</v>
      </c>
      <c r="E468" s="454">
        <v>0.01</v>
      </c>
      <c r="F468" s="36">
        <f>F464*E468</f>
        <v>0</v>
      </c>
      <c r="G468" s="32">
        <v>4</v>
      </c>
      <c r="H468" s="445">
        <f>F468*G468</f>
        <v>0</v>
      </c>
      <c r="I468" s="17"/>
      <c r="J468" s="445"/>
      <c r="K468" s="18"/>
      <c r="L468" s="445"/>
      <c r="M468" s="445">
        <f>H468+J468+L468</f>
        <v>0</v>
      </c>
      <c r="N468" s="240"/>
    </row>
    <row r="469" spans="1:14" s="76" customFormat="1" ht="31.5" hidden="1" x14ac:dyDescent="0.3">
      <c r="A469" s="1273" t="s">
        <v>40</v>
      </c>
      <c r="B469" s="452" t="s">
        <v>84</v>
      </c>
      <c r="C469" s="442" t="s">
        <v>398</v>
      </c>
      <c r="D469" s="220" t="s">
        <v>37</v>
      </c>
      <c r="E469" s="23"/>
      <c r="F469" s="78">
        <f>1.67*0.12*F436</f>
        <v>0</v>
      </c>
      <c r="G469" s="8"/>
      <c r="H469" s="8"/>
      <c r="I469" s="8"/>
      <c r="J469" s="8"/>
      <c r="K469" s="8"/>
      <c r="L469" s="223"/>
      <c r="M469" s="223"/>
      <c r="N469" s="240"/>
    </row>
    <row r="470" spans="1:14" s="76" customFormat="1" ht="15.75" hidden="1" x14ac:dyDescent="0.3">
      <c r="A470" s="1274"/>
      <c r="B470" s="449"/>
      <c r="C470" s="13" t="s">
        <v>36</v>
      </c>
      <c r="D470" s="449" t="s">
        <v>6</v>
      </c>
      <c r="E470" s="454">
        <v>2.9</v>
      </c>
      <c r="F470" s="36">
        <f>F469*E470</f>
        <v>0</v>
      </c>
      <c r="G470" s="445"/>
      <c r="H470" s="445"/>
      <c r="I470" s="445">
        <v>6</v>
      </c>
      <c r="J470" s="445">
        <f>F470*I470</f>
        <v>0</v>
      </c>
      <c r="K470" s="81"/>
      <c r="L470" s="445"/>
      <c r="M470" s="445">
        <f>H470+J470+L470</f>
        <v>0</v>
      </c>
      <c r="N470" s="240"/>
    </row>
    <row r="471" spans="1:14" s="76" customFormat="1" ht="15.75" hidden="1" x14ac:dyDescent="0.3">
      <c r="A471" s="1274"/>
      <c r="B471" s="449"/>
      <c r="C471" s="13" t="s">
        <v>145</v>
      </c>
      <c r="D471" s="449" t="s">
        <v>37</v>
      </c>
      <c r="E471" s="454">
        <v>1.02</v>
      </c>
      <c r="F471" s="36">
        <f>F469*E471</f>
        <v>0</v>
      </c>
      <c r="G471" s="81">
        <v>116</v>
      </c>
      <c r="H471" s="445">
        <f>F471*G471</f>
        <v>0</v>
      </c>
      <c r="I471" s="445"/>
      <c r="J471" s="445"/>
      <c r="K471" s="81"/>
      <c r="L471" s="445"/>
      <c r="M471" s="445">
        <f>H471+J471+L471</f>
        <v>0</v>
      </c>
      <c r="N471" s="240"/>
    </row>
    <row r="472" spans="1:14" s="76" customFormat="1" ht="15.75" hidden="1" x14ac:dyDescent="0.3">
      <c r="A472" s="1274"/>
      <c r="B472" s="449"/>
      <c r="C472" s="13" t="s">
        <v>16</v>
      </c>
      <c r="D472" s="449" t="s">
        <v>4</v>
      </c>
      <c r="E472" s="454">
        <v>0.88</v>
      </c>
      <c r="F472" s="36">
        <f>F469*E472</f>
        <v>0</v>
      </c>
      <c r="G472" s="81">
        <v>4</v>
      </c>
      <c r="H472" s="445">
        <f>F472*G472</f>
        <v>0</v>
      </c>
      <c r="I472" s="445"/>
      <c r="J472" s="445"/>
      <c r="K472" s="81"/>
      <c r="L472" s="445"/>
      <c r="M472" s="445">
        <f>H472+J472+L472</f>
        <v>0</v>
      </c>
      <c r="N472" s="240"/>
    </row>
    <row r="473" spans="1:14" s="76" customFormat="1" ht="15.75" hidden="1" x14ac:dyDescent="0.3">
      <c r="A473" s="1274"/>
      <c r="B473" s="449"/>
      <c r="C473" s="448" t="s">
        <v>379</v>
      </c>
      <c r="D473" s="449" t="s">
        <v>38</v>
      </c>
      <c r="E473" s="454"/>
      <c r="F473" s="38">
        <f>F469*16*1.03*0.395/100</f>
        <v>0</v>
      </c>
      <c r="G473" s="445">
        <v>1475</v>
      </c>
      <c r="H473" s="445">
        <f>F473*G473</f>
        <v>0</v>
      </c>
      <c r="I473" s="445"/>
      <c r="J473" s="445"/>
      <c r="K473" s="81"/>
      <c r="L473" s="445"/>
      <c r="M473" s="445">
        <f>H473+J473+L473</f>
        <v>0</v>
      </c>
      <c r="N473" s="240"/>
    </row>
    <row r="474" spans="1:14" s="76" customFormat="1" ht="15.75" hidden="1" x14ac:dyDescent="0.3">
      <c r="A474" s="1275"/>
      <c r="B474" s="449"/>
      <c r="C474" s="448" t="s">
        <v>295</v>
      </c>
      <c r="D474" s="449" t="s">
        <v>38</v>
      </c>
      <c r="E474" s="454"/>
      <c r="F474" s="38">
        <v>0</v>
      </c>
      <c r="G474" s="445">
        <v>1729</v>
      </c>
      <c r="H474" s="445">
        <f>F474*G474</f>
        <v>0</v>
      </c>
      <c r="I474" s="445"/>
      <c r="J474" s="445"/>
      <c r="K474" s="81"/>
      <c r="L474" s="445"/>
      <c r="M474" s="445">
        <f>H474+J474+L474</f>
        <v>0</v>
      </c>
      <c r="N474" s="240"/>
    </row>
    <row r="475" spans="1:14" s="76" customFormat="1" ht="47.25" hidden="1" x14ac:dyDescent="0.3">
      <c r="A475" s="1273" t="s">
        <v>46</v>
      </c>
      <c r="B475" s="220" t="s">
        <v>333</v>
      </c>
      <c r="C475" s="442" t="s">
        <v>399</v>
      </c>
      <c r="D475" s="220" t="s">
        <v>47</v>
      </c>
      <c r="E475" s="23"/>
      <c r="F475" s="78">
        <f>0.8*6*(0.55+0.22+0.2)*F436</f>
        <v>0</v>
      </c>
      <c r="G475" s="8"/>
      <c r="H475" s="8"/>
      <c r="I475" s="8"/>
      <c r="J475" s="8"/>
      <c r="K475" s="8"/>
      <c r="L475" s="223"/>
      <c r="M475" s="223"/>
      <c r="N475" s="240"/>
    </row>
    <row r="476" spans="1:14" s="76" customFormat="1" ht="15.75" hidden="1" x14ac:dyDescent="0.3">
      <c r="A476" s="1274"/>
      <c r="B476" s="449"/>
      <c r="C476" s="26" t="s">
        <v>332</v>
      </c>
      <c r="D476" s="449" t="s">
        <v>6</v>
      </c>
      <c r="E476" s="454">
        <v>11.8</v>
      </c>
      <c r="F476" s="447">
        <f>E476*F475</f>
        <v>0</v>
      </c>
      <c r="G476" s="420"/>
      <c r="H476" s="420"/>
      <c r="I476" s="445">
        <v>7.8</v>
      </c>
      <c r="J476" s="445">
        <f>I476*F476</f>
        <v>0</v>
      </c>
      <c r="K476" s="420"/>
      <c r="L476" s="420"/>
      <c r="M476" s="445">
        <f>L476+J476+H476</f>
        <v>0</v>
      </c>
      <c r="N476" s="240"/>
    </row>
    <row r="477" spans="1:14" s="76" customFormat="1" ht="15.75" hidden="1" x14ac:dyDescent="0.3">
      <c r="A477" s="1274"/>
      <c r="B477" s="449"/>
      <c r="C477" s="26" t="s">
        <v>334</v>
      </c>
      <c r="D477" s="449" t="s">
        <v>4</v>
      </c>
      <c r="E477" s="454">
        <v>0.15</v>
      </c>
      <c r="F477" s="447">
        <f>E477*F475</f>
        <v>0</v>
      </c>
      <c r="G477" s="420"/>
      <c r="H477" s="420"/>
      <c r="I477" s="420"/>
      <c r="J477" s="420"/>
      <c r="K477" s="445">
        <v>4</v>
      </c>
      <c r="L477" s="445">
        <f>K477*F477</f>
        <v>0</v>
      </c>
      <c r="M477" s="420">
        <f>L477+J477+H477</f>
        <v>0</v>
      </c>
      <c r="N477" s="240"/>
    </row>
    <row r="478" spans="1:14" s="76" customFormat="1" ht="15.75" hidden="1" x14ac:dyDescent="0.3">
      <c r="A478" s="1274"/>
      <c r="B478" s="449"/>
      <c r="C478" s="26" t="s">
        <v>401</v>
      </c>
      <c r="D478" s="449" t="s">
        <v>47</v>
      </c>
      <c r="E478" s="454">
        <v>1.05</v>
      </c>
      <c r="F478" s="447">
        <f>E478*F475</f>
        <v>0</v>
      </c>
      <c r="G478" s="445">
        <v>68</v>
      </c>
      <c r="H478" s="445">
        <f>G478*F478</f>
        <v>0</v>
      </c>
      <c r="I478" s="420"/>
      <c r="J478" s="420"/>
      <c r="K478" s="420"/>
      <c r="L478" s="420"/>
      <c r="M478" s="420">
        <f>L478+J478+H478</f>
        <v>0</v>
      </c>
      <c r="N478" s="240"/>
    </row>
    <row r="479" spans="1:14" s="76" customFormat="1" ht="15.75" hidden="1" x14ac:dyDescent="0.3">
      <c r="A479" s="1274"/>
      <c r="B479" s="449"/>
      <c r="C479" s="26" t="s">
        <v>88</v>
      </c>
      <c r="D479" s="449" t="s">
        <v>335</v>
      </c>
      <c r="E479" s="454">
        <v>3.5999999999999997E-2</v>
      </c>
      <c r="F479" s="447">
        <f>E479*F475</f>
        <v>0</v>
      </c>
      <c r="G479" s="445">
        <v>118</v>
      </c>
      <c r="H479" s="445">
        <f>G479*F479</f>
        <v>0</v>
      </c>
      <c r="I479" s="420"/>
      <c r="J479" s="420"/>
      <c r="K479" s="420"/>
      <c r="L479" s="420"/>
      <c r="M479" s="420">
        <f>L479+J479+H479</f>
        <v>0</v>
      </c>
      <c r="N479" s="240"/>
    </row>
    <row r="480" spans="1:14" s="76" customFormat="1" ht="15.75" hidden="1" x14ac:dyDescent="0.3">
      <c r="A480" s="1275"/>
      <c r="B480" s="449"/>
      <c r="C480" s="26" t="s">
        <v>50</v>
      </c>
      <c r="D480" s="449" t="s">
        <v>21</v>
      </c>
      <c r="E480" s="454">
        <v>0.01</v>
      </c>
      <c r="F480" s="447">
        <f>E480*F475</f>
        <v>0</v>
      </c>
      <c r="G480" s="445">
        <v>4</v>
      </c>
      <c r="H480" s="445">
        <f>G480*F480</f>
        <v>0</v>
      </c>
      <c r="I480" s="420"/>
      <c r="J480" s="420"/>
      <c r="K480" s="420"/>
      <c r="L480" s="420"/>
      <c r="M480" s="420">
        <f>L480+J480+H480</f>
        <v>0</v>
      </c>
      <c r="N480" s="240"/>
    </row>
    <row r="481" spans="1:14" s="76" customFormat="1" ht="47.25" hidden="1" x14ac:dyDescent="0.3">
      <c r="A481" s="1273" t="s">
        <v>48</v>
      </c>
      <c r="B481" s="452" t="s">
        <v>18</v>
      </c>
      <c r="C481" s="148" t="s">
        <v>407</v>
      </c>
      <c r="D481" s="31" t="s">
        <v>47</v>
      </c>
      <c r="E481" s="10"/>
      <c r="F481" s="38">
        <f>1.67*F436</f>
        <v>0</v>
      </c>
      <c r="G481" s="32"/>
      <c r="H481" s="445"/>
      <c r="I481" s="17"/>
      <c r="J481" s="445"/>
      <c r="K481" s="18"/>
      <c r="L481" s="445"/>
      <c r="M481" s="445"/>
      <c r="N481" s="240"/>
    </row>
    <row r="482" spans="1:14" s="76" customFormat="1" ht="15.75" hidden="1" x14ac:dyDescent="0.3">
      <c r="A482" s="1274"/>
      <c r="B482" s="452"/>
      <c r="C482" s="145" t="s">
        <v>36</v>
      </c>
      <c r="D482" s="283" t="s">
        <v>6</v>
      </c>
      <c r="E482" s="454">
        <v>1</v>
      </c>
      <c r="F482" s="36">
        <f>F481*E482</f>
        <v>0</v>
      </c>
      <c r="G482" s="32"/>
      <c r="H482" s="445"/>
      <c r="I482" s="17">
        <v>10</v>
      </c>
      <c r="J482" s="445">
        <f>I482*F482</f>
        <v>0</v>
      </c>
      <c r="K482" s="420"/>
      <c r="L482" s="420"/>
      <c r="M482" s="445">
        <f>L482+J482+H482</f>
        <v>0</v>
      </c>
      <c r="N482" s="240"/>
    </row>
    <row r="483" spans="1:14" s="76" customFormat="1" ht="31.5" hidden="1" x14ac:dyDescent="0.3">
      <c r="A483" s="1274"/>
      <c r="B483" s="449"/>
      <c r="C483" s="13" t="s">
        <v>406</v>
      </c>
      <c r="D483" s="449" t="s">
        <v>38</v>
      </c>
      <c r="E483" s="454"/>
      <c r="F483" s="36">
        <f>(1.6+1.2+1.2+1.4*3)*1.05*0.00188*F436</f>
        <v>0</v>
      </c>
      <c r="G483" s="445">
        <v>1820</v>
      </c>
      <c r="H483" s="445">
        <f>G483*F483</f>
        <v>0</v>
      </c>
      <c r="I483" s="420"/>
      <c r="J483" s="420"/>
      <c r="K483" s="420"/>
      <c r="L483" s="420"/>
      <c r="M483" s="420">
        <f>L483+J483+H483</f>
        <v>0</v>
      </c>
      <c r="N483" s="240"/>
    </row>
    <row r="484" spans="1:14" s="76" customFormat="1" ht="31.5" hidden="1" x14ac:dyDescent="0.3">
      <c r="A484" s="1275"/>
      <c r="B484" s="449"/>
      <c r="C484" s="13" t="s">
        <v>408</v>
      </c>
      <c r="D484" s="449" t="s">
        <v>47</v>
      </c>
      <c r="E484" s="454">
        <v>1.1000000000000001</v>
      </c>
      <c r="F484" s="36">
        <f>F481*E484</f>
        <v>0</v>
      </c>
      <c r="G484" s="445">
        <v>100</v>
      </c>
      <c r="H484" s="445">
        <f>G484*F484</f>
        <v>0</v>
      </c>
      <c r="I484" s="420"/>
      <c r="J484" s="420"/>
      <c r="K484" s="420"/>
      <c r="L484" s="420"/>
      <c r="M484" s="420">
        <f>L484+J484+H484</f>
        <v>0</v>
      </c>
      <c r="N484" s="500">
        <f>SUM(M436:M484)</f>
        <v>0</v>
      </c>
    </row>
    <row r="485" spans="1:14" s="76" customFormat="1" ht="47.25" hidden="1" x14ac:dyDescent="0.3">
      <c r="A485" s="479"/>
      <c r="B485" s="392"/>
      <c r="C485" s="128" t="s">
        <v>409</v>
      </c>
      <c r="D485" s="392"/>
      <c r="E485" s="424"/>
      <c r="F485" s="434"/>
      <c r="G485" s="445"/>
      <c r="H485" s="445"/>
      <c r="I485" s="445"/>
      <c r="J485" s="445"/>
      <c r="K485" s="81"/>
      <c r="L485" s="445"/>
      <c r="M485" s="445"/>
      <c r="N485" s="240"/>
    </row>
    <row r="486" spans="1:14" s="76" customFormat="1" ht="15.75" hidden="1" x14ac:dyDescent="0.3">
      <c r="A486" s="470"/>
      <c r="B486" s="476"/>
      <c r="C486" s="475" t="s">
        <v>410</v>
      </c>
      <c r="D486" s="477" t="s">
        <v>52</v>
      </c>
      <c r="E486" s="480"/>
      <c r="F486" s="481">
        <v>0</v>
      </c>
      <c r="G486" s="445"/>
      <c r="H486" s="445"/>
      <c r="I486" s="445"/>
      <c r="J486" s="445"/>
      <c r="K486" s="81"/>
      <c r="L486" s="445"/>
      <c r="M486" s="445"/>
      <c r="N486" s="240"/>
    </row>
    <row r="487" spans="1:14" s="76" customFormat="1" ht="31.5" hidden="1" x14ac:dyDescent="0.3">
      <c r="A487" s="1259" t="s">
        <v>93</v>
      </c>
      <c r="B487" s="446" t="s">
        <v>31</v>
      </c>
      <c r="C487" s="468" t="s">
        <v>411</v>
      </c>
      <c r="D487" s="425" t="s">
        <v>37</v>
      </c>
      <c r="E487" s="22"/>
      <c r="F487" s="22">
        <f>0.5*0.4*2.2*F486</f>
        <v>0</v>
      </c>
      <c r="G487" s="8"/>
      <c r="H487" s="8"/>
      <c r="I487" s="8"/>
      <c r="J487" s="8"/>
      <c r="K487" s="8"/>
      <c r="L487" s="8"/>
      <c r="M487" s="8"/>
      <c r="N487" s="240"/>
    </row>
    <row r="488" spans="1:14" s="76" customFormat="1" ht="15.75" hidden="1" x14ac:dyDescent="0.3">
      <c r="A488" s="1261"/>
      <c r="B488" s="283"/>
      <c r="C488" s="33" t="s">
        <v>33</v>
      </c>
      <c r="D488" s="143" t="s">
        <v>6</v>
      </c>
      <c r="E488" s="34">
        <v>3.88</v>
      </c>
      <c r="F488" s="36">
        <f>F487*E488</f>
        <v>0</v>
      </c>
      <c r="G488" s="32"/>
      <c r="H488" s="32"/>
      <c r="I488" s="32">
        <v>6</v>
      </c>
      <c r="J488" s="32">
        <f>F488*I488</f>
        <v>0</v>
      </c>
      <c r="K488" s="32"/>
      <c r="L488" s="32"/>
      <c r="M488" s="32">
        <f>H488+J488+L488</f>
        <v>0</v>
      </c>
      <c r="N488" s="240"/>
    </row>
    <row r="489" spans="1:14" s="76" customFormat="1" ht="31.5" hidden="1" x14ac:dyDescent="0.3">
      <c r="A489" s="1260" t="s">
        <v>72</v>
      </c>
      <c r="B489" s="389" t="s">
        <v>91</v>
      </c>
      <c r="C489" s="280" t="s">
        <v>269</v>
      </c>
      <c r="D489" s="275" t="s">
        <v>294</v>
      </c>
      <c r="E489" s="276"/>
      <c r="F489" s="277">
        <f>F487*1.95</f>
        <v>0</v>
      </c>
      <c r="G489" s="445"/>
      <c r="H489" s="445"/>
      <c r="I489" s="445"/>
      <c r="J489" s="445"/>
      <c r="K489" s="445"/>
      <c r="L489" s="445"/>
      <c r="M489" s="445"/>
      <c r="N489" s="240"/>
    </row>
    <row r="490" spans="1:14" s="76" customFormat="1" ht="15.75" hidden="1" x14ac:dyDescent="0.3">
      <c r="A490" s="1261"/>
      <c r="B490" s="449"/>
      <c r="C490" s="281" t="s">
        <v>54</v>
      </c>
      <c r="D490" s="48" t="s">
        <v>6</v>
      </c>
      <c r="E490" s="49">
        <v>0.53</v>
      </c>
      <c r="F490" s="450">
        <f>F489*E490</f>
        <v>0</v>
      </c>
      <c r="G490" s="445"/>
      <c r="H490" s="445"/>
      <c r="I490" s="445">
        <v>6</v>
      </c>
      <c r="J490" s="445">
        <f>F490*I490</f>
        <v>0</v>
      </c>
      <c r="K490" s="445"/>
      <c r="L490" s="445"/>
      <c r="M490" s="445">
        <f>H490+J490+L490</f>
        <v>0</v>
      </c>
      <c r="N490" s="240"/>
    </row>
    <row r="491" spans="1:14" s="76" customFormat="1" ht="31.5" hidden="1" x14ac:dyDescent="0.3">
      <c r="A491" s="1108" t="s">
        <v>94</v>
      </c>
      <c r="B491" s="452" t="s">
        <v>420</v>
      </c>
      <c r="C491" s="379" t="s">
        <v>499</v>
      </c>
      <c r="D491" s="452" t="s">
        <v>38</v>
      </c>
      <c r="E491" s="390"/>
      <c r="F491" s="277">
        <f>F489</f>
        <v>0</v>
      </c>
      <c r="G491" s="445"/>
      <c r="H491" s="445"/>
      <c r="I491" s="445"/>
      <c r="J491" s="445"/>
      <c r="K491" s="19">
        <v>8.92</v>
      </c>
      <c r="L491" s="445">
        <f>F491*K491</f>
        <v>0</v>
      </c>
      <c r="M491" s="445">
        <f>H491+J491+L491</f>
        <v>0</v>
      </c>
      <c r="N491" s="240"/>
    </row>
    <row r="492" spans="1:14" s="76" customFormat="1" ht="31.5" hidden="1" x14ac:dyDescent="0.3">
      <c r="A492" s="1259" t="s">
        <v>87</v>
      </c>
      <c r="B492" s="452" t="s">
        <v>35</v>
      </c>
      <c r="C492" s="448" t="s">
        <v>365</v>
      </c>
      <c r="D492" s="452" t="s">
        <v>37</v>
      </c>
      <c r="E492" s="454"/>
      <c r="F492" s="38">
        <f>0.5*2.2*F486*0.1</f>
        <v>0</v>
      </c>
      <c r="G492" s="445"/>
      <c r="H492" s="445"/>
      <c r="I492" s="445"/>
      <c r="J492" s="445"/>
      <c r="K492" s="445"/>
      <c r="L492" s="445"/>
      <c r="M492" s="445"/>
      <c r="N492" s="240"/>
    </row>
    <row r="493" spans="1:14" s="76" customFormat="1" ht="15.75" hidden="1" x14ac:dyDescent="0.3">
      <c r="A493" s="1260"/>
      <c r="B493" s="449"/>
      <c r="C493" s="26" t="s">
        <v>13</v>
      </c>
      <c r="D493" s="449" t="s">
        <v>14</v>
      </c>
      <c r="E493" s="454">
        <v>3.52</v>
      </c>
      <c r="F493" s="36">
        <f>E493*F492</f>
        <v>0</v>
      </c>
      <c r="G493" s="445"/>
      <c r="H493" s="445"/>
      <c r="I493" s="445">
        <v>6</v>
      </c>
      <c r="J493" s="445">
        <f>F493*I493</f>
        <v>0</v>
      </c>
      <c r="K493" s="445"/>
      <c r="L493" s="445"/>
      <c r="M493" s="445">
        <f>H493+J493+L493</f>
        <v>0</v>
      </c>
      <c r="N493" s="240"/>
    </row>
    <row r="494" spans="1:14" s="76" customFormat="1" ht="15.75" hidden="1" x14ac:dyDescent="0.3">
      <c r="A494" s="1260"/>
      <c r="B494" s="449"/>
      <c r="C494" s="26" t="s">
        <v>17</v>
      </c>
      <c r="D494" s="449" t="s">
        <v>4</v>
      </c>
      <c r="E494" s="454">
        <v>1.06</v>
      </c>
      <c r="F494" s="36">
        <f>F492*E494</f>
        <v>0</v>
      </c>
      <c r="G494" s="445"/>
      <c r="H494" s="445"/>
      <c r="I494" s="445"/>
      <c r="J494" s="445"/>
      <c r="K494" s="445">
        <v>4</v>
      </c>
      <c r="L494" s="445">
        <f>F494*K494</f>
        <v>0</v>
      </c>
      <c r="M494" s="445">
        <f>H494+J494+L494</f>
        <v>0</v>
      </c>
      <c r="N494" s="240"/>
    </row>
    <row r="495" spans="1:14" s="76" customFormat="1" ht="15.75" hidden="1" x14ac:dyDescent="0.3">
      <c r="A495" s="1260"/>
      <c r="B495" s="449"/>
      <c r="C495" s="26" t="s">
        <v>374</v>
      </c>
      <c r="D495" s="449" t="s">
        <v>29</v>
      </c>
      <c r="E495" s="454">
        <f>0.18+0.09+0.97</f>
        <v>1.24</v>
      </c>
      <c r="F495" s="36">
        <f>E495*F492</f>
        <v>0</v>
      </c>
      <c r="G495" s="445">
        <v>16.899999999999999</v>
      </c>
      <c r="H495" s="445">
        <f>F495*G495</f>
        <v>0</v>
      </c>
      <c r="I495" s="445"/>
      <c r="J495" s="445"/>
      <c r="K495" s="445"/>
      <c r="L495" s="445"/>
      <c r="M495" s="445">
        <f>H495+J495+L495</f>
        <v>0</v>
      </c>
      <c r="N495" s="240"/>
    </row>
    <row r="496" spans="1:14" s="76" customFormat="1" ht="15.75" hidden="1" x14ac:dyDescent="0.3">
      <c r="A496" s="1261"/>
      <c r="B496" s="449"/>
      <c r="C496" s="145" t="s">
        <v>50</v>
      </c>
      <c r="D496" s="283" t="s">
        <v>4</v>
      </c>
      <c r="E496" s="454">
        <v>0.02</v>
      </c>
      <c r="F496" s="36">
        <f>F492*E496</f>
        <v>0</v>
      </c>
      <c r="G496" s="32">
        <v>4</v>
      </c>
      <c r="H496" s="445">
        <f>F496*G496</f>
        <v>0</v>
      </c>
      <c r="I496" s="17"/>
      <c r="J496" s="445"/>
      <c r="K496" s="18"/>
      <c r="L496" s="445"/>
      <c r="M496" s="445">
        <f>H496+J496+L496</f>
        <v>0</v>
      </c>
      <c r="N496" s="240"/>
    </row>
    <row r="497" spans="1:14" s="76" customFormat="1" ht="15.75" hidden="1" x14ac:dyDescent="0.3">
      <c r="A497" s="1273" t="s">
        <v>89</v>
      </c>
      <c r="B497" s="220" t="s">
        <v>378</v>
      </c>
      <c r="C497" s="442" t="s">
        <v>412</v>
      </c>
      <c r="D497" s="220" t="s">
        <v>37</v>
      </c>
      <c r="E497" s="23"/>
      <c r="F497" s="78">
        <f>0.4*0.75*2*F486</f>
        <v>0</v>
      </c>
      <c r="G497" s="8"/>
      <c r="H497" s="8"/>
      <c r="I497" s="8"/>
      <c r="J497" s="8"/>
      <c r="K497" s="8"/>
      <c r="L497" s="223"/>
      <c r="M497" s="223"/>
      <c r="N497" s="240"/>
    </row>
    <row r="498" spans="1:14" s="76" customFormat="1" ht="15.75" hidden="1" x14ac:dyDescent="0.3">
      <c r="A498" s="1274"/>
      <c r="B498" s="220"/>
      <c r="C498" s="26" t="s">
        <v>13</v>
      </c>
      <c r="D498" s="449" t="s">
        <v>14</v>
      </c>
      <c r="E498" s="454">
        <v>8.44</v>
      </c>
      <c r="F498" s="36">
        <f>F497*E498</f>
        <v>0</v>
      </c>
      <c r="G498" s="445"/>
      <c r="H498" s="445"/>
      <c r="I498" s="445">
        <v>6</v>
      </c>
      <c r="J498" s="445">
        <f>F498*I498</f>
        <v>0</v>
      </c>
      <c r="K498" s="445"/>
      <c r="L498" s="445"/>
      <c r="M498" s="445">
        <f>H498+J498+L498</f>
        <v>0</v>
      </c>
      <c r="N498" s="240"/>
    </row>
    <row r="499" spans="1:14" s="76" customFormat="1" ht="15.75" hidden="1" x14ac:dyDescent="0.3">
      <c r="A499" s="1274"/>
      <c r="B499" s="220"/>
      <c r="C499" s="26" t="s">
        <v>17</v>
      </c>
      <c r="D499" s="449" t="s">
        <v>4</v>
      </c>
      <c r="E499" s="454">
        <v>1.1000000000000001</v>
      </c>
      <c r="F499" s="36">
        <f>F497*E499</f>
        <v>0</v>
      </c>
      <c r="G499" s="445"/>
      <c r="H499" s="445"/>
      <c r="I499" s="445"/>
      <c r="J499" s="445"/>
      <c r="K499" s="445">
        <v>4</v>
      </c>
      <c r="L499" s="445">
        <f>F499*K499</f>
        <v>0</v>
      </c>
      <c r="M499" s="445">
        <f>H499+J499+L499</f>
        <v>0</v>
      </c>
      <c r="N499" s="240"/>
    </row>
    <row r="500" spans="1:14" s="76" customFormat="1" ht="15.75" hidden="1" x14ac:dyDescent="0.3">
      <c r="A500" s="1274"/>
      <c r="C500" s="42" t="s">
        <v>317</v>
      </c>
      <c r="D500" s="297" t="s">
        <v>37</v>
      </c>
      <c r="E500" s="447">
        <v>1.0149999999999999</v>
      </c>
      <c r="F500" s="21">
        <f>F497*E500</f>
        <v>0</v>
      </c>
      <c r="G500" s="8">
        <v>116</v>
      </c>
      <c r="H500" s="445">
        <f t="shared" ref="H500:H504" si="30">F500*G500</f>
        <v>0</v>
      </c>
      <c r="I500" s="17"/>
      <c r="J500" s="445"/>
      <c r="K500" s="18"/>
      <c r="L500" s="445"/>
      <c r="M500" s="445">
        <f t="shared" ref="M500:M504" si="31">H500+J500+L500</f>
        <v>0</v>
      </c>
      <c r="N500" s="240"/>
    </row>
    <row r="501" spans="1:14" s="76" customFormat="1" ht="15.75" hidden="1" x14ac:dyDescent="0.3">
      <c r="A501" s="1274"/>
      <c r="B501" s="220"/>
      <c r="C501" s="42" t="s">
        <v>336</v>
      </c>
      <c r="D501" s="297" t="s">
        <v>47</v>
      </c>
      <c r="E501" s="447">
        <v>1.84</v>
      </c>
      <c r="F501" s="21">
        <f>F497*E501</f>
        <v>0</v>
      </c>
      <c r="G501" s="8">
        <v>16</v>
      </c>
      <c r="H501" s="445">
        <f t="shared" si="30"/>
        <v>0</v>
      </c>
      <c r="I501" s="17"/>
      <c r="J501" s="445"/>
      <c r="K501" s="18"/>
      <c r="L501" s="445"/>
      <c r="M501" s="445">
        <f t="shared" si="31"/>
        <v>0</v>
      </c>
      <c r="N501" s="240"/>
    </row>
    <row r="502" spans="1:14" s="76" customFormat="1" ht="15.75" hidden="1" x14ac:dyDescent="0.3">
      <c r="A502" s="1274"/>
      <c r="B502" s="220"/>
      <c r="C502" s="42" t="s">
        <v>39</v>
      </c>
      <c r="D502" s="297" t="s">
        <v>37</v>
      </c>
      <c r="E502" s="447">
        <f>(0.34+3.91)/100</f>
        <v>4.2500000000000003E-2</v>
      </c>
      <c r="F502" s="21">
        <f>F497*E502</f>
        <v>0</v>
      </c>
      <c r="G502" s="8">
        <v>542</v>
      </c>
      <c r="H502" s="445">
        <f t="shared" si="30"/>
        <v>0</v>
      </c>
      <c r="I502" s="17"/>
      <c r="J502" s="445"/>
      <c r="K502" s="18"/>
      <c r="L502" s="445"/>
      <c r="M502" s="445">
        <f t="shared" si="31"/>
        <v>0</v>
      </c>
      <c r="N502" s="240"/>
    </row>
    <row r="503" spans="1:14" s="76" customFormat="1" ht="15.75" hidden="1" x14ac:dyDescent="0.3">
      <c r="A503" s="1274"/>
      <c r="B503" s="220"/>
      <c r="C503" s="42" t="s">
        <v>267</v>
      </c>
      <c r="D503" s="297" t="s">
        <v>2</v>
      </c>
      <c r="E503" s="447">
        <v>2.2000000000000002</v>
      </c>
      <c r="F503" s="21">
        <f>F497*E503</f>
        <v>0</v>
      </c>
      <c r="G503" s="8">
        <v>3.6</v>
      </c>
      <c r="H503" s="445">
        <f t="shared" si="30"/>
        <v>0</v>
      </c>
      <c r="I503" s="17"/>
      <c r="J503" s="445"/>
      <c r="K503" s="18"/>
      <c r="L503" s="445"/>
      <c r="M503" s="445">
        <f t="shared" si="31"/>
        <v>0</v>
      </c>
      <c r="N503" s="240"/>
    </row>
    <row r="504" spans="1:14" s="76" customFormat="1" ht="15.75" hidden="1" x14ac:dyDescent="0.3">
      <c r="A504" s="1274"/>
      <c r="B504" s="220"/>
      <c r="C504" s="42" t="s">
        <v>45</v>
      </c>
      <c r="D504" s="297" t="s">
        <v>2</v>
      </c>
      <c r="E504" s="447">
        <v>1</v>
      </c>
      <c r="F504" s="21">
        <f>F497*E504</f>
        <v>0</v>
      </c>
      <c r="G504" s="8">
        <v>3.7</v>
      </c>
      <c r="H504" s="445">
        <f t="shared" si="30"/>
        <v>0</v>
      </c>
      <c r="I504" s="17"/>
      <c r="J504" s="445"/>
      <c r="K504" s="18"/>
      <c r="L504" s="445"/>
      <c r="M504" s="445">
        <f t="shared" si="31"/>
        <v>0</v>
      </c>
      <c r="N504" s="240"/>
    </row>
    <row r="505" spans="1:14" s="76" customFormat="1" ht="15.75" hidden="1" x14ac:dyDescent="0.3">
      <c r="A505" s="1274"/>
      <c r="B505" s="220"/>
      <c r="C505" s="42" t="s">
        <v>50</v>
      </c>
      <c r="D505" s="297" t="s">
        <v>4</v>
      </c>
      <c r="E505" s="447">
        <v>0.46</v>
      </c>
      <c r="F505" s="21">
        <f>F497*E505</f>
        <v>0</v>
      </c>
      <c r="G505" s="32">
        <v>4</v>
      </c>
      <c r="H505" s="445">
        <f>F505*G505</f>
        <v>0</v>
      </c>
      <c r="I505" s="17"/>
      <c r="J505" s="445"/>
      <c r="K505" s="18"/>
      <c r="L505" s="445"/>
      <c r="M505" s="445">
        <f>H505+J505+L505</f>
        <v>0</v>
      </c>
      <c r="N505" s="240"/>
    </row>
    <row r="506" spans="1:14" s="76" customFormat="1" ht="15.75" hidden="1" x14ac:dyDescent="0.3">
      <c r="A506" s="1274"/>
      <c r="B506" s="449"/>
      <c r="C506" s="448" t="s">
        <v>383</v>
      </c>
      <c r="D506" s="449" t="s">
        <v>38</v>
      </c>
      <c r="E506" s="454"/>
      <c r="F506" s="38">
        <f>(14*2*0.75+6*2*2)*1.03*0.395/1000*F486</f>
        <v>0</v>
      </c>
      <c r="G506" s="445">
        <v>1475</v>
      </c>
      <c r="H506" s="445">
        <f>F506*G506</f>
        <v>0</v>
      </c>
      <c r="I506" s="445"/>
      <c r="J506" s="445"/>
      <c r="K506" s="81"/>
      <c r="L506" s="445"/>
      <c r="M506" s="445">
        <f>H506+J506+L506</f>
        <v>0</v>
      </c>
      <c r="N506" s="240"/>
    </row>
    <row r="507" spans="1:14" s="76" customFormat="1" ht="15.75" hidden="1" x14ac:dyDescent="0.3">
      <c r="A507" s="1275"/>
      <c r="B507" s="449"/>
      <c r="C507" s="448" t="s">
        <v>295</v>
      </c>
      <c r="D507" s="449" t="s">
        <v>38</v>
      </c>
      <c r="E507" s="454"/>
      <c r="F507" s="38">
        <f>14*3*0.5*1.03*0.222/1000*F486</f>
        <v>0</v>
      </c>
      <c r="G507" s="445">
        <v>1729</v>
      </c>
      <c r="H507" s="445">
        <f>F507*G507</f>
        <v>0</v>
      </c>
      <c r="I507" s="445"/>
      <c r="J507" s="445"/>
      <c r="K507" s="81"/>
      <c r="L507" s="445"/>
      <c r="M507" s="445">
        <f>H507+J507+L507</f>
        <v>0</v>
      </c>
      <c r="N507" s="240"/>
    </row>
    <row r="508" spans="1:14" s="76" customFormat="1" ht="31.5" hidden="1" x14ac:dyDescent="0.3">
      <c r="A508" s="1273" t="s">
        <v>90</v>
      </c>
      <c r="B508" s="452" t="s">
        <v>326</v>
      </c>
      <c r="C508" s="448" t="s">
        <v>417</v>
      </c>
      <c r="D508" s="452" t="s">
        <v>47</v>
      </c>
      <c r="E508" s="10"/>
      <c r="F508" s="38">
        <f>(0.3*2+0.4)*2*F486</f>
        <v>0</v>
      </c>
      <c r="G508" s="445"/>
      <c r="H508" s="445"/>
      <c r="I508" s="445"/>
      <c r="J508" s="445"/>
      <c r="K508" s="81"/>
      <c r="L508" s="445"/>
      <c r="M508" s="445"/>
      <c r="N508" s="240"/>
    </row>
    <row r="509" spans="1:14" s="76" customFormat="1" ht="15.75" hidden="1" x14ac:dyDescent="0.3">
      <c r="A509" s="1274"/>
      <c r="B509" s="451"/>
      <c r="C509" s="295" t="s">
        <v>327</v>
      </c>
      <c r="D509" s="347" t="s">
        <v>14</v>
      </c>
      <c r="E509" s="293">
        <f>(19.2+5.97)/100</f>
        <v>0.25169999999999998</v>
      </c>
      <c r="F509" s="293">
        <f>F508*E509</f>
        <v>0</v>
      </c>
      <c r="G509" s="8"/>
      <c r="H509" s="8"/>
      <c r="I509" s="8">
        <v>7.8</v>
      </c>
      <c r="J509" s="8">
        <f>F509*I509</f>
        <v>0</v>
      </c>
      <c r="K509" s="8"/>
      <c r="L509" s="8"/>
      <c r="M509" s="8">
        <f>H509+J509+L509</f>
        <v>0</v>
      </c>
      <c r="N509" s="240"/>
    </row>
    <row r="510" spans="1:14" s="76" customFormat="1" ht="15.75" hidden="1" x14ac:dyDescent="0.3">
      <c r="A510" s="1274"/>
      <c r="B510" s="451"/>
      <c r="C510" s="26" t="s">
        <v>17</v>
      </c>
      <c r="D510" s="451" t="s">
        <v>4</v>
      </c>
      <c r="E510" s="447">
        <f>(0.59+0.24)/100</f>
        <v>8.3000000000000001E-3</v>
      </c>
      <c r="F510" s="447">
        <f>F508*E510</f>
        <v>0</v>
      </c>
      <c r="G510" s="445"/>
      <c r="H510" s="12"/>
      <c r="I510" s="445"/>
      <c r="J510" s="445"/>
      <c r="K510" s="445">
        <v>4</v>
      </c>
      <c r="L510" s="445">
        <f>F510*K510</f>
        <v>0</v>
      </c>
      <c r="M510" s="8">
        <f>H510+J510+L510</f>
        <v>0</v>
      </c>
      <c r="N510" s="240"/>
    </row>
    <row r="511" spans="1:14" s="76" customFormat="1" ht="15.75" hidden="1" x14ac:dyDescent="0.3">
      <c r="A511" s="1274"/>
      <c r="B511" s="449"/>
      <c r="C511" s="26" t="s">
        <v>328</v>
      </c>
      <c r="D511" s="449" t="s">
        <v>2</v>
      </c>
      <c r="E511" s="454">
        <f>(0.29+0.14)*1000/100</f>
        <v>4.3</v>
      </c>
      <c r="F511" s="447">
        <f>E511*F508</f>
        <v>0</v>
      </c>
      <c r="G511" s="445">
        <v>1.25</v>
      </c>
      <c r="H511" s="445">
        <f>G511*F511</f>
        <v>0</v>
      </c>
      <c r="I511" s="445"/>
      <c r="J511" s="445"/>
      <c r="K511" s="445"/>
      <c r="L511" s="445"/>
      <c r="M511" s="445">
        <f>H511</f>
        <v>0</v>
      </c>
      <c r="N511" s="240"/>
    </row>
    <row r="512" spans="1:14" s="76" customFormat="1" ht="15.75" hidden="1" x14ac:dyDescent="0.3">
      <c r="A512" s="1274"/>
      <c r="B512" s="449"/>
      <c r="C512" s="26" t="s">
        <v>329</v>
      </c>
      <c r="D512" s="449" t="s">
        <v>2</v>
      </c>
      <c r="E512" s="454">
        <v>0.76</v>
      </c>
      <c r="F512" s="447">
        <f>E512*F508</f>
        <v>0</v>
      </c>
      <c r="G512" s="445">
        <v>1</v>
      </c>
      <c r="H512" s="445">
        <f>G512*F512</f>
        <v>0</v>
      </c>
      <c r="I512" s="445"/>
      <c r="J512" s="445"/>
      <c r="K512" s="445"/>
      <c r="L512" s="445"/>
      <c r="M512" s="445">
        <f>H512</f>
        <v>0</v>
      </c>
      <c r="N512" s="240"/>
    </row>
    <row r="513" spans="1:14" s="76" customFormat="1" ht="15.75" hidden="1" x14ac:dyDescent="0.3">
      <c r="A513" s="1275"/>
      <c r="B513" s="449"/>
      <c r="C513" s="26" t="s">
        <v>330</v>
      </c>
      <c r="D513" s="449" t="s">
        <v>331</v>
      </c>
      <c r="E513" s="454">
        <v>1.9E-3</v>
      </c>
      <c r="F513" s="447">
        <f>E513*F508</f>
        <v>0</v>
      </c>
      <c r="G513" s="445">
        <v>4</v>
      </c>
      <c r="H513" s="445">
        <f>G513*F513</f>
        <v>0</v>
      </c>
      <c r="I513" s="445"/>
      <c r="J513" s="445"/>
      <c r="K513" s="445"/>
      <c r="L513" s="445"/>
      <c r="M513" s="445">
        <f>H513</f>
        <v>0</v>
      </c>
      <c r="N513" s="240"/>
    </row>
    <row r="514" spans="1:14" s="76" customFormat="1" ht="31.5" hidden="1" x14ac:dyDescent="0.3">
      <c r="A514" s="1273" t="s">
        <v>82</v>
      </c>
      <c r="B514" s="220" t="s">
        <v>333</v>
      </c>
      <c r="C514" s="442" t="s">
        <v>418</v>
      </c>
      <c r="D514" s="220" t="s">
        <v>47</v>
      </c>
      <c r="E514" s="23"/>
      <c r="F514" s="78">
        <f>(0.5+2)*2*0.5*F486</f>
        <v>0</v>
      </c>
      <c r="G514" s="8"/>
      <c r="H514" s="8"/>
      <c r="I514" s="8"/>
      <c r="J514" s="8"/>
      <c r="K514" s="8"/>
      <c r="L514" s="223"/>
      <c r="M514" s="223"/>
      <c r="N514" s="240"/>
    </row>
    <row r="515" spans="1:14" s="76" customFormat="1" ht="15.75" hidden="1" x14ac:dyDescent="0.3">
      <c r="A515" s="1274"/>
      <c r="B515" s="449"/>
      <c r="C515" s="26" t="s">
        <v>332</v>
      </c>
      <c r="D515" s="449" t="s">
        <v>6</v>
      </c>
      <c r="E515" s="454">
        <v>11.8</v>
      </c>
      <c r="F515" s="447">
        <f>E515*F514</f>
        <v>0</v>
      </c>
      <c r="G515" s="420"/>
      <c r="H515" s="420"/>
      <c r="I515" s="445">
        <v>7.8</v>
      </c>
      <c r="J515" s="445">
        <f>I515*F515</f>
        <v>0</v>
      </c>
      <c r="K515" s="420"/>
      <c r="L515" s="420"/>
      <c r="M515" s="445">
        <f>L515+J515+H515</f>
        <v>0</v>
      </c>
      <c r="N515" s="240"/>
    </row>
    <row r="516" spans="1:14" s="76" customFormat="1" ht="15.75" hidden="1" x14ac:dyDescent="0.3">
      <c r="A516" s="1274"/>
      <c r="B516" s="449"/>
      <c r="C516" s="26" t="s">
        <v>334</v>
      </c>
      <c r="D516" s="449" t="s">
        <v>4</v>
      </c>
      <c r="E516" s="454">
        <v>0.15</v>
      </c>
      <c r="F516" s="447">
        <f>E516*F514</f>
        <v>0</v>
      </c>
      <c r="G516" s="420"/>
      <c r="H516" s="420"/>
      <c r="I516" s="420"/>
      <c r="J516" s="420"/>
      <c r="K516" s="445">
        <v>4</v>
      </c>
      <c r="L516" s="445">
        <f>K516*F516</f>
        <v>0</v>
      </c>
      <c r="M516" s="420">
        <f>L516+J516+H516</f>
        <v>0</v>
      </c>
      <c r="N516" s="240"/>
    </row>
    <row r="517" spans="1:14" s="76" customFormat="1" ht="15.75" hidden="1" x14ac:dyDescent="0.3">
      <c r="A517" s="1274"/>
      <c r="B517" s="449"/>
      <c r="C517" s="26" t="s">
        <v>401</v>
      </c>
      <c r="D517" s="449" t="s">
        <v>47</v>
      </c>
      <c r="E517" s="454">
        <v>1.05</v>
      </c>
      <c r="F517" s="447">
        <f>E517*F514</f>
        <v>0</v>
      </c>
      <c r="G517" s="445">
        <v>68</v>
      </c>
      <c r="H517" s="445">
        <f>G517*F517</f>
        <v>0</v>
      </c>
      <c r="I517" s="420"/>
      <c r="J517" s="420"/>
      <c r="K517" s="420"/>
      <c r="L517" s="420"/>
      <c r="M517" s="420">
        <f>L517+J517+H517</f>
        <v>0</v>
      </c>
      <c r="N517" s="240"/>
    </row>
    <row r="518" spans="1:14" ht="15.75" hidden="1" x14ac:dyDescent="0.25">
      <c r="A518" s="1274"/>
      <c r="B518" s="449"/>
      <c r="C518" s="26" t="s">
        <v>88</v>
      </c>
      <c r="D518" s="449" t="s">
        <v>335</v>
      </c>
      <c r="E518" s="454">
        <v>3.5999999999999997E-2</v>
      </c>
      <c r="F518" s="447">
        <f>E518*F514</f>
        <v>0</v>
      </c>
      <c r="G518" s="445">
        <v>118</v>
      </c>
      <c r="H518" s="445">
        <f>G518*F518</f>
        <v>0</v>
      </c>
      <c r="I518" s="420"/>
      <c r="J518" s="420"/>
      <c r="K518" s="420"/>
      <c r="L518" s="420"/>
      <c r="M518" s="420">
        <f>L518+J518+H518</f>
        <v>0</v>
      </c>
    </row>
    <row r="519" spans="1:14" ht="15.75" hidden="1" x14ac:dyDescent="0.25">
      <c r="A519" s="1275"/>
      <c r="B519" s="449"/>
      <c r="C519" s="26" t="s">
        <v>50</v>
      </c>
      <c r="D519" s="449" t="s">
        <v>21</v>
      </c>
      <c r="E519" s="454">
        <v>0.01</v>
      </c>
      <c r="F519" s="447">
        <f>E519*F514</f>
        <v>0</v>
      </c>
      <c r="G519" s="445">
        <v>4</v>
      </c>
      <c r="H519" s="445">
        <f>G519*F519</f>
        <v>0</v>
      </c>
      <c r="I519" s="420"/>
      <c r="J519" s="420"/>
      <c r="K519" s="420"/>
      <c r="L519" s="420"/>
      <c r="M519" s="420">
        <f>L519+J519+H519</f>
        <v>0</v>
      </c>
    </row>
    <row r="520" spans="1:14" ht="47.25" hidden="1" x14ac:dyDescent="0.25">
      <c r="A520" s="1273" t="s">
        <v>40</v>
      </c>
      <c r="B520" s="452" t="s">
        <v>18</v>
      </c>
      <c r="C520" s="148" t="s">
        <v>407</v>
      </c>
      <c r="D520" s="31" t="s">
        <v>47</v>
      </c>
      <c r="E520" s="10"/>
      <c r="F520" s="38">
        <f>0.4*2*F486</f>
        <v>0</v>
      </c>
      <c r="G520" s="32"/>
      <c r="H520" s="445"/>
      <c r="I520" s="17"/>
      <c r="J520" s="445"/>
      <c r="K520" s="18"/>
      <c r="L520" s="445"/>
      <c r="M520" s="445"/>
    </row>
    <row r="521" spans="1:14" s="76" customFormat="1" ht="15.75" hidden="1" x14ac:dyDescent="0.3">
      <c r="A521" s="1274"/>
      <c r="B521" s="452"/>
      <c r="C521" s="145" t="s">
        <v>36</v>
      </c>
      <c r="D521" s="283" t="s">
        <v>6</v>
      </c>
      <c r="E521" s="454">
        <v>1</v>
      </c>
      <c r="F521" s="36">
        <f>F520*E521</f>
        <v>0</v>
      </c>
      <c r="G521" s="32"/>
      <c r="H521" s="445"/>
      <c r="I521" s="17">
        <v>10</v>
      </c>
      <c r="J521" s="445">
        <f>I521*F521</f>
        <v>0</v>
      </c>
      <c r="K521" s="420"/>
      <c r="L521" s="420"/>
      <c r="M521" s="445">
        <f>L521+J521+H521</f>
        <v>0</v>
      </c>
      <c r="N521" s="240"/>
    </row>
    <row r="522" spans="1:14" s="76" customFormat="1" ht="31.5" hidden="1" x14ac:dyDescent="0.3">
      <c r="A522" s="1274"/>
      <c r="B522" s="449"/>
      <c r="C522" s="13" t="s">
        <v>406</v>
      </c>
      <c r="D522" s="449" t="s">
        <v>38</v>
      </c>
      <c r="E522" s="454"/>
      <c r="F522" s="36">
        <f>(3*2)*1.05*0.00188*F486</f>
        <v>0</v>
      </c>
      <c r="G522" s="445">
        <v>1820</v>
      </c>
      <c r="H522" s="445">
        <f>G522*F522</f>
        <v>0</v>
      </c>
      <c r="I522" s="420"/>
      <c r="J522" s="420"/>
      <c r="K522" s="420"/>
      <c r="L522" s="420"/>
      <c r="M522" s="420">
        <f>L522+J522+H522</f>
        <v>0</v>
      </c>
      <c r="N522" s="240"/>
    </row>
    <row r="523" spans="1:14" s="76" customFormat="1" ht="31.5" hidden="1" x14ac:dyDescent="0.3">
      <c r="A523" s="1275"/>
      <c r="B523" s="449"/>
      <c r="C523" s="13" t="s">
        <v>408</v>
      </c>
      <c r="D523" s="449" t="s">
        <v>47</v>
      </c>
      <c r="E523" s="454">
        <v>1.1000000000000001</v>
      </c>
      <c r="F523" s="36">
        <f>F520*E523</f>
        <v>0</v>
      </c>
      <c r="G523" s="445">
        <v>100</v>
      </c>
      <c r="H523" s="445">
        <f>G523*F523</f>
        <v>0</v>
      </c>
      <c r="I523" s="420"/>
      <c r="J523" s="420"/>
      <c r="K523" s="420"/>
      <c r="L523" s="420"/>
      <c r="M523" s="420">
        <f>L523+J523+H523</f>
        <v>0</v>
      </c>
      <c r="N523" s="500">
        <f>SUM(M486:M523)</f>
        <v>0</v>
      </c>
    </row>
    <row r="524" spans="1:14" s="76" customFormat="1" ht="15.75" hidden="1" x14ac:dyDescent="0.3">
      <c r="A524" s="470"/>
      <c r="B524" s="471"/>
      <c r="C524" s="474" t="s">
        <v>384</v>
      </c>
      <c r="D524" s="471" t="s">
        <v>52</v>
      </c>
      <c r="E524" s="472"/>
      <c r="F524" s="473">
        <v>0</v>
      </c>
      <c r="G524" s="8"/>
      <c r="H524" s="8"/>
      <c r="I524" s="8"/>
      <c r="J524" s="8"/>
      <c r="K524" s="8"/>
      <c r="L524" s="223"/>
      <c r="M524" s="223"/>
      <c r="N524" s="240"/>
    </row>
    <row r="525" spans="1:14" s="76" customFormat="1" ht="31.5" hidden="1" x14ac:dyDescent="0.3">
      <c r="A525" s="1259" t="s">
        <v>93</v>
      </c>
      <c r="B525" s="446" t="s">
        <v>31</v>
      </c>
      <c r="C525" s="468" t="s">
        <v>419</v>
      </c>
      <c r="D525" s="425" t="s">
        <v>37</v>
      </c>
      <c r="E525" s="22"/>
      <c r="F525" s="22">
        <f>0.7*0.5*2.2*F524</f>
        <v>0</v>
      </c>
      <c r="G525" s="8"/>
      <c r="H525" s="8"/>
      <c r="I525" s="8"/>
      <c r="J525" s="8"/>
      <c r="K525" s="8"/>
      <c r="L525" s="8"/>
      <c r="M525" s="8"/>
      <c r="N525" s="240"/>
    </row>
    <row r="526" spans="1:14" s="76" customFormat="1" ht="15.75" hidden="1" x14ac:dyDescent="0.3">
      <c r="A526" s="1261"/>
      <c r="B526" s="283"/>
      <c r="C526" s="33" t="s">
        <v>33</v>
      </c>
      <c r="D526" s="143" t="s">
        <v>6</v>
      </c>
      <c r="E526" s="34">
        <v>3.88</v>
      </c>
      <c r="F526" s="36">
        <f>F525*E526</f>
        <v>0</v>
      </c>
      <c r="G526" s="32"/>
      <c r="H526" s="32"/>
      <c r="I526" s="32">
        <v>6</v>
      </c>
      <c r="J526" s="32">
        <f>F526*I526</f>
        <v>0</v>
      </c>
      <c r="K526" s="32"/>
      <c r="L526" s="32"/>
      <c r="M526" s="32">
        <f>H526+J526+L526</f>
        <v>0</v>
      </c>
      <c r="N526" s="240"/>
    </row>
    <row r="527" spans="1:14" s="76" customFormat="1" ht="31.5" hidden="1" x14ac:dyDescent="0.3">
      <c r="A527" s="1260" t="s">
        <v>72</v>
      </c>
      <c r="B527" s="389" t="s">
        <v>91</v>
      </c>
      <c r="C527" s="280" t="s">
        <v>269</v>
      </c>
      <c r="D527" s="275" t="s">
        <v>294</v>
      </c>
      <c r="E527" s="276"/>
      <c r="F527" s="277">
        <f>F525*1.95</f>
        <v>0</v>
      </c>
      <c r="G527" s="445"/>
      <c r="H527" s="445"/>
      <c r="I527" s="445"/>
      <c r="J527" s="445"/>
      <c r="K527" s="445"/>
      <c r="L527" s="445"/>
      <c r="M527" s="445"/>
      <c r="N527" s="240"/>
    </row>
    <row r="528" spans="1:14" s="76" customFormat="1" ht="15.75" hidden="1" x14ac:dyDescent="0.3">
      <c r="A528" s="1261"/>
      <c r="B528" s="449"/>
      <c r="C528" s="281" t="s">
        <v>54</v>
      </c>
      <c r="D528" s="48" t="s">
        <v>6</v>
      </c>
      <c r="E528" s="49">
        <v>0.53</v>
      </c>
      <c r="F528" s="450">
        <f>F527*E528</f>
        <v>0</v>
      </c>
      <c r="G528" s="445"/>
      <c r="H528" s="445"/>
      <c r="I528" s="445">
        <v>6</v>
      </c>
      <c r="J528" s="445">
        <f>F528*I528</f>
        <v>0</v>
      </c>
      <c r="K528" s="445"/>
      <c r="L528" s="445"/>
      <c r="M528" s="445">
        <f>H528+J528+L528</f>
        <v>0</v>
      </c>
      <c r="N528" s="240"/>
    </row>
    <row r="529" spans="1:14" s="76" customFormat="1" ht="31.5" hidden="1" x14ac:dyDescent="0.3">
      <c r="A529" s="1108" t="s">
        <v>94</v>
      </c>
      <c r="B529" s="452" t="s">
        <v>420</v>
      </c>
      <c r="C529" s="379" t="s">
        <v>499</v>
      </c>
      <c r="D529" s="452" t="s">
        <v>38</v>
      </c>
      <c r="E529" s="390"/>
      <c r="F529" s="277">
        <f>F527</f>
        <v>0</v>
      </c>
      <c r="G529" s="445"/>
      <c r="H529" s="445"/>
      <c r="I529" s="445"/>
      <c r="J529" s="445"/>
      <c r="K529" s="19">
        <v>8.92</v>
      </c>
      <c r="L529" s="445">
        <f>F529*K529</f>
        <v>0</v>
      </c>
      <c r="M529" s="445">
        <f>H529+J529+L529</f>
        <v>0</v>
      </c>
      <c r="N529" s="240"/>
    </row>
    <row r="530" spans="1:14" s="76" customFormat="1" ht="31.5" hidden="1" x14ac:dyDescent="0.3">
      <c r="A530" s="1259" t="s">
        <v>87</v>
      </c>
      <c r="B530" s="452" t="s">
        <v>35</v>
      </c>
      <c r="C530" s="448" t="s">
        <v>365</v>
      </c>
      <c r="D530" s="452" t="s">
        <v>37</v>
      </c>
      <c r="E530" s="454"/>
      <c r="F530" s="38">
        <f>0.7*2.2*0.1*F524</f>
        <v>0</v>
      </c>
      <c r="G530" s="445"/>
      <c r="H530" s="445"/>
      <c r="I530" s="445"/>
      <c r="J530" s="445"/>
      <c r="K530" s="445"/>
      <c r="L530" s="445"/>
      <c r="M530" s="445"/>
      <c r="N530" s="240"/>
    </row>
    <row r="531" spans="1:14" s="76" customFormat="1" ht="15.75" hidden="1" x14ac:dyDescent="0.3">
      <c r="A531" s="1260"/>
      <c r="B531" s="449"/>
      <c r="C531" s="26" t="s">
        <v>13</v>
      </c>
      <c r="D531" s="449" t="s">
        <v>14</v>
      </c>
      <c r="E531" s="454">
        <v>3.52</v>
      </c>
      <c r="F531" s="36">
        <f>E531*F530</f>
        <v>0</v>
      </c>
      <c r="G531" s="445"/>
      <c r="H531" s="445"/>
      <c r="I531" s="445">
        <v>6</v>
      </c>
      <c r="J531" s="445">
        <f>F531*I531</f>
        <v>0</v>
      </c>
      <c r="K531" s="445"/>
      <c r="L531" s="445"/>
      <c r="M531" s="445">
        <f>H531+J531+L531</f>
        <v>0</v>
      </c>
      <c r="N531" s="240"/>
    </row>
    <row r="532" spans="1:14" s="76" customFormat="1" ht="15.75" hidden="1" x14ac:dyDescent="0.3">
      <c r="A532" s="1260"/>
      <c r="B532" s="449"/>
      <c r="C532" s="26" t="s">
        <v>17</v>
      </c>
      <c r="D532" s="449" t="s">
        <v>4</v>
      </c>
      <c r="E532" s="454">
        <v>1.06</v>
      </c>
      <c r="F532" s="36">
        <f>F530*E532</f>
        <v>0</v>
      </c>
      <c r="G532" s="445"/>
      <c r="H532" s="445"/>
      <c r="I532" s="445"/>
      <c r="J532" s="445"/>
      <c r="K532" s="445">
        <v>4</v>
      </c>
      <c r="L532" s="445">
        <f>F532*K532</f>
        <v>0</v>
      </c>
      <c r="M532" s="445">
        <f>H532+J532+L532</f>
        <v>0</v>
      </c>
      <c r="N532" s="240"/>
    </row>
    <row r="533" spans="1:14" s="76" customFormat="1" ht="15.75" hidden="1" x14ac:dyDescent="0.3">
      <c r="A533" s="1260"/>
      <c r="B533" s="449"/>
      <c r="C533" s="26" t="s">
        <v>374</v>
      </c>
      <c r="D533" s="449" t="s">
        <v>29</v>
      </c>
      <c r="E533" s="454">
        <f>0.18+0.09+0.97</f>
        <v>1.24</v>
      </c>
      <c r="F533" s="36">
        <f>E533*F530</f>
        <v>0</v>
      </c>
      <c r="G533" s="445">
        <v>16.899999999999999</v>
      </c>
      <c r="H533" s="445">
        <f>F533*G533</f>
        <v>0</v>
      </c>
      <c r="I533" s="445"/>
      <c r="J533" s="445"/>
      <c r="K533" s="445"/>
      <c r="L533" s="445"/>
      <c r="M533" s="445">
        <f>H533+J533+L533</f>
        <v>0</v>
      </c>
      <c r="N533" s="240"/>
    </row>
    <row r="534" spans="1:14" s="76" customFormat="1" ht="15.75" hidden="1" x14ac:dyDescent="0.3">
      <c r="A534" s="1261"/>
      <c r="B534" s="449"/>
      <c r="C534" s="145" t="s">
        <v>50</v>
      </c>
      <c r="D534" s="283" t="s">
        <v>4</v>
      </c>
      <c r="E534" s="454">
        <v>0.02</v>
      </c>
      <c r="F534" s="36">
        <f>F530*E534</f>
        <v>0</v>
      </c>
      <c r="G534" s="32">
        <v>4</v>
      </c>
      <c r="H534" s="445">
        <f>F534*G534</f>
        <v>0</v>
      </c>
      <c r="I534" s="17"/>
      <c r="J534" s="445"/>
      <c r="K534" s="18"/>
      <c r="L534" s="445"/>
      <c r="M534" s="445">
        <f>H534+J534+L534</f>
        <v>0</v>
      </c>
      <c r="N534" s="240"/>
    </row>
    <row r="535" spans="1:14" s="76" customFormat="1" ht="31.5" hidden="1" x14ac:dyDescent="0.3">
      <c r="A535" s="1273" t="s">
        <v>89</v>
      </c>
      <c r="B535" s="220" t="s">
        <v>378</v>
      </c>
      <c r="C535" s="442" t="s">
        <v>424</v>
      </c>
      <c r="D535" s="220" t="s">
        <v>37</v>
      </c>
      <c r="E535" s="23"/>
      <c r="F535" s="78">
        <f>(2+0.6)*2*(0.6+0.4)*0.12*F524</f>
        <v>0</v>
      </c>
      <c r="G535" s="8"/>
      <c r="H535" s="8"/>
      <c r="I535" s="8"/>
      <c r="J535" s="8"/>
      <c r="K535" s="8"/>
      <c r="L535" s="223"/>
      <c r="M535" s="223"/>
      <c r="N535" s="240"/>
    </row>
    <row r="536" spans="1:14" s="76" customFormat="1" ht="15.75" hidden="1" x14ac:dyDescent="0.3">
      <c r="A536" s="1274"/>
      <c r="B536" s="220"/>
      <c r="C536" s="26" t="s">
        <v>13</v>
      </c>
      <c r="D536" s="449" t="s">
        <v>14</v>
      </c>
      <c r="E536" s="454">
        <v>8.44</v>
      </c>
      <c r="F536" s="36">
        <f>F535*E536</f>
        <v>0</v>
      </c>
      <c r="G536" s="445"/>
      <c r="H536" s="445"/>
      <c r="I536" s="445">
        <v>6</v>
      </c>
      <c r="J536" s="445">
        <f>F536*I536</f>
        <v>0</v>
      </c>
      <c r="K536" s="445"/>
      <c r="L536" s="445"/>
      <c r="M536" s="445">
        <f>H536+J536+L536</f>
        <v>0</v>
      </c>
      <c r="N536" s="240"/>
    </row>
    <row r="537" spans="1:14" s="76" customFormat="1" ht="15.75" hidden="1" x14ac:dyDescent="0.3">
      <c r="A537" s="1274"/>
      <c r="B537" s="220"/>
      <c r="C537" s="26" t="s">
        <v>17</v>
      </c>
      <c r="D537" s="449" t="s">
        <v>4</v>
      </c>
      <c r="E537" s="454">
        <v>1.1000000000000001</v>
      </c>
      <c r="F537" s="36">
        <f>F535*E537</f>
        <v>0</v>
      </c>
      <c r="G537" s="445"/>
      <c r="H537" s="445"/>
      <c r="I537" s="445"/>
      <c r="J537" s="445"/>
      <c r="K537" s="445">
        <v>4</v>
      </c>
      <c r="L537" s="445">
        <f>F537*K537</f>
        <v>0</v>
      </c>
      <c r="M537" s="445">
        <f>H537+J537+L537</f>
        <v>0</v>
      </c>
      <c r="N537" s="240"/>
    </row>
    <row r="538" spans="1:14" s="76" customFormat="1" ht="15.75" hidden="1" x14ac:dyDescent="0.3">
      <c r="A538" s="1274"/>
      <c r="C538" s="42" t="s">
        <v>317</v>
      </c>
      <c r="D538" s="297" t="s">
        <v>37</v>
      </c>
      <c r="E538" s="447">
        <v>1.0149999999999999</v>
      </c>
      <c r="F538" s="21">
        <f>F535*E538</f>
        <v>0</v>
      </c>
      <c r="G538" s="8">
        <v>116</v>
      </c>
      <c r="H538" s="445">
        <f t="shared" ref="H538:H542" si="32">F538*G538</f>
        <v>0</v>
      </c>
      <c r="I538" s="17"/>
      <c r="J538" s="445"/>
      <c r="K538" s="18"/>
      <c r="L538" s="445"/>
      <c r="M538" s="445">
        <f t="shared" ref="M538:M542" si="33">H538+J538+L538</f>
        <v>0</v>
      </c>
      <c r="N538" s="240"/>
    </row>
    <row r="539" spans="1:14" s="76" customFormat="1" ht="15.75" hidden="1" x14ac:dyDescent="0.3">
      <c r="A539" s="1274"/>
      <c r="B539" s="220"/>
      <c r="C539" s="42" t="s">
        <v>336</v>
      </c>
      <c r="D539" s="297" t="s">
        <v>47</v>
      </c>
      <c r="E539" s="447">
        <v>1.84</v>
      </c>
      <c r="F539" s="21">
        <f>F535*E539</f>
        <v>0</v>
      </c>
      <c r="G539" s="8">
        <v>16</v>
      </c>
      <c r="H539" s="445">
        <f t="shared" si="32"/>
        <v>0</v>
      </c>
      <c r="I539" s="17"/>
      <c r="J539" s="445"/>
      <c r="K539" s="18"/>
      <c r="L539" s="445"/>
      <c r="M539" s="445">
        <f t="shared" si="33"/>
        <v>0</v>
      </c>
      <c r="N539" s="240"/>
    </row>
    <row r="540" spans="1:14" s="76" customFormat="1" ht="15.75" hidden="1" x14ac:dyDescent="0.3">
      <c r="A540" s="1274"/>
      <c r="B540" s="220"/>
      <c r="C540" s="42" t="s">
        <v>39</v>
      </c>
      <c r="D540" s="297" t="s">
        <v>37</v>
      </c>
      <c r="E540" s="447">
        <f>(0.34+3.91)/100</f>
        <v>4.2500000000000003E-2</v>
      </c>
      <c r="F540" s="21">
        <f>F535*E540</f>
        <v>0</v>
      </c>
      <c r="G540" s="8">
        <v>542</v>
      </c>
      <c r="H540" s="445">
        <f t="shared" si="32"/>
        <v>0</v>
      </c>
      <c r="I540" s="17"/>
      <c r="J540" s="445"/>
      <c r="K540" s="18"/>
      <c r="L540" s="445"/>
      <c r="M540" s="445">
        <f t="shared" si="33"/>
        <v>0</v>
      </c>
      <c r="N540" s="240"/>
    </row>
    <row r="541" spans="1:14" s="76" customFormat="1" ht="15.75" hidden="1" x14ac:dyDescent="0.3">
      <c r="A541" s="1274"/>
      <c r="B541" s="220"/>
      <c r="C541" s="42" t="s">
        <v>267</v>
      </c>
      <c r="D541" s="297" t="s">
        <v>2</v>
      </c>
      <c r="E541" s="447">
        <v>2.2000000000000002</v>
      </c>
      <c r="F541" s="21">
        <f>F535*E541</f>
        <v>0</v>
      </c>
      <c r="G541" s="8">
        <v>3.6</v>
      </c>
      <c r="H541" s="445">
        <f t="shared" si="32"/>
        <v>0</v>
      </c>
      <c r="I541" s="17"/>
      <c r="J541" s="445"/>
      <c r="K541" s="18"/>
      <c r="L541" s="445"/>
      <c r="M541" s="445">
        <f t="shared" si="33"/>
        <v>0</v>
      </c>
      <c r="N541" s="240"/>
    </row>
    <row r="542" spans="1:14" s="76" customFormat="1" ht="15.75" hidden="1" x14ac:dyDescent="0.3">
      <c r="A542" s="1274"/>
      <c r="B542" s="220"/>
      <c r="C542" s="42" t="s">
        <v>45</v>
      </c>
      <c r="D542" s="297" t="s">
        <v>2</v>
      </c>
      <c r="E542" s="447">
        <v>1</v>
      </c>
      <c r="F542" s="21">
        <f>F535*E542</f>
        <v>0</v>
      </c>
      <c r="G542" s="8">
        <v>3.7</v>
      </c>
      <c r="H542" s="445">
        <f t="shared" si="32"/>
        <v>0</v>
      </c>
      <c r="I542" s="17"/>
      <c r="J542" s="445"/>
      <c r="K542" s="18"/>
      <c r="L542" s="445"/>
      <c r="M542" s="445">
        <f t="shared" si="33"/>
        <v>0</v>
      </c>
      <c r="N542" s="240"/>
    </row>
    <row r="543" spans="1:14" s="76" customFormat="1" ht="15.75" hidden="1" x14ac:dyDescent="0.3">
      <c r="A543" s="1274"/>
      <c r="B543" s="220"/>
      <c r="C543" s="42" t="s">
        <v>50</v>
      </c>
      <c r="D543" s="297" t="s">
        <v>4</v>
      </c>
      <c r="E543" s="447">
        <v>0.46</v>
      </c>
      <c r="F543" s="21">
        <f>F535*E543</f>
        <v>0</v>
      </c>
      <c r="G543" s="32">
        <v>4</v>
      </c>
      <c r="H543" s="445">
        <f>F543*G543</f>
        <v>0</v>
      </c>
      <c r="I543" s="17"/>
      <c r="J543" s="445"/>
      <c r="K543" s="18"/>
      <c r="L543" s="445"/>
      <c r="M543" s="445">
        <f>H543+J543+L543</f>
        <v>0</v>
      </c>
      <c r="N543" s="240"/>
    </row>
    <row r="544" spans="1:14" s="76" customFormat="1" ht="15.75" hidden="1" x14ac:dyDescent="0.3">
      <c r="A544" s="1274"/>
      <c r="B544" s="449"/>
      <c r="C544" s="448" t="s">
        <v>383</v>
      </c>
      <c r="D544" s="449" t="s">
        <v>38</v>
      </c>
      <c r="E544" s="454"/>
      <c r="F544" s="38">
        <f>( ((((2+0.6)*2)/0.15)*(0.6+0.4)+7*(2+0.6)*2 )*F524 )*1.03*0.395/1000</f>
        <v>0</v>
      </c>
      <c r="G544" s="445">
        <v>1475</v>
      </c>
      <c r="H544" s="445">
        <f>F544*G544</f>
        <v>0</v>
      </c>
      <c r="I544" s="445"/>
      <c r="J544" s="445"/>
      <c r="K544" s="81"/>
      <c r="L544" s="445"/>
      <c r="M544" s="445">
        <f>H544+J544+L544</f>
        <v>0</v>
      </c>
      <c r="N544" s="240"/>
    </row>
    <row r="545" spans="1:14" s="76" customFormat="1" ht="15.75" hidden="1" x14ac:dyDescent="0.3">
      <c r="A545" s="1275"/>
      <c r="B545" s="449"/>
      <c r="C545" s="448" t="s">
        <v>295</v>
      </c>
      <c r="D545" s="449" t="s">
        <v>38</v>
      </c>
      <c r="E545" s="454"/>
      <c r="F545" s="38">
        <v>0</v>
      </c>
      <c r="G545" s="445">
        <v>1729</v>
      </c>
      <c r="H545" s="445">
        <f>F545*G545</f>
        <v>0</v>
      </c>
      <c r="I545" s="445"/>
      <c r="J545" s="445"/>
      <c r="K545" s="81"/>
      <c r="L545" s="445"/>
      <c r="M545" s="445">
        <f>H545+J545+L545</f>
        <v>0</v>
      </c>
      <c r="N545" s="240"/>
    </row>
    <row r="546" spans="1:14" s="76" customFormat="1" ht="31.5" hidden="1" x14ac:dyDescent="0.3">
      <c r="A546" s="1273" t="s">
        <v>90</v>
      </c>
      <c r="B546" s="452" t="s">
        <v>326</v>
      </c>
      <c r="C546" s="448" t="s">
        <v>425</v>
      </c>
      <c r="D546" s="452" t="s">
        <v>47</v>
      </c>
      <c r="E546" s="10"/>
      <c r="F546" s="38">
        <f>(2+0.6)*2*(0.4*2)*F524</f>
        <v>0</v>
      </c>
      <c r="G546" s="445"/>
      <c r="H546" s="445"/>
      <c r="I546" s="445"/>
      <c r="J546" s="445"/>
      <c r="K546" s="81"/>
      <c r="L546" s="445"/>
      <c r="M546" s="445"/>
      <c r="N546" s="240"/>
    </row>
    <row r="547" spans="1:14" s="76" customFormat="1" ht="15.75" hidden="1" x14ac:dyDescent="0.3">
      <c r="A547" s="1274"/>
      <c r="B547" s="451"/>
      <c r="C547" s="295" t="s">
        <v>327</v>
      </c>
      <c r="D547" s="347" t="s">
        <v>14</v>
      </c>
      <c r="E547" s="293">
        <f>(19.2+5.97)/100</f>
        <v>0.25169999999999998</v>
      </c>
      <c r="F547" s="293">
        <f>F546*E547</f>
        <v>0</v>
      </c>
      <c r="G547" s="8"/>
      <c r="H547" s="8"/>
      <c r="I547" s="8">
        <v>7.8</v>
      </c>
      <c r="J547" s="8">
        <f>F547*I547</f>
        <v>0</v>
      </c>
      <c r="K547" s="8"/>
      <c r="L547" s="8"/>
      <c r="M547" s="8">
        <f>H547+J547+L547</f>
        <v>0</v>
      </c>
      <c r="N547" s="240"/>
    </row>
    <row r="548" spans="1:14" s="76" customFormat="1" ht="15.75" hidden="1" x14ac:dyDescent="0.3">
      <c r="A548" s="1274"/>
      <c r="B548" s="451"/>
      <c r="C548" s="26" t="s">
        <v>17</v>
      </c>
      <c r="D548" s="451" t="s">
        <v>4</v>
      </c>
      <c r="E548" s="447">
        <f>(0.59+0.24)/100</f>
        <v>8.3000000000000001E-3</v>
      </c>
      <c r="F548" s="447">
        <f>F546*E548</f>
        <v>0</v>
      </c>
      <c r="G548" s="445"/>
      <c r="H548" s="12"/>
      <c r="I548" s="445"/>
      <c r="J548" s="445"/>
      <c r="K548" s="445">
        <v>4</v>
      </c>
      <c r="L548" s="445">
        <f>F548*K548</f>
        <v>0</v>
      </c>
      <c r="M548" s="8">
        <f>H548+J548+L548</f>
        <v>0</v>
      </c>
      <c r="N548" s="240"/>
    </row>
    <row r="549" spans="1:14" s="76" customFormat="1" ht="15.75" hidden="1" x14ac:dyDescent="0.3">
      <c r="A549" s="1274"/>
      <c r="B549" s="449"/>
      <c r="C549" s="26" t="s">
        <v>328</v>
      </c>
      <c r="D549" s="449" t="s">
        <v>2</v>
      </c>
      <c r="E549" s="454">
        <f>(0.29+0.14)*1000/100</f>
        <v>4.3</v>
      </c>
      <c r="F549" s="447">
        <f>E549*F546</f>
        <v>0</v>
      </c>
      <c r="G549" s="445">
        <v>1.25</v>
      </c>
      <c r="H549" s="445">
        <f>G549*F549</f>
        <v>0</v>
      </c>
      <c r="I549" s="445"/>
      <c r="J549" s="445"/>
      <c r="K549" s="445"/>
      <c r="L549" s="445"/>
      <c r="M549" s="445">
        <f>H549</f>
        <v>0</v>
      </c>
      <c r="N549" s="240"/>
    </row>
    <row r="550" spans="1:14" s="76" customFormat="1" ht="15.75" hidden="1" x14ac:dyDescent="0.3">
      <c r="A550" s="1274"/>
      <c r="B550" s="449"/>
      <c r="C550" s="26" t="s">
        <v>329</v>
      </c>
      <c r="D550" s="449" t="s">
        <v>2</v>
      </c>
      <c r="E550" s="454">
        <v>0.76</v>
      </c>
      <c r="F550" s="447">
        <f>E550*F546</f>
        <v>0</v>
      </c>
      <c r="G550" s="445">
        <v>1</v>
      </c>
      <c r="H550" s="445">
        <f>G550*F550</f>
        <v>0</v>
      </c>
      <c r="I550" s="445"/>
      <c r="J550" s="445"/>
      <c r="K550" s="445"/>
      <c r="L550" s="445"/>
      <c r="M550" s="445">
        <f>H550</f>
        <v>0</v>
      </c>
      <c r="N550" s="240"/>
    </row>
    <row r="551" spans="1:14" s="76" customFormat="1" ht="15.75" hidden="1" x14ac:dyDescent="0.3">
      <c r="A551" s="1275"/>
      <c r="B551" s="449"/>
      <c r="C551" s="26" t="s">
        <v>330</v>
      </c>
      <c r="D551" s="449" t="s">
        <v>331</v>
      </c>
      <c r="E551" s="454">
        <v>1.9E-3</v>
      </c>
      <c r="F551" s="447">
        <f>E551*F546</f>
        <v>0</v>
      </c>
      <c r="G551" s="445">
        <v>4</v>
      </c>
      <c r="H551" s="445">
        <f>G551*F551</f>
        <v>0</v>
      </c>
      <c r="I551" s="445"/>
      <c r="J551" s="445"/>
      <c r="K551" s="445"/>
      <c r="L551" s="445"/>
      <c r="M551" s="445">
        <f>H551</f>
        <v>0</v>
      </c>
      <c r="N551" s="240"/>
    </row>
    <row r="552" spans="1:14" s="76" customFormat="1" ht="47.25" hidden="1" x14ac:dyDescent="0.3">
      <c r="A552" s="1273" t="s">
        <v>82</v>
      </c>
      <c r="B552" s="220" t="s">
        <v>333</v>
      </c>
      <c r="C552" s="442" t="s">
        <v>426</v>
      </c>
      <c r="D552" s="220" t="s">
        <v>47</v>
      </c>
      <c r="E552" s="23"/>
      <c r="F552" s="78">
        <f>(2+0.6)*2*(0.7+0.22+0.2)*F524</f>
        <v>0</v>
      </c>
      <c r="G552" s="8"/>
      <c r="H552" s="8"/>
      <c r="I552" s="8"/>
      <c r="J552" s="8"/>
      <c r="K552" s="8"/>
      <c r="L552" s="223"/>
      <c r="M552" s="223"/>
      <c r="N552" s="240"/>
    </row>
    <row r="553" spans="1:14" s="76" customFormat="1" ht="15.75" hidden="1" x14ac:dyDescent="0.3">
      <c r="A553" s="1274"/>
      <c r="B553" s="449"/>
      <c r="C553" s="26" t="s">
        <v>332</v>
      </c>
      <c r="D553" s="449" t="s">
        <v>6</v>
      </c>
      <c r="E553" s="454">
        <v>11.8</v>
      </c>
      <c r="F553" s="447">
        <f>E553*F552</f>
        <v>0</v>
      </c>
      <c r="G553" s="420"/>
      <c r="H553" s="420"/>
      <c r="I553" s="445">
        <v>7.8</v>
      </c>
      <c r="J553" s="445">
        <f>I553*F553</f>
        <v>0</v>
      </c>
      <c r="K553" s="420"/>
      <c r="L553" s="420"/>
      <c r="M553" s="445">
        <f>L553+J553+H553</f>
        <v>0</v>
      </c>
      <c r="N553" s="240"/>
    </row>
    <row r="554" spans="1:14" s="76" customFormat="1" ht="15.75" hidden="1" x14ac:dyDescent="0.3">
      <c r="A554" s="1274"/>
      <c r="B554" s="449"/>
      <c r="C554" s="26" t="s">
        <v>334</v>
      </c>
      <c r="D554" s="449" t="s">
        <v>4</v>
      </c>
      <c r="E554" s="454">
        <v>0.15</v>
      </c>
      <c r="F554" s="447">
        <f>E554*F552</f>
        <v>0</v>
      </c>
      <c r="G554" s="420"/>
      <c r="H554" s="420"/>
      <c r="I554" s="420"/>
      <c r="J554" s="420"/>
      <c r="K554" s="445">
        <v>4</v>
      </c>
      <c r="L554" s="445">
        <f>K554*F554</f>
        <v>0</v>
      </c>
      <c r="M554" s="420">
        <f>L554+J554+H554</f>
        <v>0</v>
      </c>
      <c r="N554" s="240"/>
    </row>
    <row r="555" spans="1:14" s="76" customFormat="1" ht="15.75" hidden="1" x14ac:dyDescent="0.3">
      <c r="A555" s="1274"/>
      <c r="B555" s="449"/>
      <c r="C555" s="26" t="s">
        <v>402</v>
      </c>
      <c r="D555" s="449" t="s">
        <v>47</v>
      </c>
      <c r="E555" s="454">
        <v>1.05</v>
      </c>
      <c r="F555" s="447">
        <f>E555*F552</f>
        <v>0</v>
      </c>
      <c r="G555" s="445">
        <v>68</v>
      </c>
      <c r="H555" s="445">
        <f>G555*F555</f>
        <v>0</v>
      </c>
      <c r="I555" s="420"/>
      <c r="J555" s="420"/>
      <c r="K555" s="420"/>
      <c r="L555" s="420"/>
      <c r="M555" s="420">
        <f>L555+J555+H555</f>
        <v>0</v>
      </c>
      <c r="N555" s="240"/>
    </row>
    <row r="556" spans="1:14" s="76" customFormat="1" ht="15.75" hidden="1" x14ac:dyDescent="0.3">
      <c r="A556" s="1274"/>
      <c r="B556" s="449"/>
      <c r="C556" s="26" t="s">
        <v>88</v>
      </c>
      <c r="D556" s="449" t="s">
        <v>335</v>
      </c>
      <c r="E556" s="454">
        <v>3.5999999999999997E-2</v>
      </c>
      <c r="F556" s="447">
        <f>E556*F552</f>
        <v>0</v>
      </c>
      <c r="G556" s="445">
        <v>118</v>
      </c>
      <c r="H556" s="445">
        <f>G556*F556</f>
        <v>0</v>
      </c>
      <c r="I556" s="420"/>
      <c r="J556" s="420"/>
      <c r="K556" s="420"/>
      <c r="L556" s="420"/>
      <c r="M556" s="420">
        <f>L556+J556+H556</f>
        <v>0</v>
      </c>
      <c r="N556" s="240"/>
    </row>
    <row r="557" spans="1:14" s="76" customFormat="1" ht="15.75" hidden="1" x14ac:dyDescent="0.3">
      <c r="A557" s="1275"/>
      <c r="B557" s="449"/>
      <c r="C557" s="26" t="s">
        <v>50</v>
      </c>
      <c r="D557" s="449" t="s">
        <v>21</v>
      </c>
      <c r="E557" s="454">
        <v>0.01</v>
      </c>
      <c r="F557" s="447">
        <f>E557*F552</f>
        <v>0</v>
      </c>
      <c r="G557" s="445">
        <v>4</v>
      </c>
      <c r="H557" s="445">
        <f>G557*F557</f>
        <v>0</v>
      </c>
      <c r="I557" s="420"/>
      <c r="J557" s="420"/>
      <c r="K557" s="420"/>
      <c r="L557" s="420"/>
      <c r="M557" s="420">
        <f>L557+J557+H557</f>
        <v>0</v>
      </c>
      <c r="N557" s="240"/>
    </row>
    <row r="558" spans="1:14" s="76" customFormat="1" ht="31.5" hidden="1" x14ac:dyDescent="0.25">
      <c r="A558" s="1273" t="s">
        <v>40</v>
      </c>
      <c r="B558" s="452" t="s">
        <v>63</v>
      </c>
      <c r="C558" s="62" t="s">
        <v>394</v>
      </c>
      <c r="D558" s="452" t="s">
        <v>37</v>
      </c>
      <c r="E558" s="10"/>
      <c r="F558" s="23">
        <f>(1.76*0.36)*0.5*F524</f>
        <v>0</v>
      </c>
      <c r="G558" s="445"/>
      <c r="H558" s="445"/>
      <c r="I558" s="420"/>
      <c r="J558" s="420"/>
      <c r="K558" s="420"/>
      <c r="L558" s="420"/>
      <c r="M558" s="420"/>
    </row>
    <row r="559" spans="1:14" s="76" customFormat="1" ht="15.75" hidden="1" x14ac:dyDescent="0.25">
      <c r="A559" s="1274"/>
      <c r="B559" s="449"/>
      <c r="C559" s="26" t="s">
        <v>54</v>
      </c>
      <c r="D559" s="449" t="s">
        <v>6</v>
      </c>
      <c r="E559" s="454">
        <v>1.21</v>
      </c>
      <c r="F559" s="447">
        <f>F558*E559</f>
        <v>0</v>
      </c>
      <c r="G559" s="445"/>
      <c r="H559" s="445"/>
      <c r="I559" s="420">
        <v>6</v>
      </c>
      <c r="J559" s="445">
        <f>I559*F559</f>
        <v>0</v>
      </c>
      <c r="K559" s="420"/>
      <c r="L559" s="420"/>
      <c r="M559" s="445">
        <f>L559+J559+H559</f>
        <v>0</v>
      </c>
    </row>
    <row r="560" spans="1:14" s="76" customFormat="1" ht="15.75" hidden="1" x14ac:dyDescent="0.3">
      <c r="A560" s="1275"/>
      <c r="B560" s="449"/>
      <c r="C560" s="26" t="s">
        <v>386</v>
      </c>
      <c r="D560" s="449" t="s">
        <v>37</v>
      </c>
      <c r="E560" s="454">
        <v>1.3</v>
      </c>
      <c r="F560" s="447">
        <f>F558*E560</f>
        <v>0</v>
      </c>
      <c r="G560" s="445">
        <v>15</v>
      </c>
      <c r="H560" s="445">
        <f>G560*F560</f>
        <v>0</v>
      </c>
      <c r="I560" s="420"/>
      <c r="J560" s="420"/>
      <c r="K560" s="420"/>
      <c r="L560" s="420"/>
      <c r="M560" s="420">
        <f>L560+J560+H560</f>
        <v>0</v>
      </c>
      <c r="N560" s="500">
        <f>SUM(M524:M560)</f>
        <v>0</v>
      </c>
    </row>
    <row r="561" spans="1:14" s="76" customFormat="1" ht="15.75" hidden="1" x14ac:dyDescent="0.3">
      <c r="A561" s="1116"/>
      <c r="B561" s="449"/>
      <c r="C561" s="26"/>
      <c r="D561" s="449"/>
      <c r="E561" s="454"/>
      <c r="F561" s="447"/>
      <c r="G561" s="445"/>
      <c r="H561" s="445"/>
      <c r="I561" s="420"/>
      <c r="J561" s="420"/>
      <c r="K561" s="420"/>
      <c r="L561" s="420"/>
      <c r="M561" s="420"/>
      <c r="N561" s="240"/>
    </row>
    <row r="562" spans="1:14" s="76" customFormat="1" ht="31.5" hidden="1" x14ac:dyDescent="0.3">
      <c r="A562" s="479"/>
      <c r="B562" s="405"/>
      <c r="C562" s="482" t="s">
        <v>429</v>
      </c>
      <c r="D562" s="405" t="s">
        <v>52</v>
      </c>
      <c r="E562" s="53"/>
      <c r="F562" s="406">
        <v>0</v>
      </c>
      <c r="G562" s="8"/>
      <c r="H562" s="8"/>
      <c r="I562" s="8"/>
      <c r="J562" s="8"/>
      <c r="K562" s="8"/>
      <c r="L562" s="223"/>
      <c r="M562" s="223"/>
      <c r="N562" s="240"/>
    </row>
    <row r="563" spans="1:14" s="76" customFormat="1" ht="31.5" hidden="1" x14ac:dyDescent="0.3">
      <c r="A563" s="1273" t="s">
        <v>93</v>
      </c>
      <c r="B563" s="220"/>
      <c r="C563" s="442" t="s">
        <v>430</v>
      </c>
      <c r="D563" s="297"/>
      <c r="E563" s="447"/>
      <c r="F563" s="21"/>
      <c r="G563" s="8"/>
      <c r="H563" s="8"/>
      <c r="I563" s="8"/>
      <c r="J563" s="8"/>
      <c r="K563" s="8"/>
      <c r="L563" s="223"/>
      <c r="M563" s="223"/>
      <c r="N563" s="240"/>
    </row>
    <row r="564" spans="1:14" s="76" customFormat="1" ht="15.75" hidden="1" x14ac:dyDescent="0.3">
      <c r="A564" s="1274"/>
      <c r="B564" s="449"/>
      <c r="C564" s="417" t="s">
        <v>431</v>
      </c>
      <c r="D564" s="449" t="s">
        <v>41</v>
      </c>
      <c r="E564" s="447"/>
      <c r="F564" s="447">
        <f>4*0.6*1.1*F562</f>
        <v>0</v>
      </c>
      <c r="G564" s="410"/>
      <c r="H564" s="411"/>
      <c r="I564" s="411"/>
      <c r="J564" s="411"/>
      <c r="K564" s="411"/>
      <c r="L564" s="411"/>
      <c r="M564" s="412"/>
      <c r="N564" s="240"/>
    </row>
    <row r="565" spans="1:14" s="76" customFormat="1" ht="15.75" hidden="1" x14ac:dyDescent="0.3">
      <c r="A565" s="1274"/>
      <c r="B565" s="449"/>
      <c r="C565" s="404"/>
      <c r="D565" s="449" t="s">
        <v>38</v>
      </c>
      <c r="E565" s="447"/>
      <c r="F565" s="447">
        <f>F564*0.00376</f>
        <v>0</v>
      </c>
      <c r="G565" s="410"/>
      <c r="H565" s="411"/>
      <c r="I565" s="411"/>
      <c r="J565" s="411"/>
      <c r="K565" s="411"/>
      <c r="L565" s="411"/>
      <c r="M565" s="412"/>
      <c r="N565" s="240"/>
    </row>
    <row r="566" spans="1:14" s="76" customFormat="1" ht="15.75" hidden="1" x14ac:dyDescent="0.3">
      <c r="A566" s="1274"/>
      <c r="B566" s="449"/>
      <c r="C566" s="379" t="s">
        <v>432</v>
      </c>
      <c r="D566" s="449" t="s">
        <v>41</v>
      </c>
      <c r="E566" s="447"/>
      <c r="F566" s="447">
        <f>4*0.6*1.1*F562</f>
        <v>0</v>
      </c>
      <c r="G566" s="410"/>
      <c r="H566" s="411"/>
      <c r="I566" s="411"/>
      <c r="J566" s="411"/>
      <c r="K566" s="411"/>
      <c r="L566" s="411"/>
      <c r="M566" s="412"/>
      <c r="N566" s="240"/>
    </row>
    <row r="567" spans="1:14" s="76" customFormat="1" ht="15.75" hidden="1" x14ac:dyDescent="0.3">
      <c r="A567" s="1274"/>
      <c r="B567" s="449"/>
      <c r="C567" s="28"/>
      <c r="D567" s="449" t="s">
        <v>38</v>
      </c>
      <c r="E567" s="447"/>
      <c r="F567" s="447">
        <f>F566*0.00314</f>
        <v>0</v>
      </c>
      <c r="G567" s="410"/>
      <c r="H567" s="411"/>
      <c r="I567" s="411"/>
      <c r="J567" s="411"/>
      <c r="K567" s="411"/>
      <c r="L567" s="411"/>
      <c r="M567" s="412"/>
      <c r="N567" s="240"/>
    </row>
    <row r="568" spans="1:14" s="76" customFormat="1" ht="15.75" hidden="1" x14ac:dyDescent="0.3">
      <c r="A568" s="1274"/>
      <c r="B568" s="449"/>
      <c r="C568" s="379" t="s">
        <v>320</v>
      </c>
      <c r="D568" s="449" t="s">
        <v>52</v>
      </c>
      <c r="E568" s="447"/>
      <c r="F568" s="447">
        <f>6*3*4*F562</f>
        <v>0</v>
      </c>
      <c r="G568" s="413"/>
      <c r="H568" s="414"/>
      <c r="I568" s="414"/>
      <c r="J568" s="414"/>
      <c r="K568" s="414"/>
      <c r="L568" s="414"/>
      <c r="M568" s="415"/>
      <c r="N568" s="240"/>
    </row>
    <row r="569" spans="1:14" s="76" customFormat="1" ht="15.75" hidden="1" x14ac:dyDescent="0.3">
      <c r="A569" s="1274"/>
      <c r="B569" s="449"/>
      <c r="C569" s="448" t="s">
        <v>323</v>
      </c>
      <c r="D569" s="452" t="s">
        <v>38</v>
      </c>
      <c r="E569" s="23"/>
      <c r="F569" s="23">
        <f>F565+F567</f>
        <v>0</v>
      </c>
      <c r="G569" s="445"/>
      <c r="H569" s="445"/>
      <c r="I569" s="445"/>
      <c r="J569" s="445"/>
      <c r="K569" s="445"/>
      <c r="L569" s="445"/>
      <c r="M569" s="445"/>
      <c r="N569" s="240"/>
    </row>
    <row r="570" spans="1:14" s="76" customFormat="1" ht="15.75" hidden="1" x14ac:dyDescent="0.3">
      <c r="A570" s="1274"/>
      <c r="B570" s="449"/>
      <c r="C570" s="13" t="s">
        <v>36</v>
      </c>
      <c r="D570" s="449" t="s">
        <v>6</v>
      </c>
      <c r="E570" s="454">
        <v>23.6</v>
      </c>
      <c r="F570" s="36">
        <f>F569*E570</f>
        <v>0</v>
      </c>
      <c r="G570" s="445"/>
      <c r="H570" s="32"/>
      <c r="I570" s="445">
        <v>7.8</v>
      </c>
      <c r="J570" s="32">
        <f>F570*I570</f>
        <v>0</v>
      </c>
      <c r="K570" s="445"/>
      <c r="L570" s="32"/>
      <c r="M570" s="32">
        <f t="shared" ref="M570:M580" si="34">H570+J570+L570</f>
        <v>0</v>
      </c>
      <c r="N570" s="240"/>
    </row>
    <row r="571" spans="1:14" s="76" customFormat="1" ht="27" hidden="1" x14ac:dyDescent="0.3">
      <c r="A571" s="1274"/>
      <c r="B571" s="452" t="s">
        <v>42</v>
      </c>
      <c r="C571" s="13" t="s">
        <v>318</v>
      </c>
      <c r="D571" s="449" t="s">
        <v>43</v>
      </c>
      <c r="E571" s="454">
        <v>0</v>
      </c>
      <c r="F571" s="36">
        <f>F569*E571</f>
        <v>0</v>
      </c>
      <c r="G571" s="445"/>
      <c r="H571" s="32"/>
      <c r="I571" s="445"/>
      <c r="J571" s="32"/>
      <c r="K571" s="445">
        <v>47.41</v>
      </c>
      <c r="L571" s="32">
        <f>F571*K571</f>
        <v>0</v>
      </c>
      <c r="M571" s="32">
        <f t="shared" si="34"/>
        <v>0</v>
      </c>
      <c r="N571" s="240"/>
    </row>
    <row r="572" spans="1:14" s="76" customFormat="1" ht="27" hidden="1" x14ac:dyDescent="0.3">
      <c r="A572" s="1274"/>
      <c r="B572" s="452" t="s">
        <v>42</v>
      </c>
      <c r="C572" s="13" t="s">
        <v>44</v>
      </c>
      <c r="D572" s="449" t="s">
        <v>43</v>
      </c>
      <c r="E572" s="454">
        <v>2.87</v>
      </c>
      <c r="F572" s="36">
        <f>F569*E572</f>
        <v>0</v>
      </c>
      <c r="G572" s="445"/>
      <c r="H572" s="32"/>
      <c r="I572" s="445"/>
      <c r="J572" s="32"/>
      <c r="K572" s="445">
        <v>39.880000000000003</v>
      </c>
      <c r="L572" s="32">
        <f>F572*K572</f>
        <v>0</v>
      </c>
      <c r="M572" s="32">
        <f t="shared" si="34"/>
        <v>0</v>
      </c>
      <c r="N572" s="240"/>
    </row>
    <row r="573" spans="1:14" s="76" customFormat="1" ht="15.75" hidden="1" x14ac:dyDescent="0.3">
      <c r="A573" s="1274"/>
      <c r="B573" s="449"/>
      <c r="C573" s="13" t="s">
        <v>5</v>
      </c>
      <c r="D573" s="449" t="s">
        <v>4</v>
      </c>
      <c r="E573" s="454">
        <v>4.0199999999999996</v>
      </c>
      <c r="F573" s="36">
        <f>F569*E573</f>
        <v>0</v>
      </c>
      <c r="G573" s="445"/>
      <c r="H573" s="32"/>
      <c r="I573" s="445"/>
      <c r="J573" s="32"/>
      <c r="K573" s="445">
        <v>4</v>
      </c>
      <c r="L573" s="32">
        <f>F573*K573</f>
        <v>0</v>
      </c>
      <c r="M573" s="32">
        <f t="shared" si="34"/>
        <v>0</v>
      </c>
      <c r="N573" s="240"/>
    </row>
    <row r="574" spans="1:14" s="76" customFormat="1" ht="15.75" hidden="1" x14ac:dyDescent="0.3">
      <c r="A574" s="1274"/>
      <c r="B574" s="449"/>
      <c r="C574" s="13" t="s">
        <v>324</v>
      </c>
      <c r="D574" s="449" t="s">
        <v>38</v>
      </c>
      <c r="E574" s="146"/>
      <c r="F574" s="416">
        <f>F567</f>
        <v>0</v>
      </c>
      <c r="G574" s="142">
        <v>1820</v>
      </c>
      <c r="H574" s="32">
        <f t="shared" ref="H574:H579" si="35">F574*G574</f>
        <v>0</v>
      </c>
      <c r="I574" s="445"/>
      <c r="J574" s="32"/>
      <c r="K574" s="445"/>
      <c r="L574" s="32"/>
      <c r="M574" s="32">
        <f t="shared" si="34"/>
        <v>0</v>
      </c>
      <c r="N574" s="240"/>
    </row>
    <row r="575" spans="1:14" s="76" customFormat="1" ht="15.75" hidden="1" x14ac:dyDescent="0.3">
      <c r="A575" s="1274"/>
      <c r="B575" s="449"/>
      <c r="C575" s="13" t="s">
        <v>319</v>
      </c>
      <c r="D575" s="449" t="s">
        <v>38</v>
      </c>
      <c r="E575" s="146"/>
      <c r="F575" s="416">
        <f>F565</f>
        <v>0</v>
      </c>
      <c r="G575" s="142">
        <v>1820</v>
      </c>
      <c r="H575" s="32">
        <f t="shared" si="35"/>
        <v>0</v>
      </c>
      <c r="I575" s="445"/>
      <c r="J575" s="32"/>
      <c r="K575" s="445"/>
      <c r="L575" s="32"/>
      <c r="M575" s="32">
        <f t="shared" si="34"/>
        <v>0</v>
      </c>
      <c r="N575" s="240"/>
    </row>
    <row r="576" spans="1:14" s="76" customFormat="1" ht="15.75" hidden="1" x14ac:dyDescent="0.3">
      <c r="A576" s="1274"/>
      <c r="B576" s="449"/>
      <c r="C576" s="403" t="s">
        <v>434</v>
      </c>
      <c r="D576" s="449" t="s">
        <v>52</v>
      </c>
      <c r="E576" s="146"/>
      <c r="F576" s="416">
        <f>F568</f>
        <v>0</v>
      </c>
      <c r="G576" s="142">
        <v>1</v>
      </c>
      <c r="H576" s="32">
        <f t="shared" si="35"/>
        <v>0</v>
      </c>
      <c r="I576" s="445"/>
      <c r="J576" s="32"/>
      <c r="K576" s="445"/>
      <c r="L576" s="32"/>
      <c r="M576" s="32">
        <f t="shared" si="34"/>
        <v>0</v>
      </c>
      <c r="N576" s="240"/>
    </row>
    <row r="577" spans="1:14" s="76" customFormat="1" ht="31.5" hidden="1" x14ac:dyDescent="0.3">
      <c r="A577" s="1274"/>
      <c r="B577" s="449"/>
      <c r="C577" s="26" t="s">
        <v>321</v>
      </c>
      <c r="D577" s="449" t="s">
        <v>2</v>
      </c>
      <c r="E577" s="146">
        <v>22.9</v>
      </c>
      <c r="F577" s="147">
        <f>F569*E577</f>
        <v>0</v>
      </c>
      <c r="G577" s="142">
        <v>1.99</v>
      </c>
      <c r="H577" s="32">
        <f t="shared" si="35"/>
        <v>0</v>
      </c>
      <c r="I577" s="445"/>
      <c r="J577" s="32"/>
      <c r="K577" s="445"/>
      <c r="L577" s="32"/>
      <c r="M577" s="32">
        <f t="shared" si="34"/>
        <v>0</v>
      </c>
      <c r="N577" s="240"/>
    </row>
    <row r="578" spans="1:14" s="76" customFormat="1" ht="15.75" hidden="1" x14ac:dyDescent="0.3">
      <c r="A578" s="1274"/>
      <c r="B578" s="449"/>
      <c r="C578" s="26" t="s">
        <v>45</v>
      </c>
      <c r="D578" s="449" t="s">
        <v>2</v>
      </c>
      <c r="E578" s="146"/>
      <c r="F578" s="147">
        <f>1*F562</f>
        <v>0</v>
      </c>
      <c r="G578" s="142">
        <v>3.7</v>
      </c>
      <c r="H578" s="32">
        <f t="shared" si="35"/>
        <v>0</v>
      </c>
      <c r="I578" s="445"/>
      <c r="J578" s="32"/>
      <c r="K578" s="445"/>
      <c r="L578" s="32"/>
      <c r="M578" s="32">
        <f t="shared" si="34"/>
        <v>0</v>
      </c>
      <c r="N578" s="240"/>
    </row>
    <row r="579" spans="1:14" s="76" customFormat="1" ht="15.75" hidden="1" x14ac:dyDescent="0.3">
      <c r="A579" s="1274"/>
      <c r="B579" s="449"/>
      <c r="C579" s="26" t="s">
        <v>322</v>
      </c>
      <c r="D579" s="449" t="s">
        <v>2</v>
      </c>
      <c r="E579" s="146">
        <v>8.6</v>
      </c>
      <c r="F579" s="147">
        <f>F569*E579</f>
        <v>0</v>
      </c>
      <c r="G579" s="142">
        <v>4</v>
      </c>
      <c r="H579" s="32">
        <f t="shared" si="35"/>
        <v>0</v>
      </c>
      <c r="I579" s="445"/>
      <c r="J579" s="32"/>
      <c r="K579" s="445"/>
      <c r="L579" s="32"/>
      <c r="M579" s="32">
        <f t="shared" si="34"/>
        <v>0</v>
      </c>
      <c r="N579" s="240"/>
    </row>
    <row r="580" spans="1:14" s="76" customFormat="1" ht="15.75" hidden="1" x14ac:dyDescent="0.3">
      <c r="A580" s="1275"/>
      <c r="B580" s="449"/>
      <c r="C580" s="26" t="s">
        <v>7</v>
      </c>
      <c r="D580" s="449" t="s">
        <v>4</v>
      </c>
      <c r="E580" s="454">
        <v>2.78</v>
      </c>
      <c r="F580" s="447">
        <f>F569*E580</f>
        <v>0</v>
      </c>
      <c r="G580" s="445"/>
      <c r="H580" s="32"/>
      <c r="I580" s="445"/>
      <c r="J580" s="32"/>
      <c r="K580" s="445"/>
      <c r="L580" s="32"/>
      <c r="M580" s="32">
        <f t="shared" si="34"/>
        <v>0</v>
      </c>
      <c r="N580" s="240"/>
    </row>
    <row r="581" spans="1:14" s="76" customFormat="1" ht="47.25" hidden="1" x14ac:dyDescent="0.3">
      <c r="A581" s="1273" t="s">
        <v>72</v>
      </c>
      <c r="B581" s="452" t="s">
        <v>23</v>
      </c>
      <c r="C581" s="62" t="s">
        <v>325</v>
      </c>
      <c r="D581" s="452" t="s">
        <v>47</v>
      </c>
      <c r="E581" s="23"/>
      <c r="F581" s="23">
        <f>(0.06+0.06)*2*F564/1.1+(0.04+0.06)*2*F566/1.1</f>
        <v>0</v>
      </c>
      <c r="G581" s="445"/>
      <c r="H581" s="445"/>
      <c r="I581" s="445"/>
      <c r="J581" s="445"/>
      <c r="K581" s="445"/>
      <c r="L581" s="445"/>
      <c r="M581" s="445"/>
      <c r="N581" s="240"/>
    </row>
    <row r="582" spans="1:14" s="76" customFormat="1" ht="15.75" hidden="1" x14ac:dyDescent="0.3">
      <c r="A582" s="1274"/>
      <c r="B582" s="449"/>
      <c r="C582" s="26" t="s">
        <v>36</v>
      </c>
      <c r="D582" s="449" t="s">
        <v>6</v>
      </c>
      <c r="E582" s="454">
        <v>0.68</v>
      </c>
      <c r="F582" s="36">
        <f>F581*E582</f>
        <v>0</v>
      </c>
      <c r="G582" s="445"/>
      <c r="H582" s="32"/>
      <c r="I582" s="445">
        <v>7.8</v>
      </c>
      <c r="J582" s="32">
        <f>F582*I582</f>
        <v>0</v>
      </c>
      <c r="K582" s="445"/>
      <c r="L582" s="32"/>
      <c r="M582" s="32">
        <f>H582+J582+L582</f>
        <v>0</v>
      </c>
      <c r="N582" s="240"/>
    </row>
    <row r="583" spans="1:14" s="76" customFormat="1" ht="15.75" hidden="1" x14ac:dyDescent="0.3">
      <c r="A583" s="1274"/>
      <c r="B583" s="449"/>
      <c r="C583" s="26" t="s">
        <v>17</v>
      </c>
      <c r="D583" s="449" t="s">
        <v>6</v>
      </c>
      <c r="E583" s="454">
        <v>2.9999999999999997E-4</v>
      </c>
      <c r="F583" s="36">
        <f>F581*E583</f>
        <v>0</v>
      </c>
      <c r="G583" s="445"/>
      <c r="H583" s="32"/>
      <c r="I583" s="445"/>
      <c r="J583" s="32"/>
      <c r="K583" s="445">
        <v>4</v>
      </c>
      <c r="L583" s="32">
        <f>F583*K583</f>
        <v>0</v>
      </c>
      <c r="M583" s="32">
        <f>H583+J583+L583</f>
        <v>0</v>
      </c>
      <c r="N583" s="240"/>
    </row>
    <row r="584" spans="1:14" s="76" customFormat="1" ht="15.75" hidden="1" x14ac:dyDescent="0.3">
      <c r="A584" s="1274"/>
      <c r="B584" s="449"/>
      <c r="C584" s="105" t="s">
        <v>49</v>
      </c>
      <c r="D584" s="388" t="s">
        <v>81</v>
      </c>
      <c r="E584" s="103">
        <v>0.35</v>
      </c>
      <c r="F584" s="103">
        <f>E584*F581</f>
        <v>0</v>
      </c>
      <c r="G584" s="445">
        <v>6.5</v>
      </c>
      <c r="H584" s="445">
        <f>F584*G584</f>
        <v>0</v>
      </c>
      <c r="I584" s="445"/>
      <c r="J584" s="445"/>
      <c r="K584" s="445"/>
      <c r="L584" s="445"/>
      <c r="M584" s="445">
        <f>H584+J584+L584</f>
        <v>0</v>
      </c>
      <c r="N584" s="240"/>
    </row>
    <row r="585" spans="1:14" s="76" customFormat="1" ht="15.75" hidden="1" x14ac:dyDescent="0.3">
      <c r="A585" s="1274"/>
      <c r="B585" s="449"/>
      <c r="C585" s="105" t="s">
        <v>310</v>
      </c>
      <c r="D585" s="388" t="s">
        <v>81</v>
      </c>
      <c r="E585" s="103">
        <v>2.7E-2</v>
      </c>
      <c r="F585" s="103">
        <f>E585*F581</f>
        <v>0</v>
      </c>
      <c r="G585" s="445">
        <v>5</v>
      </c>
      <c r="H585" s="445">
        <f>F585*G585</f>
        <v>0</v>
      </c>
      <c r="I585" s="445"/>
      <c r="J585" s="445"/>
      <c r="K585" s="445"/>
      <c r="L585" s="445"/>
      <c r="M585" s="445">
        <f>H585+J585+L585</f>
        <v>0</v>
      </c>
      <c r="N585" s="240"/>
    </row>
    <row r="586" spans="1:14" s="76" customFormat="1" ht="15.75" hidden="1" x14ac:dyDescent="0.3">
      <c r="A586" s="1275"/>
      <c r="B586" s="449"/>
      <c r="C586" s="26" t="s">
        <v>7</v>
      </c>
      <c r="D586" s="449" t="s">
        <v>4</v>
      </c>
      <c r="E586" s="454">
        <v>1.9E-3</v>
      </c>
      <c r="F586" s="36">
        <f>F581*E586</f>
        <v>0</v>
      </c>
      <c r="G586" s="445">
        <v>4</v>
      </c>
      <c r="H586" s="32">
        <f>F586*G586</f>
        <v>0</v>
      </c>
      <c r="I586" s="445"/>
      <c r="J586" s="32"/>
      <c r="K586" s="445"/>
      <c r="L586" s="32"/>
      <c r="M586" s="32">
        <f>H586+J586+L586</f>
        <v>0</v>
      </c>
      <c r="N586" s="240"/>
    </row>
    <row r="587" spans="1:14" s="76" customFormat="1" ht="62.25" hidden="1" x14ac:dyDescent="0.3">
      <c r="A587" s="1273" t="s">
        <v>94</v>
      </c>
      <c r="B587" s="452" t="s">
        <v>18</v>
      </c>
      <c r="C587" s="148" t="s">
        <v>433</v>
      </c>
      <c r="D587" s="31" t="s">
        <v>47</v>
      </c>
      <c r="E587" s="10"/>
      <c r="F587" s="38">
        <f>(1.2+1.2)*2*0.6*F562</f>
        <v>0</v>
      </c>
      <c r="G587" s="32"/>
      <c r="H587" s="445"/>
      <c r="I587" s="17"/>
      <c r="J587" s="445"/>
      <c r="K587" s="18"/>
      <c r="L587" s="445"/>
      <c r="M587" s="445"/>
      <c r="N587" s="240"/>
    </row>
    <row r="588" spans="1:14" s="76" customFormat="1" ht="15.75" hidden="1" x14ac:dyDescent="0.3">
      <c r="A588" s="1274"/>
      <c r="B588" s="452"/>
      <c r="C588" s="145" t="s">
        <v>36</v>
      </c>
      <c r="D588" s="283" t="s">
        <v>6</v>
      </c>
      <c r="E588" s="454">
        <v>1</v>
      </c>
      <c r="F588" s="36">
        <f>F587*E588</f>
        <v>0</v>
      </c>
      <c r="G588" s="32"/>
      <c r="H588" s="445"/>
      <c r="I588" s="17">
        <v>10</v>
      </c>
      <c r="J588" s="445">
        <f>I588*F588</f>
        <v>0</v>
      </c>
      <c r="K588" s="420"/>
      <c r="L588" s="420"/>
      <c r="M588" s="445">
        <f>L588+J588+H588</f>
        <v>0</v>
      </c>
      <c r="N588" s="240"/>
    </row>
    <row r="589" spans="1:14" s="76" customFormat="1" ht="31.5" hidden="1" x14ac:dyDescent="0.3">
      <c r="A589" s="1274"/>
      <c r="B589" s="449"/>
      <c r="C589" s="13" t="s">
        <v>406</v>
      </c>
      <c r="D589" s="449" t="s">
        <v>38</v>
      </c>
      <c r="E589" s="454"/>
      <c r="F589" s="36">
        <v>0</v>
      </c>
      <c r="G589" s="445">
        <v>1820</v>
      </c>
      <c r="H589" s="445">
        <f>G589*F589</f>
        <v>0</v>
      </c>
      <c r="I589" s="420"/>
      <c r="J589" s="420"/>
      <c r="K589" s="420"/>
      <c r="L589" s="420"/>
      <c r="M589" s="420">
        <f>L589+J589+H589</f>
        <v>0</v>
      </c>
      <c r="N589" s="240"/>
    </row>
    <row r="590" spans="1:14" s="76" customFormat="1" ht="31.5" hidden="1" x14ac:dyDescent="0.3">
      <c r="A590" s="1275"/>
      <c r="B590" s="449"/>
      <c r="C590" s="13" t="s">
        <v>408</v>
      </c>
      <c r="D590" s="449" t="s">
        <v>47</v>
      </c>
      <c r="E590" s="454">
        <v>1.1000000000000001</v>
      </c>
      <c r="F590" s="36">
        <f>F587*E590</f>
        <v>0</v>
      </c>
      <c r="G590" s="445">
        <v>100</v>
      </c>
      <c r="H590" s="445">
        <f>G590*F590</f>
        <v>0</v>
      </c>
      <c r="I590" s="420"/>
      <c r="J590" s="420"/>
      <c r="K590" s="420"/>
      <c r="L590" s="420"/>
      <c r="M590" s="420">
        <f>L590+J590+H590</f>
        <v>0</v>
      </c>
      <c r="N590" s="500">
        <f>SUM(M563:M590)</f>
        <v>0</v>
      </c>
    </row>
    <row r="591" spans="1:14" s="76" customFormat="1" ht="15.75" x14ac:dyDescent="0.3">
      <c r="A591" s="1116"/>
      <c r="B591" s="220"/>
      <c r="C591" s="42"/>
      <c r="D591" s="297"/>
      <c r="E591" s="447"/>
      <c r="F591" s="21"/>
      <c r="G591" s="8"/>
      <c r="H591" s="8"/>
      <c r="I591" s="8"/>
      <c r="J591" s="8"/>
      <c r="K591" s="8"/>
      <c r="L591" s="223"/>
      <c r="M591" s="223"/>
      <c r="N591" s="240"/>
    </row>
    <row r="592" spans="1:14" s="76" customFormat="1" ht="15.75" x14ac:dyDescent="0.25">
      <c r="A592" s="545"/>
      <c r="B592" s="546"/>
      <c r="C592" s="544" t="s">
        <v>500</v>
      </c>
      <c r="D592" s="85" t="s">
        <v>47</v>
      </c>
      <c r="E592" s="547"/>
      <c r="F592" s="53">
        <v>495</v>
      </c>
      <c r="G592" s="514"/>
      <c r="H592" s="514"/>
      <c r="I592" s="514"/>
      <c r="J592" s="514"/>
      <c r="K592" s="514"/>
      <c r="L592" s="514"/>
      <c r="M592" s="514"/>
      <c r="N592" s="548"/>
    </row>
    <row r="593" spans="1:14" s="76" customFormat="1" ht="15.75" x14ac:dyDescent="0.25">
      <c r="A593" s="1259" t="s">
        <v>93</v>
      </c>
      <c r="B593" s="549" t="s">
        <v>501</v>
      </c>
      <c r="C593" s="62" t="s">
        <v>502</v>
      </c>
      <c r="D593" s="484" t="s">
        <v>47</v>
      </c>
      <c r="E593" s="10"/>
      <c r="F593" s="23">
        <f>F592</f>
        <v>495</v>
      </c>
      <c r="G593" s="514"/>
      <c r="H593" s="514"/>
      <c r="I593" s="514"/>
      <c r="J593" s="514"/>
      <c r="K593" s="514"/>
      <c r="L593" s="514"/>
      <c r="M593" s="514"/>
      <c r="N593" s="548"/>
    </row>
    <row r="594" spans="1:14" s="76" customFormat="1" ht="15.75" hidden="1" x14ac:dyDescent="0.25">
      <c r="A594" s="1260"/>
      <c r="B594" s="519"/>
      <c r="C594" s="26" t="s">
        <v>494</v>
      </c>
      <c r="D594" s="518" t="s">
        <v>6</v>
      </c>
      <c r="E594" s="524">
        <v>0</v>
      </c>
      <c r="F594" s="515">
        <f>F593*E594</f>
        <v>0</v>
      </c>
      <c r="G594" s="514"/>
      <c r="H594" s="514"/>
      <c r="I594" s="514">
        <v>6</v>
      </c>
      <c r="J594" s="514">
        <f t="shared" ref="J594:J632" si="36">F594*I594</f>
        <v>0</v>
      </c>
      <c r="K594" s="514"/>
      <c r="L594" s="514"/>
      <c r="M594" s="514">
        <f t="shared" ref="M594:M630" si="37">H594+J594+L594</f>
        <v>0</v>
      </c>
      <c r="N594" s="548"/>
    </row>
    <row r="595" spans="1:14" s="76" customFormat="1" ht="27" x14ac:dyDescent="0.25">
      <c r="A595" s="1260"/>
      <c r="B595" s="518" t="s">
        <v>503</v>
      </c>
      <c r="C595" s="550" t="s">
        <v>504</v>
      </c>
      <c r="D595" s="518" t="s">
        <v>43</v>
      </c>
      <c r="E595" s="551">
        <v>2.7999999999999998E-4</v>
      </c>
      <c r="F595" s="520">
        <f>F593*E595</f>
        <v>0.1386</v>
      </c>
      <c r="G595" s="521"/>
      <c r="H595" s="514"/>
      <c r="I595" s="521"/>
      <c r="J595" s="514"/>
      <c r="K595" s="521"/>
      <c r="L595" s="514">
        <f t="shared" ref="L595:L636" si="38">F595*K595</f>
        <v>0</v>
      </c>
      <c r="M595" s="514">
        <f t="shared" si="37"/>
        <v>0</v>
      </c>
      <c r="N595" s="548"/>
    </row>
    <row r="596" spans="1:14" s="76" customFormat="1" ht="31.5" hidden="1" x14ac:dyDescent="0.25">
      <c r="A596" s="1261"/>
      <c r="B596" s="518" t="s">
        <v>505</v>
      </c>
      <c r="C596" s="550" t="s">
        <v>506</v>
      </c>
      <c r="D596" s="518" t="s">
        <v>43</v>
      </c>
      <c r="E596" s="551">
        <v>0</v>
      </c>
      <c r="F596" s="520">
        <f>F593*E596</f>
        <v>0</v>
      </c>
      <c r="G596" s="521"/>
      <c r="H596" s="514"/>
      <c r="I596" s="521"/>
      <c r="J596" s="514"/>
      <c r="K596" s="521">
        <v>32.81</v>
      </c>
      <c r="L596" s="514">
        <f t="shared" si="38"/>
        <v>0</v>
      </c>
      <c r="M596" s="514">
        <f t="shared" si="37"/>
        <v>0</v>
      </c>
      <c r="N596" s="548"/>
    </row>
    <row r="597" spans="1:14" s="76" customFormat="1" ht="31.5" x14ac:dyDescent="0.25">
      <c r="A597" s="1259" t="s">
        <v>72</v>
      </c>
      <c r="B597" s="484" t="s">
        <v>507</v>
      </c>
      <c r="C597" s="62" t="s">
        <v>508</v>
      </c>
      <c r="D597" s="484" t="s">
        <v>509</v>
      </c>
      <c r="E597" s="10"/>
      <c r="F597" s="23">
        <f>F592*0.2</f>
        <v>99</v>
      </c>
      <c r="G597" s="514"/>
      <c r="H597" s="514"/>
      <c r="I597" s="514"/>
      <c r="J597" s="514"/>
      <c r="K597" s="514"/>
      <c r="L597" s="514"/>
      <c r="M597" s="514"/>
      <c r="N597" s="548"/>
    </row>
    <row r="598" spans="1:14" s="76" customFormat="1" ht="15.75" x14ac:dyDescent="0.25">
      <c r="A598" s="1260"/>
      <c r="B598" s="519"/>
      <c r="C598" s="26" t="s">
        <v>494</v>
      </c>
      <c r="D598" s="519" t="s">
        <v>6</v>
      </c>
      <c r="E598" s="524">
        <v>0.15</v>
      </c>
      <c r="F598" s="515">
        <f>E598*F597</f>
        <v>14.85</v>
      </c>
      <c r="G598" s="514"/>
      <c r="H598" s="514"/>
      <c r="I598" s="514"/>
      <c r="J598" s="514">
        <f t="shared" si="36"/>
        <v>0</v>
      </c>
      <c r="K598" s="514"/>
      <c r="L598" s="514"/>
      <c r="M598" s="514">
        <f>H598+J598+L598</f>
        <v>0</v>
      </c>
      <c r="N598" s="548"/>
    </row>
    <row r="599" spans="1:14" s="76" customFormat="1" ht="27" hidden="1" x14ac:dyDescent="0.25">
      <c r="A599" s="1260"/>
      <c r="B599" s="519" t="s">
        <v>510</v>
      </c>
      <c r="C599" s="149" t="s">
        <v>511</v>
      </c>
      <c r="D599" s="498" t="s">
        <v>43</v>
      </c>
      <c r="E599" s="524">
        <v>0</v>
      </c>
      <c r="F599" s="515">
        <f>E599*F597</f>
        <v>0</v>
      </c>
      <c r="G599" s="514"/>
      <c r="H599" s="514"/>
      <c r="I599" s="514"/>
      <c r="J599" s="514"/>
      <c r="K599" s="514">
        <v>41.56</v>
      </c>
      <c r="L599" s="514">
        <f t="shared" si="38"/>
        <v>0</v>
      </c>
      <c r="M599" s="514">
        <f t="shared" ref="M599:M608" si="39">H599+J599+L599</f>
        <v>0</v>
      </c>
      <c r="N599" s="548"/>
    </row>
    <row r="600" spans="1:14" s="76" customFormat="1" ht="31.5" x14ac:dyDescent="0.25">
      <c r="A600" s="1260"/>
      <c r="B600" s="519" t="s">
        <v>505</v>
      </c>
      <c r="C600" s="149" t="s">
        <v>512</v>
      </c>
      <c r="D600" s="498" t="s">
        <v>43</v>
      </c>
      <c r="E600" s="524">
        <v>2.4199999999999999E-2</v>
      </c>
      <c r="F600" s="515">
        <f>E600*F597</f>
        <v>2.3957999999999999</v>
      </c>
      <c r="G600" s="514"/>
      <c r="H600" s="514"/>
      <c r="I600" s="514"/>
      <c r="J600" s="514"/>
      <c r="K600" s="514"/>
      <c r="L600" s="514">
        <f t="shared" si="38"/>
        <v>0</v>
      </c>
      <c r="M600" s="514">
        <f t="shared" si="39"/>
        <v>0</v>
      </c>
      <c r="N600" s="548"/>
    </row>
    <row r="601" spans="1:14" s="76" customFormat="1" ht="27" hidden="1" x14ac:dyDescent="0.25">
      <c r="A601" s="1260"/>
      <c r="B601" s="519" t="s">
        <v>513</v>
      </c>
      <c r="C601" s="149" t="s">
        <v>514</v>
      </c>
      <c r="D601" s="498" t="s">
        <v>43</v>
      </c>
      <c r="E601" s="524">
        <v>0</v>
      </c>
      <c r="F601" s="515">
        <f>E601*F597</f>
        <v>0</v>
      </c>
      <c r="G601" s="514"/>
      <c r="H601" s="514"/>
      <c r="I601" s="514"/>
      <c r="J601" s="514"/>
      <c r="K601" s="514">
        <v>25.86</v>
      </c>
      <c r="L601" s="514">
        <f t="shared" si="38"/>
        <v>0</v>
      </c>
      <c r="M601" s="514">
        <f t="shared" si="39"/>
        <v>0</v>
      </c>
      <c r="N601" s="548"/>
    </row>
    <row r="602" spans="1:14" s="76" customFormat="1" ht="27" hidden="1" x14ac:dyDescent="0.25">
      <c r="A602" s="1260"/>
      <c r="B602" s="519" t="s">
        <v>515</v>
      </c>
      <c r="C602" s="149" t="s">
        <v>516</v>
      </c>
      <c r="D602" s="498" t="s">
        <v>43</v>
      </c>
      <c r="E602" s="524">
        <v>0</v>
      </c>
      <c r="F602" s="515">
        <f>E602*F597</f>
        <v>0</v>
      </c>
      <c r="G602" s="514"/>
      <c r="H602" s="514"/>
      <c r="I602" s="514"/>
      <c r="J602" s="514"/>
      <c r="K602" s="514">
        <v>41.38</v>
      </c>
      <c r="L602" s="514">
        <f t="shared" si="38"/>
        <v>0</v>
      </c>
      <c r="M602" s="514">
        <f t="shared" si="39"/>
        <v>0</v>
      </c>
      <c r="N602" s="548"/>
    </row>
    <row r="603" spans="1:14" s="76" customFormat="1" ht="27" x14ac:dyDescent="0.25">
      <c r="A603" s="1260"/>
      <c r="B603" s="519" t="s">
        <v>517</v>
      </c>
      <c r="C603" s="149" t="s">
        <v>518</v>
      </c>
      <c r="D603" s="498" t="s">
        <v>43</v>
      </c>
      <c r="E603" s="524">
        <v>4.1000000000000003E-3</v>
      </c>
      <c r="F603" s="515">
        <f>E603*F597</f>
        <v>0.40590000000000004</v>
      </c>
      <c r="G603" s="514"/>
      <c r="H603" s="514"/>
      <c r="I603" s="514"/>
      <c r="J603" s="514"/>
      <c r="K603" s="514"/>
      <c r="L603" s="514">
        <f t="shared" si="38"/>
        <v>0</v>
      </c>
      <c r="M603" s="514">
        <f t="shared" si="39"/>
        <v>0</v>
      </c>
      <c r="N603" s="548"/>
    </row>
    <row r="604" spans="1:14" s="76" customFormat="1" ht="27" x14ac:dyDescent="0.25">
      <c r="A604" s="1260"/>
      <c r="B604" s="519" t="s">
        <v>513</v>
      </c>
      <c r="C604" s="149" t="s">
        <v>519</v>
      </c>
      <c r="D604" s="498" t="s">
        <v>43</v>
      </c>
      <c r="E604" s="524">
        <v>0.19</v>
      </c>
      <c r="F604" s="515">
        <f>E604*F597</f>
        <v>18.809999999999999</v>
      </c>
      <c r="G604" s="514"/>
      <c r="H604" s="514"/>
      <c r="I604" s="514"/>
      <c r="J604" s="514"/>
      <c r="K604" s="514"/>
      <c r="L604" s="514">
        <f t="shared" si="38"/>
        <v>0</v>
      </c>
      <c r="M604" s="514">
        <f t="shared" si="39"/>
        <v>0</v>
      </c>
      <c r="N604" s="548"/>
    </row>
    <row r="605" spans="1:14" s="76" customFormat="1" ht="27" x14ac:dyDescent="0.25">
      <c r="A605" s="1260"/>
      <c r="B605" s="519" t="s">
        <v>28</v>
      </c>
      <c r="C605" s="149" t="s">
        <v>520</v>
      </c>
      <c r="D605" s="498" t="s">
        <v>43</v>
      </c>
      <c r="E605" s="524">
        <v>2.07E-2</v>
      </c>
      <c r="F605" s="515">
        <f>E605*F597</f>
        <v>2.0493000000000001</v>
      </c>
      <c r="G605" s="514"/>
      <c r="H605" s="514"/>
      <c r="I605" s="514"/>
      <c r="J605" s="514"/>
      <c r="K605" s="514"/>
      <c r="L605" s="514">
        <f t="shared" si="38"/>
        <v>0</v>
      </c>
      <c r="M605" s="514">
        <f t="shared" si="39"/>
        <v>0</v>
      </c>
      <c r="N605" s="548"/>
    </row>
    <row r="606" spans="1:14" s="76" customFormat="1" ht="27" x14ac:dyDescent="0.25">
      <c r="A606" s="1260"/>
      <c r="B606" s="519" t="s">
        <v>521</v>
      </c>
      <c r="C606" s="26" t="s">
        <v>522</v>
      </c>
      <c r="D606" s="498" t="s">
        <v>43</v>
      </c>
      <c r="E606" s="524">
        <v>5.2999999999999998E-4</v>
      </c>
      <c r="F606" s="515">
        <f>E606*F597</f>
        <v>5.2469999999999996E-2</v>
      </c>
      <c r="G606" s="514"/>
      <c r="H606" s="514"/>
      <c r="I606" s="514"/>
      <c r="J606" s="514"/>
      <c r="K606" s="514"/>
      <c r="L606" s="514">
        <f t="shared" si="38"/>
        <v>0</v>
      </c>
      <c r="M606" s="514">
        <f t="shared" si="39"/>
        <v>0</v>
      </c>
      <c r="N606" s="548"/>
    </row>
    <row r="607" spans="1:14" s="76" customFormat="1" ht="15.75" x14ac:dyDescent="0.25">
      <c r="A607" s="1260"/>
      <c r="B607" s="519"/>
      <c r="C607" s="26" t="s">
        <v>523</v>
      </c>
      <c r="D607" s="519" t="s">
        <v>37</v>
      </c>
      <c r="E607" s="524">
        <v>1.53</v>
      </c>
      <c r="F607" s="515">
        <f>E607*F597</f>
        <v>151.47</v>
      </c>
      <c r="G607" s="514"/>
      <c r="H607" s="514">
        <f t="shared" ref="H607:H638" si="40">F607*G607</f>
        <v>0</v>
      </c>
      <c r="I607" s="514"/>
      <c r="J607" s="514"/>
      <c r="K607" s="514"/>
      <c r="L607" s="514"/>
      <c r="M607" s="514">
        <f t="shared" si="39"/>
        <v>0</v>
      </c>
      <c r="N607" s="548"/>
    </row>
    <row r="608" spans="1:14" s="76" customFormat="1" ht="15.75" x14ac:dyDescent="0.25">
      <c r="A608" s="1261"/>
      <c r="B608" s="519"/>
      <c r="C608" s="26" t="s">
        <v>109</v>
      </c>
      <c r="D608" s="519" t="s">
        <v>37</v>
      </c>
      <c r="E608" s="524">
        <v>0.14899999999999999</v>
      </c>
      <c r="F608" s="515">
        <f>E608*F597</f>
        <v>14.750999999999999</v>
      </c>
      <c r="G608" s="514"/>
      <c r="H608" s="514">
        <f t="shared" si="40"/>
        <v>0</v>
      </c>
      <c r="I608" s="514"/>
      <c r="J608" s="514"/>
      <c r="K608" s="514"/>
      <c r="L608" s="514"/>
      <c r="M608" s="514">
        <f t="shared" si="39"/>
        <v>0</v>
      </c>
      <c r="N608" s="548"/>
    </row>
    <row r="609" spans="1:14" s="76" customFormat="1" ht="27" x14ac:dyDescent="0.25">
      <c r="A609" s="1267" t="s">
        <v>94</v>
      </c>
      <c r="B609" s="552" t="s">
        <v>524</v>
      </c>
      <c r="C609" s="553" t="s">
        <v>525</v>
      </c>
      <c r="D609" s="554" t="s">
        <v>526</v>
      </c>
      <c r="E609" s="555"/>
      <c r="F609" s="23">
        <f>F592*0.0006</f>
        <v>0.29699999999999999</v>
      </c>
      <c r="G609" s="81"/>
      <c r="H609" s="514"/>
      <c r="I609" s="556"/>
      <c r="J609" s="514"/>
      <c r="K609" s="81"/>
      <c r="L609" s="514"/>
      <c r="M609" s="514"/>
      <c r="N609" s="548"/>
    </row>
    <row r="610" spans="1:14" s="76" customFormat="1" ht="15.75" x14ac:dyDescent="0.25">
      <c r="A610" s="1268"/>
      <c r="B610" s="557">
        <v>1501</v>
      </c>
      <c r="C610" s="558" t="s">
        <v>527</v>
      </c>
      <c r="D610" s="554" t="s">
        <v>15</v>
      </c>
      <c r="E610" s="555">
        <v>0.3</v>
      </c>
      <c r="F610" s="559">
        <f>F609*E610</f>
        <v>8.9099999999999999E-2</v>
      </c>
      <c r="G610" s="81"/>
      <c r="H610" s="514"/>
      <c r="I610" s="81"/>
      <c r="J610" s="514"/>
      <c r="K610" s="560"/>
      <c r="L610" s="514">
        <f t="shared" si="38"/>
        <v>0</v>
      </c>
      <c r="M610" s="514">
        <f t="shared" si="37"/>
        <v>0</v>
      </c>
      <c r="N610" s="548"/>
    </row>
    <row r="611" spans="1:14" s="76" customFormat="1" ht="15.75" x14ac:dyDescent="0.25">
      <c r="A611" s="1269"/>
      <c r="B611" s="561"/>
      <c r="C611" s="562" t="s">
        <v>528</v>
      </c>
      <c r="D611" s="561" t="s">
        <v>526</v>
      </c>
      <c r="E611" s="563">
        <v>1.03</v>
      </c>
      <c r="F611" s="564">
        <f>F609*E611</f>
        <v>0.30591000000000002</v>
      </c>
      <c r="G611" s="81"/>
      <c r="H611" s="514">
        <f t="shared" si="40"/>
        <v>0</v>
      </c>
      <c r="I611" s="556"/>
      <c r="J611" s="514"/>
      <c r="K611" s="81"/>
      <c r="L611" s="514"/>
      <c r="M611" s="514">
        <f t="shared" si="37"/>
        <v>0</v>
      </c>
      <c r="N611" s="548"/>
    </row>
    <row r="612" spans="1:14" s="76" customFormat="1" ht="31.5" x14ac:dyDescent="0.25">
      <c r="A612" s="1270" t="s">
        <v>87</v>
      </c>
      <c r="B612" s="557" t="s">
        <v>529</v>
      </c>
      <c r="C612" s="565" t="s">
        <v>530</v>
      </c>
      <c r="D612" s="566" t="s">
        <v>531</v>
      </c>
      <c r="E612" s="567"/>
      <c r="F612" s="23">
        <f>F592/100</f>
        <v>4.95</v>
      </c>
      <c r="G612" s="568"/>
      <c r="H612" s="514"/>
      <c r="I612" s="560"/>
      <c r="J612" s="514"/>
      <c r="K612" s="568"/>
      <c r="L612" s="514"/>
      <c r="M612" s="514"/>
      <c r="N612" s="548"/>
    </row>
    <row r="613" spans="1:14" s="76" customFormat="1" ht="15.75" x14ac:dyDescent="0.25">
      <c r="A613" s="1271"/>
      <c r="B613" s="557"/>
      <c r="C613" s="569" t="s">
        <v>13</v>
      </c>
      <c r="D613" s="557" t="s">
        <v>6</v>
      </c>
      <c r="E613" s="567">
        <f>(3.75)</f>
        <v>3.75</v>
      </c>
      <c r="F613" s="570">
        <f>F612*E613</f>
        <v>18.5625</v>
      </c>
      <c r="G613" s="560"/>
      <c r="H613" s="514"/>
      <c r="I613" s="568"/>
      <c r="J613" s="514">
        <f t="shared" si="36"/>
        <v>0</v>
      </c>
      <c r="K613" s="568"/>
      <c r="L613" s="514"/>
      <c r="M613" s="514">
        <f t="shared" si="37"/>
        <v>0</v>
      </c>
      <c r="N613" s="548"/>
    </row>
    <row r="614" spans="1:14" s="76" customFormat="1" ht="15.75" x14ac:dyDescent="0.25">
      <c r="A614" s="1271"/>
      <c r="B614" s="557">
        <v>1564</v>
      </c>
      <c r="C614" s="569" t="s">
        <v>532</v>
      </c>
      <c r="D614" s="557" t="s">
        <v>15</v>
      </c>
      <c r="E614" s="567">
        <v>0.30199999999999999</v>
      </c>
      <c r="F614" s="570">
        <f>F612*E614</f>
        <v>1.4949000000000001</v>
      </c>
      <c r="G614" s="568"/>
      <c r="H614" s="514"/>
      <c r="I614" s="568"/>
      <c r="J614" s="514"/>
      <c r="K614" s="560"/>
      <c r="L614" s="514">
        <f t="shared" si="38"/>
        <v>0</v>
      </c>
      <c r="M614" s="514">
        <f t="shared" si="37"/>
        <v>0</v>
      </c>
      <c r="N614" s="548"/>
    </row>
    <row r="615" spans="1:14" s="76" customFormat="1" ht="15.75" x14ac:dyDescent="0.25">
      <c r="A615" s="1271"/>
      <c r="B615" s="557">
        <v>1521</v>
      </c>
      <c r="C615" s="569" t="s">
        <v>533</v>
      </c>
      <c r="D615" s="557" t="s">
        <v>15</v>
      </c>
      <c r="E615" s="567">
        <v>0.37</v>
      </c>
      <c r="F615" s="570">
        <f>F612*E615</f>
        <v>1.8315000000000001</v>
      </c>
      <c r="G615" s="568"/>
      <c r="H615" s="514"/>
      <c r="I615" s="560"/>
      <c r="J615" s="514"/>
      <c r="K615" s="514"/>
      <c r="L615" s="514">
        <f t="shared" si="38"/>
        <v>0</v>
      </c>
      <c r="M615" s="514">
        <f t="shared" si="37"/>
        <v>0</v>
      </c>
      <c r="N615" s="548"/>
    </row>
    <row r="616" spans="1:14" s="76" customFormat="1" ht="15.75" x14ac:dyDescent="0.25">
      <c r="A616" s="1271"/>
      <c r="B616" s="557">
        <v>1522</v>
      </c>
      <c r="C616" s="569" t="s">
        <v>534</v>
      </c>
      <c r="D616" s="557" t="s">
        <v>15</v>
      </c>
      <c r="E616" s="567">
        <v>1.1100000000000001</v>
      </c>
      <c r="F616" s="570">
        <f>F612*E616</f>
        <v>5.4945000000000004</v>
      </c>
      <c r="G616" s="568"/>
      <c r="H616" s="514"/>
      <c r="I616" s="560"/>
      <c r="J616" s="514"/>
      <c r="K616" s="514"/>
      <c r="L616" s="514">
        <f t="shared" si="38"/>
        <v>0</v>
      </c>
      <c r="M616" s="514">
        <f t="shared" si="37"/>
        <v>0</v>
      </c>
      <c r="N616" s="548"/>
    </row>
    <row r="617" spans="1:14" s="76" customFormat="1" ht="15.75" x14ac:dyDescent="0.25">
      <c r="A617" s="1271"/>
      <c r="B617" s="557"/>
      <c r="C617" s="569" t="s">
        <v>5</v>
      </c>
      <c r="D617" s="557" t="s">
        <v>4</v>
      </c>
      <c r="E617" s="567">
        <v>0.23</v>
      </c>
      <c r="F617" s="570">
        <f>F612*E617</f>
        <v>1.1385000000000001</v>
      </c>
      <c r="G617" s="568"/>
      <c r="H617" s="514"/>
      <c r="I617" s="560"/>
      <c r="J617" s="514"/>
      <c r="K617" s="560"/>
      <c r="L617" s="514">
        <f t="shared" si="38"/>
        <v>0</v>
      </c>
      <c r="M617" s="514">
        <f t="shared" si="37"/>
        <v>0</v>
      </c>
      <c r="N617" s="548"/>
    </row>
    <row r="618" spans="1:14" s="76" customFormat="1" ht="15.75" x14ac:dyDescent="0.25">
      <c r="A618" s="1271"/>
      <c r="B618" s="557"/>
      <c r="C618" s="569" t="s">
        <v>535</v>
      </c>
      <c r="D618" s="557" t="s">
        <v>526</v>
      </c>
      <c r="E618" s="571">
        <f>(97.7+12.2*2)/10</f>
        <v>12.209999999999999</v>
      </c>
      <c r="F618" s="570">
        <f>F612*E618</f>
        <v>60.439499999999995</v>
      </c>
      <c r="G618" s="568"/>
      <c r="H618" s="514">
        <f t="shared" si="40"/>
        <v>0</v>
      </c>
      <c r="I618" s="560"/>
      <c r="J618" s="514"/>
      <c r="K618" s="568"/>
      <c r="L618" s="514"/>
      <c r="M618" s="514">
        <f t="shared" si="37"/>
        <v>0</v>
      </c>
      <c r="N618" s="548"/>
    </row>
    <row r="619" spans="1:14" s="76" customFormat="1" ht="15.75" x14ac:dyDescent="0.25">
      <c r="A619" s="1272"/>
      <c r="B619" s="557"/>
      <c r="C619" s="569" t="s">
        <v>16</v>
      </c>
      <c r="D619" s="557" t="s">
        <v>4</v>
      </c>
      <c r="E619" s="567">
        <f>1.45</f>
        <v>1.45</v>
      </c>
      <c r="F619" s="570">
        <f>F612*E619</f>
        <v>7.1775000000000002</v>
      </c>
      <c r="G619" s="568"/>
      <c r="H619" s="514">
        <f t="shared" si="40"/>
        <v>0</v>
      </c>
      <c r="I619" s="560"/>
      <c r="J619" s="514"/>
      <c r="K619" s="568"/>
      <c r="L619" s="514"/>
      <c r="M619" s="514">
        <f t="shared" si="37"/>
        <v>0</v>
      </c>
      <c r="N619" s="548"/>
    </row>
    <row r="620" spans="1:14" s="76" customFormat="1" ht="40.5" hidden="1" x14ac:dyDescent="0.25">
      <c r="A620" s="1270" t="s">
        <v>536</v>
      </c>
      <c r="B620" s="566" t="s">
        <v>529</v>
      </c>
      <c r="C620" s="565" t="s">
        <v>537</v>
      </c>
      <c r="D620" s="557" t="s">
        <v>531</v>
      </c>
      <c r="E620" s="567"/>
      <c r="F620" s="23">
        <f>0/100</f>
        <v>0</v>
      </c>
      <c r="G620" s="568"/>
      <c r="H620" s="514"/>
      <c r="I620" s="560"/>
      <c r="J620" s="514"/>
      <c r="K620" s="568"/>
      <c r="L620" s="514"/>
      <c r="M620" s="514"/>
      <c r="N620" s="548"/>
    </row>
    <row r="621" spans="1:14" s="76" customFormat="1" ht="15.75" hidden="1" x14ac:dyDescent="0.25">
      <c r="A621" s="1271"/>
      <c r="B621" s="557"/>
      <c r="C621" s="569" t="s">
        <v>13</v>
      </c>
      <c r="D621" s="557" t="s">
        <v>6</v>
      </c>
      <c r="E621" s="567">
        <f>(3.75)</f>
        <v>3.75</v>
      </c>
      <c r="F621" s="570">
        <f>F620*E621</f>
        <v>0</v>
      </c>
      <c r="G621" s="560"/>
      <c r="H621" s="514"/>
      <c r="I621" s="568">
        <v>6</v>
      </c>
      <c r="J621" s="514">
        <f t="shared" ref="J621" si="41">F621*I621</f>
        <v>0</v>
      </c>
      <c r="K621" s="568"/>
      <c r="L621" s="514"/>
      <c r="M621" s="514">
        <f t="shared" ref="M621:M627" si="42">H621+J621+L621</f>
        <v>0</v>
      </c>
      <c r="N621" s="548"/>
    </row>
    <row r="622" spans="1:14" s="76" customFormat="1" ht="15.75" hidden="1" x14ac:dyDescent="0.25">
      <c r="A622" s="1271"/>
      <c r="B622" s="557">
        <v>1564</v>
      </c>
      <c r="C622" s="569" t="s">
        <v>532</v>
      </c>
      <c r="D622" s="557" t="s">
        <v>15</v>
      </c>
      <c r="E622" s="567">
        <v>0.30199999999999999</v>
      </c>
      <c r="F622" s="570">
        <f>F620*E622</f>
        <v>0</v>
      </c>
      <c r="G622" s="568"/>
      <c r="H622" s="514"/>
      <c r="I622" s="568"/>
      <c r="J622" s="514"/>
      <c r="K622" s="560">
        <v>26.41</v>
      </c>
      <c r="L622" s="514">
        <f t="shared" ref="L622:L625" si="43">F622*K622</f>
        <v>0</v>
      </c>
      <c r="M622" s="514">
        <f t="shared" si="42"/>
        <v>0</v>
      </c>
      <c r="N622" s="548"/>
    </row>
    <row r="623" spans="1:14" s="76" customFormat="1" ht="15.75" hidden="1" x14ac:dyDescent="0.25">
      <c r="A623" s="1271"/>
      <c r="B623" s="557">
        <v>1521</v>
      </c>
      <c r="C623" s="569" t="s">
        <v>533</v>
      </c>
      <c r="D623" s="557" t="s">
        <v>15</v>
      </c>
      <c r="E623" s="567">
        <v>0.37</v>
      </c>
      <c r="F623" s="570">
        <f>F620*E623</f>
        <v>0</v>
      </c>
      <c r="G623" s="568"/>
      <c r="H623" s="514"/>
      <c r="I623" s="560"/>
      <c r="J623" s="514"/>
      <c r="K623" s="514">
        <v>21.66</v>
      </c>
      <c r="L623" s="514">
        <f t="shared" si="43"/>
        <v>0</v>
      </c>
      <c r="M623" s="514">
        <f t="shared" si="42"/>
        <v>0</v>
      </c>
      <c r="N623" s="548"/>
    </row>
    <row r="624" spans="1:14" s="76" customFormat="1" ht="15.75" hidden="1" x14ac:dyDescent="0.25">
      <c r="A624" s="1271"/>
      <c r="B624" s="557">
        <v>1522</v>
      </c>
      <c r="C624" s="569" t="s">
        <v>534</v>
      </c>
      <c r="D624" s="557" t="s">
        <v>15</v>
      </c>
      <c r="E624" s="567">
        <v>1.1100000000000001</v>
      </c>
      <c r="F624" s="570">
        <f>F620*E624</f>
        <v>0</v>
      </c>
      <c r="G624" s="568"/>
      <c r="H624" s="514"/>
      <c r="I624" s="560"/>
      <c r="J624" s="514"/>
      <c r="K624" s="514">
        <v>25.86</v>
      </c>
      <c r="L624" s="514">
        <f t="shared" si="43"/>
        <v>0</v>
      </c>
      <c r="M624" s="514">
        <f t="shared" si="42"/>
        <v>0</v>
      </c>
      <c r="N624" s="548"/>
    </row>
    <row r="625" spans="1:14" s="76" customFormat="1" ht="15.75" hidden="1" x14ac:dyDescent="0.25">
      <c r="A625" s="1271"/>
      <c r="B625" s="557"/>
      <c r="C625" s="569" t="s">
        <v>5</v>
      </c>
      <c r="D625" s="557" t="s">
        <v>4</v>
      </c>
      <c r="E625" s="567">
        <v>0.23</v>
      </c>
      <c r="F625" s="570">
        <f>F620*E625</f>
        <v>0</v>
      </c>
      <c r="G625" s="568"/>
      <c r="H625" s="514"/>
      <c r="I625" s="560"/>
      <c r="J625" s="514"/>
      <c r="K625" s="560">
        <v>4</v>
      </c>
      <c r="L625" s="514">
        <f t="shared" si="43"/>
        <v>0</v>
      </c>
      <c r="M625" s="514">
        <f t="shared" si="42"/>
        <v>0</v>
      </c>
      <c r="N625" s="548"/>
    </row>
    <row r="626" spans="1:14" s="76" customFormat="1" ht="15.75" hidden="1" x14ac:dyDescent="0.25">
      <c r="A626" s="1271"/>
      <c r="B626" s="557"/>
      <c r="C626" s="569" t="s">
        <v>538</v>
      </c>
      <c r="D626" s="557" t="s">
        <v>526</v>
      </c>
      <c r="E626" s="567">
        <f>(97.7+12.2*2)/10</f>
        <v>12.209999999999999</v>
      </c>
      <c r="F626" s="570">
        <f>F620*E626</f>
        <v>0</v>
      </c>
      <c r="G626" s="568"/>
      <c r="H626" s="514">
        <f t="shared" ref="H626:H627" si="44">F626*G626</f>
        <v>0</v>
      </c>
      <c r="I626" s="560"/>
      <c r="J626" s="514"/>
      <c r="K626" s="568"/>
      <c r="L626" s="514"/>
      <c r="M626" s="514">
        <f t="shared" si="42"/>
        <v>0</v>
      </c>
      <c r="N626" s="548"/>
    </row>
    <row r="627" spans="1:14" s="76" customFormat="1" ht="15.75" hidden="1" x14ac:dyDescent="0.25">
      <c r="A627" s="1272"/>
      <c r="B627" s="557"/>
      <c r="C627" s="569" t="s">
        <v>16</v>
      </c>
      <c r="D627" s="557" t="s">
        <v>4</v>
      </c>
      <c r="E627" s="567">
        <f>1.45</f>
        <v>1.45</v>
      </c>
      <c r="F627" s="570">
        <f>F620*E627</f>
        <v>0</v>
      </c>
      <c r="G627" s="568"/>
      <c r="H627" s="514">
        <f t="shared" si="44"/>
        <v>0</v>
      </c>
      <c r="I627" s="560"/>
      <c r="J627" s="514"/>
      <c r="K627" s="568"/>
      <c r="L627" s="514"/>
      <c r="M627" s="514">
        <f t="shared" si="42"/>
        <v>0</v>
      </c>
      <c r="N627" s="572"/>
    </row>
    <row r="628" spans="1:14" s="76" customFormat="1" ht="15.75" x14ac:dyDescent="0.25">
      <c r="A628" s="1267" t="s">
        <v>89</v>
      </c>
      <c r="B628" s="554" t="s">
        <v>524</v>
      </c>
      <c r="C628" s="553" t="s">
        <v>525</v>
      </c>
      <c r="D628" s="554" t="s">
        <v>526</v>
      </c>
      <c r="E628" s="555"/>
      <c r="F628" s="23">
        <f>F592*0.0006</f>
        <v>0.29699999999999999</v>
      </c>
      <c r="G628" s="81"/>
      <c r="H628" s="514"/>
      <c r="I628" s="556"/>
      <c r="J628" s="514"/>
      <c r="K628" s="81"/>
      <c r="L628" s="514"/>
      <c r="M628" s="514"/>
      <c r="N628" s="548"/>
    </row>
    <row r="629" spans="1:14" s="76" customFormat="1" ht="15.75" x14ac:dyDescent="0.25">
      <c r="A629" s="1268"/>
      <c r="B629" s="557">
        <v>1501</v>
      </c>
      <c r="C629" s="558" t="s">
        <v>527</v>
      </c>
      <c r="D629" s="554" t="s">
        <v>15</v>
      </c>
      <c r="E629" s="555">
        <v>0.3</v>
      </c>
      <c r="F629" s="559">
        <f>F628*E629</f>
        <v>8.9099999999999999E-2</v>
      </c>
      <c r="G629" s="81"/>
      <c r="H629" s="514"/>
      <c r="I629" s="81"/>
      <c r="J629" s="514"/>
      <c r="K629" s="560"/>
      <c r="L629" s="514">
        <f t="shared" si="38"/>
        <v>0</v>
      </c>
      <c r="M629" s="514">
        <f t="shared" si="37"/>
        <v>0</v>
      </c>
      <c r="N629" s="548"/>
    </row>
    <row r="630" spans="1:14" s="76" customFormat="1" ht="15.75" x14ac:dyDescent="0.25">
      <c r="A630" s="1269"/>
      <c r="B630" s="561"/>
      <c r="C630" s="562" t="s">
        <v>528</v>
      </c>
      <c r="D630" s="561" t="s">
        <v>526</v>
      </c>
      <c r="E630" s="563">
        <v>1.03</v>
      </c>
      <c r="F630" s="564">
        <f>F628*E630</f>
        <v>0.30591000000000002</v>
      </c>
      <c r="G630" s="81"/>
      <c r="H630" s="514">
        <f t="shared" si="40"/>
        <v>0</v>
      </c>
      <c r="I630" s="556"/>
      <c r="J630" s="514"/>
      <c r="K630" s="81"/>
      <c r="L630" s="514"/>
      <c r="M630" s="514">
        <f t="shared" si="37"/>
        <v>0</v>
      </c>
      <c r="N630" s="548"/>
    </row>
    <row r="631" spans="1:14" s="76" customFormat="1" ht="31.5" x14ac:dyDescent="0.25">
      <c r="A631" s="1270" t="s">
        <v>90</v>
      </c>
      <c r="B631" s="557" t="s">
        <v>529</v>
      </c>
      <c r="C631" s="565" t="s">
        <v>539</v>
      </c>
      <c r="D631" s="557" t="s">
        <v>531</v>
      </c>
      <c r="E631" s="567"/>
      <c r="F631" s="23">
        <f>F592/100</f>
        <v>4.95</v>
      </c>
      <c r="G631" s="568"/>
      <c r="H631" s="514"/>
      <c r="I631" s="560"/>
      <c r="J631" s="514"/>
      <c r="K631" s="568"/>
      <c r="L631" s="514"/>
      <c r="M631" s="514"/>
      <c r="N631" s="548"/>
    </row>
    <row r="632" spans="1:14" s="76" customFormat="1" ht="15.75" x14ac:dyDescent="0.25">
      <c r="A632" s="1271"/>
      <c r="B632" s="557"/>
      <c r="C632" s="569" t="s">
        <v>13</v>
      </c>
      <c r="D632" s="557" t="s">
        <v>6</v>
      </c>
      <c r="E632" s="567">
        <f>(3.75)</f>
        <v>3.75</v>
      </c>
      <c r="F632" s="570">
        <f>F631*E632</f>
        <v>18.5625</v>
      </c>
      <c r="G632" s="560"/>
      <c r="H632" s="514"/>
      <c r="I632" s="568"/>
      <c r="J632" s="514">
        <f t="shared" si="36"/>
        <v>0</v>
      </c>
      <c r="K632" s="568"/>
      <c r="L632" s="514"/>
      <c r="M632" s="514">
        <f t="shared" ref="M632:M643" si="45">H632+J632+L632</f>
        <v>0</v>
      </c>
      <c r="N632" s="548"/>
    </row>
    <row r="633" spans="1:14" s="76" customFormat="1" ht="15.75" x14ac:dyDescent="0.25">
      <c r="A633" s="1271"/>
      <c r="B633" s="557">
        <v>1564</v>
      </c>
      <c r="C633" s="569" t="s">
        <v>532</v>
      </c>
      <c r="D633" s="557" t="s">
        <v>15</v>
      </c>
      <c r="E633" s="567">
        <v>0.30199999999999999</v>
      </c>
      <c r="F633" s="570">
        <f>F631*E633</f>
        <v>1.4949000000000001</v>
      </c>
      <c r="G633" s="568"/>
      <c r="H633" s="514"/>
      <c r="I633" s="568"/>
      <c r="J633" s="514"/>
      <c r="K633" s="560"/>
      <c r="L633" s="514">
        <f t="shared" si="38"/>
        <v>0</v>
      </c>
      <c r="M633" s="514">
        <f t="shared" si="45"/>
        <v>0</v>
      </c>
      <c r="N633" s="548"/>
    </row>
    <row r="634" spans="1:14" s="76" customFormat="1" ht="15.75" x14ac:dyDescent="0.25">
      <c r="A634" s="1271"/>
      <c r="B634" s="557">
        <v>1521</v>
      </c>
      <c r="C634" s="569" t="s">
        <v>533</v>
      </c>
      <c r="D634" s="557" t="s">
        <v>15</v>
      </c>
      <c r="E634" s="567">
        <v>0.37</v>
      </c>
      <c r="F634" s="570">
        <f>F631*E634</f>
        <v>1.8315000000000001</v>
      </c>
      <c r="G634" s="568"/>
      <c r="H634" s="514"/>
      <c r="I634" s="560"/>
      <c r="J634" s="514"/>
      <c r="K634" s="514"/>
      <c r="L634" s="514">
        <f t="shared" si="38"/>
        <v>0</v>
      </c>
      <c r="M634" s="514">
        <f t="shared" si="45"/>
        <v>0</v>
      </c>
      <c r="N634" s="548"/>
    </row>
    <row r="635" spans="1:14" s="76" customFormat="1" ht="15.75" x14ac:dyDescent="0.25">
      <c r="A635" s="1271"/>
      <c r="B635" s="557">
        <v>1522</v>
      </c>
      <c r="C635" s="569" t="s">
        <v>534</v>
      </c>
      <c r="D635" s="557" t="s">
        <v>15</v>
      </c>
      <c r="E635" s="567">
        <v>1.1100000000000001</v>
      </c>
      <c r="F635" s="570">
        <f>F631*E635</f>
        <v>5.4945000000000004</v>
      </c>
      <c r="G635" s="568"/>
      <c r="H635" s="514"/>
      <c r="I635" s="560"/>
      <c r="J635" s="514"/>
      <c r="K635" s="514"/>
      <c r="L635" s="514">
        <f t="shared" si="38"/>
        <v>0</v>
      </c>
      <c r="M635" s="514">
        <f t="shared" si="45"/>
        <v>0</v>
      </c>
      <c r="N635" s="548"/>
    </row>
    <row r="636" spans="1:14" s="76" customFormat="1" ht="15.75" x14ac:dyDescent="0.25">
      <c r="A636" s="1271"/>
      <c r="B636" s="557"/>
      <c r="C636" s="569" t="s">
        <v>5</v>
      </c>
      <c r="D636" s="557" t="s">
        <v>4</v>
      </c>
      <c r="E636" s="567">
        <v>0.23</v>
      </c>
      <c r="F636" s="570">
        <f>F631*E636</f>
        <v>1.1385000000000001</v>
      </c>
      <c r="G636" s="568"/>
      <c r="H636" s="514"/>
      <c r="I636" s="560"/>
      <c r="J636" s="514"/>
      <c r="K636" s="560"/>
      <c r="L636" s="514">
        <f t="shared" si="38"/>
        <v>0</v>
      </c>
      <c r="M636" s="514">
        <f t="shared" si="45"/>
        <v>0</v>
      </c>
      <c r="N636" s="548"/>
    </row>
    <row r="637" spans="1:14" s="76" customFormat="1" ht="15.75" x14ac:dyDescent="0.25">
      <c r="A637" s="1271"/>
      <c r="B637" s="557"/>
      <c r="C637" s="569" t="s">
        <v>540</v>
      </c>
      <c r="D637" s="557" t="s">
        <v>526</v>
      </c>
      <c r="E637" s="567">
        <f>(97.7+12.2*0)/10</f>
        <v>9.77</v>
      </c>
      <c r="F637" s="570">
        <f>F631*E637</f>
        <v>48.361499999999999</v>
      </c>
      <c r="G637" s="568"/>
      <c r="H637" s="514">
        <f t="shared" si="40"/>
        <v>0</v>
      </c>
      <c r="I637" s="560"/>
      <c r="J637" s="514"/>
      <c r="K637" s="568"/>
      <c r="L637" s="514"/>
      <c r="M637" s="514">
        <f t="shared" si="45"/>
        <v>0</v>
      </c>
      <c r="N637" s="548"/>
    </row>
    <row r="638" spans="1:14" s="76" customFormat="1" ht="15.75" x14ac:dyDescent="0.25">
      <c r="A638" s="1272"/>
      <c r="B638" s="557"/>
      <c r="C638" s="569" t="s">
        <v>16</v>
      </c>
      <c r="D638" s="557" t="s">
        <v>4</v>
      </c>
      <c r="E638" s="567">
        <f>1.45</f>
        <v>1.45</v>
      </c>
      <c r="F638" s="570">
        <f>F631*E638</f>
        <v>7.1775000000000002</v>
      </c>
      <c r="G638" s="568"/>
      <c r="H638" s="514">
        <f t="shared" si="40"/>
        <v>0</v>
      </c>
      <c r="I638" s="560"/>
      <c r="J638" s="514"/>
      <c r="K638" s="568"/>
      <c r="L638" s="514"/>
      <c r="M638" s="514">
        <f t="shared" si="45"/>
        <v>0</v>
      </c>
      <c r="N638" s="548"/>
    </row>
    <row r="639" spans="1:14" s="76" customFormat="1" ht="31.5" x14ac:dyDescent="0.25">
      <c r="A639" s="1270" t="s">
        <v>82</v>
      </c>
      <c r="B639" s="566" t="s">
        <v>541</v>
      </c>
      <c r="C639" s="565" t="s">
        <v>542</v>
      </c>
      <c r="D639" s="557" t="s">
        <v>41</v>
      </c>
      <c r="E639" s="573"/>
      <c r="F639" s="574">
        <f>20*5</f>
        <v>100</v>
      </c>
      <c r="G639" s="568"/>
      <c r="H639" s="514"/>
      <c r="I639" s="560"/>
      <c r="J639" s="514"/>
      <c r="K639" s="568"/>
      <c r="L639" s="514"/>
      <c r="M639" s="514"/>
      <c r="N639" s="548"/>
    </row>
    <row r="640" spans="1:14" s="76" customFormat="1" ht="15.75" x14ac:dyDescent="0.25">
      <c r="A640" s="1271"/>
      <c r="B640" s="575"/>
      <c r="C640" s="576" t="s">
        <v>494</v>
      </c>
      <c r="D640" s="519" t="s">
        <v>14</v>
      </c>
      <c r="E640" s="20">
        <v>3.2499999999999999E-3</v>
      </c>
      <c r="F640" s="21">
        <f>E640*F639</f>
        <v>0.32500000000000001</v>
      </c>
      <c r="G640" s="32"/>
      <c r="H640" s="32"/>
      <c r="I640" s="32"/>
      <c r="J640" s="32">
        <f t="shared" ref="J640" si="46">F640*I640</f>
        <v>0</v>
      </c>
      <c r="K640" s="32"/>
      <c r="L640" s="32"/>
      <c r="M640" s="32">
        <f t="shared" si="45"/>
        <v>0</v>
      </c>
      <c r="N640" s="548"/>
    </row>
    <row r="641" spans="1:14" s="76" customFormat="1" ht="27" x14ac:dyDescent="0.25">
      <c r="A641" s="1271"/>
      <c r="B641" s="566" t="s">
        <v>543</v>
      </c>
      <c r="C641" s="13" t="s">
        <v>544</v>
      </c>
      <c r="D641" s="519" t="s">
        <v>43</v>
      </c>
      <c r="E641" s="20">
        <v>8.8000000000000003E-4</v>
      </c>
      <c r="F641" s="21">
        <f>E641*F639</f>
        <v>8.8000000000000009E-2</v>
      </c>
      <c r="G641" s="32"/>
      <c r="H641" s="32"/>
      <c r="I641" s="32"/>
      <c r="J641" s="32"/>
      <c r="K641" s="32"/>
      <c r="L641" s="32">
        <f t="shared" ref="L641:L642" si="47">F641*K641</f>
        <v>0</v>
      </c>
      <c r="M641" s="32">
        <f t="shared" si="45"/>
        <v>0</v>
      </c>
      <c r="N641" s="548"/>
    </row>
    <row r="642" spans="1:14" s="76" customFormat="1" ht="15.75" x14ac:dyDescent="0.25">
      <c r="A642" s="1271"/>
      <c r="B642" s="575"/>
      <c r="C642" s="577" t="s">
        <v>5</v>
      </c>
      <c r="D642" s="557" t="s">
        <v>4</v>
      </c>
      <c r="E642" s="573">
        <v>3.5200000000000001E-3</v>
      </c>
      <c r="F642" s="578">
        <f>F639*E642</f>
        <v>0.35200000000000004</v>
      </c>
      <c r="G642" s="568"/>
      <c r="H642" s="514"/>
      <c r="I642" s="560"/>
      <c r="J642" s="514"/>
      <c r="K642" s="568"/>
      <c r="L642" s="32">
        <f t="shared" si="47"/>
        <v>0</v>
      </c>
      <c r="M642" s="32">
        <f t="shared" si="45"/>
        <v>0</v>
      </c>
      <c r="N642" s="548"/>
    </row>
    <row r="643" spans="1:14" s="76" customFormat="1" ht="15.75" x14ac:dyDescent="0.25">
      <c r="A643" s="1272"/>
      <c r="B643" s="575"/>
      <c r="C643" s="577" t="s">
        <v>545</v>
      </c>
      <c r="D643" s="557" t="s">
        <v>2</v>
      </c>
      <c r="E643" s="573">
        <v>4.2000000000000003E-2</v>
      </c>
      <c r="F643" s="578">
        <f>F639*E643</f>
        <v>4.2</v>
      </c>
      <c r="G643" s="568"/>
      <c r="H643" s="514">
        <f>F643*G643</f>
        <v>0</v>
      </c>
      <c r="I643" s="514"/>
      <c r="J643" s="514"/>
      <c r="K643" s="81"/>
      <c r="L643" s="514"/>
      <c r="M643" s="32">
        <f t="shared" si="45"/>
        <v>0</v>
      </c>
      <c r="N643" s="572">
        <f>SUM(M592:M643)</f>
        <v>0</v>
      </c>
    </row>
    <row r="644" spans="1:14" s="76" customFormat="1" ht="15.75" x14ac:dyDescent="0.3">
      <c r="A644" s="1116"/>
      <c r="B644" s="220"/>
      <c r="C644" s="42"/>
      <c r="D644" s="297"/>
      <c r="E644" s="515"/>
      <c r="F644" s="21"/>
      <c r="G644" s="8"/>
      <c r="H644" s="8"/>
      <c r="I644" s="8"/>
      <c r="J644" s="8"/>
      <c r="K644" s="8"/>
      <c r="L644" s="223"/>
      <c r="M644" s="223"/>
      <c r="N644" s="240"/>
    </row>
    <row r="645" spans="1:14" s="73" customFormat="1" ht="16.5" x14ac:dyDescent="0.3">
      <c r="A645" s="369"/>
      <c r="B645" s="85"/>
      <c r="C645" s="150" t="s">
        <v>152</v>
      </c>
      <c r="D645" s="85" t="s">
        <v>47</v>
      </c>
      <c r="E645" s="53"/>
      <c r="F645" s="53">
        <v>1020</v>
      </c>
      <c r="G645" s="383"/>
      <c r="H645" s="383"/>
      <c r="I645" s="383"/>
      <c r="J645" s="383"/>
      <c r="K645" s="383"/>
      <c r="L645" s="383"/>
      <c r="M645" s="383"/>
      <c r="N645" s="241"/>
    </row>
    <row r="646" spans="1:14" s="73" customFormat="1" ht="31.5" x14ac:dyDescent="0.3">
      <c r="A646" s="1111" t="s">
        <v>93</v>
      </c>
      <c r="B646" s="224"/>
      <c r="C646" s="30" t="s">
        <v>139</v>
      </c>
      <c r="D646" s="129"/>
      <c r="E646" s="382"/>
      <c r="F646" s="382"/>
      <c r="G646" s="383"/>
      <c r="H646" s="383"/>
      <c r="I646" s="383"/>
      <c r="J646" s="383"/>
      <c r="K646" s="383"/>
      <c r="L646" s="383"/>
      <c r="M646" s="383"/>
      <c r="N646" s="241"/>
    </row>
    <row r="647" spans="1:14" s="73" customFormat="1" ht="27" x14ac:dyDescent="0.3">
      <c r="A647" s="1276" t="s">
        <v>72</v>
      </c>
      <c r="B647" s="365" t="s">
        <v>91</v>
      </c>
      <c r="C647" s="130" t="s">
        <v>268</v>
      </c>
      <c r="D647" s="131" t="s">
        <v>38</v>
      </c>
      <c r="E647" s="132"/>
      <c r="F647" s="10">
        <f>F650*1.95</f>
        <v>99.45</v>
      </c>
      <c r="G647" s="94"/>
      <c r="H647" s="387"/>
      <c r="I647" s="387"/>
      <c r="J647" s="387"/>
      <c r="K647" s="95"/>
      <c r="L647" s="387"/>
      <c r="M647" s="387"/>
      <c r="N647" s="241"/>
    </row>
    <row r="648" spans="1:14" s="73" customFormat="1" ht="16.5" x14ac:dyDescent="0.3">
      <c r="A648" s="1277"/>
      <c r="B648" s="224"/>
      <c r="C648" s="133" t="s">
        <v>13</v>
      </c>
      <c r="D648" s="14" t="s">
        <v>14</v>
      </c>
      <c r="E648" s="386">
        <f>0.53</f>
        <v>0.53</v>
      </c>
      <c r="F648" s="433">
        <f>E648*F647</f>
        <v>52.708500000000001</v>
      </c>
      <c r="G648" s="387"/>
      <c r="H648" s="387"/>
      <c r="I648" s="387"/>
      <c r="J648" s="387">
        <f>F648*I648</f>
        <v>0</v>
      </c>
      <c r="K648" s="387"/>
      <c r="L648" s="387"/>
      <c r="M648" s="387">
        <f>H648+J648+L648</f>
        <v>0</v>
      </c>
      <c r="N648" s="241"/>
    </row>
    <row r="649" spans="1:14" s="73" customFormat="1" ht="31.5" x14ac:dyDescent="0.3">
      <c r="A649" s="1113" t="s">
        <v>94</v>
      </c>
      <c r="B649" s="136" t="s">
        <v>140</v>
      </c>
      <c r="C649" s="135" t="s">
        <v>820</v>
      </c>
      <c r="D649" s="136" t="s">
        <v>38</v>
      </c>
      <c r="E649" s="137"/>
      <c r="F649" s="214">
        <f>F645*0.05*1.65</f>
        <v>84.149999999999991</v>
      </c>
      <c r="G649" s="17"/>
      <c r="H649" s="383">
        <f>F649*G649</f>
        <v>0</v>
      </c>
      <c r="I649" s="383"/>
      <c r="J649" s="383"/>
      <c r="K649" s="18"/>
      <c r="L649" s="383">
        <f>F649*K649</f>
        <v>0</v>
      </c>
      <c r="M649" s="383">
        <f>H649+J649+L649</f>
        <v>0</v>
      </c>
      <c r="N649" s="241"/>
    </row>
    <row r="650" spans="1:14" s="73" customFormat="1" ht="31.5" x14ac:dyDescent="0.3">
      <c r="A650" s="1276" t="s">
        <v>87</v>
      </c>
      <c r="B650" s="136" t="s">
        <v>63</v>
      </c>
      <c r="C650" s="138" t="s">
        <v>141</v>
      </c>
      <c r="D650" s="136" t="s">
        <v>37</v>
      </c>
      <c r="E650" s="137"/>
      <c r="F650" s="23">
        <f>F645*0.05</f>
        <v>51</v>
      </c>
      <c r="G650" s="17"/>
      <c r="H650" s="383"/>
      <c r="I650" s="383"/>
      <c r="J650" s="383"/>
      <c r="K650" s="18"/>
      <c r="L650" s="383"/>
      <c r="M650" s="383"/>
      <c r="N650" s="241"/>
    </row>
    <row r="651" spans="1:14" s="73" customFormat="1" ht="16.5" x14ac:dyDescent="0.3">
      <c r="A651" s="1277"/>
      <c r="B651" s="136"/>
      <c r="C651" s="139" t="s">
        <v>33</v>
      </c>
      <c r="D651" s="134" t="s">
        <v>34</v>
      </c>
      <c r="E651" s="137">
        <v>1.21</v>
      </c>
      <c r="F651" s="137">
        <f>F650*E651</f>
        <v>61.71</v>
      </c>
      <c r="G651" s="17"/>
      <c r="H651" s="383"/>
      <c r="I651" s="17"/>
      <c r="J651" s="383">
        <f>F651*I651</f>
        <v>0</v>
      </c>
      <c r="K651" s="18"/>
      <c r="L651" s="383"/>
      <c r="M651" s="383">
        <f>H651+J651+L651</f>
        <v>0</v>
      </c>
      <c r="N651" s="241"/>
    </row>
    <row r="652" spans="1:14" s="73" customFormat="1" ht="16.5" x14ac:dyDescent="0.3">
      <c r="A652" s="1278" t="s">
        <v>89</v>
      </c>
      <c r="B652" s="108" t="s">
        <v>153</v>
      </c>
      <c r="C652" s="107" t="s">
        <v>154</v>
      </c>
      <c r="D652" s="108" t="s">
        <v>27</v>
      </c>
      <c r="E652" s="51"/>
      <c r="F652" s="51">
        <f>F645</f>
        <v>1020</v>
      </c>
      <c r="G652" s="383"/>
      <c r="H652" s="383"/>
      <c r="I652" s="383"/>
      <c r="J652" s="383"/>
      <c r="K652" s="383"/>
      <c r="L652" s="383"/>
      <c r="M652" s="383"/>
      <c r="N652" s="241"/>
    </row>
    <row r="653" spans="1:14" s="73" customFormat="1" ht="16.5" x14ac:dyDescent="0.3">
      <c r="A653" s="1279"/>
      <c r="B653" s="108"/>
      <c r="C653" s="105" t="s">
        <v>36</v>
      </c>
      <c r="D653" s="14" t="s">
        <v>6</v>
      </c>
      <c r="E653" s="103">
        <f>38.3*0.01</f>
        <v>0.38300000000000001</v>
      </c>
      <c r="F653" s="103">
        <f>F652*E653</f>
        <v>390.66</v>
      </c>
      <c r="G653" s="383"/>
      <c r="H653" s="383"/>
      <c r="I653" s="383"/>
      <c r="J653" s="383">
        <f>F653*I653</f>
        <v>0</v>
      </c>
      <c r="K653" s="383"/>
      <c r="L653" s="383"/>
      <c r="M653" s="383">
        <f>H653+J653+L653</f>
        <v>0</v>
      </c>
      <c r="N653" s="241"/>
    </row>
    <row r="654" spans="1:14" s="73" customFormat="1" ht="27" x14ac:dyDescent="0.3">
      <c r="A654" s="1280"/>
      <c r="B654" s="108" t="s">
        <v>18</v>
      </c>
      <c r="C654" s="105" t="s">
        <v>155</v>
      </c>
      <c r="D654" s="104" t="s">
        <v>81</v>
      </c>
      <c r="E654" s="103">
        <f>2*0.01</f>
        <v>0.02</v>
      </c>
      <c r="F654" s="103">
        <f>E654*F652</f>
        <v>20.400000000000002</v>
      </c>
      <c r="G654" s="383"/>
      <c r="H654" s="383">
        <f>F654*G654</f>
        <v>0</v>
      </c>
      <c r="I654" s="383"/>
      <c r="J654" s="383"/>
      <c r="K654" s="383"/>
      <c r="L654" s="383"/>
      <c r="M654" s="383">
        <f>H654+J654+L654</f>
        <v>0</v>
      </c>
      <c r="N654" s="241"/>
    </row>
    <row r="655" spans="1:14" s="73" customFormat="1" ht="31.5" x14ac:dyDescent="0.3">
      <c r="A655" s="1106" t="s">
        <v>90</v>
      </c>
      <c r="B655" s="224"/>
      <c r="C655" s="150" t="s">
        <v>156</v>
      </c>
      <c r="D655" s="9"/>
      <c r="E655" s="23"/>
      <c r="F655" s="23"/>
      <c r="G655" s="832"/>
      <c r="H655" s="383"/>
      <c r="I655" s="383"/>
      <c r="J655" s="383"/>
      <c r="K655" s="383"/>
      <c r="L655" s="383"/>
      <c r="M655" s="383"/>
      <c r="N655" s="241"/>
    </row>
    <row r="656" spans="1:14" s="73" customFormat="1" ht="16.5" x14ac:dyDescent="0.3">
      <c r="A656" s="1106"/>
      <c r="B656" s="87"/>
      <c r="C656" s="876" t="s">
        <v>158</v>
      </c>
      <c r="D656" s="877" t="s">
        <v>52</v>
      </c>
      <c r="E656" s="878"/>
      <c r="F656" s="655">
        <v>5</v>
      </c>
      <c r="G656" s="879"/>
      <c r="H656" s="880"/>
      <c r="I656" s="880"/>
      <c r="J656" s="880"/>
      <c r="K656" s="880"/>
      <c r="L656" s="880"/>
      <c r="M656" s="881"/>
      <c r="N656" s="241"/>
    </row>
    <row r="657" spans="1:14" s="73" customFormat="1" ht="16.5" hidden="1" x14ac:dyDescent="0.3">
      <c r="A657" s="1106"/>
      <c r="B657" s="87"/>
      <c r="C657" s="876" t="s">
        <v>157</v>
      </c>
      <c r="D657" s="877" t="s">
        <v>52</v>
      </c>
      <c r="E657" s="878"/>
      <c r="F657" s="655"/>
      <c r="G657" s="882"/>
      <c r="H657" s="883"/>
      <c r="I657" s="883"/>
      <c r="J657" s="883"/>
      <c r="K657" s="883"/>
      <c r="L657" s="883"/>
      <c r="M657" s="884"/>
      <c r="N657" s="241"/>
    </row>
    <row r="658" spans="1:14" s="73" customFormat="1" ht="16.5" hidden="1" x14ac:dyDescent="0.3">
      <c r="A658" s="1106"/>
      <c r="B658" s="87"/>
      <c r="C658" s="876" t="s">
        <v>159</v>
      </c>
      <c r="D658" s="877" t="s">
        <v>52</v>
      </c>
      <c r="E658" s="878"/>
      <c r="F658" s="655"/>
      <c r="G658" s="882"/>
      <c r="H658" s="883"/>
      <c r="I658" s="883"/>
      <c r="J658" s="883"/>
      <c r="K658" s="883"/>
      <c r="L658" s="883"/>
      <c r="M658" s="884"/>
      <c r="N658" s="241"/>
    </row>
    <row r="659" spans="1:14" s="73" customFormat="1" ht="16.5" hidden="1" x14ac:dyDescent="0.3">
      <c r="A659" s="1106"/>
      <c r="B659" s="87"/>
      <c r="C659" s="876" t="s">
        <v>314</v>
      </c>
      <c r="D659" s="877" t="s">
        <v>52</v>
      </c>
      <c r="E659" s="878"/>
      <c r="F659" s="655"/>
      <c r="G659" s="882"/>
      <c r="H659" s="883"/>
      <c r="I659" s="883"/>
      <c r="J659" s="883"/>
      <c r="K659" s="883"/>
      <c r="L659" s="883"/>
      <c r="M659" s="884"/>
      <c r="N659" s="241"/>
    </row>
    <row r="660" spans="1:14" s="73" customFormat="1" ht="16.5" hidden="1" x14ac:dyDescent="0.3">
      <c r="A660" s="1106"/>
      <c r="B660" s="87"/>
      <c r="C660" s="876" t="s">
        <v>435</v>
      </c>
      <c r="D660" s="877" t="s">
        <v>52</v>
      </c>
      <c r="E660" s="878"/>
      <c r="F660" s="655"/>
      <c r="G660" s="882"/>
      <c r="H660" s="883"/>
      <c r="I660" s="883"/>
      <c r="J660" s="883"/>
      <c r="K660" s="883"/>
      <c r="L660" s="883"/>
      <c r="M660" s="884"/>
      <c r="N660" s="241"/>
    </row>
    <row r="661" spans="1:14" s="73" customFormat="1" ht="16.5" x14ac:dyDescent="0.3">
      <c r="A661" s="1106"/>
      <c r="B661" s="87"/>
      <c r="C661" s="876" t="s">
        <v>440</v>
      </c>
      <c r="D661" s="877" t="s">
        <v>52</v>
      </c>
      <c r="E661" s="878"/>
      <c r="F661" s="655">
        <v>59</v>
      </c>
      <c r="G661" s="882"/>
      <c r="H661" s="883"/>
      <c r="I661" s="883"/>
      <c r="J661" s="883"/>
      <c r="K661" s="883"/>
      <c r="L661" s="883"/>
      <c r="M661" s="884"/>
      <c r="N661" s="241"/>
    </row>
    <row r="662" spans="1:14" s="73" customFormat="1" ht="16.5" x14ac:dyDescent="0.3">
      <c r="A662" s="1106"/>
      <c r="B662" s="87"/>
      <c r="C662" s="876" t="s">
        <v>441</v>
      </c>
      <c r="D662" s="877" t="s">
        <v>52</v>
      </c>
      <c r="E662" s="878"/>
      <c r="F662" s="655">
        <v>18</v>
      </c>
      <c r="G662" s="882"/>
      <c r="H662" s="883"/>
      <c r="I662" s="883"/>
      <c r="J662" s="883"/>
      <c r="K662" s="883"/>
      <c r="L662" s="883"/>
      <c r="M662" s="884"/>
      <c r="N662" s="241"/>
    </row>
    <row r="663" spans="1:14" s="73" customFormat="1" ht="30.75" x14ac:dyDescent="0.3">
      <c r="A663" s="1106"/>
      <c r="B663" s="87"/>
      <c r="C663" s="876" t="s">
        <v>442</v>
      </c>
      <c r="D663" s="877" t="s">
        <v>52</v>
      </c>
      <c r="E663" s="878"/>
      <c r="F663" s="655">
        <v>82</v>
      </c>
      <c r="G663" s="882"/>
      <c r="H663" s="883"/>
      <c r="I663" s="883"/>
      <c r="J663" s="883"/>
      <c r="K663" s="883"/>
      <c r="L663" s="883"/>
      <c r="M663" s="884"/>
      <c r="N663" s="241"/>
    </row>
    <row r="664" spans="1:14" s="73" customFormat="1" ht="16.5" hidden="1" x14ac:dyDescent="0.3">
      <c r="A664" s="1106"/>
      <c r="B664" s="87"/>
      <c r="C664" s="876" t="s">
        <v>443</v>
      </c>
      <c r="D664" s="877" t="s">
        <v>52</v>
      </c>
      <c r="E664" s="878"/>
      <c r="F664" s="655"/>
      <c r="G664" s="882"/>
      <c r="H664" s="883"/>
      <c r="I664" s="883"/>
      <c r="J664" s="883"/>
      <c r="K664" s="883"/>
      <c r="L664" s="883"/>
      <c r="M664" s="884"/>
      <c r="N664" s="241"/>
    </row>
    <row r="665" spans="1:14" s="73" customFormat="1" ht="16.5" hidden="1" x14ac:dyDescent="0.3">
      <c r="A665" s="1106"/>
      <c r="B665" s="87"/>
      <c r="C665" s="876" t="s">
        <v>161</v>
      </c>
      <c r="D665" s="877" t="s">
        <v>52</v>
      </c>
      <c r="E665" s="878"/>
      <c r="F665" s="655"/>
      <c r="G665" s="882"/>
      <c r="H665" s="883"/>
      <c r="I665" s="883"/>
      <c r="J665" s="883"/>
      <c r="K665" s="883"/>
      <c r="L665" s="883"/>
      <c r="M665" s="884"/>
      <c r="N665" s="241"/>
    </row>
    <row r="666" spans="1:14" s="73" customFormat="1" ht="16.5" hidden="1" x14ac:dyDescent="0.3">
      <c r="A666" s="1106"/>
      <c r="B666" s="87"/>
      <c r="C666" s="876" t="s">
        <v>162</v>
      </c>
      <c r="D666" s="877" t="s">
        <v>52</v>
      </c>
      <c r="E666" s="878"/>
      <c r="F666" s="655"/>
      <c r="G666" s="882"/>
      <c r="H666" s="883"/>
      <c r="I666" s="883"/>
      <c r="J666" s="883"/>
      <c r="K666" s="883"/>
      <c r="L666" s="883"/>
      <c r="M666" s="884"/>
      <c r="N666" s="241"/>
    </row>
    <row r="667" spans="1:14" s="73" customFormat="1" ht="16.5" hidden="1" x14ac:dyDescent="0.3">
      <c r="A667" s="1107"/>
      <c r="B667" s="87"/>
      <c r="C667" s="876"/>
      <c r="D667" s="877" t="s">
        <v>52</v>
      </c>
      <c r="E667" s="878"/>
      <c r="F667" s="655"/>
      <c r="G667" s="882"/>
      <c r="H667" s="883"/>
      <c r="I667" s="883"/>
      <c r="J667" s="883"/>
      <c r="K667" s="883"/>
      <c r="L667" s="883"/>
      <c r="M667" s="884"/>
      <c r="N667" s="241"/>
    </row>
    <row r="668" spans="1:14" s="73" customFormat="1" ht="31.5" hidden="1" x14ac:dyDescent="0.3">
      <c r="A668" s="1107"/>
      <c r="B668" s="87"/>
      <c r="C668" s="876" t="s">
        <v>436</v>
      </c>
      <c r="D668" s="877" t="s">
        <v>52</v>
      </c>
      <c r="E668" s="878"/>
      <c r="F668" s="655"/>
      <c r="G668" s="882"/>
      <c r="H668" s="883"/>
      <c r="I668" s="883"/>
      <c r="J668" s="883"/>
      <c r="K668" s="883"/>
      <c r="L668" s="883"/>
      <c r="M668" s="884"/>
      <c r="N668" s="241"/>
    </row>
    <row r="669" spans="1:14" s="73" customFormat="1" ht="16.5" x14ac:dyDescent="0.3">
      <c r="A669" s="1107"/>
      <c r="B669" s="87"/>
      <c r="C669" s="876" t="s">
        <v>439</v>
      </c>
      <c r="D669" s="877" t="s">
        <v>52</v>
      </c>
      <c r="E669" s="878"/>
      <c r="F669" s="655">
        <v>6</v>
      </c>
      <c r="G669" s="882"/>
      <c r="H669" s="883"/>
      <c r="I669" s="883"/>
      <c r="J669" s="883"/>
      <c r="K669" s="883"/>
      <c r="L669" s="883"/>
      <c r="M669" s="884"/>
      <c r="N669" s="241"/>
    </row>
    <row r="670" spans="1:14" s="73" customFormat="1" ht="16.5" hidden="1" x14ac:dyDescent="0.3">
      <c r="A670" s="1107"/>
      <c r="B670" s="87"/>
      <c r="C670" s="876" t="s">
        <v>163</v>
      </c>
      <c r="D670" s="877" t="s">
        <v>52</v>
      </c>
      <c r="E670" s="878"/>
      <c r="F670" s="655"/>
      <c r="G670" s="882"/>
      <c r="H670" s="883"/>
      <c r="I670" s="883"/>
      <c r="J670" s="883"/>
      <c r="K670" s="883"/>
      <c r="L670" s="883"/>
      <c r="M670" s="884"/>
      <c r="N670" s="241"/>
    </row>
    <row r="671" spans="1:14" s="73" customFormat="1" ht="47.25" hidden="1" x14ac:dyDescent="0.3">
      <c r="A671" s="1107"/>
      <c r="B671" s="87"/>
      <c r="C671" s="876" t="s">
        <v>437</v>
      </c>
      <c r="D671" s="877" t="s">
        <v>52</v>
      </c>
      <c r="E671" s="878"/>
      <c r="F671" s="655"/>
      <c r="G671" s="882"/>
      <c r="H671" s="883"/>
      <c r="I671" s="883"/>
      <c r="J671" s="883"/>
      <c r="K671" s="883"/>
      <c r="L671" s="883"/>
      <c r="M671" s="884"/>
      <c r="N671" s="241"/>
    </row>
    <row r="672" spans="1:14" s="73" customFormat="1" ht="16.5" hidden="1" x14ac:dyDescent="0.3">
      <c r="A672" s="1107"/>
      <c r="B672" s="87"/>
      <c r="C672" s="876" t="s">
        <v>164</v>
      </c>
      <c r="D672" s="877" t="s">
        <v>52</v>
      </c>
      <c r="E672" s="878"/>
      <c r="F672" s="655"/>
      <c r="G672" s="882"/>
      <c r="H672" s="883"/>
      <c r="I672" s="883"/>
      <c r="J672" s="883"/>
      <c r="K672" s="883"/>
      <c r="L672" s="883"/>
      <c r="M672" s="884"/>
      <c r="N672" s="241"/>
    </row>
    <row r="673" spans="1:14" s="73" customFormat="1" ht="16.5" hidden="1" x14ac:dyDescent="0.3">
      <c r="A673" s="1107"/>
      <c r="B673" s="87"/>
      <c r="C673" s="876" t="s">
        <v>165</v>
      </c>
      <c r="D673" s="877" t="s">
        <v>52</v>
      </c>
      <c r="E673" s="878"/>
      <c r="F673" s="655"/>
      <c r="G673" s="882"/>
      <c r="H673" s="883"/>
      <c r="I673" s="883"/>
      <c r="J673" s="883"/>
      <c r="K673" s="883"/>
      <c r="L673" s="883"/>
      <c r="M673" s="884"/>
      <c r="N673" s="241"/>
    </row>
    <row r="674" spans="1:14" s="73" customFormat="1" ht="16.5" hidden="1" x14ac:dyDescent="0.3">
      <c r="A674" s="1107"/>
      <c r="B674" s="87"/>
      <c r="C674" s="876" t="s">
        <v>166</v>
      </c>
      <c r="D674" s="877" t="s">
        <v>52</v>
      </c>
      <c r="E674" s="878"/>
      <c r="F674" s="655"/>
      <c r="G674" s="882"/>
      <c r="H674" s="883"/>
      <c r="I674" s="883"/>
      <c r="J674" s="883"/>
      <c r="K674" s="883"/>
      <c r="L674" s="883"/>
      <c r="M674" s="884"/>
      <c r="N674" s="241"/>
    </row>
    <row r="675" spans="1:14" s="73" customFormat="1" ht="16.5" hidden="1" x14ac:dyDescent="0.3">
      <c r="A675" s="1107"/>
      <c r="B675" s="87"/>
      <c r="C675" s="876" t="s">
        <v>167</v>
      </c>
      <c r="D675" s="877" t="s">
        <v>52</v>
      </c>
      <c r="E675" s="878"/>
      <c r="F675" s="655"/>
      <c r="G675" s="882"/>
      <c r="H675" s="883"/>
      <c r="I675" s="883"/>
      <c r="J675" s="883"/>
      <c r="K675" s="883"/>
      <c r="L675" s="883"/>
      <c r="M675" s="884"/>
      <c r="N675" s="241"/>
    </row>
    <row r="676" spans="1:14" s="73" customFormat="1" ht="16.5" hidden="1" x14ac:dyDescent="0.3">
      <c r="A676" s="1107"/>
      <c r="B676" s="87"/>
      <c r="C676" s="876" t="s">
        <v>168</v>
      </c>
      <c r="D676" s="877" t="s">
        <v>52</v>
      </c>
      <c r="E676" s="878"/>
      <c r="F676" s="655"/>
      <c r="G676" s="882"/>
      <c r="H676" s="883"/>
      <c r="I676" s="883"/>
      <c r="J676" s="883"/>
      <c r="K676" s="883"/>
      <c r="L676" s="883"/>
      <c r="M676" s="884"/>
      <c r="N676" s="241"/>
    </row>
    <row r="677" spans="1:14" s="73" customFormat="1" ht="16.5" hidden="1" x14ac:dyDescent="0.3">
      <c r="A677" s="1107"/>
      <c r="B677" s="87"/>
      <c r="C677" s="876" t="s">
        <v>169</v>
      </c>
      <c r="D677" s="877" t="s">
        <v>52</v>
      </c>
      <c r="E677" s="878"/>
      <c r="F677" s="655"/>
      <c r="G677" s="882"/>
      <c r="H677" s="883"/>
      <c r="I677" s="883"/>
      <c r="J677" s="883"/>
      <c r="K677" s="883"/>
      <c r="L677" s="883"/>
      <c r="M677" s="884"/>
      <c r="N677" s="241"/>
    </row>
    <row r="678" spans="1:14" s="73" customFormat="1" ht="31.5" hidden="1" x14ac:dyDescent="0.3">
      <c r="A678" s="1107"/>
      <c r="B678" s="87"/>
      <c r="C678" s="876" t="s">
        <v>438</v>
      </c>
      <c r="D678" s="877" t="s">
        <v>52</v>
      </c>
      <c r="E678" s="878"/>
      <c r="F678" s="655"/>
      <c r="G678" s="882"/>
      <c r="H678" s="883"/>
      <c r="I678" s="883"/>
      <c r="J678" s="883"/>
      <c r="K678" s="883"/>
      <c r="L678" s="883"/>
      <c r="M678" s="884"/>
      <c r="N678" s="241"/>
    </row>
    <row r="679" spans="1:14" s="73" customFormat="1" ht="16.5" hidden="1" x14ac:dyDescent="0.3">
      <c r="A679" s="1107"/>
      <c r="B679" s="87"/>
      <c r="C679" s="876" t="s">
        <v>170</v>
      </c>
      <c r="D679" s="877" t="s">
        <v>52</v>
      </c>
      <c r="E679" s="878"/>
      <c r="F679" s="655"/>
      <c r="G679" s="882"/>
      <c r="H679" s="883"/>
      <c r="I679" s="883"/>
      <c r="J679" s="883"/>
      <c r="K679" s="883"/>
      <c r="L679" s="883"/>
      <c r="M679" s="884"/>
      <c r="N679" s="241"/>
    </row>
    <row r="680" spans="1:14" s="73" customFormat="1" ht="16.5" hidden="1" x14ac:dyDescent="0.3">
      <c r="A680" s="1107"/>
      <c r="B680" s="87"/>
      <c r="C680" s="876" t="s">
        <v>171</v>
      </c>
      <c r="D680" s="877" t="s">
        <v>52</v>
      </c>
      <c r="E680" s="878"/>
      <c r="F680" s="655"/>
      <c r="G680" s="882"/>
      <c r="H680" s="883"/>
      <c r="I680" s="883"/>
      <c r="J680" s="883"/>
      <c r="K680" s="883"/>
      <c r="L680" s="883"/>
      <c r="M680" s="884"/>
      <c r="N680" s="241"/>
    </row>
    <row r="681" spans="1:14" s="73" customFormat="1" ht="16.5" hidden="1" x14ac:dyDescent="0.3">
      <c r="A681" s="1107"/>
      <c r="B681" s="87"/>
      <c r="C681" s="876" t="s">
        <v>172</v>
      </c>
      <c r="D681" s="877" t="s">
        <v>52</v>
      </c>
      <c r="E681" s="878"/>
      <c r="F681" s="655"/>
      <c r="G681" s="882"/>
      <c r="H681" s="883"/>
      <c r="I681" s="883"/>
      <c r="J681" s="883"/>
      <c r="K681" s="883"/>
      <c r="L681" s="883"/>
      <c r="M681" s="884"/>
      <c r="N681" s="241"/>
    </row>
    <row r="682" spans="1:14" s="73" customFormat="1" ht="16.5" x14ac:dyDescent="0.3">
      <c r="A682" s="1107"/>
      <c r="B682" s="87"/>
      <c r="C682" s="876" t="s">
        <v>480</v>
      </c>
      <c r="D682" s="877" t="s">
        <v>52</v>
      </c>
      <c r="E682" s="878"/>
      <c r="F682" s="655">
        <v>2</v>
      </c>
      <c r="G682" s="882"/>
      <c r="H682" s="883"/>
      <c r="I682" s="883"/>
      <c r="J682" s="883"/>
      <c r="K682" s="883"/>
      <c r="L682" s="883"/>
      <c r="M682" s="884"/>
      <c r="N682" s="241"/>
    </row>
    <row r="683" spans="1:14" s="73" customFormat="1" ht="16.5" x14ac:dyDescent="0.3">
      <c r="A683" s="1107"/>
      <c r="B683" s="87"/>
      <c r="C683" s="876" t="s">
        <v>183</v>
      </c>
      <c r="D683" s="877" t="s">
        <v>52</v>
      </c>
      <c r="E683" s="878"/>
      <c r="F683" s="655">
        <v>35</v>
      </c>
      <c r="G683" s="882"/>
      <c r="H683" s="883"/>
      <c r="I683" s="883"/>
      <c r="J683" s="883"/>
      <c r="K683" s="883"/>
      <c r="L683" s="883"/>
      <c r="M683" s="884"/>
      <c r="N683" s="241"/>
    </row>
    <row r="684" spans="1:14" s="73" customFormat="1" ht="31.5" hidden="1" x14ac:dyDescent="0.3">
      <c r="A684" s="1107"/>
      <c r="B684" s="87"/>
      <c r="C684" s="62" t="s">
        <v>173</v>
      </c>
      <c r="D684" s="9" t="s">
        <v>52</v>
      </c>
      <c r="E684" s="382"/>
      <c r="F684" s="23"/>
      <c r="G684" s="410"/>
      <c r="H684" s="411"/>
      <c r="I684" s="411"/>
      <c r="J684" s="411"/>
      <c r="K684" s="411"/>
      <c r="L684" s="411"/>
      <c r="M684" s="412"/>
      <c r="N684" s="241"/>
    </row>
    <row r="685" spans="1:14" s="73" customFormat="1" ht="16.5" hidden="1" x14ac:dyDescent="0.3">
      <c r="A685" s="1107"/>
      <c r="B685" s="87"/>
      <c r="C685" s="62" t="s">
        <v>174</v>
      </c>
      <c r="D685" s="9" t="s">
        <v>52</v>
      </c>
      <c r="E685" s="382"/>
      <c r="F685" s="23"/>
      <c r="G685" s="410"/>
      <c r="H685" s="411"/>
      <c r="I685" s="411"/>
      <c r="J685" s="411"/>
      <c r="K685" s="411"/>
      <c r="L685" s="411"/>
      <c r="M685" s="412"/>
      <c r="N685" s="241"/>
    </row>
    <row r="686" spans="1:14" s="73" customFormat="1" ht="16.5" hidden="1" x14ac:dyDescent="0.3">
      <c r="A686" s="1107"/>
      <c r="B686" s="87"/>
      <c r="C686" s="62" t="s">
        <v>175</v>
      </c>
      <c r="D686" s="9" t="s">
        <v>52</v>
      </c>
      <c r="E686" s="382"/>
      <c r="F686" s="23"/>
      <c r="G686" s="410"/>
      <c r="H686" s="411"/>
      <c r="I686" s="411"/>
      <c r="J686" s="411"/>
      <c r="K686" s="411"/>
      <c r="L686" s="411"/>
      <c r="M686" s="412"/>
      <c r="N686" s="241"/>
    </row>
    <row r="687" spans="1:14" s="73" customFormat="1" ht="16.5" hidden="1" x14ac:dyDescent="0.3">
      <c r="A687" s="1107"/>
      <c r="B687" s="87"/>
      <c r="C687" s="62" t="s">
        <v>316</v>
      </c>
      <c r="D687" s="224" t="s">
        <v>52</v>
      </c>
      <c r="E687" s="382"/>
      <c r="F687" s="23"/>
      <c r="G687" s="413"/>
      <c r="H687" s="414"/>
      <c r="I687" s="414"/>
      <c r="J687" s="414"/>
      <c r="K687" s="414"/>
      <c r="L687" s="414"/>
      <c r="M687" s="415"/>
      <c r="N687" s="241"/>
    </row>
    <row r="688" spans="1:14" s="73" customFormat="1" ht="31.5" x14ac:dyDescent="0.3">
      <c r="A688" s="1259" t="s">
        <v>82</v>
      </c>
      <c r="B688" s="224" t="s">
        <v>176</v>
      </c>
      <c r="C688" s="62" t="s">
        <v>177</v>
      </c>
      <c r="D688" s="9" t="s">
        <v>52</v>
      </c>
      <c r="E688" s="382"/>
      <c r="F688" s="23">
        <f>SUM(F656:F683)</f>
        <v>207</v>
      </c>
      <c r="G688" s="383"/>
      <c r="H688" s="383"/>
      <c r="I688" s="383"/>
      <c r="J688" s="383"/>
      <c r="K688" s="383"/>
      <c r="L688" s="383"/>
      <c r="M688" s="383"/>
      <c r="N688" s="241"/>
    </row>
    <row r="689" spans="1:14" s="73" customFormat="1" ht="16.5" x14ac:dyDescent="0.3">
      <c r="A689" s="1261"/>
      <c r="B689" s="224"/>
      <c r="C689" s="26" t="s">
        <v>36</v>
      </c>
      <c r="D689" s="14" t="s">
        <v>6</v>
      </c>
      <c r="E689" s="382">
        <v>3.18</v>
      </c>
      <c r="F689" s="382">
        <f>F688*E689</f>
        <v>658.26</v>
      </c>
      <c r="G689" s="383"/>
      <c r="H689" s="383"/>
      <c r="I689" s="383"/>
      <c r="J689" s="383">
        <f>F689*I689</f>
        <v>0</v>
      </c>
      <c r="K689" s="383"/>
      <c r="L689" s="383"/>
      <c r="M689" s="383">
        <f>H689+J689+L689</f>
        <v>0</v>
      </c>
      <c r="N689" s="241"/>
    </row>
    <row r="690" spans="1:14" s="73" customFormat="1" ht="16.5" x14ac:dyDescent="0.3">
      <c r="A690" s="1106" t="s">
        <v>40</v>
      </c>
      <c r="B690" s="224" t="s">
        <v>178</v>
      </c>
      <c r="C690" s="62" t="s">
        <v>179</v>
      </c>
      <c r="D690" s="9" t="s">
        <v>52</v>
      </c>
      <c r="E690" s="382"/>
      <c r="F690" s="23">
        <f>F688</f>
        <v>207</v>
      </c>
      <c r="G690" s="383"/>
      <c r="H690" s="383"/>
      <c r="I690" s="383"/>
      <c r="J690" s="383"/>
      <c r="K690" s="383"/>
      <c r="L690" s="383"/>
      <c r="M690" s="383"/>
      <c r="N690" s="241"/>
    </row>
    <row r="691" spans="1:14" s="73" customFormat="1" ht="16.5" x14ac:dyDescent="0.3">
      <c r="A691" s="1107"/>
      <c r="B691" s="224"/>
      <c r="C691" s="26" t="s">
        <v>36</v>
      </c>
      <c r="D691" s="14" t="s">
        <v>6</v>
      </c>
      <c r="E691" s="382">
        <v>1.6</v>
      </c>
      <c r="F691" s="382">
        <f>F690*E691</f>
        <v>331.20000000000005</v>
      </c>
      <c r="G691" s="383"/>
      <c r="H691" s="383"/>
      <c r="I691" s="383"/>
      <c r="J691" s="383">
        <f>F691*I691</f>
        <v>0</v>
      </c>
      <c r="K691" s="383"/>
      <c r="L691" s="383"/>
      <c r="M691" s="383">
        <f>H691+J691+L691</f>
        <v>0</v>
      </c>
      <c r="N691" s="241"/>
    </row>
    <row r="692" spans="1:14" s="73" customFormat="1" ht="27" x14ac:dyDescent="0.3">
      <c r="A692" s="1107"/>
      <c r="B692" s="224" t="s">
        <v>28</v>
      </c>
      <c r="C692" s="26" t="s">
        <v>180</v>
      </c>
      <c r="D692" s="14" t="s">
        <v>43</v>
      </c>
      <c r="E692" s="382">
        <v>7.0999999999999994E-2</v>
      </c>
      <c r="F692" s="382">
        <f>F690*E692</f>
        <v>14.696999999999999</v>
      </c>
      <c r="G692" s="383"/>
      <c r="H692" s="383"/>
      <c r="I692" s="383"/>
      <c r="J692" s="383"/>
      <c r="K692" s="383"/>
      <c r="L692" s="383">
        <f>F692*K692</f>
        <v>0</v>
      </c>
      <c r="M692" s="383">
        <f>H692+J692+L692</f>
        <v>0</v>
      </c>
      <c r="N692" s="241"/>
    </row>
    <row r="693" spans="1:14" s="73" customFormat="1" ht="27" x14ac:dyDescent="0.3">
      <c r="A693" s="1107"/>
      <c r="B693" s="224" t="s">
        <v>86</v>
      </c>
      <c r="C693" s="26" t="s">
        <v>181</v>
      </c>
      <c r="D693" s="14" t="s">
        <v>43</v>
      </c>
      <c r="E693" s="382">
        <v>0.13400000000000001</v>
      </c>
      <c r="F693" s="382">
        <f>F690*E693</f>
        <v>27.738000000000003</v>
      </c>
      <c r="G693" s="383"/>
      <c r="H693" s="383"/>
      <c r="I693" s="383"/>
      <c r="J693" s="383"/>
      <c r="K693" s="383"/>
      <c r="L693" s="383">
        <f>F693*K693</f>
        <v>0</v>
      </c>
      <c r="M693" s="383">
        <f>H693+J693+L693</f>
        <v>0</v>
      </c>
      <c r="N693" s="241"/>
    </row>
    <row r="694" spans="1:14" s="73" customFormat="1" ht="16.5" x14ac:dyDescent="0.3">
      <c r="A694" s="1107"/>
      <c r="B694" s="224"/>
      <c r="C694" s="62" t="s">
        <v>182</v>
      </c>
      <c r="D694" s="14"/>
      <c r="E694" s="382">
        <v>1</v>
      </c>
      <c r="F694" s="23">
        <f>F690*E694</f>
        <v>207</v>
      </c>
      <c r="G694" s="383"/>
      <c r="H694" s="383"/>
      <c r="I694" s="383"/>
      <c r="J694" s="383"/>
      <c r="K694" s="383"/>
      <c r="L694" s="383"/>
      <c r="M694" s="383"/>
      <c r="N694" s="241"/>
    </row>
    <row r="695" spans="1:14" s="73" customFormat="1" ht="16.5" x14ac:dyDescent="0.3">
      <c r="A695" s="1107"/>
      <c r="B695" s="224"/>
      <c r="C695" s="62" t="s">
        <v>158</v>
      </c>
      <c r="D695" s="9" t="s">
        <v>52</v>
      </c>
      <c r="E695" s="382"/>
      <c r="F695" s="382">
        <f t="shared" ref="F695:F705" si="48">F656</f>
        <v>5</v>
      </c>
      <c r="G695" s="383"/>
      <c r="H695" s="383">
        <f t="shared" ref="H695:H728" si="49">F695*G695</f>
        <v>0</v>
      </c>
      <c r="I695" s="383"/>
      <c r="J695" s="383"/>
      <c r="K695" s="383"/>
      <c r="L695" s="383"/>
      <c r="M695" s="383">
        <f t="shared" ref="M695:M728" si="50">H695+J695+L695</f>
        <v>0</v>
      </c>
      <c r="N695" s="241"/>
    </row>
    <row r="696" spans="1:14" s="73" customFormat="1" ht="16.5" hidden="1" x14ac:dyDescent="0.3">
      <c r="A696" s="1107"/>
      <c r="B696" s="224"/>
      <c r="C696" s="62" t="s">
        <v>157</v>
      </c>
      <c r="D696" s="9" t="s">
        <v>52</v>
      </c>
      <c r="E696" s="382"/>
      <c r="F696" s="382">
        <f t="shared" si="48"/>
        <v>0</v>
      </c>
      <c r="G696" s="383"/>
      <c r="H696" s="383">
        <f>F696*G696</f>
        <v>0</v>
      </c>
      <c r="I696" s="383"/>
      <c r="J696" s="383"/>
      <c r="K696" s="383"/>
      <c r="L696" s="383"/>
      <c r="M696" s="383">
        <f>H696+J696+L696</f>
        <v>0</v>
      </c>
      <c r="N696" s="241"/>
    </row>
    <row r="697" spans="1:14" s="73" customFormat="1" ht="16.5" hidden="1" x14ac:dyDescent="0.3">
      <c r="A697" s="1107"/>
      <c r="B697" s="224"/>
      <c r="C697" s="62" t="s">
        <v>159</v>
      </c>
      <c r="D697" s="9" t="s">
        <v>52</v>
      </c>
      <c r="E697" s="382"/>
      <c r="F697" s="382">
        <f t="shared" si="48"/>
        <v>0</v>
      </c>
      <c r="G697" s="383"/>
      <c r="H697" s="383">
        <f t="shared" si="49"/>
        <v>0</v>
      </c>
      <c r="I697" s="383"/>
      <c r="J697" s="383"/>
      <c r="K697" s="383"/>
      <c r="L697" s="383"/>
      <c r="M697" s="383">
        <f t="shared" si="50"/>
        <v>0</v>
      </c>
      <c r="N697" s="241"/>
    </row>
    <row r="698" spans="1:14" s="73" customFormat="1" ht="16.5" hidden="1" x14ac:dyDescent="0.3">
      <c r="A698" s="1107"/>
      <c r="B698" s="224"/>
      <c r="C698" s="62" t="s">
        <v>315</v>
      </c>
      <c r="D698" s="9" t="s">
        <v>52</v>
      </c>
      <c r="E698" s="382"/>
      <c r="F698" s="382">
        <f t="shared" si="48"/>
        <v>0</v>
      </c>
      <c r="G698" s="383"/>
      <c r="H698" s="383">
        <f t="shared" si="49"/>
        <v>0</v>
      </c>
      <c r="I698" s="383"/>
      <c r="J698" s="383"/>
      <c r="K698" s="383"/>
      <c r="L698" s="383"/>
      <c r="M698" s="383">
        <f t="shared" si="50"/>
        <v>0</v>
      </c>
      <c r="N698" s="241"/>
    </row>
    <row r="699" spans="1:14" s="73" customFormat="1" ht="31.5" hidden="1" x14ac:dyDescent="0.3">
      <c r="A699" s="1107"/>
      <c r="B699" s="224"/>
      <c r="C699" s="62" t="s">
        <v>160</v>
      </c>
      <c r="D699" s="9" t="s">
        <v>52</v>
      </c>
      <c r="E699" s="382"/>
      <c r="F699" s="382">
        <f t="shared" si="48"/>
        <v>0</v>
      </c>
      <c r="G699" s="383"/>
      <c r="H699" s="383">
        <f t="shared" si="49"/>
        <v>0</v>
      </c>
      <c r="I699" s="383"/>
      <c r="J699" s="383"/>
      <c r="K699" s="383"/>
      <c r="L699" s="383"/>
      <c r="M699" s="383">
        <f t="shared" si="50"/>
        <v>0</v>
      </c>
      <c r="N699" s="241"/>
    </row>
    <row r="700" spans="1:14" s="73" customFormat="1" ht="16.5" x14ac:dyDescent="0.3">
      <c r="A700" s="1107"/>
      <c r="B700" s="464"/>
      <c r="C700" s="62" t="s">
        <v>440</v>
      </c>
      <c r="D700" s="464" t="s">
        <v>52</v>
      </c>
      <c r="E700" s="460"/>
      <c r="F700" s="460">
        <f t="shared" si="48"/>
        <v>59</v>
      </c>
      <c r="G700" s="458"/>
      <c r="H700" s="458">
        <f t="shared" ref="H700:H703" si="51">F700*G700</f>
        <v>0</v>
      </c>
      <c r="I700" s="458"/>
      <c r="J700" s="458"/>
      <c r="K700" s="458"/>
      <c r="L700" s="458"/>
      <c r="M700" s="458">
        <f t="shared" ref="M700:M703" si="52">H700+J700+L700</f>
        <v>0</v>
      </c>
      <c r="N700" s="241"/>
    </row>
    <row r="701" spans="1:14" s="73" customFormat="1" ht="16.5" x14ac:dyDescent="0.3">
      <c r="A701" s="1107"/>
      <c r="B701" s="464"/>
      <c r="C701" s="62" t="s">
        <v>441</v>
      </c>
      <c r="D701" s="464" t="s">
        <v>52</v>
      </c>
      <c r="E701" s="460"/>
      <c r="F701" s="460">
        <f t="shared" si="48"/>
        <v>18</v>
      </c>
      <c r="G701" s="458"/>
      <c r="H701" s="458">
        <f t="shared" si="51"/>
        <v>0</v>
      </c>
      <c r="I701" s="458"/>
      <c r="J701" s="458"/>
      <c r="K701" s="458"/>
      <c r="L701" s="458"/>
      <c r="M701" s="458">
        <f t="shared" si="52"/>
        <v>0</v>
      </c>
      <c r="N701" s="241"/>
    </row>
    <row r="702" spans="1:14" s="73" customFormat="1" ht="30.75" x14ac:dyDescent="0.3">
      <c r="A702" s="1107"/>
      <c r="B702" s="464"/>
      <c r="C702" s="62" t="s">
        <v>442</v>
      </c>
      <c r="D702" s="464" t="s">
        <v>52</v>
      </c>
      <c r="E702" s="460"/>
      <c r="F702" s="460">
        <f t="shared" si="48"/>
        <v>82</v>
      </c>
      <c r="G702" s="458"/>
      <c r="H702" s="458">
        <f t="shared" si="51"/>
        <v>0</v>
      </c>
      <c r="I702" s="458"/>
      <c r="J702" s="458"/>
      <c r="K702" s="458"/>
      <c r="L702" s="458"/>
      <c r="M702" s="458">
        <f t="shared" si="52"/>
        <v>0</v>
      </c>
      <c r="N702" s="241"/>
    </row>
    <row r="703" spans="1:14" s="73" customFormat="1" ht="16.5" hidden="1" x14ac:dyDescent="0.3">
      <c r="A703" s="1107"/>
      <c r="B703" s="464"/>
      <c r="C703" s="62" t="s">
        <v>443</v>
      </c>
      <c r="D703" s="464" t="s">
        <v>52</v>
      </c>
      <c r="E703" s="460"/>
      <c r="F703" s="460">
        <f t="shared" si="48"/>
        <v>0</v>
      </c>
      <c r="G703" s="458"/>
      <c r="H703" s="458">
        <f t="shared" si="51"/>
        <v>0</v>
      </c>
      <c r="I703" s="458"/>
      <c r="J703" s="458"/>
      <c r="K703" s="458"/>
      <c r="L703" s="458"/>
      <c r="M703" s="458">
        <f t="shared" si="52"/>
        <v>0</v>
      </c>
      <c r="N703" s="241"/>
    </row>
    <row r="704" spans="1:14" s="73" customFormat="1" ht="16.5" hidden="1" x14ac:dyDescent="0.3">
      <c r="A704" s="1107"/>
      <c r="B704" s="224"/>
      <c r="C704" s="62" t="s">
        <v>161</v>
      </c>
      <c r="D704" s="9" t="s">
        <v>52</v>
      </c>
      <c r="E704" s="382"/>
      <c r="F704" s="382">
        <f t="shared" si="48"/>
        <v>0</v>
      </c>
      <c r="G704" s="383"/>
      <c r="H704" s="383">
        <f t="shared" si="49"/>
        <v>0</v>
      </c>
      <c r="I704" s="383"/>
      <c r="J704" s="383"/>
      <c r="K704" s="383"/>
      <c r="L704" s="383"/>
      <c r="M704" s="383">
        <f t="shared" si="50"/>
        <v>0</v>
      </c>
      <c r="N704" s="241"/>
    </row>
    <row r="705" spans="1:14" s="73" customFormat="1" ht="16.5" hidden="1" x14ac:dyDescent="0.3">
      <c r="A705" s="1107"/>
      <c r="B705" s="224"/>
      <c r="C705" s="62" t="s">
        <v>162</v>
      </c>
      <c r="D705" s="464" t="s">
        <v>52</v>
      </c>
      <c r="E705" s="382"/>
      <c r="F705" s="382">
        <f t="shared" si="48"/>
        <v>0</v>
      </c>
      <c r="G705" s="383"/>
      <c r="H705" s="383">
        <f t="shared" si="49"/>
        <v>0</v>
      </c>
      <c r="I705" s="383"/>
      <c r="J705" s="383"/>
      <c r="K705" s="383"/>
      <c r="L705" s="383"/>
      <c r="M705" s="383">
        <f t="shared" si="50"/>
        <v>0</v>
      </c>
      <c r="N705" s="241"/>
    </row>
    <row r="706" spans="1:14" s="73" customFormat="1" ht="16.5" hidden="1" x14ac:dyDescent="0.3">
      <c r="A706" s="1107"/>
      <c r="B706" s="484"/>
      <c r="C706" s="62"/>
      <c r="D706" s="484" t="s">
        <v>52</v>
      </c>
      <c r="E706" s="515"/>
      <c r="F706" s="515"/>
      <c r="G706" s="514"/>
      <c r="H706" s="514">
        <f t="shared" ref="H706" si="53">F706*G706</f>
        <v>0</v>
      </c>
      <c r="I706" s="514"/>
      <c r="J706" s="514"/>
      <c r="K706" s="514"/>
      <c r="L706" s="514"/>
      <c r="M706" s="514">
        <f t="shared" ref="M706" si="54">H706+J706+L706</f>
        <v>0</v>
      </c>
      <c r="N706" s="241"/>
    </row>
    <row r="707" spans="1:14" s="73" customFormat="1" ht="31.5" hidden="1" x14ac:dyDescent="0.3">
      <c r="A707" s="1107"/>
      <c r="B707" s="224"/>
      <c r="C707" s="62" t="s">
        <v>436</v>
      </c>
      <c r="D707" s="9" t="s">
        <v>52</v>
      </c>
      <c r="E707" s="382"/>
      <c r="F707" s="382">
        <f t="shared" ref="F707:F726" si="55">F668</f>
        <v>0</v>
      </c>
      <c r="G707" s="383"/>
      <c r="H707" s="383">
        <f t="shared" si="49"/>
        <v>0</v>
      </c>
      <c r="I707" s="383"/>
      <c r="J707" s="383"/>
      <c r="K707" s="383"/>
      <c r="L707" s="383"/>
      <c r="M707" s="383">
        <f t="shared" si="50"/>
        <v>0</v>
      </c>
      <c r="N707" s="241"/>
    </row>
    <row r="708" spans="1:14" s="73" customFormat="1" ht="16.5" x14ac:dyDescent="0.3">
      <c r="A708" s="1107"/>
      <c r="B708" s="464"/>
      <c r="C708" s="62" t="s">
        <v>439</v>
      </c>
      <c r="D708" s="464" t="s">
        <v>52</v>
      </c>
      <c r="E708" s="460"/>
      <c r="F708" s="460">
        <f t="shared" si="55"/>
        <v>6</v>
      </c>
      <c r="G708" s="458"/>
      <c r="H708" s="458">
        <f t="shared" ref="H708" si="56">F708*G708</f>
        <v>0</v>
      </c>
      <c r="I708" s="458"/>
      <c r="J708" s="458"/>
      <c r="K708" s="458"/>
      <c r="L708" s="458"/>
      <c r="M708" s="458">
        <f t="shared" ref="M708" si="57">H708+J708+L708</f>
        <v>0</v>
      </c>
      <c r="N708" s="241"/>
    </row>
    <row r="709" spans="1:14" s="73" customFormat="1" ht="16.5" hidden="1" x14ac:dyDescent="0.3">
      <c r="A709" s="1107"/>
      <c r="B709" s="224"/>
      <c r="C709" s="62" t="s">
        <v>163</v>
      </c>
      <c r="D709" s="9" t="s">
        <v>52</v>
      </c>
      <c r="E709" s="382"/>
      <c r="F709" s="382">
        <f t="shared" si="55"/>
        <v>0</v>
      </c>
      <c r="G709" s="383"/>
      <c r="H709" s="383">
        <f t="shared" si="49"/>
        <v>0</v>
      </c>
      <c r="I709" s="383"/>
      <c r="J709" s="383"/>
      <c r="K709" s="383"/>
      <c r="L709" s="383"/>
      <c r="M709" s="383">
        <f t="shared" si="50"/>
        <v>0</v>
      </c>
      <c r="N709" s="241"/>
    </row>
    <row r="710" spans="1:14" s="73" customFormat="1" ht="47.25" hidden="1" x14ac:dyDescent="0.3">
      <c r="A710" s="1107"/>
      <c r="B710" s="224"/>
      <c r="C710" s="62" t="s">
        <v>437</v>
      </c>
      <c r="D710" s="9" t="s">
        <v>52</v>
      </c>
      <c r="E710" s="382"/>
      <c r="F710" s="382">
        <f t="shared" si="55"/>
        <v>0</v>
      </c>
      <c r="G710" s="383"/>
      <c r="H710" s="383">
        <f t="shared" si="49"/>
        <v>0</v>
      </c>
      <c r="I710" s="383"/>
      <c r="J710" s="383"/>
      <c r="K710" s="383"/>
      <c r="L710" s="383"/>
      <c r="M710" s="383">
        <f t="shared" si="50"/>
        <v>0</v>
      </c>
      <c r="N710" s="241"/>
    </row>
    <row r="711" spans="1:14" s="73" customFormat="1" ht="16.5" hidden="1" x14ac:dyDescent="0.3">
      <c r="A711" s="1107"/>
      <c r="B711" s="224"/>
      <c r="C711" s="62" t="s">
        <v>164</v>
      </c>
      <c r="D711" s="9" t="s">
        <v>52</v>
      </c>
      <c r="E711" s="382"/>
      <c r="F711" s="382">
        <f t="shared" si="55"/>
        <v>0</v>
      </c>
      <c r="G711" s="383"/>
      <c r="H711" s="383">
        <f t="shared" si="49"/>
        <v>0</v>
      </c>
      <c r="I711" s="383"/>
      <c r="J711" s="383"/>
      <c r="K711" s="383"/>
      <c r="L711" s="383"/>
      <c r="M711" s="383">
        <f t="shared" si="50"/>
        <v>0</v>
      </c>
      <c r="N711" s="241"/>
    </row>
    <row r="712" spans="1:14" s="73" customFormat="1" ht="16.5" hidden="1" x14ac:dyDescent="0.3">
      <c r="A712" s="1107"/>
      <c r="B712" s="224"/>
      <c r="C712" s="62" t="s">
        <v>165</v>
      </c>
      <c r="D712" s="9" t="s">
        <v>52</v>
      </c>
      <c r="E712" s="382"/>
      <c r="F712" s="382">
        <f t="shared" si="55"/>
        <v>0</v>
      </c>
      <c r="G712" s="383"/>
      <c r="H712" s="383">
        <f t="shared" si="49"/>
        <v>0</v>
      </c>
      <c r="I712" s="383"/>
      <c r="J712" s="383"/>
      <c r="K712" s="383"/>
      <c r="L712" s="383"/>
      <c r="M712" s="383">
        <f t="shared" si="50"/>
        <v>0</v>
      </c>
      <c r="N712" s="241"/>
    </row>
    <row r="713" spans="1:14" s="73" customFormat="1" ht="16.5" hidden="1" x14ac:dyDescent="0.3">
      <c r="A713" s="1107"/>
      <c r="B713" s="224"/>
      <c r="C713" s="62" t="s">
        <v>166</v>
      </c>
      <c r="D713" s="9" t="s">
        <v>52</v>
      </c>
      <c r="E713" s="382"/>
      <c r="F713" s="382">
        <f t="shared" si="55"/>
        <v>0</v>
      </c>
      <c r="G713" s="383"/>
      <c r="H713" s="383">
        <f t="shared" si="49"/>
        <v>0</v>
      </c>
      <c r="I713" s="383"/>
      <c r="J713" s="383"/>
      <c r="K713" s="383"/>
      <c r="L713" s="383"/>
      <c r="M713" s="383">
        <f t="shared" si="50"/>
        <v>0</v>
      </c>
      <c r="N713" s="241"/>
    </row>
    <row r="714" spans="1:14" s="73" customFormat="1" ht="16.5" hidden="1" x14ac:dyDescent="0.3">
      <c r="A714" s="1107"/>
      <c r="B714" s="224"/>
      <c r="C714" s="62" t="s">
        <v>167</v>
      </c>
      <c r="D714" s="9" t="s">
        <v>52</v>
      </c>
      <c r="E714" s="382"/>
      <c r="F714" s="382">
        <f t="shared" si="55"/>
        <v>0</v>
      </c>
      <c r="G714" s="383"/>
      <c r="H714" s="383">
        <f t="shared" si="49"/>
        <v>0</v>
      </c>
      <c r="I714" s="383"/>
      <c r="J714" s="383"/>
      <c r="K714" s="383"/>
      <c r="L714" s="383"/>
      <c r="M714" s="383">
        <f t="shared" si="50"/>
        <v>0</v>
      </c>
      <c r="N714" s="241"/>
    </row>
    <row r="715" spans="1:14" s="73" customFormat="1" ht="16.5" hidden="1" x14ac:dyDescent="0.3">
      <c r="A715" s="1107"/>
      <c r="B715" s="224"/>
      <c r="C715" s="62" t="s">
        <v>168</v>
      </c>
      <c r="D715" s="9" t="s">
        <v>52</v>
      </c>
      <c r="E715" s="382"/>
      <c r="F715" s="382">
        <f t="shared" si="55"/>
        <v>0</v>
      </c>
      <c r="G715" s="383"/>
      <c r="H715" s="383">
        <f t="shared" si="49"/>
        <v>0</v>
      </c>
      <c r="I715" s="383"/>
      <c r="J715" s="383"/>
      <c r="K715" s="383"/>
      <c r="L715" s="383"/>
      <c r="M715" s="383">
        <f t="shared" si="50"/>
        <v>0</v>
      </c>
      <c r="N715" s="241"/>
    </row>
    <row r="716" spans="1:14" s="73" customFormat="1" ht="16.5" hidden="1" x14ac:dyDescent="0.3">
      <c r="A716" s="1107"/>
      <c r="B716" s="224"/>
      <c r="C716" s="62" t="s">
        <v>169</v>
      </c>
      <c r="D716" s="9" t="s">
        <v>52</v>
      </c>
      <c r="E716" s="382"/>
      <c r="F716" s="382">
        <f t="shared" si="55"/>
        <v>0</v>
      </c>
      <c r="G716" s="383"/>
      <c r="H716" s="383">
        <f t="shared" si="49"/>
        <v>0</v>
      </c>
      <c r="I716" s="383"/>
      <c r="J716" s="383"/>
      <c r="K716" s="383"/>
      <c r="L716" s="383"/>
      <c r="M716" s="383">
        <f t="shared" si="50"/>
        <v>0</v>
      </c>
      <c r="N716" s="241"/>
    </row>
    <row r="717" spans="1:14" s="73" customFormat="1" ht="31.5" hidden="1" x14ac:dyDescent="0.3">
      <c r="A717" s="1107"/>
      <c r="B717" s="464"/>
      <c r="C717" s="62" t="s">
        <v>438</v>
      </c>
      <c r="D717" s="464" t="s">
        <v>52</v>
      </c>
      <c r="E717" s="460"/>
      <c r="F717" s="460">
        <f t="shared" si="55"/>
        <v>0</v>
      </c>
      <c r="G717" s="458"/>
      <c r="H717" s="458">
        <f t="shared" ref="H717" si="58">F717*G717</f>
        <v>0</v>
      </c>
      <c r="I717" s="458"/>
      <c r="J717" s="458"/>
      <c r="K717" s="458"/>
      <c r="L717" s="458"/>
      <c r="M717" s="458">
        <f t="shared" ref="M717" si="59">H717+J717+L717</f>
        <v>0</v>
      </c>
      <c r="N717" s="241"/>
    </row>
    <row r="718" spans="1:14" s="73" customFormat="1" ht="16.5" hidden="1" x14ac:dyDescent="0.3">
      <c r="A718" s="1107"/>
      <c r="B718" s="224"/>
      <c r="C718" s="62" t="s">
        <v>170</v>
      </c>
      <c r="D718" s="9" t="s">
        <v>52</v>
      </c>
      <c r="E718" s="382"/>
      <c r="F718" s="382">
        <f t="shared" si="55"/>
        <v>0</v>
      </c>
      <c r="G718" s="383"/>
      <c r="H718" s="383">
        <f t="shared" si="49"/>
        <v>0</v>
      </c>
      <c r="I718" s="383"/>
      <c r="J718" s="383"/>
      <c r="K718" s="383"/>
      <c r="L718" s="383"/>
      <c r="M718" s="383">
        <f t="shared" si="50"/>
        <v>0</v>
      </c>
      <c r="N718" s="241"/>
    </row>
    <row r="719" spans="1:14" s="73" customFormat="1" ht="16.5" hidden="1" x14ac:dyDescent="0.3">
      <c r="A719" s="1107"/>
      <c r="B719" s="224"/>
      <c r="C719" s="62" t="s">
        <v>171</v>
      </c>
      <c r="D719" s="9" t="s">
        <v>52</v>
      </c>
      <c r="E719" s="382"/>
      <c r="F719" s="382">
        <f t="shared" si="55"/>
        <v>0</v>
      </c>
      <c r="G719" s="383"/>
      <c r="H719" s="383">
        <f t="shared" si="49"/>
        <v>0</v>
      </c>
      <c r="I719" s="383"/>
      <c r="J719" s="383"/>
      <c r="K719" s="383"/>
      <c r="L719" s="383"/>
      <c r="M719" s="383">
        <f t="shared" si="50"/>
        <v>0</v>
      </c>
      <c r="N719" s="241"/>
    </row>
    <row r="720" spans="1:14" s="73" customFormat="1" ht="16.5" hidden="1" x14ac:dyDescent="0.3">
      <c r="A720" s="1107"/>
      <c r="B720" s="224"/>
      <c r="C720" s="62" t="s">
        <v>172</v>
      </c>
      <c r="D720" s="9" t="s">
        <v>52</v>
      </c>
      <c r="E720" s="382"/>
      <c r="F720" s="382">
        <f t="shared" si="55"/>
        <v>0</v>
      </c>
      <c r="G720" s="383"/>
      <c r="H720" s="383">
        <f t="shared" si="49"/>
        <v>0</v>
      </c>
      <c r="I720" s="383"/>
      <c r="J720" s="383"/>
      <c r="K720" s="383"/>
      <c r="L720" s="383"/>
      <c r="M720" s="383">
        <f t="shared" si="50"/>
        <v>0</v>
      </c>
      <c r="N720" s="241"/>
    </row>
    <row r="721" spans="1:15" s="73" customFormat="1" ht="16.5" x14ac:dyDescent="0.3">
      <c r="A721" s="1107"/>
      <c r="B721" s="484"/>
      <c r="C721" s="62" t="s">
        <v>480</v>
      </c>
      <c r="D721" s="484" t="s">
        <v>52</v>
      </c>
      <c r="E721" s="515"/>
      <c r="F721" s="515">
        <f t="shared" si="55"/>
        <v>2</v>
      </c>
      <c r="G721" s="514"/>
      <c r="H721" s="514">
        <f t="shared" ref="H721" si="60">F721*G721</f>
        <v>0</v>
      </c>
      <c r="I721" s="514"/>
      <c r="J721" s="514"/>
      <c r="K721" s="514"/>
      <c r="L721" s="514"/>
      <c r="M721" s="514">
        <f t="shared" ref="M721" si="61">H721+J721+L721</f>
        <v>0</v>
      </c>
      <c r="N721" s="241"/>
    </row>
    <row r="722" spans="1:15" s="73" customFormat="1" ht="16.5" x14ac:dyDescent="0.3">
      <c r="A722" s="1107"/>
      <c r="B722" s="224"/>
      <c r="C722" s="62" t="s">
        <v>183</v>
      </c>
      <c r="D722" s="9" t="s">
        <v>52</v>
      </c>
      <c r="E722" s="382"/>
      <c r="F722" s="382">
        <f t="shared" si="55"/>
        <v>35</v>
      </c>
      <c r="G722" s="383"/>
      <c r="H722" s="383">
        <f t="shared" si="49"/>
        <v>0</v>
      </c>
      <c r="I722" s="383"/>
      <c r="J722" s="383"/>
      <c r="K722" s="383"/>
      <c r="L722" s="383"/>
      <c r="M722" s="383">
        <f t="shared" si="50"/>
        <v>0</v>
      </c>
      <c r="N722" s="241"/>
    </row>
    <row r="723" spans="1:15" s="73" customFormat="1" ht="31.5" hidden="1" x14ac:dyDescent="0.3">
      <c r="A723" s="1107"/>
      <c r="B723" s="224"/>
      <c r="C723" s="62" t="s">
        <v>173</v>
      </c>
      <c r="D723" s="9" t="s">
        <v>52</v>
      </c>
      <c r="E723" s="382"/>
      <c r="F723" s="382">
        <f t="shared" si="55"/>
        <v>0</v>
      </c>
      <c r="G723" s="383"/>
      <c r="H723" s="383">
        <f t="shared" si="49"/>
        <v>0</v>
      </c>
      <c r="I723" s="383"/>
      <c r="J723" s="383"/>
      <c r="K723" s="383"/>
      <c r="L723" s="383"/>
      <c r="M723" s="383">
        <f t="shared" si="50"/>
        <v>0</v>
      </c>
      <c r="N723" s="241"/>
    </row>
    <row r="724" spans="1:15" s="73" customFormat="1" ht="16.5" hidden="1" x14ac:dyDescent="0.3">
      <c r="A724" s="1107"/>
      <c r="B724" s="224"/>
      <c r="C724" s="62" t="s">
        <v>174</v>
      </c>
      <c r="D724" s="9" t="s">
        <v>52</v>
      </c>
      <c r="E724" s="382"/>
      <c r="F724" s="382">
        <f t="shared" si="55"/>
        <v>0</v>
      </c>
      <c r="G724" s="383"/>
      <c r="H724" s="383">
        <f t="shared" si="49"/>
        <v>0</v>
      </c>
      <c r="I724" s="383"/>
      <c r="J724" s="383"/>
      <c r="K724" s="383"/>
      <c r="L724" s="383"/>
      <c r="M724" s="383">
        <f t="shared" si="50"/>
        <v>0</v>
      </c>
      <c r="N724" s="241"/>
    </row>
    <row r="725" spans="1:15" s="73" customFormat="1" ht="16.5" hidden="1" x14ac:dyDescent="0.3">
      <c r="A725" s="1107"/>
      <c r="B725" s="224"/>
      <c r="C725" s="62" t="s">
        <v>175</v>
      </c>
      <c r="D725" s="9" t="s">
        <v>52</v>
      </c>
      <c r="E725" s="382"/>
      <c r="F725" s="382">
        <f t="shared" si="55"/>
        <v>0</v>
      </c>
      <c r="G725" s="383"/>
      <c r="H725" s="383">
        <f t="shared" si="49"/>
        <v>0</v>
      </c>
      <c r="I725" s="383"/>
      <c r="J725" s="383"/>
      <c r="K725" s="383"/>
      <c r="L725" s="383"/>
      <c r="M725" s="383">
        <f t="shared" si="50"/>
        <v>0</v>
      </c>
      <c r="N725" s="241"/>
    </row>
    <row r="726" spans="1:15" s="73" customFormat="1" ht="16.5" hidden="1" x14ac:dyDescent="0.3">
      <c r="A726" s="1107"/>
      <c r="B726" s="224"/>
      <c r="C726" s="62" t="s">
        <v>316</v>
      </c>
      <c r="D726" s="224" t="s">
        <v>52</v>
      </c>
      <c r="E726" s="382"/>
      <c r="F726" s="382">
        <f t="shared" si="55"/>
        <v>0</v>
      </c>
      <c r="G726" s="396"/>
      <c r="H726" s="383">
        <f t="shared" si="49"/>
        <v>0</v>
      </c>
      <c r="I726" s="383"/>
      <c r="J726" s="383"/>
      <c r="K726" s="383"/>
      <c r="L726" s="383"/>
      <c r="M726" s="383">
        <f t="shared" si="50"/>
        <v>0</v>
      </c>
      <c r="N726" s="241"/>
    </row>
    <row r="727" spans="1:15" s="73" customFormat="1" ht="16.5" x14ac:dyDescent="0.3">
      <c r="A727" s="1107"/>
      <c r="B727" s="224"/>
      <c r="C727" s="26" t="s">
        <v>109</v>
      </c>
      <c r="D727" s="14" t="s">
        <v>37</v>
      </c>
      <c r="E727" s="382">
        <v>0.26</v>
      </c>
      <c r="F727" s="382">
        <f>F690*E727</f>
        <v>53.82</v>
      </c>
      <c r="G727" s="383"/>
      <c r="H727" s="383">
        <f t="shared" si="49"/>
        <v>0</v>
      </c>
      <c r="I727" s="383"/>
      <c r="J727" s="383"/>
      <c r="K727" s="383"/>
      <c r="L727" s="383"/>
      <c r="M727" s="383">
        <f t="shared" si="50"/>
        <v>0</v>
      </c>
      <c r="N727" s="241"/>
    </row>
    <row r="728" spans="1:15" s="73" customFormat="1" ht="16.5" x14ac:dyDescent="0.3">
      <c r="A728" s="1108"/>
      <c r="B728" s="224"/>
      <c r="C728" s="26" t="s">
        <v>50</v>
      </c>
      <c r="D728" s="14" t="s">
        <v>4</v>
      </c>
      <c r="E728" s="382">
        <v>0.17899999999999999</v>
      </c>
      <c r="F728" s="382">
        <f>F690*E728</f>
        <v>37.052999999999997</v>
      </c>
      <c r="G728" s="383"/>
      <c r="H728" s="383">
        <f t="shared" si="49"/>
        <v>0</v>
      </c>
      <c r="I728" s="383"/>
      <c r="J728" s="383"/>
      <c r="K728" s="383"/>
      <c r="L728" s="383"/>
      <c r="M728" s="383">
        <f t="shared" si="50"/>
        <v>0</v>
      </c>
      <c r="N728" s="900">
        <f>SUM(M645:M728)</f>
        <v>0</v>
      </c>
    </row>
    <row r="729" spans="1:15" s="73" customFormat="1" ht="16.5" hidden="1" x14ac:dyDescent="0.3">
      <c r="A729" s="1259" t="s">
        <v>46</v>
      </c>
      <c r="B729" s="224" t="s">
        <v>184</v>
      </c>
      <c r="C729" s="62" t="s">
        <v>185</v>
      </c>
      <c r="D729" s="9" t="s">
        <v>52</v>
      </c>
      <c r="E729" s="382"/>
      <c r="F729" s="23">
        <f>F659+F660+F665</f>
        <v>0</v>
      </c>
      <c r="G729" s="383"/>
      <c r="H729" s="383"/>
      <c r="I729" s="383"/>
      <c r="J729" s="383"/>
      <c r="K729" s="383"/>
      <c r="L729" s="383"/>
      <c r="M729" s="383"/>
      <c r="N729" s="241"/>
    </row>
    <row r="730" spans="1:15" s="73" customFormat="1" ht="16.5" hidden="1" x14ac:dyDescent="0.3">
      <c r="A730" s="1260"/>
      <c r="B730" s="224"/>
      <c r="C730" s="26" t="s">
        <v>36</v>
      </c>
      <c r="D730" s="14" t="s">
        <v>6</v>
      </c>
      <c r="E730" s="382">
        <v>1</v>
      </c>
      <c r="F730" s="382">
        <f>F729*E730</f>
        <v>0</v>
      </c>
      <c r="G730" s="383"/>
      <c r="H730" s="383"/>
      <c r="I730" s="383">
        <v>2</v>
      </c>
      <c r="J730" s="383">
        <f>F730*I730</f>
        <v>0</v>
      </c>
      <c r="K730" s="383"/>
      <c r="L730" s="383"/>
      <c r="M730" s="383">
        <f>H730+J730+L730</f>
        <v>0</v>
      </c>
      <c r="N730" s="241"/>
    </row>
    <row r="731" spans="1:15" s="73" customFormat="1" ht="16.5" hidden="1" x14ac:dyDescent="0.3">
      <c r="A731" s="1260"/>
      <c r="B731" s="224">
        <v>4</v>
      </c>
      <c r="C731" s="62" t="s">
        <v>315</v>
      </c>
      <c r="D731" s="9" t="s">
        <v>52</v>
      </c>
      <c r="E731" s="382"/>
      <c r="F731" s="382">
        <f>F659</f>
        <v>0</v>
      </c>
      <c r="G731" s="383">
        <v>15</v>
      </c>
      <c r="H731" s="383">
        <f>F731*G731</f>
        <v>0</v>
      </c>
      <c r="I731" s="383"/>
      <c r="J731" s="383"/>
      <c r="K731" s="383"/>
      <c r="L731" s="383"/>
      <c r="M731" s="383">
        <f>H731+J731+L731</f>
        <v>0</v>
      </c>
      <c r="N731" s="241"/>
    </row>
    <row r="732" spans="1:15" s="73" customFormat="1" ht="16.5" hidden="1" x14ac:dyDescent="0.3">
      <c r="A732" s="1260"/>
      <c r="B732" s="224"/>
      <c r="C732" s="62" t="s">
        <v>186</v>
      </c>
      <c r="D732" s="9" t="s">
        <v>52</v>
      </c>
      <c r="E732" s="382"/>
      <c r="F732" s="382">
        <f>F660</f>
        <v>0</v>
      </c>
      <c r="G732" s="383">
        <v>5</v>
      </c>
      <c r="H732" s="383">
        <f>F732*G732</f>
        <v>0</v>
      </c>
      <c r="I732" s="383"/>
      <c r="J732" s="383"/>
      <c r="K732" s="383"/>
      <c r="L732" s="383"/>
      <c r="M732" s="383">
        <f>H732+J732+L732</f>
        <v>0</v>
      </c>
      <c r="N732" s="241"/>
    </row>
    <row r="733" spans="1:15" s="73" customFormat="1" ht="16.5" hidden="1" x14ac:dyDescent="0.3">
      <c r="A733" s="1260"/>
      <c r="B733" s="224">
        <v>5</v>
      </c>
      <c r="C733" s="62" t="s">
        <v>161</v>
      </c>
      <c r="D733" s="9" t="s">
        <v>52</v>
      </c>
      <c r="E733" s="382"/>
      <c r="F733" s="382">
        <f>F665</f>
        <v>0</v>
      </c>
      <c r="G733" s="383">
        <v>40</v>
      </c>
      <c r="H733" s="383">
        <f>F733*G733</f>
        <v>0</v>
      </c>
      <c r="I733" s="383"/>
      <c r="J733" s="383"/>
      <c r="K733" s="383"/>
      <c r="L733" s="383"/>
      <c r="M733" s="383">
        <f>H733+J733+L733</f>
        <v>0</v>
      </c>
      <c r="N733" s="241"/>
    </row>
    <row r="734" spans="1:15" s="73" customFormat="1" ht="16.5" x14ac:dyDescent="0.3">
      <c r="A734" s="368"/>
      <c r="B734" s="224"/>
      <c r="C734" s="378"/>
      <c r="D734" s="87"/>
      <c r="E734" s="23"/>
      <c r="F734" s="23"/>
      <c r="G734" s="383"/>
      <c r="H734" s="383"/>
      <c r="I734" s="383"/>
      <c r="J734" s="383"/>
      <c r="K734" s="383"/>
      <c r="L734" s="383"/>
      <c r="M734" s="383"/>
      <c r="N734" s="241"/>
    </row>
    <row r="735" spans="1:15" s="215" customFormat="1" ht="31.5" x14ac:dyDescent="0.2">
      <c r="A735" s="760" t="s">
        <v>8</v>
      </c>
      <c r="B735" s="649"/>
      <c r="C735" s="650" t="s">
        <v>626</v>
      </c>
      <c r="D735" s="650"/>
      <c r="E735" s="1414"/>
      <c r="F735" s="1415"/>
      <c r="G735" s="8"/>
      <c r="H735" s="8"/>
      <c r="I735" s="8"/>
      <c r="J735" s="8"/>
      <c r="K735" s="8"/>
      <c r="L735" s="8"/>
      <c r="M735" s="8"/>
      <c r="N735" s="579"/>
      <c r="O735" s="580"/>
    </row>
    <row r="736" spans="1:15" s="215" customFormat="1" ht="31.5" x14ac:dyDescent="0.25">
      <c r="A736" s="1283" t="s">
        <v>93</v>
      </c>
      <c r="B736" s="492" t="s">
        <v>555</v>
      </c>
      <c r="C736" s="468" t="s">
        <v>627</v>
      </c>
      <c r="D736" s="492" t="s">
        <v>47</v>
      </c>
      <c r="E736" s="231"/>
      <c r="F736" s="22">
        <f>15*15</f>
        <v>225</v>
      </c>
      <c r="G736" s="8"/>
      <c r="H736" s="8"/>
      <c r="I736" s="8"/>
      <c r="J736" s="8"/>
      <c r="K736" s="8"/>
      <c r="L736" s="8"/>
      <c r="M736" s="8"/>
      <c r="N736" s="579"/>
      <c r="O736" s="580"/>
    </row>
    <row r="737" spans="1:15" s="215" customFormat="1" ht="15.75" x14ac:dyDescent="0.25">
      <c r="A737" s="1285"/>
      <c r="B737" s="532"/>
      <c r="C737" s="581" t="s">
        <v>36</v>
      </c>
      <c r="D737" s="532" t="s">
        <v>6</v>
      </c>
      <c r="E737" s="2">
        <v>0.20499999999999999</v>
      </c>
      <c r="F737" s="293">
        <f>F736*E737</f>
        <v>46.125</v>
      </c>
      <c r="G737" s="8"/>
      <c r="H737" s="8"/>
      <c r="I737" s="8"/>
      <c r="J737" s="8">
        <f t="shared" ref="J737" si="62">F737*I737</f>
        <v>0</v>
      </c>
      <c r="K737" s="8"/>
      <c r="L737" s="8"/>
      <c r="M737" s="8">
        <f t="shared" ref="M737:M738" si="63">H737+J737+L737</f>
        <v>0</v>
      </c>
      <c r="N737" s="579"/>
      <c r="O737" s="580"/>
    </row>
    <row r="738" spans="1:15" s="215" customFormat="1" ht="15.75" x14ac:dyDescent="0.25">
      <c r="A738" s="1284"/>
      <c r="B738" s="532"/>
      <c r="C738" s="581" t="s">
        <v>17</v>
      </c>
      <c r="D738" s="532" t="s">
        <v>4</v>
      </c>
      <c r="E738" s="2">
        <v>7.8E-2</v>
      </c>
      <c r="F738" s="293">
        <f>F736*E738</f>
        <v>17.55</v>
      </c>
      <c r="G738" s="8"/>
      <c r="H738" s="8"/>
      <c r="I738" s="8"/>
      <c r="J738" s="8"/>
      <c r="K738" s="8"/>
      <c r="L738" s="8">
        <f t="shared" ref="L738" si="64">F738*K738</f>
        <v>0</v>
      </c>
      <c r="M738" s="8">
        <f t="shared" si="63"/>
        <v>0</v>
      </c>
      <c r="N738" s="579"/>
      <c r="O738" s="580"/>
    </row>
    <row r="739" spans="1:15" s="215" customFormat="1" ht="47.25" hidden="1" x14ac:dyDescent="0.25">
      <c r="A739" s="1287" t="s">
        <v>72</v>
      </c>
      <c r="B739" s="484" t="s">
        <v>556</v>
      </c>
      <c r="C739" s="582" t="s">
        <v>557</v>
      </c>
      <c r="D739" s="484" t="s">
        <v>27</v>
      </c>
      <c r="E739" s="10"/>
      <c r="F739" s="23">
        <v>0</v>
      </c>
      <c r="G739" s="12"/>
      <c r="H739" s="8"/>
      <c r="I739" s="12"/>
      <c r="J739" s="8"/>
      <c r="K739" s="12"/>
      <c r="L739" s="8"/>
      <c r="M739" s="8"/>
      <c r="N739" s="579"/>
      <c r="O739" s="580"/>
    </row>
    <row r="740" spans="1:15" s="215" customFormat="1" ht="15.75" hidden="1" x14ac:dyDescent="0.25">
      <c r="A740" s="1287"/>
      <c r="B740" s="484"/>
      <c r="C740" s="13" t="s">
        <v>13</v>
      </c>
      <c r="D740" s="519" t="s">
        <v>14</v>
      </c>
      <c r="E740" s="524">
        <v>3.2099999999999997E-2</v>
      </c>
      <c r="F740" s="515">
        <f>E740*F739</f>
        <v>0</v>
      </c>
      <c r="G740" s="514"/>
      <c r="H740" s="8"/>
      <c r="I740" s="514">
        <v>6</v>
      </c>
      <c r="J740" s="8">
        <f t="shared" ref="J740" si="65">F740*I740</f>
        <v>0</v>
      </c>
      <c r="K740" s="514"/>
      <c r="L740" s="8"/>
      <c r="M740" s="8">
        <f t="shared" ref="M740:M746" si="66">H740+J740+L740</f>
        <v>0</v>
      </c>
      <c r="N740" s="579"/>
      <c r="O740" s="580"/>
    </row>
    <row r="741" spans="1:15" s="215" customFormat="1" ht="15.75" hidden="1" x14ac:dyDescent="0.25">
      <c r="A741" s="1287"/>
      <c r="B741" s="484" t="s">
        <v>505</v>
      </c>
      <c r="C741" s="13" t="s">
        <v>558</v>
      </c>
      <c r="D741" s="519" t="s">
        <v>15</v>
      </c>
      <c r="E741" s="524">
        <v>2.65E-3</v>
      </c>
      <c r="F741" s="515">
        <f>E741*F739</f>
        <v>0</v>
      </c>
      <c r="G741" s="514"/>
      <c r="H741" s="8"/>
      <c r="I741" s="514"/>
      <c r="J741" s="8"/>
      <c r="K741" s="514">
        <v>32.81</v>
      </c>
      <c r="L741" s="8">
        <f t="shared" ref="L741:L746" si="67">F741*K741</f>
        <v>0</v>
      </c>
      <c r="M741" s="8">
        <f t="shared" si="66"/>
        <v>0</v>
      </c>
      <c r="N741" s="579"/>
      <c r="O741" s="580"/>
    </row>
    <row r="742" spans="1:15" s="215" customFormat="1" ht="15.75" hidden="1" x14ac:dyDescent="0.25">
      <c r="A742" s="1287"/>
      <c r="B742" s="484" t="s">
        <v>559</v>
      </c>
      <c r="C742" s="13" t="s">
        <v>560</v>
      </c>
      <c r="D742" s="519" t="s">
        <v>15</v>
      </c>
      <c r="E742" s="524">
        <v>6.1599999999999997E-3</v>
      </c>
      <c r="F742" s="515">
        <f>E742*F739</f>
        <v>0</v>
      </c>
      <c r="G742" s="514"/>
      <c r="H742" s="8"/>
      <c r="I742" s="514"/>
      <c r="J742" s="8"/>
      <c r="K742" s="514">
        <v>21.66</v>
      </c>
      <c r="L742" s="8">
        <f t="shared" si="67"/>
        <v>0</v>
      </c>
      <c r="M742" s="8">
        <f t="shared" si="66"/>
        <v>0</v>
      </c>
      <c r="N742" s="579"/>
      <c r="O742" s="580"/>
    </row>
    <row r="743" spans="1:15" s="215" customFormat="1" ht="15.75" hidden="1" x14ac:dyDescent="0.25">
      <c r="A743" s="1287"/>
      <c r="B743" s="484" t="s">
        <v>513</v>
      </c>
      <c r="C743" s="13" t="s">
        <v>561</v>
      </c>
      <c r="D743" s="519" t="s">
        <v>15</v>
      </c>
      <c r="E743" s="524">
        <v>4.5300000000000002E-3</v>
      </c>
      <c r="F743" s="515">
        <f>E743*F739</f>
        <v>0</v>
      </c>
      <c r="G743" s="514"/>
      <c r="H743" s="8"/>
      <c r="I743" s="514"/>
      <c r="J743" s="8"/>
      <c r="K743" s="514">
        <v>25.86</v>
      </c>
      <c r="L743" s="8">
        <f t="shared" si="67"/>
        <v>0</v>
      </c>
      <c r="M743" s="8">
        <f t="shared" si="66"/>
        <v>0</v>
      </c>
      <c r="N743" s="579"/>
      <c r="O743" s="580"/>
    </row>
    <row r="744" spans="1:15" s="215" customFormat="1" ht="15.75" hidden="1" x14ac:dyDescent="0.25">
      <c r="A744" s="1287"/>
      <c r="B744" s="484" t="s">
        <v>562</v>
      </c>
      <c r="C744" s="13" t="s">
        <v>563</v>
      </c>
      <c r="D744" s="519" t="s">
        <v>15</v>
      </c>
      <c r="E744" s="524">
        <v>7.1000000000000002E-4</v>
      </c>
      <c r="F744" s="515">
        <f>E744*F739</f>
        <v>0</v>
      </c>
      <c r="G744" s="514"/>
      <c r="H744" s="8"/>
      <c r="I744" s="514"/>
      <c r="J744" s="8"/>
      <c r="K744" s="514">
        <v>37.590000000000003</v>
      </c>
      <c r="L744" s="8">
        <f t="shared" si="67"/>
        <v>0</v>
      </c>
      <c r="M744" s="8">
        <f t="shared" si="66"/>
        <v>0</v>
      </c>
      <c r="N744" s="579"/>
      <c r="O744" s="580"/>
    </row>
    <row r="745" spans="1:15" s="215" customFormat="1" ht="15.75" hidden="1" x14ac:dyDescent="0.25">
      <c r="A745" s="1287"/>
      <c r="B745" s="484" t="s">
        <v>28</v>
      </c>
      <c r="C745" s="13" t="s">
        <v>564</v>
      </c>
      <c r="D745" s="519" t="s">
        <v>15</v>
      </c>
      <c r="E745" s="524">
        <v>2.0699999999999998E-3</v>
      </c>
      <c r="F745" s="515">
        <f>E745*F739</f>
        <v>0</v>
      </c>
      <c r="G745" s="514"/>
      <c r="H745" s="8"/>
      <c r="I745" s="514"/>
      <c r="J745" s="8"/>
      <c r="K745" s="514">
        <v>57.74</v>
      </c>
      <c r="L745" s="8">
        <f t="shared" si="67"/>
        <v>0</v>
      </c>
      <c r="M745" s="8">
        <f t="shared" si="66"/>
        <v>0</v>
      </c>
      <c r="N745" s="579"/>
      <c r="O745" s="580"/>
    </row>
    <row r="746" spans="1:15" s="215" customFormat="1" ht="15.75" hidden="1" x14ac:dyDescent="0.25">
      <c r="A746" s="1287"/>
      <c r="B746" s="484"/>
      <c r="C746" s="583" t="s">
        <v>5</v>
      </c>
      <c r="D746" s="584" t="s">
        <v>4</v>
      </c>
      <c r="E746" s="524">
        <v>1.0200000000000001E-3</v>
      </c>
      <c r="F746" s="515">
        <f>E746*F739</f>
        <v>0</v>
      </c>
      <c r="G746" s="514"/>
      <c r="H746" s="8"/>
      <c r="I746" s="514"/>
      <c r="J746" s="8"/>
      <c r="K746" s="514">
        <v>4</v>
      </c>
      <c r="L746" s="8">
        <f t="shared" si="67"/>
        <v>0</v>
      </c>
      <c r="M746" s="8">
        <f t="shared" si="66"/>
        <v>0</v>
      </c>
      <c r="N746" s="579"/>
      <c r="O746" s="580"/>
    </row>
    <row r="747" spans="1:15" s="215" customFormat="1" ht="47.25" hidden="1" x14ac:dyDescent="0.25">
      <c r="A747" s="1300" t="s">
        <v>94</v>
      </c>
      <c r="B747" s="484" t="s">
        <v>565</v>
      </c>
      <c r="C747" s="582" t="s">
        <v>566</v>
      </c>
      <c r="D747" s="484" t="s">
        <v>567</v>
      </c>
      <c r="E747" s="524"/>
      <c r="F747" s="23">
        <v>0</v>
      </c>
      <c r="G747" s="12"/>
      <c r="H747" s="8"/>
      <c r="I747" s="12"/>
      <c r="J747" s="8"/>
      <c r="K747" s="12"/>
      <c r="L747" s="8"/>
      <c r="M747" s="8"/>
      <c r="N747" s="579"/>
      <c r="O747" s="580"/>
    </row>
    <row r="748" spans="1:15" s="215" customFormat="1" ht="15.75" hidden="1" x14ac:dyDescent="0.25">
      <c r="A748" s="1300"/>
      <c r="B748" s="484"/>
      <c r="C748" s="13" t="s">
        <v>13</v>
      </c>
      <c r="D748" s="519" t="s">
        <v>14</v>
      </c>
      <c r="E748" s="524">
        <f>20*0.001</f>
        <v>0.02</v>
      </c>
      <c r="F748" s="515">
        <f>F747*E748</f>
        <v>0</v>
      </c>
      <c r="G748" s="514"/>
      <c r="H748" s="8"/>
      <c r="I748" s="514">
        <v>6</v>
      </c>
      <c r="J748" s="8">
        <f t="shared" ref="J748:J757" si="68">F748*I748</f>
        <v>0</v>
      </c>
      <c r="K748" s="514"/>
      <c r="L748" s="8"/>
      <c r="M748" s="8">
        <f>H748+J748+L748</f>
        <v>0</v>
      </c>
      <c r="N748" s="579"/>
      <c r="O748" s="580"/>
    </row>
    <row r="749" spans="1:15" s="215" customFormat="1" ht="18" hidden="1" x14ac:dyDescent="0.25">
      <c r="A749" s="1300"/>
      <c r="B749" s="484" t="s">
        <v>568</v>
      </c>
      <c r="C749" s="13" t="s">
        <v>569</v>
      </c>
      <c r="D749" s="519" t="s">
        <v>15</v>
      </c>
      <c r="E749" s="524">
        <f>44.8*0.001</f>
        <v>4.48E-2</v>
      </c>
      <c r="F749" s="515">
        <f>F747*E749</f>
        <v>0</v>
      </c>
      <c r="G749" s="514"/>
      <c r="H749" s="514"/>
      <c r="I749" s="514"/>
      <c r="J749" s="514"/>
      <c r="K749" s="514">
        <v>19.71</v>
      </c>
      <c r="L749" s="8">
        <f t="shared" ref="L749:L758" si="69">F749*K749</f>
        <v>0</v>
      </c>
      <c r="M749" s="8">
        <f t="shared" ref="M749:M808" si="70">H749+J749+L749</f>
        <v>0</v>
      </c>
      <c r="N749" s="579"/>
      <c r="O749" s="580"/>
    </row>
    <row r="750" spans="1:15" s="215" customFormat="1" ht="15.75" hidden="1" x14ac:dyDescent="0.25">
      <c r="A750" s="1300"/>
      <c r="B750" s="585"/>
      <c r="C750" s="13" t="s">
        <v>30</v>
      </c>
      <c r="D750" s="519" t="s">
        <v>29</v>
      </c>
      <c r="E750" s="524">
        <f>0.05*0.001</f>
        <v>5.0000000000000002E-5</v>
      </c>
      <c r="F750" s="515">
        <f>F747*E750</f>
        <v>0</v>
      </c>
      <c r="G750" s="514">
        <v>16.899999999999999</v>
      </c>
      <c r="H750" s="514">
        <f>F750*G750</f>
        <v>0</v>
      </c>
      <c r="I750" s="514"/>
      <c r="J750" s="514"/>
      <c r="K750" s="514"/>
      <c r="L750" s="8"/>
      <c r="M750" s="8">
        <f t="shared" si="70"/>
        <v>0</v>
      </c>
      <c r="N750" s="579"/>
      <c r="O750" s="580"/>
    </row>
    <row r="751" spans="1:15" s="215" customFormat="1" ht="47.25" x14ac:dyDescent="0.25">
      <c r="A751" s="1287" t="s">
        <v>87</v>
      </c>
      <c r="B751" s="586" t="s">
        <v>31</v>
      </c>
      <c r="C751" s="582" t="s">
        <v>570</v>
      </c>
      <c r="D751" s="484" t="s">
        <v>32</v>
      </c>
      <c r="E751" s="10"/>
      <c r="F751" s="23">
        <f>15.3*14.3*0.15+0.5*0.5*1*(28)+0.5*0.5*1.3*(2)</f>
        <v>40.468499999999999</v>
      </c>
      <c r="G751" s="12"/>
      <c r="H751" s="8"/>
      <c r="I751" s="12"/>
      <c r="J751" s="8"/>
      <c r="K751" s="12"/>
      <c r="L751" s="8"/>
      <c r="M751" s="8"/>
      <c r="N751" s="579"/>
      <c r="O751" s="587" t="s">
        <v>628</v>
      </c>
    </row>
    <row r="752" spans="1:15" s="215" customFormat="1" ht="15.75" x14ac:dyDescent="0.25">
      <c r="A752" s="1287"/>
      <c r="B752" s="588"/>
      <c r="C752" s="689" t="s">
        <v>33</v>
      </c>
      <c r="D752" s="588" t="s">
        <v>34</v>
      </c>
      <c r="E752" s="589">
        <v>3.88</v>
      </c>
      <c r="F752" s="590">
        <f>F751*E752</f>
        <v>157.01777999999999</v>
      </c>
      <c r="G752" s="17"/>
      <c r="H752" s="8"/>
      <c r="I752" s="17"/>
      <c r="J752" s="8">
        <f t="shared" si="68"/>
        <v>0</v>
      </c>
      <c r="K752" s="18"/>
      <c r="L752" s="8"/>
      <c r="M752" s="8">
        <f t="shared" si="70"/>
        <v>0</v>
      </c>
      <c r="N752" s="579"/>
      <c r="O752" s="580"/>
    </row>
    <row r="753" spans="1:15" s="215" customFormat="1" ht="31.5" x14ac:dyDescent="0.25">
      <c r="A753" s="1259" t="s">
        <v>89</v>
      </c>
      <c r="B753" s="591" t="s">
        <v>91</v>
      </c>
      <c r="C753" s="280" t="s">
        <v>269</v>
      </c>
      <c r="D753" s="275" t="s">
        <v>294</v>
      </c>
      <c r="E753" s="276"/>
      <c r="F753" s="277">
        <f>F751*1.95</f>
        <v>78.913574999999994</v>
      </c>
      <c r="G753" s="514"/>
      <c r="H753" s="8"/>
      <c r="I753" s="514"/>
      <c r="J753" s="8"/>
      <c r="K753" s="514"/>
      <c r="L753" s="8"/>
      <c r="M753" s="8"/>
      <c r="N753" s="579"/>
      <c r="O753" s="580"/>
    </row>
    <row r="754" spans="1:15" s="215" customFormat="1" ht="15.75" x14ac:dyDescent="0.25">
      <c r="A754" s="1260"/>
      <c r="B754" s="519"/>
      <c r="C754" s="281" t="s">
        <v>54</v>
      </c>
      <c r="D754" s="48" t="s">
        <v>6</v>
      </c>
      <c r="E754" s="49">
        <v>0.53</v>
      </c>
      <c r="F754" s="520">
        <f>F753*E754</f>
        <v>41.824194749999997</v>
      </c>
      <c r="G754" s="514"/>
      <c r="H754" s="8"/>
      <c r="I754" s="514"/>
      <c r="J754" s="8">
        <f t="shared" ref="J754" si="71">F754*I754</f>
        <v>0</v>
      </c>
      <c r="K754" s="514"/>
      <c r="L754" s="8"/>
      <c r="M754" s="8">
        <f t="shared" ref="M754" si="72">H754+J754+L754</f>
        <v>0</v>
      </c>
      <c r="N754" s="579"/>
      <c r="O754" s="580"/>
    </row>
    <row r="755" spans="1:15" s="215" customFormat="1" ht="15.75" x14ac:dyDescent="0.25">
      <c r="A755" s="1261"/>
      <c r="B755" s="362"/>
      <c r="C755" s="582" t="s">
        <v>821</v>
      </c>
      <c r="D755" s="484" t="s">
        <v>571</v>
      </c>
      <c r="E755" s="524">
        <v>1.95</v>
      </c>
      <c r="F755" s="84">
        <f>E755*(F751+F747)</f>
        <v>78.913574999999994</v>
      </c>
      <c r="G755" s="12"/>
      <c r="H755" s="8"/>
      <c r="I755" s="12"/>
      <c r="J755" s="8"/>
      <c r="K755" s="19"/>
      <c r="L755" s="8">
        <f t="shared" si="69"/>
        <v>0</v>
      </c>
      <c r="M755" s="8">
        <f t="shared" si="70"/>
        <v>0</v>
      </c>
      <c r="N755" s="579"/>
      <c r="O755" s="580"/>
    </row>
    <row r="756" spans="1:15" s="215" customFormat="1" ht="47.25" x14ac:dyDescent="0.25">
      <c r="A756" s="1301" t="s">
        <v>90</v>
      </c>
      <c r="B756" s="484" t="s">
        <v>35</v>
      </c>
      <c r="C756" s="582" t="s">
        <v>572</v>
      </c>
      <c r="D756" s="484" t="s">
        <v>32</v>
      </c>
      <c r="E756" s="10"/>
      <c r="F756" s="23">
        <f>15.3*14.3*0.15+0.5*0.5*0.1*(28+2)</f>
        <v>33.5685</v>
      </c>
      <c r="G756" s="12"/>
      <c r="H756" s="8"/>
      <c r="I756" s="12"/>
      <c r="J756" s="8"/>
      <c r="K756" s="12"/>
      <c r="L756" s="8"/>
      <c r="M756" s="8"/>
      <c r="N756" s="579"/>
      <c r="O756" s="592"/>
    </row>
    <row r="757" spans="1:15" s="215" customFormat="1" ht="15.75" x14ac:dyDescent="0.25">
      <c r="A757" s="1301"/>
      <c r="B757" s="532"/>
      <c r="C757" s="581" t="s">
        <v>36</v>
      </c>
      <c r="D757" s="532" t="s">
        <v>6</v>
      </c>
      <c r="E757" s="2">
        <v>3.52</v>
      </c>
      <c r="F757" s="293">
        <f>F756*E757</f>
        <v>118.16112</v>
      </c>
      <c r="G757" s="8"/>
      <c r="H757" s="8"/>
      <c r="I757" s="8"/>
      <c r="J757" s="8">
        <f t="shared" si="68"/>
        <v>0</v>
      </c>
      <c r="K757" s="8"/>
      <c r="L757" s="8"/>
      <c r="M757" s="8">
        <f t="shared" si="70"/>
        <v>0</v>
      </c>
      <c r="N757" s="579"/>
      <c r="O757" s="580"/>
    </row>
    <row r="758" spans="1:15" s="215" customFormat="1" ht="15.75" x14ac:dyDescent="0.25">
      <c r="A758" s="1301"/>
      <c r="B758" s="532"/>
      <c r="C758" s="581" t="s">
        <v>17</v>
      </c>
      <c r="D758" s="532" t="s">
        <v>4</v>
      </c>
      <c r="E758" s="2">
        <v>1.06</v>
      </c>
      <c r="F758" s="293">
        <f>F756*E758</f>
        <v>35.582610000000003</v>
      </c>
      <c r="G758" s="8"/>
      <c r="H758" s="8"/>
      <c r="I758" s="8"/>
      <c r="J758" s="8"/>
      <c r="K758" s="8"/>
      <c r="L758" s="8">
        <f t="shared" si="69"/>
        <v>0</v>
      </c>
      <c r="M758" s="8">
        <f t="shared" si="70"/>
        <v>0</v>
      </c>
      <c r="N758" s="579"/>
      <c r="O758" s="580"/>
    </row>
    <row r="759" spans="1:15" s="215" customFormat="1" ht="15.75" x14ac:dyDescent="0.25">
      <c r="A759" s="1301"/>
      <c r="B759" s="593"/>
      <c r="C759" s="581" t="s">
        <v>30</v>
      </c>
      <c r="D759" s="532" t="s">
        <v>37</v>
      </c>
      <c r="E759" s="2">
        <f>0.18+0.09+0.97</f>
        <v>1.24</v>
      </c>
      <c r="F759" s="293">
        <f>F756*E759</f>
        <v>41.624940000000002</v>
      </c>
      <c r="G759" s="514"/>
      <c r="H759" s="8">
        <f t="shared" ref="H759:H760" si="73">F759*G759</f>
        <v>0</v>
      </c>
      <c r="I759" s="8"/>
      <c r="J759" s="8"/>
      <c r="K759" s="8"/>
      <c r="L759" s="8"/>
      <c r="M759" s="8">
        <f t="shared" si="70"/>
        <v>0</v>
      </c>
      <c r="N759" s="579"/>
      <c r="O759" s="580"/>
    </row>
    <row r="760" spans="1:15" s="215" customFormat="1" ht="15.75" x14ac:dyDescent="0.25">
      <c r="A760" s="1301"/>
      <c r="B760" s="532"/>
      <c r="C760" s="581" t="s">
        <v>7</v>
      </c>
      <c r="D760" s="532" t="s">
        <v>4</v>
      </c>
      <c r="E760" s="2">
        <v>0.02</v>
      </c>
      <c r="F760" s="293">
        <f>F756*E760</f>
        <v>0.67137000000000002</v>
      </c>
      <c r="G760" s="8"/>
      <c r="H760" s="8">
        <f t="shared" si="73"/>
        <v>0</v>
      </c>
      <c r="I760" s="8"/>
      <c r="J760" s="8"/>
      <c r="K760" s="8"/>
      <c r="L760" s="8"/>
      <c r="M760" s="8">
        <f t="shared" si="70"/>
        <v>0</v>
      </c>
      <c r="N760" s="579"/>
      <c r="O760" s="580"/>
    </row>
    <row r="761" spans="1:15" s="4" customFormat="1" ht="47.25" x14ac:dyDescent="0.25">
      <c r="A761" s="1301" t="s">
        <v>82</v>
      </c>
      <c r="B761" s="220" t="s">
        <v>573</v>
      </c>
      <c r="C761" s="594" t="s">
        <v>574</v>
      </c>
      <c r="D761" s="220" t="s">
        <v>32</v>
      </c>
      <c r="E761" s="595"/>
      <c r="F761" s="78">
        <f>(0.5*0.5*1)*(28)  +  (0.5*0.5*1+0.3*0.3*0.3)*(2)</f>
        <v>7.5540000000000003</v>
      </c>
      <c r="G761" s="12"/>
      <c r="H761" s="8"/>
      <c r="I761" s="12"/>
      <c r="J761" s="8"/>
      <c r="K761" s="12"/>
      <c r="L761" s="8"/>
      <c r="M761" s="8"/>
      <c r="N761" s="596"/>
      <c r="O761" s="592"/>
    </row>
    <row r="762" spans="1:15" s="4" customFormat="1" ht="15.75" x14ac:dyDescent="0.25">
      <c r="A762" s="1301"/>
      <c r="B762" s="220"/>
      <c r="C762" s="576" t="s">
        <v>494</v>
      </c>
      <c r="D762" s="297" t="s">
        <v>14</v>
      </c>
      <c r="E762" s="20">
        <v>6.66</v>
      </c>
      <c r="F762" s="21">
        <f>E762*F761</f>
        <v>50.309640000000002</v>
      </c>
      <c r="G762" s="537"/>
      <c r="H762" s="8"/>
      <c r="I762" s="537"/>
      <c r="J762" s="8">
        <f t="shared" ref="J762" si="74">F762*I762</f>
        <v>0</v>
      </c>
      <c r="K762" s="537"/>
      <c r="L762" s="8"/>
      <c r="M762" s="8">
        <f t="shared" si="70"/>
        <v>0</v>
      </c>
      <c r="N762" s="596"/>
      <c r="O762" s="592"/>
    </row>
    <row r="763" spans="1:15" s="4" customFormat="1" ht="15.75" x14ac:dyDescent="0.25">
      <c r="A763" s="1301"/>
      <c r="B763" s="220"/>
      <c r="C763" s="583" t="s">
        <v>5</v>
      </c>
      <c r="D763" s="597" t="s">
        <v>4</v>
      </c>
      <c r="E763" s="20">
        <v>0.59</v>
      </c>
      <c r="F763" s="21">
        <f>E763*F761</f>
        <v>4.4568599999999998</v>
      </c>
      <c r="G763" s="537"/>
      <c r="H763" s="8"/>
      <c r="I763" s="537"/>
      <c r="J763" s="8"/>
      <c r="K763" s="537"/>
      <c r="L763" s="8">
        <f t="shared" ref="L763" si="75">F763*K763</f>
        <v>0</v>
      </c>
      <c r="M763" s="8">
        <f t="shared" si="70"/>
        <v>0</v>
      </c>
      <c r="N763" s="596"/>
      <c r="O763" s="592"/>
    </row>
    <row r="764" spans="1:15" s="4" customFormat="1" ht="15.75" x14ac:dyDescent="0.25">
      <c r="A764" s="1301"/>
      <c r="B764" s="297"/>
      <c r="C764" s="576" t="s">
        <v>317</v>
      </c>
      <c r="D764" s="297" t="s">
        <v>29</v>
      </c>
      <c r="E764" s="20">
        <v>1.0149999999999999</v>
      </c>
      <c r="F764" s="21">
        <f>E764*F761</f>
        <v>7.6673099999999996</v>
      </c>
      <c r="G764" s="537"/>
      <c r="H764" s="8">
        <f t="shared" ref="H764:H767" si="76">F764*G764</f>
        <v>0</v>
      </c>
      <c r="I764" s="537"/>
      <c r="J764" s="8"/>
      <c r="K764" s="537"/>
      <c r="L764" s="8"/>
      <c r="M764" s="8">
        <f t="shared" si="70"/>
        <v>0</v>
      </c>
      <c r="N764" s="596"/>
      <c r="O764" s="592"/>
    </row>
    <row r="765" spans="1:15" s="215" customFormat="1" ht="15.75" x14ac:dyDescent="0.25">
      <c r="A765" s="1301"/>
      <c r="B765" s="297"/>
      <c r="C765" s="576" t="s">
        <v>575</v>
      </c>
      <c r="D765" s="297" t="s">
        <v>576</v>
      </c>
      <c r="E765" s="20">
        <v>1.6</v>
      </c>
      <c r="F765" s="21">
        <f>E765*F761</f>
        <v>12.086400000000001</v>
      </c>
      <c r="G765" s="537"/>
      <c r="H765" s="8">
        <f t="shared" si="76"/>
        <v>0</v>
      </c>
      <c r="I765" s="537"/>
      <c r="J765" s="8"/>
      <c r="K765" s="537"/>
      <c r="L765" s="8"/>
      <c r="M765" s="8">
        <f t="shared" si="70"/>
        <v>0</v>
      </c>
      <c r="N765" s="579"/>
      <c r="O765" s="580"/>
    </row>
    <row r="766" spans="1:15" s="215" customFormat="1" ht="15.75" x14ac:dyDescent="0.25">
      <c r="A766" s="1301"/>
      <c r="B766" s="297"/>
      <c r="C766" s="576" t="s">
        <v>577</v>
      </c>
      <c r="D766" s="297" t="s">
        <v>29</v>
      </c>
      <c r="E766" s="20">
        <v>1.83E-2</v>
      </c>
      <c r="F766" s="21">
        <f>E766*F761</f>
        <v>0.13823820000000001</v>
      </c>
      <c r="G766" s="537"/>
      <c r="H766" s="8">
        <f t="shared" si="76"/>
        <v>0</v>
      </c>
      <c r="I766" s="537"/>
      <c r="J766" s="8"/>
      <c r="K766" s="537"/>
      <c r="L766" s="8"/>
      <c r="M766" s="8">
        <f t="shared" si="70"/>
        <v>0</v>
      </c>
      <c r="N766" s="579"/>
      <c r="O766" s="580"/>
    </row>
    <row r="767" spans="1:15" s="215" customFormat="1" ht="15.75" x14ac:dyDescent="0.25">
      <c r="A767" s="1301"/>
      <c r="B767" s="297"/>
      <c r="C767" s="583" t="s">
        <v>7</v>
      </c>
      <c r="D767" s="598" t="s">
        <v>4</v>
      </c>
      <c r="E767" s="20">
        <v>0.4</v>
      </c>
      <c r="F767" s="21">
        <f>E767*F761</f>
        <v>3.0216000000000003</v>
      </c>
      <c r="G767" s="537"/>
      <c r="H767" s="8">
        <f t="shared" si="76"/>
        <v>0</v>
      </c>
      <c r="I767" s="537"/>
      <c r="J767" s="8"/>
      <c r="K767" s="537"/>
      <c r="L767" s="8"/>
      <c r="M767" s="8">
        <f t="shared" si="70"/>
        <v>0</v>
      </c>
      <c r="N767" s="579"/>
      <c r="O767" s="580"/>
    </row>
    <row r="768" spans="1:15" s="215" customFormat="1" ht="15.75" x14ac:dyDescent="0.25">
      <c r="A768" s="1301"/>
      <c r="B768" s="297"/>
      <c r="C768" s="401" t="s">
        <v>578</v>
      </c>
      <c r="D768" s="297" t="s">
        <v>38</v>
      </c>
      <c r="E768" s="20">
        <v>0.03</v>
      </c>
      <c r="F768" s="78">
        <f>0.5*4*2*30*1.03*0.395/1000</f>
        <v>4.8822000000000004E-2</v>
      </c>
      <c r="G768" s="537"/>
      <c r="H768" s="8">
        <f>F768*G768</f>
        <v>0</v>
      </c>
      <c r="I768" s="537"/>
      <c r="J768" s="8"/>
      <c r="K768" s="537"/>
      <c r="L768" s="8"/>
      <c r="M768" s="8">
        <f t="shared" si="70"/>
        <v>0</v>
      </c>
      <c r="N768" s="579"/>
      <c r="O768" s="580"/>
    </row>
    <row r="769" spans="1:15" s="215" customFormat="1" ht="15.75" hidden="1" x14ac:dyDescent="0.25">
      <c r="A769" s="1301"/>
      <c r="B769" s="297"/>
      <c r="C769" s="401" t="s">
        <v>579</v>
      </c>
      <c r="D769" s="297" t="s">
        <v>38</v>
      </c>
      <c r="E769" s="20">
        <v>1.03</v>
      </c>
      <c r="F769" s="78">
        <v>0</v>
      </c>
      <c r="G769" s="537">
        <v>1729</v>
      </c>
      <c r="H769" s="8">
        <f>F769*G769</f>
        <v>0</v>
      </c>
      <c r="I769" s="537"/>
      <c r="J769" s="8"/>
      <c r="K769" s="537"/>
      <c r="L769" s="8"/>
      <c r="M769" s="8">
        <f t="shared" si="70"/>
        <v>0</v>
      </c>
      <c r="N769" s="579"/>
      <c r="O769" s="580"/>
    </row>
    <row r="770" spans="1:15" s="215" customFormat="1" ht="31.5" x14ac:dyDescent="0.25">
      <c r="A770" s="1305" t="s">
        <v>40</v>
      </c>
      <c r="B770" s="220" t="s">
        <v>580</v>
      </c>
      <c r="C770" s="594" t="s">
        <v>581</v>
      </c>
      <c r="D770" s="220" t="s">
        <v>32</v>
      </c>
      <c r="E770" s="595"/>
      <c r="F770" s="78">
        <f>0.3*0.3*(15.3+13.7)*2</f>
        <v>5.22</v>
      </c>
      <c r="G770" s="12"/>
      <c r="H770" s="8"/>
      <c r="I770" s="12"/>
      <c r="J770" s="8"/>
      <c r="K770" s="12"/>
      <c r="L770" s="8"/>
      <c r="M770" s="8"/>
      <c r="N770" s="579"/>
      <c r="O770" s="580"/>
    </row>
    <row r="771" spans="1:15" s="215" customFormat="1" ht="15.75" x14ac:dyDescent="0.25">
      <c r="A771" s="1306"/>
      <c r="B771" s="297"/>
      <c r="C771" s="576" t="s">
        <v>494</v>
      </c>
      <c r="D771" s="297" t="s">
        <v>14</v>
      </c>
      <c r="E771" s="20">
        <v>11.11</v>
      </c>
      <c r="F771" s="21">
        <f>E771*F770</f>
        <v>57.994199999999992</v>
      </c>
      <c r="G771" s="537"/>
      <c r="H771" s="8"/>
      <c r="I771" s="537"/>
      <c r="J771" s="8">
        <f t="shared" ref="J771" si="77">F771*I771</f>
        <v>0</v>
      </c>
      <c r="K771" s="537"/>
      <c r="L771" s="8"/>
      <c r="M771" s="8">
        <f t="shared" si="70"/>
        <v>0</v>
      </c>
      <c r="N771" s="579"/>
      <c r="O771" s="580"/>
    </row>
    <row r="772" spans="1:15" s="215" customFormat="1" ht="15.75" x14ac:dyDescent="0.25">
      <c r="A772" s="1306"/>
      <c r="B772" s="297"/>
      <c r="C772" s="583" t="s">
        <v>5</v>
      </c>
      <c r="D772" s="597" t="s">
        <v>4</v>
      </c>
      <c r="E772" s="20">
        <v>0.96</v>
      </c>
      <c r="F772" s="21">
        <f>E772*F770</f>
        <v>5.0111999999999997</v>
      </c>
      <c r="G772" s="537"/>
      <c r="H772" s="8"/>
      <c r="I772" s="537"/>
      <c r="J772" s="8"/>
      <c r="K772" s="537"/>
      <c r="L772" s="8">
        <f t="shared" ref="L772" si="78">F772*K772</f>
        <v>0</v>
      </c>
      <c r="M772" s="8">
        <f t="shared" si="70"/>
        <v>0</v>
      </c>
      <c r="N772" s="579"/>
      <c r="O772" s="580"/>
    </row>
    <row r="773" spans="1:15" s="215" customFormat="1" ht="15.75" x14ac:dyDescent="0.25">
      <c r="A773" s="1306"/>
      <c r="B773" s="297"/>
      <c r="C773" s="576" t="s">
        <v>317</v>
      </c>
      <c r="D773" s="297" t="s">
        <v>29</v>
      </c>
      <c r="E773" s="20">
        <v>1.0149999999999999</v>
      </c>
      <c r="F773" s="21">
        <f>E773*F770</f>
        <v>5.2982999999999993</v>
      </c>
      <c r="G773" s="537"/>
      <c r="H773" s="8">
        <f t="shared" ref="H773:H777" si="79">F773*G773</f>
        <v>0</v>
      </c>
      <c r="I773" s="537"/>
      <c r="J773" s="8"/>
      <c r="K773" s="537"/>
      <c r="L773" s="8"/>
      <c r="M773" s="8">
        <f t="shared" si="70"/>
        <v>0</v>
      </c>
      <c r="N773" s="579"/>
      <c r="O773" s="580"/>
    </row>
    <row r="774" spans="1:15" s="215" customFormat="1" ht="15.75" x14ac:dyDescent="0.25">
      <c r="A774" s="1306"/>
      <c r="B774" s="297"/>
      <c r="C774" s="576" t="s">
        <v>575</v>
      </c>
      <c r="D774" s="297" t="s">
        <v>576</v>
      </c>
      <c r="E774" s="20">
        <v>2.0499999999999998</v>
      </c>
      <c r="F774" s="21">
        <f>E774*F770</f>
        <v>10.700999999999999</v>
      </c>
      <c r="G774" s="537"/>
      <c r="H774" s="8">
        <f t="shared" si="79"/>
        <v>0</v>
      </c>
      <c r="I774" s="537"/>
      <c r="J774" s="8"/>
      <c r="K774" s="537"/>
      <c r="L774" s="8"/>
      <c r="M774" s="8">
        <f t="shared" si="70"/>
        <v>0</v>
      </c>
      <c r="N774" s="579"/>
      <c r="O774" s="580"/>
    </row>
    <row r="775" spans="1:15" s="215" customFormat="1" ht="15.75" x14ac:dyDescent="0.25">
      <c r="A775" s="1306"/>
      <c r="B775" s="297"/>
      <c r="C775" s="576" t="s">
        <v>577</v>
      </c>
      <c r="D775" s="297" t="s">
        <v>29</v>
      </c>
      <c r="E775" s="20">
        <f>(0.3+2.78)/100</f>
        <v>3.0799999999999998E-2</v>
      </c>
      <c r="F775" s="21">
        <f>E775*F770</f>
        <v>0.16077599999999997</v>
      </c>
      <c r="G775" s="537"/>
      <c r="H775" s="8">
        <f t="shared" si="79"/>
        <v>0</v>
      </c>
      <c r="I775" s="537"/>
      <c r="J775" s="8"/>
      <c r="K775" s="537"/>
      <c r="L775" s="8"/>
      <c r="M775" s="8">
        <f t="shared" si="70"/>
        <v>0</v>
      </c>
      <c r="N775" s="579"/>
      <c r="O775" s="580"/>
    </row>
    <row r="776" spans="1:15" s="215" customFormat="1" ht="15.75" x14ac:dyDescent="0.25">
      <c r="A776" s="1306"/>
      <c r="B776" s="297"/>
      <c r="C776" s="576" t="s">
        <v>45</v>
      </c>
      <c r="D776" s="297" t="s">
        <v>2</v>
      </c>
      <c r="E776" s="20">
        <v>1.7</v>
      </c>
      <c r="F776" s="21">
        <f>F770*E776</f>
        <v>8.8739999999999988</v>
      </c>
      <c r="G776" s="537"/>
      <c r="H776" s="8">
        <f t="shared" si="79"/>
        <v>0</v>
      </c>
      <c r="I776" s="537"/>
      <c r="J776" s="8"/>
      <c r="K776" s="537"/>
      <c r="L776" s="8"/>
      <c r="M776" s="8">
        <f t="shared" si="70"/>
        <v>0</v>
      </c>
      <c r="N776" s="579"/>
      <c r="O776" s="580"/>
    </row>
    <row r="777" spans="1:15" s="215" customFormat="1" ht="15.75" x14ac:dyDescent="0.25">
      <c r="A777" s="1306"/>
      <c r="B777" s="297"/>
      <c r="C777" s="576" t="s">
        <v>7</v>
      </c>
      <c r="D777" s="297" t="s">
        <v>4</v>
      </c>
      <c r="E777" s="20">
        <v>0.7</v>
      </c>
      <c r="F777" s="21">
        <f>F770*E777</f>
        <v>3.6539999999999995</v>
      </c>
      <c r="G777" s="537"/>
      <c r="H777" s="8">
        <f t="shared" si="79"/>
        <v>0</v>
      </c>
      <c r="I777" s="537"/>
      <c r="J777" s="8"/>
      <c r="K777" s="537"/>
      <c r="L777" s="8"/>
      <c r="M777" s="8">
        <f t="shared" si="70"/>
        <v>0</v>
      </c>
      <c r="N777" s="579"/>
      <c r="O777" s="580"/>
    </row>
    <row r="778" spans="1:15" s="215" customFormat="1" ht="15.75" x14ac:dyDescent="0.25">
      <c r="A778" s="1306"/>
      <c r="B778" s="297"/>
      <c r="C778" s="401" t="s">
        <v>578</v>
      </c>
      <c r="D778" s="297" t="s">
        <v>38</v>
      </c>
      <c r="E778" s="20">
        <v>0.03</v>
      </c>
      <c r="F778" s="78">
        <f>(4*(15.3*2+13.7*2)*1.03*0.888/1000)</f>
        <v>0.21219648000000002</v>
      </c>
      <c r="G778" s="537"/>
      <c r="H778" s="8">
        <f>F778*G778</f>
        <v>0</v>
      </c>
      <c r="I778" s="537"/>
      <c r="J778" s="8"/>
      <c r="K778" s="537"/>
      <c r="L778" s="8"/>
      <c r="M778" s="8">
        <f t="shared" si="70"/>
        <v>0</v>
      </c>
      <c r="N778" s="579"/>
      <c r="O778" s="580"/>
    </row>
    <row r="779" spans="1:15" s="215" customFormat="1" ht="15.75" x14ac:dyDescent="0.25">
      <c r="A779" s="1307"/>
      <c r="B779" s="297"/>
      <c r="C779" s="401" t="s">
        <v>579</v>
      </c>
      <c r="D779" s="297" t="s">
        <v>38</v>
      </c>
      <c r="E779" s="20">
        <v>1.03</v>
      </c>
      <c r="F779" s="78">
        <f>(  (0.3+0.3)*2*((15.3*2+13.7*2)/0.15+1)  )*1.03*0.222/1000</f>
        <v>0.10637263199999999</v>
      </c>
      <c r="G779" s="537"/>
      <c r="H779" s="8">
        <f>F779*G779</f>
        <v>0</v>
      </c>
      <c r="I779" s="537"/>
      <c r="J779" s="8"/>
      <c r="K779" s="537"/>
      <c r="L779" s="8"/>
      <c r="M779" s="8">
        <f t="shared" si="70"/>
        <v>0</v>
      </c>
      <c r="N779" s="579"/>
      <c r="O779" s="580"/>
    </row>
    <row r="780" spans="1:15" s="215" customFormat="1" ht="31.5" x14ac:dyDescent="0.25">
      <c r="A780" s="1301" t="s">
        <v>46</v>
      </c>
      <c r="B780" s="220" t="s">
        <v>582</v>
      </c>
      <c r="C780" s="599" t="s">
        <v>583</v>
      </c>
      <c r="D780" s="600" t="s">
        <v>37</v>
      </c>
      <c r="E780" s="20"/>
      <c r="F780" s="78">
        <f>(15.3*14.3)*0.15</f>
        <v>32.8185</v>
      </c>
      <c r="G780" s="537"/>
      <c r="H780" s="8"/>
      <c r="I780" s="537"/>
      <c r="J780" s="8"/>
      <c r="K780" s="537"/>
      <c r="L780" s="8"/>
      <c r="M780" s="8"/>
      <c r="N780" s="579"/>
      <c r="O780" s="580"/>
    </row>
    <row r="781" spans="1:15" s="215" customFormat="1" ht="15.75" x14ac:dyDescent="0.25">
      <c r="A781" s="1301"/>
      <c r="B781" s="220"/>
      <c r="C781" s="576" t="s">
        <v>494</v>
      </c>
      <c r="D781" s="297" t="s">
        <v>14</v>
      </c>
      <c r="E781" s="20">
        <v>8.4</v>
      </c>
      <c r="F781" s="21">
        <f>E781*F780</f>
        <v>275.67540000000002</v>
      </c>
      <c r="G781" s="537"/>
      <c r="H781" s="8"/>
      <c r="I781" s="537"/>
      <c r="J781" s="8">
        <f t="shared" ref="J781" si="80">F781*I781</f>
        <v>0</v>
      </c>
      <c r="K781" s="537"/>
      <c r="L781" s="8"/>
      <c r="M781" s="8">
        <f t="shared" si="70"/>
        <v>0</v>
      </c>
      <c r="N781" s="579"/>
      <c r="O781" s="580"/>
    </row>
    <row r="782" spans="1:15" s="215" customFormat="1" ht="15.75" x14ac:dyDescent="0.25">
      <c r="A782" s="1301"/>
      <c r="B782" s="220"/>
      <c r="C782" s="583" t="s">
        <v>5</v>
      </c>
      <c r="D782" s="597" t="s">
        <v>4</v>
      </c>
      <c r="E782" s="20">
        <v>0.81</v>
      </c>
      <c r="F782" s="21">
        <f>E782*F780</f>
        <v>26.582985000000001</v>
      </c>
      <c r="G782" s="537"/>
      <c r="H782" s="8"/>
      <c r="I782" s="537"/>
      <c r="J782" s="8"/>
      <c r="K782" s="537"/>
      <c r="L782" s="8">
        <f t="shared" ref="L782" si="81">F782*K782</f>
        <v>0</v>
      </c>
      <c r="M782" s="8">
        <f t="shared" si="70"/>
        <v>0</v>
      </c>
      <c r="N782" s="579"/>
      <c r="O782" s="580"/>
    </row>
    <row r="783" spans="1:15" s="215" customFormat="1" ht="15.75" x14ac:dyDescent="0.25">
      <c r="A783" s="1301"/>
      <c r="B783" s="297"/>
      <c r="C783" s="576" t="s">
        <v>584</v>
      </c>
      <c r="D783" s="297" t="s">
        <v>29</v>
      </c>
      <c r="E783" s="20">
        <v>1.0149999999999999</v>
      </c>
      <c r="F783" s="21">
        <f>E783*F780</f>
        <v>33.3107775</v>
      </c>
      <c r="G783" s="537"/>
      <c r="H783" s="8">
        <f t="shared" ref="H783:H788" si="82">F783*G783</f>
        <v>0</v>
      </c>
      <c r="I783" s="537"/>
      <c r="J783" s="8"/>
      <c r="K783" s="537"/>
      <c r="L783" s="8"/>
      <c r="M783" s="8">
        <f t="shared" si="70"/>
        <v>0</v>
      </c>
      <c r="N783" s="579"/>
      <c r="O783" s="580"/>
    </row>
    <row r="784" spans="1:15" s="215" customFormat="1" ht="15.75" x14ac:dyDescent="0.25">
      <c r="A784" s="1301"/>
      <c r="B784" s="297"/>
      <c r="C784" s="401" t="s">
        <v>578</v>
      </c>
      <c r="D784" s="220" t="s">
        <v>38</v>
      </c>
      <c r="E784" s="595">
        <v>0.03</v>
      </c>
      <c r="F784" s="78">
        <f>(15.3*14.3)*16*1 *1.03*0.395/1000</f>
        <v>1.4242353840000004</v>
      </c>
      <c r="G784" s="537"/>
      <c r="H784" s="8">
        <f t="shared" si="82"/>
        <v>0</v>
      </c>
      <c r="I784" s="537"/>
      <c r="J784" s="8"/>
      <c r="K784" s="537"/>
      <c r="L784" s="8"/>
      <c r="M784" s="8">
        <f t="shared" si="70"/>
        <v>0</v>
      </c>
      <c r="N784" s="579"/>
      <c r="O784" s="580"/>
    </row>
    <row r="785" spans="1:15" s="215" customFormat="1" ht="15.75" x14ac:dyDescent="0.25">
      <c r="A785" s="1301"/>
      <c r="B785" s="297"/>
      <c r="C785" s="401" t="s">
        <v>579</v>
      </c>
      <c r="D785" s="297" t="s">
        <v>38</v>
      </c>
      <c r="E785" s="20">
        <v>1.03</v>
      </c>
      <c r="F785" s="78">
        <v>0</v>
      </c>
      <c r="G785" s="537"/>
      <c r="H785" s="8">
        <f t="shared" si="82"/>
        <v>0</v>
      </c>
      <c r="I785" s="537"/>
      <c r="J785" s="8"/>
      <c r="K785" s="537"/>
      <c r="L785" s="8"/>
      <c r="M785" s="8">
        <f t="shared" si="70"/>
        <v>0</v>
      </c>
      <c r="N785" s="579"/>
      <c r="O785" s="580"/>
    </row>
    <row r="786" spans="1:15" s="215" customFormat="1" ht="15.75" x14ac:dyDescent="0.25">
      <c r="A786" s="1301"/>
      <c r="B786" s="297"/>
      <c r="C786" s="576" t="s">
        <v>489</v>
      </c>
      <c r="D786" s="297" t="s">
        <v>37</v>
      </c>
      <c r="E786" s="20">
        <v>1.37</v>
      </c>
      <c r="F786" s="21">
        <f>F780*E786</f>
        <v>44.961345000000001</v>
      </c>
      <c r="G786" s="537"/>
      <c r="H786" s="8">
        <f t="shared" si="82"/>
        <v>0</v>
      </c>
      <c r="I786" s="537"/>
      <c r="J786" s="8"/>
      <c r="K786" s="537"/>
      <c r="L786" s="8"/>
      <c r="M786" s="8">
        <f t="shared" si="70"/>
        <v>0</v>
      </c>
      <c r="N786" s="579"/>
      <c r="O786" s="580"/>
    </row>
    <row r="787" spans="1:15" s="215" customFormat="1" ht="15.75" x14ac:dyDescent="0.25">
      <c r="A787" s="1301"/>
      <c r="B787" s="297"/>
      <c r="C787" s="576" t="s">
        <v>39</v>
      </c>
      <c r="D787" s="297" t="s">
        <v>37</v>
      </c>
      <c r="E787" s="20">
        <f>(0.84+2.56+0.26)/100</f>
        <v>3.6600000000000001E-2</v>
      </c>
      <c r="F787" s="21">
        <f>F780*E787</f>
        <v>1.2011571000000001</v>
      </c>
      <c r="G787" s="537"/>
      <c r="H787" s="8">
        <f t="shared" si="82"/>
        <v>0</v>
      </c>
      <c r="I787" s="537"/>
      <c r="J787" s="8"/>
      <c r="K787" s="537"/>
      <c r="L787" s="8"/>
      <c r="M787" s="8">
        <f t="shared" si="70"/>
        <v>0</v>
      </c>
      <c r="N787" s="579"/>
      <c r="O787" s="580"/>
    </row>
    <row r="788" spans="1:15" s="215" customFormat="1" ht="15.75" x14ac:dyDescent="0.25">
      <c r="A788" s="1301"/>
      <c r="B788" s="220"/>
      <c r="C788" s="583" t="s">
        <v>7</v>
      </c>
      <c r="D788" s="597" t="s">
        <v>4</v>
      </c>
      <c r="E788" s="20">
        <v>0.39</v>
      </c>
      <c r="F788" s="21">
        <f>E788*F780</f>
        <v>12.799215</v>
      </c>
      <c r="G788" s="537"/>
      <c r="H788" s="8">
        <f t="shared" si="82"/>
        <v>0</v>
      </c>
      <c r="I788" s="537"/>
      <c r="J788" s="8"/>
      <c r="K788" s="537"/>
      <c r="L788" s="8"/>
      <c r="M788" s="8">
        <f t="shared" si="70"/>
        <v>0</v>
      </c>
      <c r="N788" s="579"/>
      <c r="O788" s="580"/>
    </row>
    <row r="789" spans="1:15" s="215" customFormat="1" ht="16.5" thickBot="1" x14ac:dyDescent="0.3">
      <c r="A789" s="1283" t="s">
        <v>48</v>
      </c>
      <c r="B789" s="601" t="s">
        <v>585</v>
      </c>
      <c r="C789" s="602" t="s">
        <v>586</v>
      </c>
      <c r="D789" s="294"/>
      <c r="E789" s="533"/>
      <c r="F789" s="293"/>
      <c r="G789" s="603"/>
      <c r="H789" s="603"/>
      <c r="I789" s="603"/>
      <c r="J789" s="603"/>
      <c r="K789" s="603"/>
      <c r="L789" s="603"/>
      <c r="M789" s="603"/>
      <c r="N789" s="579"/>
      <c r="O789" s="580"/>
    </row>
    <row r="790" spans="1:15" s="215" customFormat="1" ht="31.5" x14ac:dyDescent="0.25">
      <c r="A790" s="1285"/>
      <c r="B790" s="294"/>
      <c r="C790" s="604" t="s">
        <v>587</v>
      </c>
      <c r="D790" s="294" t="s">
        <v>41</v>
      </c>
      <c r="E790" s="533"/>
      <c r="F790" s="605">
        <f>((4.5+0.15+1.15)*(28)*1.1)</f>
        <v>178.64000000000004</v>
      </c>
      <c r="G790" s="606"/>
      <c r="H790" s="607"/>
      <c r="I790" s="607"/>
      <c r="J790" s="607"/>
      <c r="K790" s="607"/>
      <c r="L790" s="607"/>
      <c r="M790" s="608"/>
      <c r="N790" s="579"/>
      <c r="O790" s="592"/>
    </row>
    <row r="791" spans="1:15" s="215" customFormat="1" ht="15.75" x14ac:dyDescent="0.25">
      <c r="A791" s="1285"/>
      <c r="B791" s="294"/>
      <c r="C791" s="609"/>
      <c r="D791" s="294" t="s">
        <v>38</v>
      </c>
      <c r="E791" s="533"/>
      <c r="F791" s="605">
        <f>F790*0.00942</f>
        <v>1.6827888000000004</v>
      </c>
      <c r="G791" s="610"/>
      <c r="H791" s="411"/>
      <c r="I791" s="411"/>
      <c r="J791" s="411"/>
      <c r="K791" s="411"/>
      <c r="L791" s="411"/>
      <c r="M791" s="611"/>
      <c r="N791" s="579"/>
      <c r="O791" s="580"/>
    </row>
    <row r="792" spans="1:15" s="215" customFormat="1" ht="15.75" x14ac:dyDescent="0.25">
      <c r="A792" s="1285"/>
      <c r="B792" s="294"/>
      <c r="C792" s="403" t="s">
        <v>860</v>
      </c>
      <c r="D792" s="294" t="s">
        <v>41</v>
      </c>
      <c r="E792" s="533"/>
      <c r="F792" s="612">
        <f>(6*(15.3*2+13.7*2))*1.1</f>
        <v>382.8</v>
      </c>
      <c r="G792" s="610"/>
      <c r="H792" s="411"/>
      <c r="I792" s="411"/>
      <c r="J792" s="411"/>
      <c r="K792" s="411"/>
      <c r="L792" s="411"/>
      <c r="M792" s="611"/>
      <c r="N792" s="579"/>
      <c r="O792" s="580"/>
    </row>
    <row r="793" spans="1:15" s="215" customFormat="1" ht="15.75" x14ac:dyDescent="0.25">
      <c r="A793" s="1285"/>
      <c r="B793" s="294"/>
      <c r="C793" s="28"/>
      <c r="D793" s="294" t="s">
        <v>38</v>
      </c>
      <c r="E793" s="533"/>
      <c r="F793" s="612">
        <f>F792*0.00377</f>
        <v>1.4431560000000001</v>
      </c>
      <c r="G793" s="610"/>
      <c r="H793" s="411"/>
      <c r="I793" s="411"/>
      <c r="J793" s="411"/>
      <c r="K793" s="411"/>
      <c r="L793" s="411"/>
      <c r="M793" s="611"/>
      <c r="N793" s="579"/>
      <c r="O793" s="580"/>
    </row>
    <row r="794" spans="1:15" s="215" customFormat="1" ht="31.5" x14ac:dyDescent="0.25">
      <c r="A794" s="1285"/>
      <c r="B794" s="294"/>
      <c r="C794" s="1085" t="s">
        <v>1368</v>
      </c>
      <c r="D794" s="842" t="s">
        <v>41</v>
      </c>
      <c r="E794" s="701"/>
      <c r="F794" s="1086">
        <f>((5+1.3)*(2)*1.1)</f>
        <v>13.860000000000001</v>
      </c>
      <c r="G794" s="610"/>
      <c r="H794" s="411"/>
      <c r="I794" s="411"/>
      <c r="J794" s="411"/>
      <c r="K794" s="411"/>
      <c r="L794" s="411"/>
      <c r="M794" s="611"/>
      <c r="N794" s="579"/>
      <c r="O794" s="580"/>
    </row>
    <row r="795" spans="1:15" s="215" customFormat="1" ht="15.75" x14ac:dyDescent="0.25">
      <c r="A795" s="1285"/>
      <c r="B795" s="294"/>
      <c r="C795" s="1087"/>
      <c r="D795" s="842" t="s">
        <v>38</v>
      </c>
      <c r="E795" s="701"/>
      <c r="F795" s="1086">
        <f>F794*0.01413</f>
        <v>0.19584180000000001</v>
      </c>
      <c r="G795" s="610"/>
      <c r="H795" s="411"/>
      <c r="I795" s="411"/>
      <c r="J795" s="411"/>
      <c r="K795" s="411"/>
      <c r="L795" s="411"/>
      <c r="M795" s="611"/>
      <c r="N795" s="579"/>
      <c r="O795" s="580"/>
    </row>
    <row r="796" spans="1:15" s="215" customFormat="1" ht="15.75" x14ac:dyDescent="0.25">
      <c r="A796" s="1285"/>
      <c r="B796" s="294"/>
      <c r="C796" s="604" t="s">
        <v>589</v>
      </c>
      <c r="D796" s="294" t="s">
        <v>41</v>
      </c>
      <c r="E796" s="533"/>
      <c r="F796" s="605">
        <f>(1.2+2.4)*2*2*1.1</f>
        <v>15.84</v>
      </c>
      <c r="G796" s="610"/>
      <c r="H796" s="411"/>
      <c r="I796" s="411"/>
      <c r="J796" s="411"/>
      <c r="K796" s="411"/>
      <c r="L796" s="411"/>
      <c r="M796" s="611"/>
      <c r="N796" s="579"/>
      <c r="O796" s="580"/>
    </row>
    <row r="797" spans="1:15" s="215" customFormat="1" ht="15.75" x14ac:dyDescent="0.25">
      <c r="A797" s="1285"/>
      <c r="B797" s="294"/>
      <c r="C797" s="609"/>
      <c r="D797" s="294" t="s">
        <v>38</v>
      </c>
      <c r="E797" s="533"/>
      <c r="F797" s="605">
        <f>F796*0.004</f>
        <v>6.336E-2</v>
      </c>
      <c r="G797" s="610"/>
      <c r="H797" s="411"/>
      <c r="I797" s="411"/>
      <c r="J797" s="411"/>
      <c r="K797" s="411"/>
      <c r="L797" s="411"/>
      <c r="M797" s="611"/>
      <c r="N797" s="579"/>
      <c r="O797" s="580"/>
    </row>
    <row r="798" spans="1:15" s="215" customFormat="1" ht="16.5" thickBot="1" x14ac:dyDescent="0.3">
      <c r="A798" s="1285"/>
      <c r="B798" s="613"/>
      <c r="C798" s="614" t="s">
        <v>590</v>
      </c>
      <c r="D798" s="601" t="s">
        <v>38</v>
      </c>
      <c r="E798" s="615"/>
      <c r="F798" s="616">
        <f>F791+F793+F795+F797</f>
        <v>3.3851466000000006</v>
      </c>
      <c r="G798" s="617"/>
      <c r="H798" s="618"/>
      <c r="I798" s="618"/>
      <c r="J798" s="618"/>
      <c r="K798" s="618"/>
      <c r="L798" s="618"/>
      <c r="M798" s="619"/>
      <c r="N798" s="579"/>
      <c r="O798" s="580"/>
    </row>
    <row r="799" spans="1:15" s="215" customFormat="1" ht="15.75" x14ac:dyDescent="0.25">
      <c r="A799" s="1285"/>
      <c r="B799" s="532"/>
      <c r="C799" s="24" t="s">
        <v>36</v>
      </c>
      <c r="D799" s="532" t="s">
        <v>6</v>
      </c>
      <c r="E799" s="2">
        <v>34.9</v>
      </c>
      <c r="F799" s="293">
        <f>F798*E799</f>
        <v>118.14161634000001</v>
      </c>
      <c r="G799" s="620"/>
      <c r="H799" s="620"/>
      <c r="I799" s="620"/>
      <c r="J799" s="620">
        <f t="shared" ref="J799" si="83">F799*I799</f>
        <v>0</v>
      </c>
      <c r="K799" s="620"/>
      <c r="L799" s="620"/>
      <c r="M799" s="620">
        <f t="shared" si="70"/>
        <v>0</v>
      </c>
      <c r="N799" s="579"/>
      <c r="O799" s="580"/>
    </row>
    <row r="800" spans="1:15" s="215" customFormat="1" ht="15.75" x14ac:dyDescent="0.25">
      <c r="A800" s="1285"/>
      <c r="B800" s="532"/>
      <c r="C800" s="24" t="s">
        <v>5</v>
      </c>
      <c r="D800" s="532" t="s">
        <v>4</v>
      </c>
      <c r="E800" s="2">
        <v>4.07</v>
      </c>
      <c r="F800" s="293">
        <f>F798*E800</f>
        <v>13.777546662000002</v>
      </c>
      <c r="G800" s="8"/>
      <c r="H800" s="8"/>
      <c r="I800" s="8"/>
      <c r="J800" s="8"/>
      <c r="K800" s="8"/>
      <c r="L800" s="8">
        <f t="shared" ref="L800" si="84">F800*K800</f>
        <v>0</v>
      </c>
      <c r="M800" s="8">
        <f t="shared" si="70"/>
        <v>0</v>
      </c>
      <c r="N800" s="579"/>
      <c r="O800" s="580"/>
    </row>
    <row r="801" spans="1:15" s="215" customFormat="1" ht="15.75" x14ac:dyDescent="0.25">
      <c r="A801" s="1285"/>
      <c r="B801" s="532"/>
      <c r="C801" s="621" t="s">
        <v>591</v>
      </c>
      <c r="D801" s="622" t="s">
        <v>38</v>
      </c>
      <c r="E801" s="615">
        <v>1</v>
      </c>
      <c r="F801" s="515">
        <f>F798*E801</f>
        <v>3.3851466000000006</v>
      </c>
      <c r="G801" s="8"/>
      <c r="H801" s="8"/>
      <c r="I801" s="8"/>
      <c r="J801" s="8"/>
      <c r="K801" s="8"/>
      <c r="L801" s="8"/>
      <c r="M801" s="8">
        <f t="shared" si="70"/>
        <v>0</v>
      </c>
      <c r="N801" s="579"/>
      <c r="O801" s="580"/>
    </row>
    <row r="802" spans="1:15" s="215" customFormat="1" ht="31.5" x14ac:dyDescent="0.25">
      <c r="A802" s="1285"/>
      <c r="B802" s="532"/>
      <c r="C802" s="623" t="s">
        <v>587</v>
      </c>
      <c r="D802" s="294" t="s">
        <v>38</v>
      </c>
      <c r="E802" s="615"/>
      <c r="F802" s="515">
        <f>F791</f>
        <v>1.6827888000000004</v>
      </c>
      <c r="G802" s="8"/>
      <c r="H802" s="8">
        <f t="shared" ref="H802:H808" si="85">F802*G802</f>
        <v>0</v>
      </c>
      <c r="I802" s="8"/>
      <c r="J802" s="8"/>
      <c r="K802" s="8"/>
      <c r="L802" s="8"/>
      <c r="M802" s="8">
        <f t="shared" si="70"/>
        <v>0</v>
      </c>
      <c r="N802" s="579"/>
      <c r="O802" s="580"/>
    </row>
    <row r="803" spans="1:15" s="215" customFormat="1" ht="15.75" x14ac:dyDescent="0.25">
      <c r="A803" s="1285"/>
      <c r="B803" s="532"/>
      <c r="C803" s="13" t="s">
        <v>588</v>
      </c>
      <c r="D803" s="294" t="s">
        <v>38</v>
      </c>
      <c r="E803" s="615"/>
      <c r="F803" s="515">
        <f>F793</f>
        <v>1.4431560000000001</v>
      </c>
      <c r="G803" s="8"/>
      <c r="H803" s="8">
        <f t="shared" si="85"/>
        <v>0</v>
      </c>
      <c r="I803" s="8"/>
      <c r="J803" s="8"/>
      <c r="K803" s="8"/>
      <c r="L803" s="8"/>
      <c r="M803" s="8">
        <f t="shared" si="70"/>
        <v>0</v>
      </c>
      <c r="N803" s="579"/>
      <c r="O803" s="580"/>
    </row>
    <row r="804" spans="1:15" s="215" customFormat="1" ht="15.75" x14ac:dyDescent="0.25">
      <c r="A804" s="1285"/>
      <c r="B804" s="532"/>
      <c r="C804" s="623" t="s">
        <v>589</v>
      </c>
      <c r="D804" s="294" t="s">
        <v>38</v>
      </c>
      <c r="E804" s="2"/>
      <c r="F804" s="293">
        <f>F797</f>
        <v>6.336E-2</v>
      </c>
      <c r="G804" s="8"/>
      <c r="H804" s="8">
        <f t="shared" si="85"/>
        <v>0</v>
      </c>
      <c r="I804" s="8"/>
      <c r="J804" s="8"/>
      <c r="K804" s="8"/>
      <c r="L804" s="8"/>
      <c r="M804" s="8">
        <f t="shared" si="70"/>
        <v>0</v>
      </c>
      <c r="N804" s="579"/>
      <c r="O804" s="580"/>
    </row>
    <row r="805" spans="1:15" s="215" customFormat="1" ht="31.5" hidden="1" x14ac:dyDescent="0.25">
      <c r="A805" s="1285"/>
      <c r="B805" s="523"/>
      <c r="C805" s="42" t="s">
        <v>592</v>
      </c>
      <c r="D805" s="297" t="s">
        <v>2</v>
      </c>
      <c r="E805" s="20">
        <v>0</v>
      </c>
      <c r="F805" s="21">
        <f>F798*E805</f>
        <v>0</v>
      </c>
      <c r="G805" s="8"/>
      <c r="H805" s="8">
        <f t="shared" si="85"/>
        <v>0</v>
      </c>
      <c r="I805" s="8"/>
      <c r="J805" s="8"/>
      <c r="K805" s="8"/>
      <c r="L805" s="8"/>
      <c r="M805" s="8">
        <f t="shared" si="70"/>
        <v>0</v>
      </c>
      <c r="N805" s="579"/>
      <c r="O805" s="580"/>
    </row>
    <row r="806" spans="1:15" s="215" customFormat="1" ht="31.5" x14ac:dyDescent="0.25">
      <c r="A806" s="1285"/>
      <c r="B806" s="523"/>
      <c r="C806" s="42" t="s">
        <v>593</v>
      </c>
      <c r="D806" s="297" t="s">
        <v>2</v>
      </c>
      <c r="E806" s="20">
        <v>3.3</v>
      </c>
      <c r="F806" s="21">
        <f>F798*E806</f>
        <v>11.170983780000002</v>
      </c>
      <c r="G806" s="8"/>
      <c r="H806" s="8">
        <f>F806*G806</f>
        <v>0</v>
      </c>
      <c r="I806" s="8"/>
      <c r="J806" s="8"/>
      <c r="K806" s="8"/>
      <c r="L806" s="8"/>
      <c r="M806" s="8">
        <f>H806+J806+L806</f>
        <v>0</v>
      </c>
      <c r="N806" s="579"/>
      <c r="O806" s="580"/>
    </row>
    <row r="807" spans="1:15" s="215" customFormat="1" ht="15.75" x14ac:dyDescent="0.25">
      <c r="A807" s="1285"/>
      <c r="B807" s="523"/>
      <c r="C807" s="42" t="s">
        <v>45</v>
      </c>
      <c r="D807" s="297" t="s">
        <v>2</v>
      </c>
      <c r="E807" s="20">
        <v>15.2</v>
      </c>
      <c r="F807" s="21">
        <f>F798*E807</f>
        <v>51.454228320000006</v>
      </c>
      <c r="G807" s="8"/>
      <c r="H807" s="8">
        <f t="shared" si="85"/>
        <v>0</v>
      </c>
      <c r="I807" s="8"/>
      <c r="J807" s="8"/>
      <c r="K807" s="8"/>
      <c r="L807" s="8"/>
      <c r="M807" s="8">
        <f t="shared" si="70"/>
        <v>0</v>
      </c>
      <c r="N807" s="579"/>
      <c r="O807" s="580"/>
    </row>
    <row r="808" spans="1:15" s="215" customFormat="1" ht="15.75" x14ac:dyDescent="0.25">
      <c r="A808" s="1284"/>
      <c r="B808" s="523"/>
      <c r="C808" s="42" t="s">
        <v>7</v>
      </c>
      <c r="D808" s="297" t="s">
        <v>4</v>
      </c>
      <c r="E808" s="20">
        <v>2.78</v>
      </c>
      <c r="F808" s="21">
        <f>F798*E808</f>
        <v>9.4107075480000013</v>
      </c>
      <c r="G808" s="8"/>
      <c r="H808" s="8">
        <f t="shared" si="85"/>
        <v>0</v>
      </c>
      <c r="I808" s="8"/>
      <c r="J808" s="8"/>
      <c r="K808" s="8"/>
      <c r="L808" s="8"/>
      <c r="M808" s="8">
        <f t="shared" si="70"/>
        <v>0</v>
      </c>
      <c r="N808" s="579"/>
      <c r="O808" s="580"/>
    </row>
    <row r="809" spans="1:15" s="215" customFormat="1" ht="31.5" x14ac:dyDescent="0.25">
      <c r="A809" s="1308" t="s">
        <v>553</v>
      </c>
      <c r="B809" s="484" t="s">
        <v>23</v>
      </c>
      <c r="C809" s="442" t="s">
        <v>594</v>
      </c>
      <c r="D809" s="297" t="s">
        <v>47</v>
      </c>
      <c r="E809" s="624"/>
      <c r="F809" s="78">
        <f>(0.1+0.1)*2*F790/1.1+(0.05+0.03)*2*F792/1.1+(0.15+0.15)*2*F794/1.1+(0.06*4*F796/1.1)</f>
        <v>131.65600000000001</v>
      </c>
      <c r="G809" s="522"/>
      <c r="H809" s="8"/>
      <c r="I809" s="8"/>
      <c r="J809" s="8"/>
      <c r="K809" s="8"/>
      <c r="L809" s="8"/>
      <c r="M809" s="8"/>
      <c r="N809" s="579"/>
      <c r="O809" s="580"/>
    </row>
    <row r="810" spans="1:15" s="215" customFormat="1" ht="15.75" x14ac:dyDescent="0.25">
      <c r="A810" s="1309"/>
      <c r="B810" s="527"/>
      <c r="C810" s="26" t="s">
        <v>36</v>
      </c>
      <c r="D810" s="527" t="s">
        <v>6</v>
      </c>
      <c r="E810" s="524">
        <v>0.68</v>
      </c>
      <c r="F810" s="36">
        <f>F809*E810</f>
        <v>89.526080000000007</v>
      </c>
      <c r="G810" s="526"/>
      <c r="H810" s="32"/>
      <c r="I810" s="526"/>
      <c r="J810" s="32">
        <f>F810*I810</f>
        <v>0</v>
      </c>
      <c r="K810" s="526"/>
      <c r="L810" s="32"/>
      <c r="M810" s="32">
        <f>H810+J810+L810</f>
        <v>0</v>
      </c>
      <c r="N810" s="579"/>
      <c r="O810" s="580"/>
    </row>
    <row r="811" spans="1:15" s="215" customFormat="1" ht="15.75" x14ac:dyDescent="0.25">
      <c r="A811" s="1309"/>
      <c r="B811" s="527"/>
      <c r="C811" s="26" t="s">
        <v>17</v>
      </c>
      <c r="D811" s="527" t="s">
        <v>6</v>
      </c>
      <c r="E811" s="524">
        <v>2.9999999999999997E-4</v>
      </c>
      <c r="F811" s="36">
        <f>F809*E811</f>
        <v>3.9496799999999999E-2</v>
      </c>
      <c r="G811" s="526"/>
      <c r="H811" s="32"/>
      <c r="I811" s="526"/>
      <c r="J811" s="32"/>
      <c r="K811" s="526"/>
      <c r="L811" s="32">
        <f>F811*K811</f>
        <v>0</v>
      </c>
      <c r="M811" s="32">
        <f>H811+J811+L811</f>
        <v>0</v>
      </c>
      <c r="N811" s="579"/>
      <c r="O811" s="580"/>
    </row>
    <row r="812" spans="1:15" s="215" customFormat="1" ht="15.75" x14ac:dyDescent="0.25">
      <c r="A812" s="1309"/>
      <c r="B812" s="527"/>
      <c r="C812" s="105" t="s">
        <v>49</v>
      </c>
      <c r="D812" s="388" t="s">
        <v>81</v>
      </c>
      <c r="E812" s="103">
        <v>0.35</v>
      </c>
      <c r="F812" s="103">
        <f>E812*F809</f>
        <v>46.079599999999999</v>
      </c>
      <c r="G812" s="526"/>
      <c r="H812" s="526">
        <f>F812*G812</f>
        <v>0</v>
      </c>
      <c r="I812" s="526"/>
      <c r="J812" s="526"/>
      <c r="K812" s="526"/>
      <c r="L812" s="526"/>
      <c r="M812" s="526">
        <f>H812+J812+L812</f>
        <v>0</v>
      </c>
      <c r="N812" s="579"/>
      <c r="O812" s="580"/>
    </row>
    <row r="813" spans="1:15" s="215" customFormat="1" ht="15.75" x14ac:dyDescent="0.25">
      <c r="A813" s="1309"/>
      <c r="B813" s="527"/>
      <c r="C813" s="105" t="s">
        <v>310</v>
      </c>
      <c r="D813" s="388" t="s">
        <v>81</v>
      </c>
      <c r="E813" s="103">
        <v>2.7E-2</v>
      </c>
      <c r="F813" s="103">
        <f>E813*F809</f>
        <v>3.5547120000000003</v>
      </c>
      <c r="G813" s="526"/>
      <c r="H813" s="526">
        <f>F813*G813</f>
        <v>0</v>
      </c>
      <c r="I813" s="526"/>
      <c r="J813" s="526"/>
      <c r="K813" s="526"/>
      <c r="L813" s="526"/>
      <c r="M813" s="526">
        <f>H813+J813+L813</f>
        <v>0</v>
      </c>
      <c r="N813" s="579"/>
      <c r="O813" s="580"/>
    </row>
    <row r="814" spans="1:15" s="215" customFormat="1" ht="15.75" x14ac:dyDescent="0.25">
      <c r="A814" s="1309"/>
      <c r="B814" s="527"/>
      <c r="C814" s="26" t="s">
        <v>7</v>
      </c>
      <c r="D814" s="527" t="s">
        <v>4</v>
      </c>
      <c r="E814" s="524">
        <v>1.9E-3</v>
      </c>
      <c r="F814" s="36">
        <f>F809*E814</f>
        <v>0.25014639999999999</v>
      </c>
      <c r="G814" s="526"/>
      <c r="H814" s="32">
        <f>F814*G814</f>
        <v>0</v>
      </c>
      <c r="I814" s="526"/>
      <c r="J814" s="32"/>
      <c r="K814" s="526"/>
      <c r="L814" s="32"/>
      <c r="M814" s="32">
        <f>H814+J814+L814</f>
        <v>0</v>
      </c>
      <c r="N814" s="579"/>
      <c r="O814" s="580"/>
    </row>
    <row r="815" spans="1:15" s="215" customFormat="1" ht="27" x14ac:dyDescent="0.25">
      <c r="A815" s="1259" t="s">
        <v>53</v>
      </c>
      <c r="B815" s="519" t="s">
        <v>18</v>
      </c>
      <c r="C815" s="1302" t="s">
        <v>595</v>
      </c>
      <c r="D815" s="519" t="s">
        <v>41</v>
      </c>
      <c r="E815" s="524"/>
      <c r="F815" s="23">
        <f>(15.3+14.3)*2</f>
        <v>59.2</v>
      </c>
      <c r="G815" s="8"/>
      <c r="H815" s="8"/>
      <c r="I815" s="8"/>
      <c r="J815" s="8"/>
      <c r="K815" s="8"/>
      <c r="L815" s="223"/>
      <c r="M815" s="223"/>
      <c r="N815" s="579"/>
      <c r="O815" s="580"/>
    </row>
    <row r="816" spans="1:15" s="215" customFormat="1" ht="15.75" x14ac:dyDescent="0.25">
      <c r="A816" s="1260"/>
      <c r="B816" s="519"/>
      <c r="C816" s="1303"/>
      <c r="D816" s="519" t="s">
        <v>47</v>
      </c>
      <c r="E816" s="524"/>
      <c r="F816" s="515">
        <f>F815*4.5</f>
        <v>266.40000000000003</v>
      </c>
      <c r="G816" s="8"/>
      <c r="H816" s="8"/>
      <c r="I816" s="8"/>
      <c r="J816" s="8"/>
      <c r="K816" s="8"/>
      <c r="L816" s="223"/>
      <c r="M816" s="223"/>
      <c r="N816" s="579"/>
      <c r="O816" s="580"/>
    </row>
    <row r="817" spans="1:15" s="215" customFormat="1" ht="15.75" x14ac:dyDescent="0.25">
      <c r="A817" s="1260"/>
      <c r="B817" s="519"/>
      <c r="C817" s="24" t="s">
        <v>494</v>
      </c>
      <c r="D817" s="519" t="s">
        <v>47</v>
      </c>
      <c r="E817" s="533">
        <v>1</v>
      </c>
      <c r="F817" s="293">
        <f>F816*E817</f>
        <v>266.40000000000003</v>
      </c>
      <c r="G817" s="8"/>
      <c r="H817" s="8"/>
      <c r="I817" s="8"/>
      <c r="J817" s="8">
        <f t="shared" ref="J817" si="86">F817*I817</f>
        <v>0</v>
      </c>
      <c r="K817" s="8"/>
      <c r="L817" s="223"/>
      <c r="M817" s="223">
        <f t="shared" ref="M817:M818" si="87">H817+J817+L817</f>
        <v>0</v>
      </c>
      <c r="N817" s="579"/>
      <c r="O817" s="580"/>
    </row>
    <row r="818" spans="1:15" s="215" customFormat="1" ht="31.5" x14ac:dyDescent="0.25">
      <c r="A818" s="1261"/>
      <c r="B818" s="519"/>
      <c r="C818" s="13" t="s">
        <v>596</v>
      </c>
      <c r="D818" s="519" t="s">
        <v>47</v>
      </c>
      <c r="E818" s="524">
        <v>1.05</v>
      </c>
      <c r="F818" s="515">
        <f>F816*E818</f>
        <v>279.72000000000003</v>
      </c>
      <c r="G818" s="8"/>
      <c r="H818" s="8">
        <f t="shared" ref="H818" si="88">F818*G818</f>
        <v>0</v>
      </c>
      <c r="I818" s="8"/>
      <c r="J818" s="8"/>
      <c r="K818" s="8"/>
      <c r="L818" s="223"/>
      <c r="M818" s="223">
        <f t="shared" si="87"/>
        <v>0</v>
      </c>
      <c r="N818" s="579"/>
      <c r="O818" s="580"/>
    </row>
    <row r="819" spans="1:15" s="215" customFormat="1" ht="15.75" x14ac:dyDescent="0.25">
      <c r="A819" s="1127"/>
      <c r="B819" s="484"/>
      <c r="C819" s="602" t="s">
        <v>597</v>
      </c>
      <c r="D819" s="484"/>
      <c r="E819" s="10"/>
      <c r="F819" s="23"/>
      <c r="G819" s="8"/>
      <c r="H819" s="8"/>
      <c r="I819" s="8"/>
      <c r="J819" s="8"/>
      <c r="K819" s="8"/>
      <c r="L819" s="223"/>
      <c r="M819" s="223"/>
      <c r="N819" s="579"/>
      <c r="O819" s="580"/>
    </row>
    <row r="820" spans="1:15" s="215" customFormat="1" ht="60" hidden="1" x14ac:dyDescent="0.25">
      <c r="A820" s="1304" t="s">
        <v>554</v>
      </c>
      <c r="B820" s="538" t="s">
        <v>598</v>
      </c>
      <c r="C820" s="37" t="s">
        <v>599</v>
      </c>
      <c r="D820" s="144" t="s">
        <v>493</v>
      </c>
      <c r="E820" s="524"/>
      <c r="F820" s="38">
        <v>0</v>
      </c>
      <c r="G820" s="539"/>
      <c r="H820" s="32"/>
      <c r="I820" s="539"/>
      <c r="J820" s="32"/>
      <c r="K820" s="539"/>
      <c r="L820" s="32"/>
      <c r="M820" s="32"/>
      <c r="N820" s="579"/>
      <c r="O820" s="580"/>
    </row>
    <row r="821" spans="1:15" s="215" customFormat="1" ht="15.75" hidden="1" x14ac:dyDescent="0.25">
      <c r="A821" s="1304"/>
      <c r="B821" s="68"/>
      <c r="C821" s="33" t="s">
        <v>494</v>
      </c>
      <c r="D821" s="68" t="s">
        <v>68</v>
      </c>
      <c r="E821" s="524">
        <f>41.5*0.01</f>
        <v>0.41500000000000004</v>
      </c>
      <c r="F821" s="515">
        <f>F820*E821</f>
        <v>0</v>
      </c>
      <c r="G821" s="539"/>
      <c r="H821" s="32"/>
      <c r="I821" s="539">
        <v>7.8</v>
      </c>
      <c r="J821" s="32">
        <f>F821*I821</f>
        <v>0</v>
      </c>
      <c r="K821" s="539"/>
      <c r="L821" s="32"/>
      <c r="M821" s="32">
        <f>H821+J821+L821</f>
        <v>0</v>
      </c>
      <c r="N821" s="579"/>
      <c r="O821" s="580"/>
    </row>
    <row r="822" spans="1:15" s="215" customFormat="1" ht="27" hidden="1" x14ac:dyDescent="0.25">
      <c r="A822" s="1304"/>
      <c r="B822" s="519"/>
      <c r="C822" s="26" t="s">
        <v>17</v>
      </c>
      <c r="D822" s="519" t="s">
        <v>43</v>
      </c>
      <c r="E822" s="524">
        <f>0.03*0.01</f>
        <v>2.9999999999999997E-4</v>
      </c>
      <c r="F822" s="515">
        <f>F820*E822</f>
        <v>0</v>
      </c>
      <c r="G822" s="32"/>
      <c r="H822" s="32"/>
      <c r="I822" s="32"/>
      <c r="J822" s="32">
        <f t="shared" ref="J822" si="89">F822*I822</f>
        <v>0</v>
      </c>
      <c r="K822" s="32">
        <v>4</v>
      </c>
      <c r="L822" s="32">
        <f>F822*K822</f>
        <v>0</v>
      </c>
      <c r="M822" s="32">
        <f>H822+J822+L822</f>
        <v>0</v>
      </c>
      <c r="N822" s="579"/>
      <c r="O822" s="580"/>
    </row>
    <row r="823" spans="1:15" s="215" customFormat="1" ht="15.75" hidden="1" x14ac:dyDescent="0.25">
      <c r="A823" s="1304"/>
      <c r="B823" s="283"/>
      <c r="C823" s="39" t="s">
        <v>495</v>
      </c>
      <c r="D823" s="68" t="s">
        <v>110</v>
      </c>
      <c r="E823" s="524">
        <f>(0.19*0.01)*100</f>
        <v>0.19</v>
      </c>
      <c r="F823" s="515">
        <f>F820*E823</f>
        <v>0</v>
      </c>
      <c r="G823" s="539">
        <v>4.2</v>
      </c>
      <c r="H823" s="32">
        <f>F823*G823</f>
        <v>0</v>
      </c>
      <c r="I823" s="539"/>
      <c r="J823" s="32"/>
      <c r="K823" s="539"/>
      <c r="L823" s="32"/>
      <c r="M823" s="32">
        <f t="shared" ref="M823:M829" si="90">H823+J823+L823</f>
        <v>0</v>
      </c>
      <c r="N823" s="579"/>
      <c r="O823" s="580"/>
    </row>
    <row r="824" spans="1:15" s="215" customFormat="1" ht="15.75" hidden="1" x14ac:dyDescent="0.25">
      <c r="A824" s="1304"/>
      <c r="B824" s="519"/>
      <c r="C824" s="33" t="s">
        <v>600</v>
      </c>
      <c r="D824" s="68" t="s">
        <v>497</v>
      </c>
      <c r="E824" s="524">
        <v>1.02</v>
      </c>
      <c r="F824" s="515">
        <f>F820*E824</f>
        <v>0</v>
      </c>
      <c r="G824" s="539">
        <v>45</v>
      </c>
      <c r="H824" s="32">
        <f>F824*G824</f>
        <v>0</v>
      </c>
      <c r="I824" s="539"/>
      <c r="J824" s="32"/>
      <c r="K824" s="539"/>
      <c r="L824" s="32"/>
      <c r="M824" s="32">
        <f t="shared" si="90"/>
        <v>0</v>
      </c>
      <c r="N824" s="579"/>
      <c r="O824" s="580"/>
    </row>
    <row r="825" spans="1:15" s="215" customFormat="1" ht="15.75" hidden="1" x14ac:dyDescent="0.25">
      <c r="A825" s="1304"/>
      <c r="B825" s="68"/>
      <c r="C825" s="145" t="s">
        <v>50</v>
      </c>
      <c r="D825" s="68" t="s">
        <v>498</v>
      </c>
      <c r="E825" s="524">
        <v>0.08</v>
      </c>
      <c r="F825" s="515">
        <f>F820*E825</f>
        <v>0</v>
      </c>
      <c r="G825" s="539">
        <v>4</v>
      </c>
      <c r="H825" s="32">
        <f>F825*G825</f>
        <v>0</v>
      </c>
      <c r="I825" s="539"/>
      <c r="J825" s="32"/>
      <c r="K825" s="539"/>
      <c r="L825" s="32"/>
      <c r="M825" s="32">
        <f t="shared" si="90"/>
        <v>0</v>
      </c>
      <c r="N825" s="579"/>
      <c r="O825" s="580"/>
    </row>
    <row r="826" spans="1:15" s="215" customFormat="1" ht="31.5" x14ac:dyDescent="0.25">
      <c r="A826" s="625" t="s">
        <v>601</v>
      </c>
      <c r="B826" s="27" t="s">
        <v>18</v>
      </c>
      <c r="C826" s="626" t="s">
        <v>602</v>
      </c>
      <c r="D826" s="627" t="s">
        <v>47</v>
      </c>
      <c r="E826" s="628"/>
      <c r="F826" s="23">
        <f>15.3*14.3</f>
        <v>218.79000000000002</v>
      </c>
      <c r="G826" s="516"/>
      <c r="H826" s="8">
        <f t="shared" ref="H826:H829" si="91">F826*G826</f>
        <v>0</v>
      </c>
      <c r="I826" s="516"/>
      <c r="J826" s="8">
        <f>F826*I826</f>
        <v>0</v>
      </c>
      <c r="K826" s="8"/>
      <c r="L826" s="8"/>
      <c r="M826" s="8">
        <f t="shared" si="90"/>
        <v>0</v>
      </c>
      <c r="N826" s="579"/>
      <c r="O826" s="580"/>
    </row>
    <row r="827" spans="1:15" s="215" customFormat="1" ht="47.25" x14ac:dyDescent="0.25">
      <c r="A827" s="1259" t="s">
        <v>603</v>
      </c>
      <c r="B827" s="27" t="s">
        <v>18</v>
      </c>
      <c r="C827" s="626" t="s">
        <v>604</v>
      </c>
      <c r="D827" s="519" t="s">
        <v>47</v>
      </c>
      <c r="E827" s="524"/>
      <c r="F827" s="23">
        <f>F826</f>
        <v>218.79000000000002</v>
      </c>
      <c r="G827" s="8"/>
      <c r="H827" s="8"/>
      <c r="I827" s="8"/>
      <c r="J827" s="8"/>
      <c r="K827" s="8"/>
      <c r="L827" s="8"/>
      <c r="M827" s="8"/>
      <c r="N827" s="579"/>
      <c r="O827" s="580"/>
    </row>
    <row r="828" spans="1:15" s="215" customFormat="1" ht="15.75" x14ac:dyDescent="0.25">
      <c r="A828" s="1260"/>
      <c r="B828" s="27"/>
      <c r="C828" s="24" t="s">
        <v>494</v>
      </c>
      <c r="D828" s="519" t="s">
        <v>47</v>
      </c>
      <c r="E828" s="533">
        <v>1</v>
      </c>
      <c r="F828" s="22">
        <f>F827*E828</f>
        <v>218.79000000000002</v>
      </c>
      <c r="G828" s="8"/>
      <c r="H828" s="8"/>
      <c r="I828" s="8"/>
      <c r="J828" s="8">
        <f>F828*I828</f>
        <v>0</v>
      </c>
      <c r="K828" s="8"/>
      <c r="L828" s="8"/>
      <c r="M828" s="8">
        <f t="shared" si="90"/>
        <v>0</v>
      </c>
      <c r="N828" s="579"/>
      <c r="O828" s="580"/>
    </row>
    <row r="829" spans="1:15" s="215" customFormat="1" ht="31.5" x14ac:dyDescent="0.25">
      <c r="A829" s="1261"/>
      <c r="B829" s="27"/>
      <c r="C829" s="28" t="s">
        <v>605</v>
      </c>
      <c r="D829" s="29" t="s">
        <v>47</v>
      </c>
      <c r="E829" s="533">
        <v>1.1000000000000001</v>
      </c>
      <c r="F829" s="293">
        <f>F828*E829</f>
        <v>240.66900000000004</v>
      </c>
      <c r="G829" s="8"/>
      <c r="H829" s="8">
        <f t="shared" si="91"/>
        <v>0</v>
      </c>
      <c r="I829" s="8"/>
      <c r="J829" s="8"/>
      <c r="K829" s="8"/>
      <c r="L829" s="8"/>
      <c r="M829" s="8">
        <f t="shared" si="90"/>
        <v>0</v>
      </c>
      <c r="N829" s="648"/>
      <c r="O829" s="580"/>
    </row>
    <row r="830" spans="1:15" s="215" customFormat="1" ht="15.75" x14ac:dyDescent="0.25">
      <c r="A830" s="1114"/>
      <c r="B830" s="68"/>
      <c r="C830" s="145"/>
      <c r="D830" s="68"/>
      <c r="E830" s="524"/>
      <c r="F830" s="515"/>
      <c r="G830" s="539"/>
      <c r="H830" s="32"/>
      <c r="I830" s="539"/>
      <c r="J830" s="32"/>
      <c r="K830" s="539"/>
      <c r="L830" s="32"/>
      <c r="M830" s="32"/>
      <c r="N830" s="579"/>
      <c r="O830" s="580"/>
    </row>
    <row r="831" spans="1:15" s="215" customFormat="1" ht="31.5" x14ac:dyDescent="0.25">
      <c r="A831" s="629"/>
      <c r="B831" s="630"/>
      <c r="C831" s="128" t="s">
        <v>606</v>
      </c>
      <c r="D831" s="630" t="s">
        <v>52</v>
      </c>
      <c r="E831" s="631"/>
      <c r="F831" s="434">
        <v>1</v>
      </c>
      <c r="G831" s="514"/>
      <c r="H831" s="514"/>
      <c r="I831" s="514"/>
      <c r="J831" s="514"/>
      <c r="K831" s="514"/>
      <c r="L831" s="514"/>
      <c r="M831" s="514"/>
      <c r="N831" s="579"/>
      <c r="O831" s="580"/>
    </row>
    <row r="832" spans="1:15" s="215" customFormat="1" ht="47.25" x14ac:dyDescent="0.25">
      <c r="A832" s="1262" t="s">
        <v>93</v>
      </c>
      <c r="B832" s="31" t="s">
        <v>59</v>
      </c>
      <c r="C832" s="632" t="s">
        <v>607</v>
      </c>
      <c r="D832" s="31" t="s">
        <v>37</v>
      </c>
      <c r="E832" s="633"/>
      <c r="F832" s="38">
        <f>0.9*0.9*1*F831</f>
        <v>0.81</v>
      </c>
      <c r="G832" s="514"/>
      <c r="H832" s="514"/>
      <c r="I832" s="514"/>
      <c r="J832" s="514"/>
      <c r="K832" s="514"/>
      <c r="L832" s="514"/>
      <c r="M832" s="514"/>
      <c r="N832" s="579"/>
      <c r="O832" s="580"/>
    </row>
    <row r="833" spans="1:15" s="215" customFormat="1" ht="15.75" x14ac:dyDescent="0.25">
      <c r="A833" s="1264"/>
      <c r="B833" s="31"/>
      <c r="C833" s="39" t="s">
        <v>494</v>
      </c>
      <c r="D833" s="541" t="s">
        <v>68</v>
      </c>
      <c r="E833" s="524">
        <v>2.06</v>
      </c>
      <c r="F833" s="515">
        <f>F832*E833</f>
        <v>1.6686000000000001</v>
      </c>
      <c r="G833" s="539"/>
      <c r="H833" s="32"/>
      <c r="I833" s="539"/>
      <c r="J833" s="32">
        <f>F833*I833</f>
        <v>0</v>
      </c>
      <c r="K833" s="539"/>
      <c r="L833" s="32"/>
      <c r="M833" s="32">
        <f>H833+J833+L833</f>
        <v>0</v>
      </c>
      <c r="N833" s="579"/>
      <c r="O833" s="580"/>
    </row>
    <row r="834" spans="1:15" s="215" customFormat="1" ht="31.5" x14ac:dyDescent="0.25">
      <c r="A834" s="1276" t="s">
        <v>72</v>
      </c>
      <c r="B834" s="83" t="s">
        <v>91</v>
      </c>
      <c r="C834" s="126" t="s">
        <v>269</v>
      </c>
      <c r="D834" s="484" t="s">
        <v>38</v>
      </c>
      <c r="E834" s="82"/>
      <c r="F834" s="84">
        <f>F832*1.95</f>
        <v>1.5795000000000001</v>
      </c>
      <c r="G834" s="19"/>
      <c r="H834" s="514"/>
      <c r="I834" s="19"/>
      <c r="J834" s="514"/>
      <c r="K834" s="19"/>
      <c r="L834" s="514"/>
      <c r="M834" s="514"/>
      <c r="N834" s="579"/>
      <c r="O834" s="580"/>
    </row>
    <row r="835" spans="1:15" s="215" customFormat="1" ht="15.75" x14ac:dyDescent="0.25">
      <c r="A835" s="1286"/>
      <c r="B835" s="362"/>
      <c r="C835" s="44" t="s">
        <v>56</v>
      </c>
      <c r="D835" s="45" t="s">
        <v>6</v>
      </c>
      <c r="E835" s="82">
        <v>0.53</v>
      </c>
      <c r="F835" s="46">
        <f>F834*E835</f>
        <v>0.83713500000000007</v>
      </c>
      <c r="G835" s="19"/>
      <c r="H835" s="514"/>
      <c r="I835" s="19"/>
      <c r="J835" s="514">
        <f>F835*I835</f>
        <v>0</v>
      </c>
      <c r="K835" s="19"/>
      <c r="L835" s="514"/>
      <c r="M835" s="514">
        <f>H835+J835+L835</f>
        <v>0</v>
      </c>
      <c r="N835" s="579"/>
      <c r="O835" s="580"/>
    </row>
    <row r="836" spans="1:15" s="215" customFormat="1" ht="31.5" x14ac:dyDescent="0.25">
      <c r="A836" s="1277"/>
      <c r="B836" s="484" t="s">
        <v>420</v>
      </c>
      <c r="C836" s="379" t="s">
        <v>499</v>
      </c>
      <c r="D836" s="484" t="s">
        <v>38</v>
      </c>
      <c r="E836" s="82"/>
      <c r="F836" s="84">
        <f>F834</f>
        <v>1.5795000000000001</v>
      </c>
      <c r="G836" s="19"/>
      <c r="H836" s="514"/>
      <c r="I836" s="19"/>
      <c r="J836" s="514"/>
      <c r="K836" s="19"/>
      <c r="L836" s="514">
        <f>F836*K836</f>
        <v>0</v>
      </c>
      <c r="M836" s="514">
        <f>H836+J836+L836</f>
        <v>0</v>
      </c>
      <c r="N836" s="579"/>
      <c r="O836" s="580"/>
    </row>
    <row r="837" spans="1:15" s="215" customFormat="1" ht="31.5" x14ac:dyDescent="0.25">
      <c r="A837" s="1259" t="s">
        <v>94</v>
      </c>
      <c r="B837" s="519" t="s">
        <v>35</v>
      </c>
      <c r="C837" s="513" t="s">
        <v>608</v>
      </c>
      <c r="D837" s="519" t="s">
        <v>37</v>
      </c>
      <c r="E837" s="524"/>
      <c r="F837" s="23">
        <f>0.9*0.9*0.2*F831</f>
        <v>0.16200000000000003</v>
      </c>
      <c r="G837" s="514"/>
      <c r="H837" s="514"/>
      <c r="I837" s="514"/>
      <c r="J837" s="514"/>
      <c r="K837" s="514"/>
      <c r="L837" s="514"/>
      <c r="M837" s="514"/>
      <c r="N837" s="579"/>
      <c r="O837" s="580"/>
    </row>
    <row r="838" spans="1:15" s="215" customFormat="1" ht="15.75" x14ac:dyDescent="0.25">
      <c r="A838" s="1260"/>
      <c r="B838" s="519"/>
      <c r="C838" s="39" t="s">
        <v>494</v>
      </c>
      <c r="D838" s="541" t="s">
        <v>68</v>
      </c>
      <c r="E838" s="524">
        <v>3.52</v>
      </c>
      <c r="F838" s="515">
        <f>F837*E838</f>
        <v>0.57024000000000008</v>
      </c>
      <c r="G838" s="539"/>
      <c r="H838" s="32"/>
      <c r="I838" s="539"/>
      <c r="J838" s="32">
        <f>F838*I838</f>
        <v>0</v>
      </c>
      <c r="K838" s="539"/>
      <c r="L838" s="32"/>
      <c r="M838" s="32">
        <f>H838+J838+L838</f>
        <v>0</v>
      </c>
      <c r="N838" s="579"/>
      <c r="O838" s="580"/>
    </row>
    <row r="839" spans="1:15" s="215" customFormat="1" ht="27" x14ac:dyDescent="0.25">
      <c r="A839" s="1260"/>
      <c r="B839" s="519"/>
      <c r="C839" s="13" t="s">
        <v>17</v>
      </c>
      <c r="D839" s="519" t="s">
        <v>43</v>
      </c>
      <c r="E839" s="524">
        <v>1.06</v>
      </c>
      <c r="F839" s="515">
        <f>F837*E839</f>
        <v>0.17172000000000004</v>
      </c>
      <c r="G839" s="32"/>
      <c r="H839" s="32"/>
      <c r="I839" s="32"/>
      <c r="J839" s="32"/>
      <c r="K839" s="32"/>
      <c r="L839" s="32">
        <f>F839*K839</f>
        <v>0</v>
      </c>
      <c r="M839" s="32">
        <f>H839+J839+L839</f>
        <v>0</v>
      </c>
      <c r="N839" s="579"/>
      <c r="O839" s="580"/>
    </row>
    <row r="840" spans="1:15" s="215" customFormat="1" ht="15.75" x14ac:dyDescent="0.25">
      <c r="A840" s="1260"/>
      <c r="B840" s="519"/>
      <c r="C840" s="28" t="s">
        <v>30</v>
      </c>
      <c r="D840" s="519" t="s">
        <v>37</v>
      </c>
      <c r="E840" s="524">
        <f>0.18+0.09+0.97</f>
        <v>1.24</v>
      </c>
      <c r="F840" s="515">
        <f>F837*E840</f>
        <v>0.20088000000000003</v>
      </c>
      <c r="G840" s="514"/>
      <c r="H840" s="514">
        <f>F840*G840</f>
        <v>0</v>
      </c>
      <c r="I840" s="514"/>
      <c r="J840" s="514"/>
      <c r="K840" s="514"/>
      <c r="L840" s="514"/>
      <c r="M840" s="32">
        <f t="shared" ref="M840:M841" si="92">H840+J840+L840</f>
        <v>0</v>
      </c>
      <c r="N840" s="579"/>
      <c r="O840" s="580"/>
    </row>
    <row r="841" spans="1:15" s="215" customFormat="1" ht="15.75" x14ac:dyDescent="0.25">
      <c r="A841" s="1261"/>
      <c r="B841" s="519"/>
      <c r="C841" s="28" t="s">
        <v>609</v>
      </c>
      <c r="D841" s="519" t="s">
        <v>4</v>
      </c>
      <c r="E841" s="524">
        <v>0.02</v>
      </c>
      <c r="F841" s="515">
        <f>F837*E841</f>
        <v>3.2400000000000007E-3</v>
      </c>
      <c r="G841" s="514"/>
      <c r="H841" s="514">
        <f>F841*G841</f>
        <v>0</v>
      </c>
      <c r="I841" s="514"/>
      <c r="J841" s="514"/>
      <c r="K841" s="514"/>
      <c r="L841" s="514"/>
      <c r="M841" s="32">
        <f t="shared" si="92"/>
        <v>0</v>
      </c>
      <c r="N841" s="579"/>
      <c r="O841" s="580"/>
    </row>
    <row r="842" spans="1:15" s="215" customFormat="1" ht="47.25" x14ac:dyDescent="0.25">
      <c r="A842" s="1259" t="s">
        <v>87</v>
      </c>
      <c r="B842" s="519" t="s">
        <v>610</v>
      </c>
      <c r="C842" s="626" t="s">
        <v>611</v>
      </c>
      <c r="D842" s="519" t="s">
        <v>37</v>
      </c>
      <c r="E842" s="524"/>
      <c r="F842" s="23">
        <f>0.1*F831</f>
        <v>0.1</v>
      </c>
      <c r="G842" s="514"/>
      <c r="H842" s="514"/>
      <c r="I842" s="514"/>
      <c r="J842" s="514"/>
      <c r="K842" s="514"/>
      <c r="L842" s="514"/>
      <c r="M842" s="514"/>
      <c r="N842" s="579"/>
      <c r="O842" s="580"/>
    </row>
    <row r="843" spans="1:15" s="215" customFormat="1" ht="15.75" x14ac:dyDescent="0.25">
      <c r="A843" s="1260"/>
      <c r="B843" s="519"/>
      <c r="C843" s="39" t="s">
        <v>494</v>
      </c>
      <c r="D843" s="541" t="s">
        <v>68</v>
      </c>
      <c r="E843" s="524">
        <v>1.37</v>
      </c>
      <c r="F843" s="515">
        <f>F842*E843</f>
        <v>0.13700000000000001</v>
      </c>
      <c r="G843" s="539"/>
      <c r="H843" s="32"/>
      <c r="I843" s="539"/>
      <c r="J843" s="32">
        <f>F843*I843</f>
        <v>0</v>
      </c>
      <c r="K843" s="539"/>
      <c r="L843" s="32"/>
      <c r="M843" s="32">
        <f>H843+J843+L843</f>
        <v>0</v>
      </c>
      <c r="N843" s="579"/>
      <c r="O843" s="580"/>
    </row>
    <row r="844" spans="1:15" s="215" customFormat="1" ht="27" x14ac:dyDescent="0.25">
      <c r="A844" s="1260"/>
      <c r="B844" s="519"/>
      <c r="C844" s="13" t="s">
        <v>17</v>
      </c>
      <c r="D844" s="519" t="s">
        <v>43</v>
      </c>
      <c r="E844" s="524">
        <v>0.28299999999999997</v>
      </c>
      <c r="F844" s="515">
        <f>F842*E844</f>
        <v>2.8299999999999999E-2</v>
      </c>
      <c r="G844" s="32"/>
      <c r="H844" s="32"/>
      <c r="I844" s="32"/>
      <c r="J844" s="32"/>
      <c r="K844" s="32"/>
      <c r="L844" s="32">
        <f>F844*K844</f>
        <v>0</v>
      </c>
      <c r="M844" s="32">
        <f>H844+J844+L844</f>
        <v>0</v>
      </c>
      <c r="N844" s="579"/>
      <c r="O844" s="580"/>
    </row>
    <row r="845" spans="1:15" s="215" customFormat="1" ht="15.75" x14ac:dyDescent="0.25">
      <c r="A845" s="1260"/>
      <c r="B845" s="519"/>
      <c r="C845" s="28" t="s">
        <v>612</v>
      </c>
      <c r="D845" s="519" t="s">
        <v>37</v>
      </c>
      <c r="E845" s="524">
        <v>1.02</v>
      </c>
      <c r="F845" s="515">
        <f>F842*E845</f>
        <v>0.10200000000000001</v>
      </c>
      <c r="G845" s="514"/>
      <c r="H845" s="514">
        <f>F845*G845</f>
        <v>0</v>
      </c>
      <c r="I845" s="514"/>
      <c r="J845" s="514"/>
      <c r="K845" s="514"/>
      <c r="L845" s="514"/>
      <c r="M845" s="32">
        <f t="shared" ref="M845:M846" si="93">H845+J845+L845</f>
        <v>0</v>
      </c>
      <c r="N845" s="579"/>
      <c r="O845" s="580"/>
    </row>
    <row r="846" spans="1:15" s="215" customFormat="1" ht="15.75" x14ac:dyDescent="0.25">
      <c r="A846" s="1261"/>
      <c r="B846" s="519"/>
      <c r="C846" s="28" t="s">
        <v>609</v>
      </c>
      <c r="D846" s="519" t="s">
        <v>4</v>
      </c>
      <c r="E846" s="524">
        <v>0.62</v>
      </c>
      <c r="F846" s="515">
        <f>F842*E846</f>
        <v>6.2E-2</v>
      </c>
      <c r="G846" s="514"/>
      <c r="H846" s="514">
        <f>F846*G846</f>
        <v>0</v>
      </c>
      <c r="I846" s="514"/>
      <c r="J846" s="514"/>
      <c r="K846" s="514"/>
      <c r="L846" s="514"/>
      <c r="M846" s="32">
        <f t="shared" si="93"/>
        <v>0</v>
      </c>
      <c r="N846" s="579"/>
      <c r="O846" s="580"/>
    </row>
    <row r="847" spans="1:15" s="215" customFormat="1" ht="31.5" x14ac:dyDescent="0.25">
      <c r="A847" s="1259" t="s">
        <v>89</v>
      </c>
      <c r="B847" s="519" t="s">
        <v>613</v>
      </c>
      <c r="C847" s="626" t="s">
        <v>614</v>
      </c>
      <c r="D847" s="519" t="s">
        <v>37</v>
      </c>
      <c r="E847" s="524"/>
      <c r="F847" s="23">
        <f>0.42*F831</f>
        <v>0.42</v>
      </c>
      <c r="G847" s="514"/>
      <c r="H847" s="514"/>
      <c r="I847" s="514"/>
      <c r="J847" s="514"/>
      <c r="K847" s="514"/>
      <c r="L847" s="514"/>
      <c r="M847" s="514"/>
      <c r="N847" s="579"/>
      <c r="O847" s="580"/>
    </row>
    <row r="848" spans="1:15" s="215" customFormat="1" ht="15.75" x14ac:dyDescent="0.25">
      <c r="A848" s="1260"/>
      <c r="B848" s="519"/>
      <c r="C848" s="39" t="s">
        <v>494</v>
      </c>
      <c r="D848" s="541" t="s">
        <v>68</v>
      </c>
      <c r="E848" s="524">
        <v>6.66</v>
      </c>
      <c r="F848" s="515">
        <f>F847*E848</f>
        <v>2.7972000000000001</v>
      </c>
      <c r="G848" s="539"/>
      <c r="H848" s="32"/>
      <c r="I848" s="539"/>
      <c r="J848" s="32">
        <f>F848*I848</f>
        <v>0</v>
      </c>
      <c r="K848" s="539"/>
      <c r="L848" s="32"/>
      <c r="M848" s="32">
        <f>H848+J848+L848</f>
        <v>0</v>
      </c>
      <c r="N848" s="579"/>
      <c r="O848" s="580"/>
    </row>
    <row r="849" spans="1:15" s="215" customFormat="1" ht="27" x14ac:dyDescent="0.25">
      <c r="A849" s="1260"/>
      <c r="B849" s="519"/>
      <c r="C849" s="13" t="s">
        <v>17</v>
      </c>
      <c r="D849" s="519" t="s">
        <v>43</v>
      </c>
      <c r="E849" s="524">
        <v>0.59</v>
      </c>
      <c r="F849" s="515">
        <f>F847*E849</f>
        <v>0.24779999999999996</v>
      </c>
      <c r="G849" s="32"/>
      <c r="H849" s="32"/>
      <c r="I849" s="32"/>
      <c r="J849" s="32"/>
      <c r="K849" s="32"/>
      <c r="L849" s="32">
        <f>F849*K849</f>
        <v>0</v>
      </c>
      <c r="M849" s="32">
        <f t="shared" ref="M849:M854" si="94">H849+J849+L849</f>
        <v>0</v>
      </c>
      <c r="N849" s="579"/>
      <c r="O849" s="580"/>
    </row>
    <row r="850" spans="1:15" s="215" customFormat="1" ht="15.75" x14ac:dyDescent="0.25">
      <c r="A850" s="1260"/>
      <c r="B850" s="519"/>
      <c r="C850" s="28" t="s">
        <v>615</v>
      </c>
      <c r="D850" s="519" t="s">
        <v>37</v>
      </c>
      <c r="E850" s="524">
        <v>1.0149999999999999</v>
      </c>
      <c r="F850" s="515">
        <f>F847*E850</f>
        <v>0.42629999999999996</v>
      </c>
      <c r="G850" s="514"/>
      <c r="H850" s="514">
        <f>F850*G850</f>
        <v>0</v>
      </c>
      <c r="I850" s="514"/>
      <c r="J850" s="514"/>
      <c r="K850" s="514"/>
      <c r="L850" s="514"/>
      <c r="M850" s="32">
        <f t="shared" si="94"/>
        <v>0</v>
      </c>
      <c r="N850" s="579"/>
      <c r="O850" s="580"/>
    </row>
    <row r="851" spans="1:15" s="215" customFormat="1" ht="15.75" x14ac:dyDescent="0.25">
      <c r="A851" s="1260"/>
      <c r="B851" s="519"/>
      <c r="C851" s="28" t="s">
        <v>489</v>
      </c>
      <c r="D851" s="519" t="s">
        <v>47</v>
      </c>
      <c r="E851" s="524">
        <v>1.6</v>
      </c>
      <c r="F851" s="36">
        <f>F847*E851</f>
        <v>0.67200000000000004</v>
      </c>
      <c r="G851" s="514"/>
      <c r="H851" s="514">
        <f t="shared" ref="H851:H854" si="95">F851*G851</f>
        <v>0</v>
      </c>
      <c r="I851" s="514"/>
      <c r="J851" s="514"/>
      <c r="K851" s="514"/>
      <c r="L851" s="514"/>
      <c r="M851" s="32">
        <f t="shared" si="94"/>
        <v>0</v>
      </c>
      <c r="N851" s="579"/>
      <c r="O851" s="580"/>
    </row>
    <row r="852" spans="1:15" s="215" customFormat="1" ht="15.75" x14ac:dyDescent="0.25">
      <c r="A852" s="1260"/>
      <c r="B852" s="519"/>
      <c r="C852" s="28" t="s">
        <v>39</v>
      </c>
      <c r="D852" s="519" t="s">
        <v>37</v>
      </c>
      <c r="E852" s="524">
        <v>1.83E-2</v>
      </c>
      <c r="F852" s="36">
        <f>F847*E852</f>
        <v>7.6860000000000001E-3</v>
      </c>
      <c r="G852" s="514"/>
      <c r="H852" s="514">
        <f t="shared" si="95"/>
        <v>0</v>
      </c>
      <c r="I852" s="514"/>
      <c r="J852" s="514"/>
      <c r="K852" s="514"/>
      <c r="L852" s="514"/>
      <c r="M852" s="32">
        <f t="shared" si="94"/>
        <v>0</v>
      </c>
      <c r="N852" s="579"/>
      <c r="O852" s="580"/>
    </row>
    <row r="853" spans="1:15" s="215" customFormat="1" ht="15.75" x14ac:dyDescent="0.25">
      <c r="A853" s="1260"/>
      <c r="B853" s="519"/>
      <c r="C853" s="28" t="s">
        <v>50</v>
      </c>
      <c r="D853" s="519" t="s">
        <v>4</v>
      </c>
      <c r="E853" s="524">
        <v>0.4</v>
      </c>
      <c r="F853" s="36">
        <f>F847*E853</f>
        <v>0.16800000000000001</v>
      </c>
      <c r="G853" s="514"/>
      <c r="H853" s="514">
        <f t="shared" si="95"/>
        <v>0</v>
      </c>
      <c r="I853" s="514"/>
      <c r="J853" s="514"/>
      <c r="K853" s="514"/>
      <c r="L853" s="514"/>
      <c r="M853" s="32">
        <f t="shared" si="94"/>
        <v>0</v>
      </c>
      <c r="N853" s="579"/>
      <c r="O853" s="580"/>
    </row>
    <row r="854" spans="1:15" s="215" customFormat="1" ht="16.5" thickBot="1" x14ac:dyDescent="0.3">
      <c r="A854" s="1261"/>
      <c r="B854" s="519"/>
      <c r="C854" s="28" t="s">
        <v>616</v>
      </c>
      <c r="D854" s="519" t="s">
        <v>38</v>
      </c>
      <c r="E854" s="524">
        <v>1.03</v>
      </c>
      <c r="F854" s="36">
        <f>0.022*F831</f>
        <v>2.1999999999999999E-2</v>
      </c>
      <c r="G854" s="521"/>
      <c r="H854" s="521">
        <f t="shared" si="95"/>
        <v>0</v>
      </c>
      <c r="I854" s="521"/>
      <c r="J854" s="521"/>
      <c r="K854" s="521"/>
      <c r="L854" s="521"/>
      <c r="M854" s="521">
        <f t="shared" si="94"/>
        <v>0</v>
      </c>
      <c r="N854" s="579"/>
      <c r="O854" s="580"/>
    </row>
    <row r="855" spans="1:15" s="215" customFormat="1" ht="31.5" x14ac:dyDescent="0.25">
      <c r="A855" s="1262" t="s">
        <v>90</v>
      </c>
      <c r="B855" s="31" t="s">
        <v>617</v>
      </c>
      <c r="C855" s="37" t="s">
        <v>618</v>
      </c>
      <c r="D855" s="283"/>
      <c r="E855" s="34"/>
      <c r="F855" s="416"/>
      <c r="G855" s="634"/>
      <c r="H855" s="635"/>
      <c r="I855" s="635"/>
      <c r="J855" s="635"/>
      <c r="K855" s="635"/>
      <c r="L855" s="635"/>
      <c r="M855" s="636"/>
      <c r="N855" s="579"/>
      <c r="O855" s="580"/>
    </row>
    <row r="856" spans="1:15" s="215" customFormat="1" ht="15.75" x14ac:dyDescent="0.25">
      <c r="A856" s="1263"/>
      <c r="B856" s="1312"/>
      <c r="C856" s="1310" t="s">
        <v>619</v>
      </c>
      <c r="D856" s="890" t="s">
        <v>41</v>
      </c>
      <c r="E856" s="891"/>
      <c r="F856" s="897">
        <f>6*F831*1.1</f>
        <v>6.6000000000000005</v>
      </c>
      <c r="G856" s="637"/>
      <c r="H856" s="638"/>
      <c r="I856" s="638"/>
      <c r="J856" s="638"/>
      <c r="K856" s="638"/>
      <c r="L856" s="638"/>
      <c r="M856" s="639"/>
      <c r="N856" s="579"/>
      <c r="O856" s="580"/>
    </row>
    <row r="857" spans="1:15" s="215" customFormat="1" ht="15.75" x14ac:dyDescent="0.25">
      <c r="A857" s="1263"/>
      <c r="B857" s="1312"/>
      <c r="C857" s="1311"/>
      <c r="D857" s="892" t="s">
        <v>38</v>
      </c>
      <c r="E857" s="893"/>
      <c r="F857" s="897">
        <f>F856*28.26/1000</f>
        <v>0.18651600000000002</v>
      </c>
      <c r="G857" s="637"/>
      <c r="H857" s="638"/>
      <c r="I857" s="638"/>
      <c r="J857" s="638"/>
      <c r="K857" s="638"/>
      <c r="L857" s="638"/>
      <c r="M857" s="639"/>
      <c r="N857" s="579"/>
      <c r="O857" s="580"/>
    </row>
    <row r="858" spans="1:15" s="215" customFormat="1" ht="15.75" x14ac:dyDescent="0.25">
      <c r="A858" s="1263"/>
      <c r="B858" s="283"/>
      <c r="C858" s="894" t="s">
        <v>620</v>
      </c>
      <c r="D858" s="892" t="s">
        <v>47</v>
      </c>
      <c r="E858" s="893"/>
      <c r="F858" s="897">
        <f>0.02*F831</f>
        <v>0.02</v>
      </c>
      <c r="G858" s="637"/>
      <c r="H858" s="638"/>
      <c r="I858" s="638"/>
      <c r="J858" s="638"/>
      <c r="K858" s="638"/>
      <c r="L858" s="638"/>
      <c r="M858" s="639"/>
      <c r="N858" s="579"/>
      <c r="O858" s="580"/>
    </row>
    <row r="859" spans="1:15" s="215" customFormat="1" ht="15.75" x14ac:dyDescent="0.25">
      <c r="A859" s="1263"/>
      <c r="B859" s="283"/>
      <c r="C859" s="895"/>
      <c r="D859" s="892" t="s">
        <v>38</v>
      </c>
      <c r="E859" s="893"/>
      <c r="F859" s="897">
        <f>0.01*F831</f>
        <v>0.01</v>
      </c>
      <c r="G859" s="637"/>
      <c r="H859" s="638"/>
      <c r="I859" s="638"/>
      <c r="J859" s="638"/>
      <c r="K859" s="638"/>
      <c r="L859" s="638"/>
      <c r="M859" s="639"/>
      <c r="N859" s="579"/>
      <c r="O859" s="580"/>
    </row>
    <row r="860" spans="1:15" s="215" customFormat="1" ht="15.75" x14ac:dyDescent="0.25">
      <c r="A860" s="1263"/>
      <c r="B860" s="283"/>
      <c r="C860" s="894" t="s">
        <v>621</v>
      </c>
      <c r="D860" s="892" t="s">
        <v>47</v>
      </c>
      <c r="E860" s="893"/>
      <c r="F860" s="897">
        <f>0.13*F831</f>
        <v>0.13</v>
      </c>
      <c r="G860" s="637"/>
      <c r="H860" s="638"/>
      <c r="I860" s="638"/>
      <c r="J860" s="638"/>
      <c r="K860" s="638"/>
      <c r="L860" s="638"/>
      <c r="M860" s="639"/>
      <c r="N860" s="579"/>
      <c r="O860" s="580"/>
    </row>
    <row r="861" spans="1:15" s="215" customFormat="1" ht="15.75" x14ac:dyDescent="0.25">
      <c r="A861" s="1263"/>
      <c r="B861" s="283"/>
      <c r="C861" s="895"/>
      <c r="D861" s="892" t="s">
        <v>38</v>
      </c>
      <c r="E861" s="893"/>
      <c r="F861" s="897">
        <f>0.013*F831</f>
        <v>1.2999999999999999E-2</v>
      </c>
      <c r="G861" s="637"/>
      <c r="H861" s="638"/>
      <c r="I861" s="638"/>
      <c r="J861" s="638"/>
      <c r="K861" s="638"/>
      <c r="L861" s="638"/>
      <c r="M861" s="639"/>
      <c r="N861" s="579"/>
      <c r="O861" s="580"/>
    </row>
    <row r="862" spans="1:15" s="215" customFormat="1" ht="31.5" x14ac:dyDescent="0.25">
      <c r="A862" s="1263"/>
      <c r="B862" s="283"/>
      <c r="C862" s="896" t="s">
        <v>622</v>
      </c>
      <c r="D862" s="890" t="s">
        <v>52</v>
      </c>
      <c r="E862" s="893"/>
      <c r="F862" s="897">
        <f>4*F831</f>
        <v>4</v>
      </c>
      <c r="G862" s="637"/>
      <c r="H862" s="638"/>
      <c r="I862" s="638"/>
      <c r="J862" s="638"/>
      <c r="K862" s="638"/>
      <c r="L862" s="638"/>
      <c r="M862" s="639"/>
      <c r="N862" s="579"/>
      <c r="O862" s="580"/>
    </row>
    <row r="863" spans="1:15" s="215" customFormat="1" ht="16.5" thickBot="1" x14ac:dyDescent="0.3">
      <c r="A863" s="1263"/>
      <c r="B863" s="283"/>
      <c r="C863" s="37" t="s">
        <v>623</v>
      </c>
      <c r="D863" s="31" t="s">
        <v>38</v>
      </c>
      <c r="E863" s="640"/>
      <c r="F863" s="641">
        <f>F857+F859+F861</f>
        <v>0.20951600000000004</v>
      </c>
      <c r="G863" s="642"/>
      <c r="H863" s="643"/>
      <c r="I863" s="643"/>
      <c r="J863" s="643"/>
      <c r="K863" s="643"/>
      <c r="L863" s="643"/>
      <c r="M863" s="644"/>
      <c r="N863" s="579"/>
      <c r="O863" s="580"/>
    </row>
    <row r="864" spans="1:15" s="215" customFormat="1" ht="15.75" x14ac:dyDescent="0.25">
      <c r="A864" s="1263"/>
      <c r="B864" s="532"/>
      <c r="C864" s="24" t="s">
        <v>36</v>
      </c>
      <c r="D864" s="532" t="s">
        <v>6</v>
      </c>
      <c r="E864" s="2">
        <v>34.9</v>
      </c>
      <c r="F864" s="293">
        <f>F863*E864</f>
        <v>7.3121084000000005</v>
      </c>
      <c r="G864" s="620"/>
      <c r="H864" s="620"/>
      <c r="I864" s="620"/>
      <c r="J864" s="620">
        <f t="shared" ref="J864" si="96">F864*I864</f>
        <v>0</v>
      </c>
      <c r="K864" s="620"/>
      <c r="L864" s="620"/>
      <c r="M864" s="620">
        <f t="shared" ref="M864:M871" si="97">H864+J864+L864</f>
        <v>0</v>
      </c>
      <c r="N864" s="579"/>
      <c r="O864" s="580"/>
    </row>
    <row r="865" spans="1:15" s="215" customFormat="1" ht="15.75" x14ac:dyDescent="0.25">
      <c r="A865" s="1263"/>
      <c r="B865" s="532"/>
      <c r="C865" s="24" t="s">
        <v>5</v>
      </c>
      <c r="D865" s="532" t="s">
        <v>4</v>
      </c>
      <c r="E865" s="2">
        <v>4.07</v>
      </c>
      <c r="F865" s="293">
        <f>F863*E865</f>
        <v>0.85273012000000026</v>
      </c>
      <c r="G865" s="8"/>
      <c r="H865" s="8"/>
      <c r="I865" s="8"/>
      <c r="J865" s="8"/>
      <c r="K865" s="8"/>
      <c r="L865" s="8">
        <f t="shared" ref="L865" si="98">F865*K865</f>
        <v>0</v>
      </c>
      <c r="M865" s="8">
        <f t="shared" si="97"/>
        <v>0</v>
      </c>
      <c r="N865" s="579"/>
      <c r="O865" s="580"/>
    </row>
    <row r="866" spans="1:15" s="215" customFormat="1" ht="15.75" x14ac:dyDescent="0.25">
      <c r="A866" s="1263"/>
      <c r="B866" s="532"/>
      <c r="C866" s="621" t="s">
        <v>591</v>
      </c>
      <c r="D866" s="622" t="s">
        <v>38</v>
      </c>
      <c r="E866" s="615">
        <v>1</v>
      </c>
      <c r="F866" s="515">
        <f>F863*E866</f>
        <v>0.20951600000000004</v>
      </c>
      <c r="G866" s="8"/>
      <c r="H866" s="8"/>
      <c r="I866" s="8"/>
      <c r="J866" s="8"/>
      <c r="K866" s="8"/>
      <c r="L866" s="8"/>
      <c r="M866" s="8">
        <f t="shared" si="97"/>
        <v>0</v>
      </c>
      <c r="N866" s="579"/>
      <c r="O866" s="580"/>
    </row>
    <row r="867" spans="1:15" s="215" customFormat="1" ht="31.5" x14ac:dyDescent="0.25">
      <c r="A867" s="1263"/>
      <c r="B867" s="532"/>
      <c r="C867" s="645" t="s">
        <v>619</v>
      </c>
      <c r="D867" s="622" t="s">
        <v>38</v>
      </c>
      <c r="E867" s="615"/>
      <c r="F867" s="515">
        <f>F857</f>
        <v>0.18651600000000002</v>
      </c>
      <c r="G867" s="32"/>
      <c r="H867" s="32">
        <f t="shared" ref="H867:H871" si="99">F867*G867</f>
        <v>0</v>
      </c>
      <c r="I867" s="8"/>
      <c r="J867" s="8"/>
      <c r="K867" s="8"/>
      <c r="L867" s="8"/>
      <c r="M867" s="8">
        <f t="shared" si="97"/>
        <v>0</v>
      </c>
      <c r="N867" s="579"/>
      <c r="O867" s="580"/>
    </row>
    <row r="868" spans="1:15" s="215" customFormat="1" ht="15.75" x14ac:dyDescent="0.25">
      <c r="A868" s="1263"/>
      <c r="B868" s="283"/>
      <c r="C868" s="646" t="s">
        <v>620</v>
      </c>
      <c r="D868" s="283" t="s">
        <v>38</v>
      </c>
      <c r="E868" s="34"/>
      <c r="F868" s="36">
        <f>F859</f>
        <v>0.01</v>
      </c>
      <c r="G868" s="32"/>
      <c r="H868" s="32">
        <f t="shared" si="99"/>
        <v>0</v>
      </c>
      <c r="I868" s="32"/>
      <c r="J868" s="32"/>
      <c r="K868" s="32"/>
      <c r="L868" s="32"/>
      <c r="M868" s="32">
        <f t="shared" si="97"/>
        <v>0</v>
      </c>
      <c r="N868" s="579"/>
      <c r="O868" s="580"/>
    </row>
    <row r="869" spans="1:15" s="215" customFormat="1" ht="15.75" x14ac:dyDescent="0.25">
      <c r="A869" s="1263"/>
      <c r="B869" s="283"/>
      <c r="C869" s="646" t="s">
        <v>621</v>
      </c>
      <c r="D869" s="283" t="s">
        <v>38</v>
      </c>
      <c r="E869" s="34"/>
      <c r="F869" s="36">
        <f>F861</f>
        <v>1.2999999999999999E-2</v>
      </c>
      <c r="G869" s="32"/>
      <c r="H869" s="32">
        <f t="shared" si="99"/>
        <v>0</v>
      </c>
      <c r="I869" s="32"/>
      <c r="J869" s="32"/>
      <c r="K869" s="32"/>
      <c r="L869" s="32"/>
      <c r="M869" s="32">
        <f t="shared" si="97"/>
        <v>0</v>
      </c>
      <c r="N869" s="579"/>
      <c r="O869" s="580"/>
    </row>
    <row r="870" spans="1:15" s="215" customFormat="1" ht="31.5" x14ac:dyDescent="0.25">
      <c r="A870" s="1263"/>
      <c r="B870" s="283"/>
      <c r="C870" s="33" t="s">
        <v>624</v>
      </c>
      <c r="D870" s="283" t="s">
        <v>52</v>
      </c>
      <c r="E870" s="34"/>
      <c r="F870" s="36">
        <f>F862</f>
        <v>4</v>
      </c>
      <c r="G870" s="32"/>
      <c r="H870" s="32">
        <f t="shared" si="99"/>
        <v>0</v>
      </c>
      <c r="I870" s="32"/>
      <c r="J870" s="32"/>
      <c r="K870" s="32"/>
      <c r="L870" s="32"/>
      <c r="M870" s="32">
        <f t="shared" si="97"/>
        <v>0</v>
      </c>
      <c r="N870" s="579"/>
      <c r="O870" s="580"/>
    </row>
    <row r="871" spans="1:15" s="215" customFormat="1" ht="31.5" hidden="1" x14ac:dyDescent="0.25">
      <c r="A871" s="1263"/>
      <c r="B871" s="523"/>
      <c r="C871" s="42" t="s">
        <v>592</v>
      </c>
      <c r="D871" s="297" t="s">
        <v>2</v>
      </c>
      <c r="E871" s="20">
        <v>0</v>
      </c>
      <c r="F871" s="21">
        <f>F863*E871</f>
        <v>0</v>
      </c>
      <c r="G871" s="8">
        <v>2</v>
      </c>
      <c r="H871" s="8">
        <f t="shared" si="99"/>
        <v>0</v>
      </c>
      <c r="I871" s="8"/>
      <c r="J871" s="8"/>
      <c r="K871" s="8"/>
      <c r="L871" s="8"/>
      <c r="M871" s="8">
        <f t="shared" si="97"/>
        <v>0</v>
      </c>
      <c r="N871" s="579"/>
      <c r="O871" s="580"/>
    </row>
    <row r="872" spans="1:15" s="215" customFormat="1" ht="31.5" x14ac:dyDescent="0.25">
      <c r="A872" s="1263"/>
      <c r="B872" s="523"/>
      <c r="C872" s="42" t="s">
        <v>593</v>
      </c>
      <c r="D872" s="297" t="s">
        <v>2</v>
      </c>
      <c r="E872" s="20">
        <v>3.3</v>
      </c>
      <c r="F872" s="21">
        <f>F863*E872</f>
        <v>0.6914028000000001</v>
      </c>
      <c r="G872" s="8"/>
      <c r="H872" s="8">
        <f>F872*G872</f>
        <v>0</v>
      </c>
      <c r="I872" s="8"/>
      <c r="J872" s="8"/>
      <c r="K872" s="8"/>
      <c r="L872" s="8"/>
      <c r="M872" s="8">
        <f>H872+J872+L872</f>
        <v>0</v>
      </c>
      <c r="N872" s="579"/>
      <c r="O872" s="580"/>
    </row>
    <row r="873" spans="1:15" s="215" customFormat="1" ht="15.75" x14ac:dyDescent="0.25">
      <c r="A873" s="1263"/>
      <c r="B873" s="523"/>
      <c r="C873" s="42" t="s">
        <v>45</v>
      </c>
      <c r="D873" s="297" t="s">
        <v>2</v>
      </c>
      <c r="E873" s="20">
        <v>15.2</v>
      </c>
      <c r="F873" s="21">
        <f>F863*E873</f>
        <v>3.1846432000000005</v>
      </c>
      <c r="G873" s="8"/>
      <c r="H873" s="8">
        <f t="shared" ref="H873:H874" si="100">F873*G873</f>
        <v>0</v>
      </c>
      <c r="I873" s="8"/>
      <c r="J873" s="8"/>
      <c r="K873" s="8"/>
      <c r="L873" s="8"/>
      <c r="M873" s="8">
        <f t="shared" ref="M873:M874" si="101">H873+J873+L873</f>
        <v>0</v>
      </c>
      <c r="N873" s="579"/>
      <c r="O873" s="580"/>
    </row>
    <row r="874" spans="1:15" s="215" customFormat="1" ht="15.75" x14ac:dyDescent="0.25">
      <c r="A874" s="1264"/>
      <c r="B874" s="523"/>
      <c r="C874" s="42" t="s">
        <v>7</v>
      </c>
      <c r="D874" s="297" t="s">
        <v>4</v>
      </c>
      <c r="E874" s="20">
        <v>2.78</v>
      </c>
      <c r="F874" s="21">
        <f>F863*E874</f>
        <v>0.58245448000000011</v>
      </c>
      <c r="G874" s="8"/>
      <c r="H874" s="8">
        <f t="shared" si="100"/>
        <v>0</v>
      </c>
      <c r="I874" s="8"/>
      <c r="J874" s="8"/>
      <c r="K874" s="8"/>
      <c r="L874" s="8"/>
      <c r="M874" s="8">
        <f t="shared" si="101"/>
        <v>0</v>
      </c>
      <c r="N874" s="579"/>
      <c r="O874" s="580"/>
    </row>
    <row r="875" spans="1:15" s="215" customFormat="1" ht="47.25" x14ac:dyDescent="0.25">
      <c r="A875" s="1262" t="s">
        <v>82</v>
      </c>
      <c r="B875" s="108" t="s">
        <v>23</v>
      </c>
      <c r="C875" s="647" t="s">
        <v>625</v>
      </c>
      <c r="D875" s="283" t="s">
        <v>47</v>
      </c>
      <c r="E875" s="34"/>
      <c r="F875" s="38">
        <f>0.15*4*F856/1.1+F858+F860</f>
        <v>3.7499999999999996</v>
      </c>
      <c r="G875" s="32"/>
      <c r="H875" s="32"/>
      <c r="I875" s="32"/>
      <c r="J875" s="32"/>
      <c r="K875" s="32"/>
      <c r="L875" s="32"/>
      <c r="M875" s="32"/>
      <c r="N875" s="579"/>
      <c r="O875" s="580"/>
    </row>
    <row r="876" spans="1:15" s="215" customFormat="1" ht="15.75" x14ac:dyDescent="0.25">
      <c r="A876" s="1263"/>
      <c r="B876" s="527"/>
      <c r="C876" s="26" t="s">
        <v>36</v>
      </c>
      <c r="D876" s="527" t="s">
        <v>6</v>
      </c>
      <c r="E876" s="524">
        <v>0.68</v>
      </c>
      <c r="F876" s="36">
        <f>F875*E876</f>
        <v>2.5499999999999998</v>
      </c>
      <c r="G876" s="526"/>
      <c r="H876" s="32"/>
      <c r="I876" s="526"/>
      <c r="J876" s="32">
        <f>F876*I876</f>
        <v>0</v>
      </c>
      <c r="K876" s="526"/>
      <c r="L876" s="32"/>
      <c r="M876" s="32">
        <f>H876+J876+L876</f>
        <v>0</v>
      </c>
      <c r="N876" s="579"/>
      <c r="O876" s="580"/>
    </row>
    <row r="877" spans="1:15" s="215" customFormat="1" ht="15.75" x14ac:dyDescent="0.25">
      <c r="A877" s="1263"/>
      <c r="B877" s="527"/>
      <c r="C877" s="26" t="s">
        <v>17</v>
      </c>
      <c r="D877" s="527" t="s">
        <v>6</v>
      </c>
      <c r="E877" s="524">
        <v>2.9999999999999997E-4</v>
      </c>
      <c r="F877" s="36">
        <f>F875*E877</f>
        <v>1.1249999999999997E-3</v>
      </c>
      <c r="G877" s="526"/>
      <c r="H877" s="32"/>
      <c r="I877" s="526"/>
      <c r="J877" s="32"/>
      <c r="K877" s="526"/>
      <c r="L877" s="32">
        <f>F877*K877</f>
        <v>0</v>
      </c>
      <c r="M877" s="32">
        <f>H877+J877+L877</f>
        <v>0</v>
      </c>
      <c r="N877" s="579"/>
      <c r="O877" s="580"/>
    </row>
    <row r="878" spans="1:15" s="215" customFormat="1" ht="15.75" x14ac:dyDescent="0.25">
      <c r="A878" s="1263"/>
      <c r="B878" s="527"/>
      <c r="C878" s="105" t="s">
        <v>49</v>
      </c>
      <c r="D878" s="388" t="s">
        <v>81</v>
      </c>
      <c r="E878" s="103">
        <v>0.35</v>
      </c>
      <c r="F878" s="103">
        <f>E878*F875</f>
        <v>1.3124999999999998</v>
      </c>
      <c r="G878" s="526"/>
      <c r="H878" s="526">
        <f>F878*G878</f>
        <v>0</v>
      </c>
      <c r="I878" s="526"/>
      <c r="J878" s="526"/>
      <c r="K878" s="526"/>
      <c r="L878" s="526"/>
      <c r="M878" s="526">
        <f>H878+J878+L878</f>
        <v>0</v>
      </c>
      <c r="N878" s="579"/>
      <c r="O878" s="580"/>
    </row>
    <row r="879" spans="1:15" s="215" customFormat="1" ht="15.75" x14ac:dyDescent="0.25">
      <c r="A879" s="1263"/>
      <c r="B879" s="527"/>
      <c r="C879" s="105" t="s">
        <v>310</v>
      </c>
      <c r="D879" s="388" t="s">
        <v>81</v>
      </c>
      <c r="E879" s="103">
        <v>2.7E-2</v>
      </c>
      <c r="F879" s="103">
        <f>E879*F875</f>
        <v>0.10124999999999999</v>
      </c>
      <c r="G879" s="526"/>
      <c r="H879" s="526">
        <f>F879*G879</f>
        <v>0</v>
      </c>
      <c r="I879" s="526"/>
      <c r="J879" s="526"/>
      <c r="K879" s="526"/>
      <c r="L879" s="526"/>
      <c r="M879" s="526">
        <f>H879+J879+L879</f>
        <v>0</v>
      </c>
      <c r="N879" s="579"/>
      <c r="O879" s="580"/>
    </row>
    <row r="880" spans="1:15" s="215" customFormat="1" ht="15.75" x14ac:dyDescent="0.25">
      <c r="A880" s="1264"/>
      <c r="B880" s="527"/>
      <c r="C880" s="26" t="s">
        <v>7</v>
      </c>
      <c r="D880" s="527" t="s">
        <v>4</v>
      </c>
      <c r="E880" s="524">
        <v>1.9E-3</v>
      </c>
      <c r="F880" s="36">
        <f>F875*E880</f>
        <v>7.1249999999999994E-3</v>
      </c>
      <c r="G880" s="526"/>
      <c r="H880" s="32">
        <f>F880*G880</f>
        <v>0</v>
      </c>
      <c r="I880" s="526"/>
      <c r="J880" s="32"/>
      <c r="K880" s="526"/>
      <c r="L880" s="32"/>
      <c r="M880" s="32">
        <f>H880+J880+L880</f>
        <v>0</v>
      </c>
      <c r="N880" s="648">
        <f>SUM(M735:M880)</f>
        <v>0</v>
      </c>
      <c r="O880" s="580"/>
    </row>
    <row r="881" spans="1:14" s="73" customFormat="1" ht="16.5" x14ac:dyDescent="0.3">
      <c r="A881" s="368"/>
      <c r="B881" s="484"/>
      <c r="C881" s="378"/>
      <c r="D881" s="87"/>
      <c r="E881" s="23"/>
      <c r="F881" s="23"/>
      <c r="G881" s="514"/>
      <c r="H881" s="514"/>
      <c r="I881" s="514"/>
      <c r="J881" s="514"/>
      <c r="K881" s="514"/>
      <c r="L881" s="514"/>
      <c r="M881" s="514"/>
      <c r="N881" s="241"/>
    </row>
    <row r="882" spans="1:14" s="3" customFormat="1" ht="31.5" x14ac:dyDescent="0.2">
      <c r="A882" s="760"/>
      <c r="B882" s="649"/>
      <c r="C882" s="650" t="s">
        <v>629</v>
      </c>
      <c r="D882" s="650" t="s">
        <v>80</v>
      </c>
      <c r="E882" s="651"/>
      <c r="F882" s="652">
        <v>1</v>
      </c>
      <c r="G882" s="514"/>
      <c r="H882" s="514"/>
      <c r="I882" s="514"/>
      <c r="J882" s="514"/>
      <c r="K882" s="514"/>
      <c r="L882" s="514"/>
      <c r="M882" s="514"/>
    </row>
    <row r="883" spans="1:14" s="3" customFormat="1" ht="47.25" x14ac:dyDescent="0.25">
      <c r="A883" s="1109" t="s">
        <v>93</v>
      </c>
      <c r="B883" s="519"/>
      <c r="C883" s="62" t="s">
        <v>630</v>
      </c>
      <c r="D883" s="484"/>
      <c r="E883" s="524"/>
      <c r="F883" s="515"/>
      <c r="G883" s="514"/>
      <c r="H883" s="514"/>
      <c r="I883" s="514"/>
      <c r="J883" s="514"/>
      <c r="K883" s="514"/>
      <c r="L883" s="514"/>
      <c r="M883" s="514"/>
    </row>
    <row r="884" spans="1:14" s="3" customFormat="1" ht="78.75" x14ac:dyDescent="0.25">
      <c r="A884" s="1258" t="s">
        <v>51</v>
      </c>
      <c r="B884" s="519" t="s">
        <v>31</v>
      </c>
      <c r="C884" s="62" t="s">
        <v>631</v>
      </c>
      <c r="D884" s="484" t="s">
        <v>37</v>
      </c>
      <c r="E884" s="524"/>
      <c r="F884" s="12">
        <f>10*0.3*F882</f>
        <v>3</v>
      </c>
      <c r="G884" s="514"/>
      <c r="H884" s="514"/>
      <c r="I884" s="514"/>
      <c r="J884" s="514"/>
      <c r="K884" s="514"/>
      <c r="L884" s="514"/>
      <c r="M884" s="514"/>
    </row>
    <row r="885" spans="1:14" s="3" customFormat="1" ht="16.5" x14ac:dyDescent="0.25">
      <c r="A885" s="1258"/>
      <c r="B885" s="519"/>
      <c r="C885" s="26" t="s">
        <v>36</v>
      </c>
      <c r="D885" s="519" t="s">
        <v>6</v>
      </c>
      <c r="E885" s="524">
        <v>3.88</v>
      </c>
      <c r="F885" s="515">
        <f>F884*E885</f>
        <v>11.64</v>
      </c>
      <c r="G885" s="514"/>
      <c r="H885" s="514"/>
      <c r="I885" s="514"/>
      <c r="J885" s="514">
        <f>F885*I885</f>
        <v>0</v>
      </c>
      <c r="K885" s="514"/>
      <c r="L885" s="514"/>
      <c r="M885" s="514">
        <f t="shared" ref="M885:M900" si="102">H885+J885+L885</f>
        <v>0</v>
      </c>
    </row>
    <row r="886" spans="1:14" s="3" customFormat="1" ht="31.5" x14ac:dyDescent="0.25">
      <c r="A886" s="1259" t="s">
        <v>85</v>
      </c>
      <c r="B886" s="653" t="s">
        <v>91</v>
      </c>
      <c r="C886" s="280" t="s">
        <v>269</v>
      </c>
      <c r="D886" s="275" t="s">
        <v>294</v>
      </c>
      <c r="E886" s="276"/>
      <c r="F886" s="277">
        <f>F884*1.95</f>
        <v>5.85</v>
      </c>
      <c r="G886" s="514"/>
      <c r="H886" s="8"/>
      <c r="I886" s="514"/>
      <c r="J886" s="8"/>
      <c r="K886" s="514"/>
      <c r="L886" s="8"/>
      <c r="M886" s="8"/>
    </row>
    <row r="887" spans="1:14" s="3" customFormat="1" ht="16.5" x14ac:dyDescent="0.25">
      <c r="A887" s="1261"/>
      <c r="B887" s="519"/>
      <c r="C887" s="281" t="s">
        <v>54</v>
      </c>
      <c r="D887" s="48" t="s">
        <v>6</v>
      </c>
      <c r="E887" s="49">
        <v>0.53</v>
      </c>
      <c r="F887" s="520">
        <f>F886*E887</f>
        <v>3.1004999999999998</v>
      </c>
      <c r="G887" s="514"/>
      <c r="H887" s="8"/>
      <c r="I887" s="514"/>
      <c r="J887" s="8">
        <f t="shared" ref="J887" si="103">F887*I887</f>
        <v>0</v>
      </c>
      <c r="K887" s="514"/>
      <c r="L887" s="8"/>
      <c r="M887" s="8">
        <f t="shared" ref="M887:M888" si="104">H887+J887+L887</f>
        <v>0</v>
      </c>
    </row>
    <row r="888" spans="1:14" s="3" customFormat="1" ht="31.5" x14ac:dyDescent="0.25">
      <c r="A888" s="1108" t="s">
        <v>632</v>
      </c>
      <c r="B888" s="519" t="s">
        <v>633</v>
      </c>
      <c r="C888" s="379" t="s">
        <v>499</v>
      </c>
      <c r="D888" s="484" t="s">
        <v>38</v>
      </c>
      <c r="E888" s="10"/>
      <c r="F888" s="23">
        <f>F886</f>
        <v>5.85</v>
      </c>
      <c r="G888" s="514"/>
      <c r="H888" s="8"/>
      <c r="I888" s="514"/>
      <c r="J888" s="8"/>
      <c r="K888" s="19"/>
      <c r="L888" s="8">
        <f t="shared" ref="L888" si="105">F888*K888</f>
        <v>0</v>
      </c>
      <c r="M888" s="8">
        <f t="shared" si="104"/>
        <v>0</v>
      </c>
    </row>
    <row r="889" spans="1:14" s="3" customFormat="1" ht="31.5" x14ac:dyDescent="0.25">
      <c r="A889" s="1258" t="s">
        <v>69</v>
      </c>
      <c r="B889" s="519" t="s">
        <v>35</v>
      </c>
      <c r="C889" s="62" t="s">
        <v>634</v>
      </c>
      <c r="D889" s="484" t="s">
        <v>635</v>
      </c>
      <c r="E889" s="524"/>
      <c r="F889" s="654">
        <f>(10)*0.1*F882</f>
        <v>1</v>
      </c>
      <c r="G889" s="514"/>
      <c r="H889" s="514"/>
      <c r="I889" s="514"/>
      <c r="J889" s="514"/>
      <c r="K889" s="514"/>
      <c r="L889" s="514"/>
      <c r="M889" s="514"/>
    </row>
    <row r="890" spans="1:14" s="3" customFormat="1" ht="16.5" x14ac:dyDescent="0.25">
      <c r="A890" s="1258"/>
      <c r="B890" s="134"/>
      <c r="C890" s="139" t="s">
        <v>33</v>
      </c>
      <c r="D890" s="134" t="s">
        <v>34</v>
      </c>
      <c r="E890" s="132">
        <v>3.52</v>
      </c>
      <c r="F890" s="137">
        <f>F889*E890</f>
        <v>3.52</v>
      </c>
      <c r="G890" s="17"/>
      <c r="H890" s="514"/>
      <c r="I890" s="17"/>
      <c r="J890" s="514">
        <f>F890*I890</f>
        <v>0</v>
      </c>
      <c r="K890" s="18"/>
      <c r="L890" s="514"/>
      <c r="M890" s="514">
        <f t="shared" si="102"/>
        <v>0</v>
      </c>
    </row>
    <row r="891" spans="1:14" s="3" customFormat="1" ht="16.5" x14ac:dyDescent="0.25">
      <c r="A891" s="1258"/>
      <c r="B891" s="134"/>
      <c r="C891" s="139" t="s">
        <v>17</v>
      </c>
      <c r="D891" s="134" t="s">
        <v>4</v>
      </c>
      <c r="E891" s="132">
        <v>1.06</v>
      </c>
      <c r="F891" s="137">
        <f>F889*E891</f>
        <v>1.06</v>
      </c>
      <c r="G891" s="17"/>
      <c r="H891" s="514"/>
      <c r="I891" s="514"/>
      <c r="J891" s="514"/>
      <c r="K891" s="18"/>
      <c r="L891" s="514">
        <f>F891*K891</f>
        <v>0</v>
      </c>
      <c r="M891" s="514">
        <f t="shared" si="102"/>
        <v>0</v>
      </c>
    </row>
    <row r="892" spans="1:14" s="3" customFormat="1" ht="16.5" x14ac:dyDescent="0.25">
      <c r="A892" s="1258"/>
      <c r="B892" s="134"/>
      <c r="C892" s="139" t="s">
        <v>636</v>
      </c>
      <c r="D892" s="134" t="s">
        <v>37</v>
      </c>
      <c r="E892" s="132">
        <f>0.18+0.09+0.97</f>
        <v>1.24</v>
      </c>
      <c r="F892" s="137">
        <f>F889*E892</f>
        <v>1.24</v>
      </c>
      <c r="G892" s="17"/>
      <c r="H892" s="514">
        <f>F892*G892</f>
        <v>0</v>
      </c>
      <c r="I892" s="514"/>
      <c r="J892" s="514"/>
      <c r="K892" s="18"/>
      <c r="L892" s="514"/>
      <c r="M892" s="514">
        <f t="shared" si="102"/>
        <v>0</v>
      </c>
    </row>
    <row r="893" spans="1:14" s="3" customFormat="1" ht="16.5" x14ac:dyDescent="0.25">
      <c r="A893" s="1258"/>
      <c r="B893" s="134"/>
      <c r="C893" s="139" t="s">
        <v>50</v>
      </c>
      <c r="D893" s="134" t="s">
        <v>4</v>
      </c>
      <c r="E893" s="132">
        <v>0.02</v>
      </c>
      <c r="F893" s="137">
        <f>F889*E893</f>
        <v>0.02</v>
      </c>
      <c r="G893" s="17"/>
      <c r="H893" s="514">
        <f>F893*G893</f>
        <v>0</v>
      </c>
      <c r="I893" s="514"/>
      <c r="J893" s="514"/>
      <c r="K893" s="18"/>
      <c r="L893" s="514"/>
      <c r="M893" s="514">
        <f t="shared" si="102"/>
        <v>0</v>
      </c>
    </row>
    <row r="894" spans="1:14" s="3" customFormat="1" ht="31.5" x14ac:dyDescent="0.25">
      <c r="A894" s="1259" t="s">
        <v>637</v>
      </c>
      <c r="B894" s="519" t="s">
        <v>573</v>
      </c>
      <c r="C894" s="62" t="s">
        <v>638</v>
      </c>
      <c r="D894" s="484" t="s">
        <v>37</v>
      </c>
      <c r="E894" s="524"/>
      <c r="F894" s="23">
        <f>(10*0.2)*F882</f>
        <v>2</v>
      </c>
      <c r="G894" s="514"/>
      <c r="H894" s="514"/>
      <c r="I894" s="514"/>
      <c r="J894" s="514"/>
      <c r="K894" s="514"/>
      <c r="L894" s="514"/>
      <c r="M894" s="514"/>
    </row>
    <row r="895" spans="1:14" s="3" customFormat="1" ht="16.5" x14ac:dyDescent="0.25">
      <c r="A895" s="1260"/>
      <c r="B895" s="519"/>
      <c r="C895" s="26" t="s">
        <v>36</v>
      </c>
      <c r="D895" s="519" t="s">
        <v>6</v>
      </c>
      <c r="E895" s="524">
        <v>6.66</v>
      </c>
      <c r="F895" s="515">
        <f>F894*E895</f>
        <v>13.32</v>
      </c>
      <c r="G895" s="514"/>
      <c r="H895" s="514"/>
      <c r="I895" s="537"/>
      <c r="J895" s="514">
        <f>F895*I895</f>
        <v>0</v>
      </c>
      <c r="K895" s="514"/>
      <c r="L895" s="514"/>
      <c r="M895" s="514">
        <f t="shared" si="102"/>
        <v>0</v>
      </c>
    </row>
    <row r="896" spans="1:14" s="3" customFormat="1" ht="16.5" x14ac:dyDescent="0.25">
      <c r="A896" s="1260"/>
      <c r="B896" s="519"/>
      <c r="C896" s="26" t="s">
        <v>17</v>
      </c>
      <c r="D896" s="519" t="s">
        <v>4</v>
      </c>
      <c r="E896" s="524">
        <v>0.59</v>
      </c>
      <c r="F896" s="515">
        <f>F894*E896</f>
        <v>1.18</v>
      </c>
      <c r="G896" s="514"/>
      <c r="H896" s="514"/>
      <c r="I896" s="514"/>
      <c r="J896" s="514"/>
      <c r="K896" s="514"/>
      <c r="L896" s="514">
        <f>F896*K896</f>
        <v>0</v>
      </c>
      <c r="M896" s="514">
        <f t="shared" si="102"/>
        <v>0</v>
      </c>
    </row>
    <row r="897" spans="1:15" s="3" customFormat="1" ht="16.5" x14ac:dyDescent="0.25">
      <c r="A897" s="1260"/>
      <c r="B897" s="519"/>
      <c r="C897" s="26" t="s">
        <v>145</v>
      </c>
      <c r="D897" s="519" t="s">
        <v>488</v>
      </c>
      <c r="E897" s="524">
        <v>1.0149999999999999</v>
      </c>
      <c r="F897" s="515">
        <f>F894*E897</f>
        <v>2.0299999999999998</v>
      </c>
      <c r="G897" s="514"/>
      <c r="H897" s="514">
        <f t="shared" ref="H897:H900" si="106">F897*G897</f>
        <v>0</v>
      </c>
      <c r="I897" s="514"/>
      <c r="J897" s="514"/>
      <c r="K897" s="514"/>
      <c r="L897" s="514"/>
      <c r="M897" s="514">
        <f t="shared" si="102"/>
        <v>0</v>
      </c>
    </row>
    <row r="898" spans="1:15" s="3" customFormat="1" ht="16.5" x14ac:dyDescent="0.25">
      <c r="A898" s="1260"/>
      <c r="B898" s="519"/>
      <c r="C898" s="26" t="s">
        <v>489</v>
      </c>
      <c r="D898" s="519" t="s">
        <v>47</v>
      </c>
      <c r="E898" s="524">
        <v>1.6</v>
      </c>
      <c r="F898" s="515">
        <f>F894*E898</f>
        <v>3.2</v>
      </c>
      <c r="G898" s="514"/>
      <c r="H898" s="514">
        <f t="shared" si="106"/>
        <v>0</v>
      </c>
      <c r="I898" s="514"/>
      <c r="J898" s="514"/>
      <c r="K898" s="514"/>
      <c r="L898" s="514"/>
      <c r="M898" s="514">
        <f t="shared" si="102"/>
        <v>0</v>
      </c>
    </row>
    <row r="899" spans="1:15" s="3" customFormat="1" ht="16.5" x14ac:dyDescent="0.25">
      <c r="A899" s="1260"/>
      <c r="B899" s="519"/>
      <c r="C899" s="26" t="s">
        <v>39</v>
      </c>
      <c r="D899" s="519" t="s">
        <v>37</v>
      </c>
      <c r="E899" s="524">
        <v>1.83E-2</v>
      </c>
      <c r="F899" s="515">
        <f>F894*E899</f>
        <v>3.6600000000000001E-2</v>
      </c>
      <c r="G899" s="514"/>
      <c r="H899" s="514">
        <f t="shared" si="106"/>
        <v>0</v>
      </c>
      <c r="I899" s="514"/>
      <c r="J899" s="514"/>
      <c r="K899" s="514"/>
      <c r="L899" s="514"/>
      <c r="M899" s="514">
        <f t="shared" si="102"/>
        <v>0</v>
      </c>
    </row>
    <row r="900" spans="1:15" s="3" customFormat="1" ht="16.5" x14ac:dyDescent="0.25">
      <c r="A900" s="1260"/>
      <c r="B900" s="519"/>
      <c r="C900" s="26" t="s">
        <v>7</v>
      </c>
      <c r="D900" s="519" t="s">
        <v>4</v>
      </c>
      <c r="E900" s="524">
        <v>0.4</v>
      </c>
      <c r="F900" s="515">
        <f>F894*E900</f>
        <v>0.8</v>
      </c>
      <c r="G900" s="514"/>
      <c r="H900" s="514">
        <f t="shared" si="106"/>
        <v>0</v>
      </c>
      <c r="I900" s="514"/>
      <c r="J900" s="514"/>
      <c r="K900" s="514"/>
      <c r="L900" s="514"/>
      <c r="M900" s="514">
        <f t="shared" si="102"/>
        <v>0</v>
      </c>
    </row>
    <row r="901" spans="1:15" s="3" customFormat="1" ht="16.5" x14ac:dyDescent="0.25">
      <c r="A901" s="1260"/>
      <c r="B901" s="519"/>
      <c r="C901" s="62" t="s">
        <v>639</v>
      </c>
      <c r="D901" s="484" t="s">
        <v>38</v>
      </c>
      <c r="E901" s="10"/>
      <c r="F901" s="23">
        <f>(10*16*2*1.03*0.395/1000)*F882</f>
        <v>0.130192</v>
      </c>
      <c r="G901" s="514"/>
      <c r="H901" s="514">
        <f>F901*G901</f>
        <v>0</v>
      </c>
      <c r="I901" s="514"/>
      <c r="J901" s="514"/>
      <c r="K901" s="514"/>
      <c r="L901" s="514"/>
      <c r="M901" s="514">
        <f>H901+J901+L901</f>
        <v>0</v>
      </c>
    </row>
    <row r="902" spans="1:15" s="3" customFormat="1" ht="16.5" x14ac:dyDescent="0.25">
      <c r="A902" s="1261"/>
      <c r="B902" s="519"/>
      <c r="C902" s="62" t="s">
        <v>640</v>
      </c>
      <c r="D902" s="484" t="s">
        <v>38</v>
      </c>
      <c r="E902" s="10"/>
      <c r="F902" s="23">
        <f>(10*9*0.25*1.03*0.222/1000)*F882</f>
        <v>5.1448500000000003E-3</v>
      </c>
      <c r="G902" s="514"/>
      <c r="H902" s="514">
        <f>F902*G902</f>
        <v>0</v>
      </c>
      <c r="I902" s="514"/>
      <c r="J902" s="514"/>
      <c r="K902" s="514"/>
      <c r="L902" s="514"/>
      <c r="M902" s="514">
        <f>H902+J902+L902</f>
        <v>0</v>
      </c>
    </row>
    <row r="903" spans="1:15" s="3" customFormat="1" ht="16.5" x14ac:dyDescent="0.25">
      <c r="A903" s="1259" t="s">
        <v>72</v>
      </c>
      <c r="B903" s="519"/>
      <c r="C903" s="513" t="s">
        <v>641</v>
      </c>
      <c r="D903" s="519"/>
      <c r="E903" s="524"/>
      <c r="F903" s="515"/>
      <c r="G903" s="514"/>
      <c r="H903" s="514"/>
      <c r="I903" s="514"/>
      <c r="J903" s="514"/>
      <c r="K903" s="514"/>
      <c r="L903" s="514"/>
      <c r="M903" s="514"/>
    </row>
    <row r="904" spans="1:15" s="3" customFormat="1" ht="16.5" x14ac:dyDescent="0.25">
      <c r="A904" s="1260"/>
      <c r="B904" s="519"/>
      <c r="C904" s="513" t="s">
        <v>1372</v>
      </c>
      <c r="D904" s="484" t="s">
        <v>37</v>
      </c>
      <c r="E904" s="10"/>
      <c r="F904" s="655">
        <f>(      6*0.15*0.15*(2.4+0.2)  +  6*0.1*0.15*2  +  3*0.1*0.15*(4+1.4)  +  6*0.1*0.15*0.4  +  1*0.15*0.15*1.5  + 6*0.1*0.15*3.1  +   6*(2+1)*0.05*0.1*2     )*1.1*F882</f>
        <v>1.433025</v>
      </c>
      <c r="G904" s="514"/>
      <c r="H904" s="514"/>
      <c r="I904" s="514"/>
      <c r="J904" s="514"/>
      <c r="K904" s="514"/>
      <c r="L904" s="514"/>
      <c r="M904" s="514"/>
      <c r="O904" s="656">
        <f>(      6*0.15*0.15*(2.4+0.2)  +  6*0.1*0.15*2  +  3*0.1*0.15*(4+1.4)  +  6*0.1*0.15*0.4  +  1*0.15*0.15*1.5  + 6*0.1*0.15*3.1  +   6*(2+1)*0.05*0.1*2 +5*12*0.05*0.07 *0.7   )*1.05</f>
        <v>1.5222374999999999</v>
      </c>
    </row>
    <row r="905" spans="1:15" s="3" customFormat="1" ht="16.5" x14ac:dyDescent="0.25">
      <c r="A905" s="1260"/>
      <c r="B905" s="519"/>
      <c r="C905" s="657" t="s">
        <v>36</v>
      </c>
      <c r="D905" s="517" t="s">
        <v>6</v>
      </c>
      <c r="E905" s="658">
        <v>24</v>
      </c>
      <c r="F905" s="659">
        <f>F904*E905</f>
        <v>34.392600000000002</v>
      </c>
      <c r="G905" s="660"/>
      <c r="H905" s="8"/>
      <c r="I905" s="661"/>
      <c r="J905" s="32">
        <f>F905*I905</f>
        <v>0</v>
      </c>
      <c r="K905" s="661"/>
      <c r="L905" s="32"/>
      <c r="M905" s="8">
        <f t="shared" ref="M905:M920" si="107">H905+J905+L905</f>
        <v>0</v>
      </c>
    </row>
    <row r="906" spans="1:15" s="3" customFormat="1" ht="16.5" x14ac:dyDescent="0.25">
      <c r="A906" s="1260"/>
      <c r="B906" s="519"/>
      <c r="C906" s="145" t="s">
        <v>17</v>
      </c>
      <c r="D906" s="283" t="s">
        <v>4</v>
      </c>
      <c r="E906" s="662">
        <v>1.3</v>
      </c>
      <c r="F906" s="612">
        <f>F904*E906</f>
        <v>1.8629325000000001</v>
      </c>
      <c r="G906" s="660"/>
      <c r="H906" s="8"/>
      <c r="I906" s="661"/>
      <c r="J906" s="32"/>
      <c r="K906" s="661"/>
      <c r="L906" s="32">
        <f>F906*K906</f>
        <v>0</v>
      </c>
      <c r="M906" s="8">
        <f t="shared" si="107"/>
        <v>0</v>
      </c>
    </row>
    <row r="907" spans="1:15" s="3" customFormat="1" ht="16.5" x14ac:dyDescent="0.25">
      <c r="A907" s="1260"/>
      <c r="B907" s="519"/>
      <c r="C907" s="145" t="s">
        <v>39</v>
      </c>
      <c r="D907" s="283" t="s">
        <v>37</v>
      </c>
      <c r="E907" s="662">
        <f>0.93+0.12</f>
        <v>1.05</v>
      </c>
      <c r="F907" s="612">
        <f>F904*E907</f>
        <v>1.5046762500000002</v>
      </c>
      <c r="G907" s="660"/>
      <c r="H907" s="8">
        <f t="shared" ref="H907:H920" si="108">F907*G907</f>
        <v>0</v>
      </c>
      <c r="I907" s="661"/>
      <c r="J907" s="32"/>
      <c r="K907" s="661"/>
      <c r="L907" s="32"/>
      <c r="M907" s="8">
        <f t="shared" si="107"/>
        <v>0</v>
      </c>
    </row>
    <row r="908" spans="1:15" s="3" customFormat="1" ht="16.5" x14ac:dyDescent="0.25">
      <c r="A908" s="1260"/>
      <c r="B908" s="519"/>
      <c r="C908" s="145" t="s">
        <v>642</v>
      </c>
      <c r="D908" s="283" t="s">
        <v>2</v>
      </c>
      <c r="E908" s="662">
        <v>7.5</v>
      </c>
      <c r="F908" s="612">
        <f>F904*E908</f>
        <v>10.7476875</v>
      </c>
      <c r="G908" s="660"/>
      <c r="H908" s="8">
        <f t="shared" si="108"/>
        <v>0</v>
      </c>
      <c r="I908" s="661"/>
      <c r="J908" s="32"/>
      <c r="K908" s="661"/>
      <c r="L908" s="32"/>
      <c r="M908" s="8">
        <f t="shared" si="107"/>
        <v>0</v>
      </c>
    </row>
    <row r="909" spans="1:15" s="3" customFormat="1" ht="16.5" x14ac:dyDescent="0.25">
      <c r="A909" s="1260"/>
      <c r="B909" s="519"/>
      <c r="C909" s="145" t="s">
        <v>643</v>
      </c>
      <c r="D909" s="283" t="s">
        <v>2</v>
      </c>
      <c r="E909" s="662">
        <v>3.01</v>
      </c>
      <c r="F909" s="612">
        <f>F904*E909</f>
        <v>4.3134052499999997</v>
      </c>
      <c r="G909" s="660"/>
      <c r="H909" s="8">
        <f t="shared" si="108"/>
        <v>0</v>
      </c>
      <c r="I909" s="661"/>
      <c r="J909" s="32"/>
      <c r="K909" s="661"/>
      <c r="L909" s="32"/>
      <c r="M909" s="8">
        <f t="shared" si="107"/>
        <v>0</v>
      </c>
    </row>
    <row r="910" spans="1:15" s="3" customFormat="1" ht="16.5" x14ac:dyDescent="0.25">
      <c r="A910" s="1260"/>
      <c r="B910" s="519"/>
      <c r="C910" s="145" t="s">
        <v>644</v>
      </c>
      <c r="D910" s="283" t="s">
        <v>2</v>
      </c>
      <c r="E910" s="662">
        <v>3.08</v>
      </c>
      <c r="F910" s="612">
        <f>F904*E910</f>
        <v>4.4137170000000001</v>
      </c>
      <c r="G910" s="660"/>
      <c r="H910" s="8">
        <f t="shared" si="108"/>
        <v>0</v>
      </c>
      <c r="I910" s="661"/>
      <c r="J910" s="32"/>
      <c r="K910" s="661"/>
      <c r="L910" s="32"/>
      <c r="M910" s="8">
        <f t="shared" si="107"/>
        <v>0</v>
      </c>
    </row>
    <row r="911" spans="1:15" s="3" customFormat="1" ht="16.5" x14ac:dyDescent="0.25">
      <c r="A911" s="1260"/>
      <c r="B911" s="519"/>
      <c r="C911" s="145" t="s">
        <v>50</v>
      </c>
      <c r="D911" s="283" t="s">
        <v>4</v>
      </c>
      <c r="E911" s="662">
        <v>1.38</v>
      </c>
      <c r="F911" s="612">
        <f>F904*E911</f>
        <v>1.9775744999999998</v>
      </c>
      <c r="G911" s="660"/>
      <c r="H911" s="8">
        <f t="shared" si="108"/>
        <v>0</v>
      </c>
      <c r="I911" s="661"/>
      <c r="J911" s="32"/>
      <c r="K911" s="661"/>
      <c r="L911" s="32"/>
      <c r="M911" s="8">
        <f t="shared" si="107"/>
        <v>0</v>
      </c>
    </row>
    <row r="912" spans="1:15" s="3" customFormat="1" ht="31.5" x14ac:dyDescent="0.25">
      <c r="A912" s="1260"/>
      <c r="B912" s="519"/>
      <c r="C912" s="663" t="s">
        <v>645</v>
      </c>
      <c r="D912" s="283"/>
      <c r="E912" s="662"/>
      <c r="F912" s="612"/>
      <c r="G912" s="660"/>
      <c r="H912" s="8"/>
      <c r="I912" s="661"/>
      <c r="J912" s="32"/>
      <c r="K912" s="661"/>
      <c r="L912" s="32"/>
      <c r="M912" s="8"/>
    </row>
    <row r="913" spans="1:13" s="3" customFormat="1" ht="16.5" x14ac:dyDescent="0.25">
      <c r="A913" s="1260"/>
      <c r="B913" s="519"/>
      <c r="C913" s="145" t="s">
        <v>646</v>
      </c>
      <c r="D913" s="283" t="s">
        <v>647</v>
      </c>
      <c r="E913" s="662"/>
      <c r="F913" s="103">
        <f>(0.162*0.112*1*6*1.1*47.1/1000)*F882</f>
        <v>5.6402438399999998E-3</v>
      </c>
      <c r="G913" s="664"/>
      <c r="H913" s="8">
        <f t="shared" si="108"/>
        <v>0</v>
      </c>
      <c r="I913" s="661"/>
      <c r="J913" s="32"/>
      <c r="K913" s="661"/>
      <c r="L913" s="32"/>
      <c r="M913" s="8">
        <f t="shared" si="107"/>
        <v>0</v>
      </c>
    </row>
    <row r="914" spans="1:13" s="3" customFormat="1" ht="16.5" x14ac:dyDescent="0.25">
      <c r="A914" s="1260"/>
      <c r="B914" s="519"/>
      <c r="C914" s="145" t="s">
        <v>648</v>
      </c>
      <c r="D914" s="283" t="s">
        <v>38</v>
      </c>
      <c r="E914" s="524"/>
      <c r="F914" s="103">
        <f>(0.2*0.15*2*6*1.1*47.1/1000)*F882</f>
        <v>1.8651600000000001E-2</v>
      </c>
      <c r="G914" s="661"/>
      <c r="H914" s="8">
        <f t="shared" si="108"/>
        <v>0</v>
      </c>
      <c r="I914" s="661"/>
      <c r="J914" s="32"/>
      <c r="K914" s="661"/>
      <c r="L914" s="32"/>
      <c r="M914" s="8">
        <f t="shared" si="107"/>
        <v>0</v>
      </c>
    </row>
    <row r="915" spans="1:13" s="3" customFormat="1" ht="16.5" x14ac:dyDescent="0.25">
      <c r="A915" s="1260"/>
      <c r="B915" s="519"/>
      <c r="C915" s="145" t="s">
        <v>649</v>
      </c>
      <c r="D915" s="283" t="s">
        <v>38</v>
      </c>
      <c r="E915" s="524"/>
      <c r="F915" s="103">
        <f>(0.2*0.112*2*6*1.1*47.1/1000)*F882</f>
        <v>1.3926528000000002E-2</v>
      </c>
      <c r="G915" s="661"/>
      <c r="H915" s="8">
        <f t="shared" si="108"/>
        <v>0</v>
      </c>
      <c r="I915" s="661"/>
      <c r="J915" s="32"/>
      <c r="K915" s="661"/>
      <c r="L915" s="32"/>
      <c r="M915" s="8">
        <f t="shared" si="107"/>
        <v>0</v>
      </c>
    </row>
    <row r="916" spans="1:13" s="3" customFormat="1" ht="31.5" x14ac:dyDescent="0.25">
      <c r="A916" s="1260"/>
      <c r="B916" s="519"/>
      <c r="C916" s="145" t="s">
        <v>650</v>
      </c>
      <c r="D916" s="283" t="s">
        <v>52</v>
      </c>
      <c r="E916" s="524"/>
      <c r="F916" s="103">
        <f>1*6*F882</f>
        <v>6</v>
      </c>
      <c r="G916" s="661"/>
      <c r="H916" s="8">
        <f t="shared" si="108"/>
        <v>0</v>
      </c>
      <c r="I916" s="661"/>
      <c r="J916" s="32"/>
      <c r="K916" s="661"/>
      <c r="L916" s="32"/>
      <c r="M916" s="8">
        <f t="shared" si="107"/>
        <v>0</v>
      </c>
    </row>
    <row r="917" spans="1:13" s="3" customFormat="1" ht="16.5" x14ac:dyDescent="0.25">
      <c r="A917" s="1260"/>
      <c r="B917" s="519"/>
      <c r="C917" s="145" t="s">
        <v>1373</v>
      </c>
      <c r="D917" s="283" t="s">
        <v>38</v>
      </c>
      <c r="E917" s="662"/>
      <c r="F917" s="103">
        <f>(2*6*1.03*0.888/1000)*F882</f>
        <v>1.0975679999999998E-2</v>
      </c>
      <c r="G917" s="664"/>
      <c r="H917" s="8">
        <f t="shared" si="108"/>
        <v>0</v>
      </c>
      <c r="I917" s="661"/>
      <c r="J917" s="32"/>
      <c r="K917" s="661"/>
      <c r="L917" s="32"/>
      <c r="M917" s="8">
        <f t="shared" si="107"/>
        <v>0</v>
      </c>
    </row>
    <row r="918" spans="1:13" s="3" customFormat="1" ht="16.5" x14ac:dyDescent="0.25">
      <c r="A918" s="1260"/>
      <c r="B918" s="519"/>
      <c r="C918" s="145" t="s">
        <v>651</v>
      </c>
      <c r="D918" s="283" t="s">
        <v>52</v>
      </c>
      <c r="E918" s="662"/>
      <c r="F918" s="103">
        <f>4*6*F882</f>
        <v>24</v>
      </c>
      <c r="G918" s="664"/>
      <c r="H918" s="8">
        <f t="shared" si="108"/>
        <v>0</v>
      </c>
      <c r="I918" s="661"/>
      <c r="J918" s="32"/>
      <c r="K918" s="661"/>
      <c r="L918" s="32"/>
      <c r="M918" s="8">
        <f t="shared" si="107"/>
        <v>0</v>
      </c>
    </row>
    <row r="919" spans="1:13" s="3" customFormat="1" ht="16.5" x14ac:dyDescent="0.25">
      <c r="A919" s="1260"/>
      <c r="B919" s="519"/>
      <c r="C919" s="145" t="s">
        <v>652</v>
      </c>
      <c r="D919" s="283" t="s">
        <v>52</v>
      </c>
      <c r="E919" s="662"/>
      <c r="F919" s="103">
        <f>4*6*F882</f>
        <v>24</v>
      </c>
      <c r="G919" s="664"/>
      <c r="H919" s="8">
        <f t="shared" si="108"/>
        <v>0</v>
      </c>
      <c r="I919" s="661"/>
      <c r="J919" s="32"/>
      <c r="K919" s="661"/>
      <c r="L919" s="32"/>
      <c r="M919" s="8">
        <f t="shared" si="107"/>
        <v>0</v>
      </c>
    </row>
    <row r="920" spans="1:13" s="3" customFormat="1" ht="16.5" x14ac:dyDescent="0.25">
      <c r="A920" s="1261"/>
      <c r="B920" s="519"/>
      <c r="C920" s="145" t="s">
        <v>653</v>
      </c>
      <c r="D920" s="283" t="s">
        <v>2</v>
      </c>
      <c r="E920" s="662"/>
      <c r="F920" s="103">
        <f>1*6*F882</f>
        <v>6</v>
      </c>
      <c r="G920" s="664"/>
      <c r="H920" s="8">
        <f t="shared" si="108"/>
        <v>0</v>
      </c>
      <c r="I920" s="661"/>
      <c r="J920" s="32"/>
      <c r="K920" s="661"/>
      <c r="L920" s="32"/>
      <c r="M920" s="8">
        <f t="shared" si="107"/>
        <v>0</v>
      </c>
    </row>
    <row r="921" spans="1:13" s="3" customFormat="1" ht="16.5" x14ac:dyDescent="0.25">
      <c r="A921" s="1109"/>
      <c r="B921" s="519"/>
      <c r="C921" s="13"/>
      <c r="D921" s="519"/>
      <c r="E921" s="524"/>
      <c r="F921" s="515"/>
      <c r="G921" s="514"/>
      <c r="H921" s="514"/>
      <c r="I921" s="514"/>
      <c r="J921" s="514"/>
      <c r="K921" s="514"/>
      <c r="L921" s="514"/>
      <c r="M921" s="514"/>
    </row>
    <row r="922" spans="1:13" s="3" customFormat="1" ht="31.5" x14ac:dyDescent="0.25">
      <c r="A922" s="1114" t="s">
        <v>94</v>
      </c>
      <c r="B922" s="283"/>
      <c r="C922" s="148" t="s">
        <v>654</v>
      </c>
      <c r="D922" s="283"/>
      <c r="E922" s="662"/>
      <c r="F922" s="612"/>
      <c r="G922" s="664"/>
      <c r="H922" s="32"/>
      <c r="I922" s="661"/>
      <c r="J922" s="32"/>
      <c r="K922" s="661"/>
      <c r="L922" s="32"/>
      <c r="M922" s="32"/>
    </row>
    <row r="923" spans="1:13" s="3" customFormat="1" ht="16.5" x14ac:dyDescent="0.25">
      <c r="A923" s="1249" t="s">
        <v>311</v>
      </c>
      <c r="B923" s="532" t="s">
        <v>655</v>
      </c>
      <c r="C923" s="152" t="s">
        <v>656</v>
      </c>
      <c r="D923" s="275" t="s">
        <v>37</v>
      </c>
      <c r="E923" s="276"/>
      <c r="F923" s="22">
        <f>F904*F882</f>
        <v>1.433025</v>
      </c>
      <c r="G923" s="8"/>
      <c r="H923" s="8"/>
      <c r="I923" s="8"/>
      <c r="J923" s="8"/>
      <c r="K923" s="8"/>
      <c r="L923" s="8"/>
      <c r="M923" s="8"/>
    </row>
    <row r="924" spans="1:13" s="3" customFormat="1" ht="16.5" x14ac:dyDescent="0.25">
      <c r="A924" s="1249"/>
      <c r="B924" s="532"/>
      <c r="C924" s="80" t="s">
        <v>54</v>
      </c>
      <c r="D924" s="48" t="s">
        <v>6</v>
      </c>
      <c r="E924" s="49">
        <v>0.87</v>
      </c>
      <c r="F924" s="515">
        <f>F923*E924</f>
        <v>1.2467317499999999</v>
      </c>
      <c r="G924" s="8"/>
      <c r="H924" s="8"/>
      <c r="I924" s="8"/>
      <c r="J924" s="8">
        <f t="shared" ref="J924" si="109">F924*I924</f>
        <v>0</v>
      </c>
      <c r="K924" s="8"/>
      <c r="L924" s="8"/>
      <c r="M924" s="8">
        <f t="shared" ref="M924:M929" si="110">H924+J924+L924</f>
        <v>0</v>
      </c>
    </row>
    <row r="925" spans="1:13" s="3" customFormat="1" ht="16.5" x14ac:dyDescent="0.25">
      <c r="A925" s="1249"/>
      <c r="B925" s="532"/>
      <c r="C925" s="80" t="s">
        <v>657</v>
      </c>
      <c r="D925" s="48" t="s">
        <v>4</v>
      </c>
      <c r="E925" s="49">
        <v>0.13</v>
      </c>
      <c r="F925" s="515">
        <f>F923*E925</f>
        <v>0.18629324999999999</v>
      </c>
      <c r="G925" s="8"/>
      <c r="H925" s="8"/>
      <c r="I925" s="8"/>
      <c r="J925" s="8"/>
      <c r="K925" s="8"/>
      <c r="L925" s="8">
        <f t="shared" ref="L925" si="111">F925*K925</f>
        <v>0</v>
      </c>
      <c r="M925" s="8">
        <f t="shared" si="110"/>
        <v>0</v>
      </c>
    </row>
    <row r="926" spans="1:13" s="3" customFormat="1" ht="16.5" x14ac:dyDescent="0.25">
      <c r="A926" s="1249"/>
      <c r="B926" s="532"/>
      <c r="C926" s="80" t="s">
        <v>658</v>
      </c>
      <c r="D926" s="48" t="s">
        <v>2</v>
      </c>
      <c r="E926" s="49">
        <v>7.2</v>
      </c>
      <c r="F926" s="515">
        <f>F923*E926</f>
        <v>10.317780000000001</v>
      </c>
      <c r="G926" s="8"/>
      <c r="H926" s="8">
        <f t="shared" ref="H926:H929" si="112">F926*G926</f>
        <v>0</v>
      </c>
      <c r="I926" s="8"/>
      <c r="J926" s="8"/>
      <c r="K926" s="8"/>
      <c r="L926" s="8"/>
      <c r="M926" s="8">
        <f t="shared" si="110"/>
        <v>0</v>
      </c>
    </row>
    <row r="927" spans="1:13" s="3" customFormat="1" ht="16.5" x14ac:dyDescent="0.25">
      <c r="A927" s="1249"/>
      <c r="B927" s="532"/>
      <c r="C927" s="80" t="s">
        <v>659</v>
      </c>
      <c r="D927" s="48" t="s">
        <v>2</v>
      </c>
      <c r="E927" s="49">
        <v>1.79</v>
      </c>
      <c r="F927" s="515">
        <f>F923*E927</f>
        <v>2.5651147500000002</v>
      </c>
      <c r="G927" s="8"/>
      <c r="H927" s="8">
        <f t="shared" si="112"/>
        <v>0</v>
      </c>
      <c r="I927" s="8"/>
      <c r="J927" s="8"/>
      <c r="K927" s="8"/>
      <c r="L927" s="8"/>
      <c r="M927" s="8">
        <f t="shared" si="110"/>
        <v>0</v>
      </c>
    </row>
    <row r="928" spans="1:13" s="3" customFormat="1" ht="16.5" x14ac:dyDescent="0.25">
      <c r="A928" s="1249"/>
      <c r="B928" s="532"/>
      <c r="C928" s="80" t="s">
        <v>660</v>
      </c>
      <c r="D928" s="48" t="s">
        <v>2</v>
      </c>
      <c r="E928" s="49">
        <v>1.07</v>
      </c>
      <c r="F928" s="515">
        <f>F923*E928</f>
        <v>1.5333367500000001</v>
      </c>
      <c r="G928" s="8"/>
      <c r="H928" s="8">
        <f t="shared" si="112"/>
        <v>0</v>
      </c>
      <c r="I928" s="8"/>
      <c r="J928" s="8"/>
      <c r="K928" s="8"/>
      <c r="L928" s="8"/>
      <c r="M928" s="8">
        <f t="shared" si="110"/>
        <v>0</v>
      </c>
    </row>
    <row r="929" spans="1:15" s="3" customFormat="1" ht="16.5" x14ac:dyDescent="0.25">
      <c r="A929" s="1249"/>
      <c r="B929" s="532"/>
      <c r="C929" s="80" t="s">
        <v>50</v>
      </c>
      <c r="D929" s="48" t="s">
        <v>4</v>
      </c>
      <c r="E929" s="49">
        <v>0.1</v>
      </c>
      <c r="F929" s="515">
        <f>F923*E929</f>
        <v>0.1433025</v>
      </c>
      <c r="G929" s="8"/>
      <c r="H929" s="8">
        <f t="shared" si="112"/>
        <v>0</v>
      </c>
      <c r="I929" s="8"/>
      <c r="J929" s="8"/>
      <c r="K929" s="8"/>
      <c r="L929" s="8"/>
      <c r="M929" s="8">
        <f t="shared" si="110"/>
        <v>0</v>
      </c>
    </row>
    <row r="930" spans="1:15" s="3" customFormat="1" ht="31.5" x14ac:dyDescent="0.25">
      <c r="A930" s="1249" t="s">
        <v>661</v>
      </c>
      <c r="B930" s="666" t="s">
        <v>662</v>
      </c>
      <c r="C930" s="152" t="s">
        <v>663</v>
      </c>
      <c r="D930" s="275" t="s">
        <v>47</v>
      </c>
      <c r="E930" s="276"/>
      <c r="F930" s="23">
        <f>(  (0.15+0.15)*2*2.9*6+(0.1+0.15)*2*2*6+(0.1+0.15)*2*5.4*3+(0.1+0.15)*2*0.4*6+(0.15+0.15)*2*1.5*1+(0.1+0.15)*2*3.1*6+(0.05+0.1)*2*2*3*6  )  *F882</f>
        <v>46.739999999999995</v>
      </c>
      <c r="G930" s="8"/>
      <c r="H930" s="8"/>
      <c r="I930" s="8"/>
      <c r="J930" s="8"/>
      <c r="K930" s="8"/>
      <c r="L930" s="8"/>
      <c r="M930" s="8"/>
      <c r="O930" s="656">
        <f>(0.15+0.15)*2*2.9*6+(0.1+0.15)*2*2*6+(0.1+0.15)*2*5.4*3+(0.1+0.15)*2*0.4*6+(0.15+0.15)*2*1.5*1+(0.1+0.15)*2*3.1*6+(0.05+0.1)*2*2*3*6</f>
        <v>46.739999999999995</v>
      </c>
    </row>
    <row r="931" spans="1:15" s="3" customFormat="1" ht="16.5" x14ac:dyDescent="0.25">
      <c r="A931" s="1249"/>
      <c r="B931" s="666"/>
      <c r="C931" s="80" t="s">
        <v>54</v>
      </c>
      <c r="D931" s="48" t="s">
        <v>6</v>
      </c>
      <c r="E931" s="49">
        <v>9.9699999999999997E-2</v>
      </c>
      <c r="F931" s="515">
        <f>F930*E931</f>
        <v>4.6599779999999997</v>
      </c>
      <c r="G931" s="8"/>
      <c r="H931" s="8"/>
      <c r="I931" s="8"/>
      <c r="J931" s="8">
        <f t="shared" ref="J931" si="113">F931*I931</f>
        <v>0</v>
      </c>
      <c r="K931" s="8"/>
      <c r="L931" s="8"/>
      <c r="M931" s="8">
        <f t="shared" ref="M931:M933" si="114">H931+J931+L931</f>
        <v>0</v>
      </c>
    </row>
    <row r="932" spans="1:15" s="3" customFormat="1" ht="16.5" x14ac:dyDescent="0.25">
      <c r="A932" s="1249"/>
      <c r="B932" s="666"/>
      <c r="C932" s="80" t="s">
        <v>657</v>
      </c>
      <c r="D932" s="48" t="s">
        <v>4</v>
      </c>
      <c r="E932" s="49">
        <v>3.0000000000000001E-3</v>
      </c>
      <c r="F932" s="515">
        <f>F930*E932</f>
        <v>0.14021999999999998</v>
      </c>
      <c r="G932" s="8"/>
      <c r="H932" s="8"/>
      <c r="I932" s="8"/>
      <c r="J932" s="8"/>
      <c r="K932" s="8"/>
      <c r="L932" s="8">
        <f t="shared" ref="L932" si="115">F932*K932</f>
        <v>0</v>
      </c>
      <c r="M932" s="8">
        <f t="shared" si="114"/>
        <v>0</v>
      </c>
    </row>
    <row r="933" spans="1:15" s="3" customFormat="1" ht="16.5" x14ac:dyDescent="0.25">
      <c r="A933" s="1249"/>
      <c r="B933" s="666"/>
      <c r="C933" s="281" t="s">
        <v>664</v>
      </c>
      <c r="D933" s="48" t="s">
        <v>2</v>
      </c>
      <c r="E933" s="49">
        <v>9</v>
      </c>
      <c r="F933" s="515">
        <f>F930*E933</f>
        <v>420.65999999999997</v>
      </c>
      <c r="G933" s="8"/>
      <c r="H933" s="8">
        <f t="shared" ref="H933" si="116">F933*G933</f>
        <v>0</v>
      </c>
      <c r="I933" s="8"/>
      <c r="J933" s="8"/>
      <c r="K933" s="8"/>
      <c r="L933" s="8"/>
      <c r="M933" s="8">
        <f t="shared" si="114"/>
        <v>0</v>
      </c>
    </row>
    <row r="934" spans="1:15" s="3" customFormat="1" ht="40.5" x14ac:dyDescent="0.25">
      <c r="A934" s="1250" t="s">
        <v>87</v>
      </c>
      <c r="B934" s="667" t="s">
        <v>665</v>
      </c>
      <c r="C934" s="127" t="s">
        <v>666</v>
      </c>
      <c r="D934" s="275" t="s">
        <v>47</v>
      </c>
      <c r="E934" s="668"/>
      <c r="F934" s="23">
        <f>F930*F882</f>
        <v>46.739999999999995</v>
      </c>
      <c r="G934" s="669"/>
      <c r="H934" s="8"/>
      <c r="I934" s="8"/>
      <c r="J934" s="8"/>
      <c r="K934" s="8"/>
      <c r="L934" s="8"/>
      <c r="M934" s="8"/>
    </row>
    <row r="935" spans="1:15" s="3" customFormat="1" ht="16.5" x14ac:dyDescent="0.25">
      <c r="A935" s="1266"/>
      <c r="B935" s="519"/>
      <c r="C935" s="26" t="s">
        <v>36</v>
      </c>
      <c r="D935" s="519" t="s">
        <v>6</v>
      </c>
      <c r="E935" s="524">
        <v>0.129</v>
      </c>
      <c r="F935" s="515">
        <f>F934*E935</f>
        <v>6.0294599999999994</v>
      </c>
      <c r="G935" s="514"/>
      <c r="H935" s="514"/>
      <c r="I935" s="522"/>
      <c r="J935" s="514">
        <f>F935*I935</f>
        <v>0</v>
      </c>
      <c r="K935" s="514"/>
      <c r="L935" s="514"/>
      <c r="M935" s="514">
        <f t="shared" ref="M935:M937" si="117">H935+J935+L935</f>
        <v>0</v>
      </c>
    </row>
    <row r="936" spans="1:15" s="3" customFormat="1" ht="16.5" x14ac:dyDescent="0.25">
      <c r="A936" s="1266"/>
      <c r="B936" s="519" t="s">
        <v>667</v>
      </c>
      <c r="C936" s="26" t="s">
        <v>668</v>
      </c>
      <c r="D936" s="519" t="s">
        <v>2</v>
      </c>
      <c r="E936" s="524">
        <v>0.35</v>
      </c>
      <c r="F936" s="515">
        <f>F934*E936</f>
        <v>16.358999999999998</v>
      </c>
      <c r="G936" s="522"/>
      <c r="H936" s="514">
        <f>F936*G936</f>
        <v>0</v>
      </c>
      <c r="I936" s="514"/>
      <c r="J936" s="514"/>
      <c r="K936" s="514"/>
      <c r="L936" s="514"/>
      <c r="M936" s="514">
        <f t="shared" si="117"/>
        <v>0</v>
      </c>
    </row>
    <row r="937" spans="1:15" s="3" customFormat="1" ht="16.5" x14ac:dyDescent="0.25">
      <c r="A937" s="1251"/>
      <c r="B937" s="519"/>
      <c r="C937" s="26" t="s">
        <v>669</v>
      </c>
      <c r="D937" s="519" t="s">
        <v>4</v>
      </c>
      <c r="E937" s="524">
        <v>5.9999999999999995E-4</v>
      </c>
      <c r="F937" s="515">
        <f>F934*E937</f>
        <v>2.8043999999999996E-2</v>
      </c>
      <c r="G937" s="522"/>
      <c r="H937" s="514">
        <f>F937*G937</f>
        <v>0</v>
      </c>
      <c r="I937" s="514"/>
      <c r="J937" s="514"/>
      <c r="K937" s="514"/>
      <c r="L937" s="514"/>
      <c r="M937" s="514">
        <f t="shared" si="117"/>
        <v>0</v>
      </c>
    </row>
    <row r="938" spans="1:15" s="3" customFormat="1" ht="16.5" x14ac:dyDescent="0.25">
      <c r="A938" s="1109" t="s">
        <v>89</v>
      </c>
      <c r="B938" s="519"/>
      <c r="C938" s="150" t="s">
        <v>670</v>
      </c>
      <c r="D938" s="519"/>
      <c r="E938" s="524"/>
      <c r="F938" s="670"/>
      <c r="G938" s="514"/>
      <c r="H938" s="514"/>
      <c r="I938" s="514"/>
      <c r="J938" s="514"/>
      <c r="K938" s="514"/>
      <c r="L938" s="514"/>
      <c r="M938" s="514"/>
    </row>
    <row r="939" spans="1:15" s="3" customFormat="1" ht="16.5" x14ac:dyDescent="0.25">
      <c r="A939" s="1283" t="s">
        <v>671</v>
      </c>
      <c r="B939" s="278" t="s">
        <v>672</v>
      </c>
      <c r="C939" s="152" t="s">
        <v>673</v>
      </c>
      <c r="D939" s="275" t="s">
        <v>47</v>
      </c>
      <c r="E939" s="276"/>
      <c r="F939" s="22">
        <f>22.8*F882</f>
        <v>22.8</v>
      </c>
      <c r="G939" s="8"/>
      <c r="H939" s="8"/>
      <c r="I939" s="8"/>
      <c r="J939" s="8"/>
      <c r="K939" s="8"/>
      <c r="L939" s="223"/>
      <c r="M939" s="223"/>
    </row>
    <row r="940" spans="1:15" s="3" customFormat="1" ht="16.5" x14ac:dyDescent="0.25">
      <c r="A940" s="1285"/>
      <c r="B940" s="593"/>
      <c r="C940" s="671" t="s">
        <v>54</v>
      </c>
      <c r="D940" s="672" t="s">
        <v>6</v>
      </c>
      <c r="E940" s="524">
        <v>0.22700000000000001</v>
      </c>
      <c r="F940" s="515">
        <f>F939*E940</f>
        <v>5.1756000000000002</v>
      </c>
      <c r="G940" s="8"/>
      <c r="H940" s="8"/>
      <c r="I940" s="8"/>
      <c r="J940" s="8">
        <f t="shared" ref="J940" si="118">F940*I940</f>
        <v>0</v>
      </c>
      <c r="K940" s="8"/>
      <c r="L940" s="8"/>
      <c r="M940" s="8">
        <f t="shared" ref="M940:M944" si="119">H940+J940+L940</f>
        <v>0</v>
      </c>
    </row>
    <row r="941" spans="1:15" s="3" customFormat="1" ht="16.5" x14ac:dyDescent="0.25">
      <c r="A941" s="1285"/>
      <c r="B941" s="593"/>
      <c r="C941" s="671" t="s">
        <v>657</v>
      </c>
      <c r="D941" s="48" t="s">
        <v>4</v>
      </c>
      <c r="E941" s="524">
        <v>2.76E-2</v>
      </c>
      <c r="F941" s="515">
        <f>F939*E941</f>
        <v>0.62928000000000006</v>
      </c>
      <c r="G941" s="8"/>
      <c r="H941" s="8"/>
      <c r="I941" s="8"/>
      <c r="J941" s="8"/>
      <c r="K941" s="8"/>
      <c r="L941" s="8">
        <f t="shared" ref="L941" si="120">F941*K941</f>
        <v>0</v>
      </c>
      <c r="M941" s="8">
        <f t="shared" si="119"/>
        <v>0</v>
      </c>
    </row>
    <row r="942" spans="1:15" s="3" customFormat="1" ht="16.5" x14ac:dyDescent="0.25">
      <c r="A942" s="1285"/>
      <c r="B942" s="43"/>
      <c r="C942" s="671" t="s">
        <v>674</v>
      </c>
      <c r="D942" s="672" t="s">
        <v>37</v>
      </c>
      <c r="E942" s="524">
        <v>2.1000000000000001E-2</v>
      </c>
      <c r="F942" s="515">
        <f>F939*E942</f>
        <v>0.47880000000000006</v>
      </c>
      <c r="G942" s="8"/>
      <c r="H942" s="8">
        <f t="shared" ref="H942:H944" si="121">F942*G942</f>
        <v>0</v>
      </c>
      <c r="I942" s="8"/>
      <c r="J942" s="8"/>
      <c r="K942" s="8"/>
      <c r="L942" s="8"/>
      <c r="M942" s="8">
        <f t="shared" si="119"/>
        <v>0</v>
      </c>
    </row>
    <row r="943" spans="1:15" s="3" customFormat="1" ht="16.5" x14ac:dyDescent="0.25">
      <c r="A943" s="1285"/>
      <c r="B943" s="43"/>
      <c r="C943" s="671" t="s">
        <v>675</v>
      </c>
      <c r="D943" s="672" t="s">
        <v>2</v>
      </c>
      <c r="E943" s="524">
        <v>7.0000000000000007E-2</v>
      </c>
      <c r="F943" s="515">
        <f>F939*E943</f>
        <v>1.5960000000000003</v>
      </c>
      <c r="G943" s="8"/>
      <c r="H943" s="8">
        <f t="shared" si="121"/>
        <v>0</v>
      </c>
      <c r="I943" s="8"/>
      <c r="J943" s="8"/>
      <c r="K943" s="8"/>
      <c r="L943" s="8"/>
      <c r="M943" s="8">
        <f t="shared" si="119"/>
        <v>0</v>
      </c>
    </row>
    <row r="944" spans="1:15" s="3" customFormat="1" ht="16.5" x14ac:dyDescent="0.25">
      <c r="A944" s="1284"/>
      <c r="B944" s="593"/>
      <c r="C944" s="671" t="s">
        <v>50</v>
      </c>
      <c r="D944" s="48" t="s">
        <v>4</v>
      </c>
      <c r="E944" s="524">
        <v>4.4400000000000002E-2</v>
      </c>
      <c r="F944" s="515">
        <f>F939*E944</f>
        <v>1.0123200000000001</v>
      </c>
      <c r="G944" s="8"/>
      <c r="H944" s="8">
        <f t="shared" si="121"/>
        <v>0</v>
      </c>
      <c r="I944" s="8"/>
      <c r="J944" s="8"/>
      <c r="K944" s="8"/>
      <c r="L944" s="8"/>
      <c r="M944" s="8">
        <f t="shared" si="119"/>
        <v>0</v>
      </c>
    </row>
    <row r="945" spans="1:13" s="3" customFormat="1" ht="16.5" x14ac:dyDescent="0.25">
      <c r="A945" s="1283" t="s">
        <v>676</v>
      </c>
      <c r="B945" s="43" t="s">
        <v>672</v>
      </c>
      <c r="C945" s="152" t="s">
        <v>677</v>
      </c>
      <c r="D945" s="275" t="s">
        <v>47</v>
      </c>
      <c r="E945" s="276"/>
      <c r="F945" s="22">
        <f>F939</f>
        <v>22.8</v>
      </c>
      <c r="G945" s="8"/>
      <c r="H945" s="8"/>
      <c r="I945" s="8"/>
      <c r="J945" s="8"/>
      <c r="K945" s="8"/>
      <c r="L945" s="223"/>
      <c r="M945" s="223"/>
    </row>
    <row r="946" spans="1:13" s="3" customFormat="1" ht="16.5" x14ac:dyDescent="0.25">
      <c r="A946" s="1285"/>
      <c r="B946" s="593"/>
      <c r="C946" s="671" t="s">
        <v>54</v>
      </c>
      <c r="D946" s="672" t="s">
        <v>6</v>
      </c>
      <c r="E946" s="524">
        <v>0.22700000000000001</v>
      </c>
      <c r="F946" s="515">
        <f>F945*E946</f>
        <v>5.1756000000000002</v>
      </c>
      <c r="G946" s="8"/>
      <c r="H946" s="8"/>
      <c r="I946" s="8"/>
      <c r="J946" s="8">
        <f t="shared" ref="J946" si="122">F946*I946</f>
        <v>0</v>
      </c>
      <c r="K946" s="8"/>
      <c r="L946" s="8"/>
      <c r="M946" s="8">
        <f t="shared" ref="M946:M950" si="123">H946+J946+L946</f>
        <v>0</v>
      </c>
    </row>
    <row r="947" spans="1:13" s="3" customFormat="1" ht="16.5" x14ac:dyDescent="0.25">
      <c r="A947" s="1285"/>
      <c r="B947" s="593"/>
      <c r="C947" s="671" t="s">
        <v>657</v>
      </c>
      <c r="D947" s="48" t="s">
        <v>4</v>
      </c>
      <c r="E947" s="524">
        <v>2.76E-2</v>
      </c>
      <c r="F947" s="515">
        <f>F945*E947</f>
        <v>0.62928000000000006</v>
      </c>
      <c r="G947" s="8"/>
      <c r="H947" s="8"/>
      <c r="I947" s="8"/>
      <c r="J947" s="8"/>
      <c r="K947" s="8"/>
      <c r="L947" s="8">
        <f t="shared" ref="L947" si="124">F947*K947</f>
        <v>0</v>
      </c>
      <c r="M947" s="8">
        <f t="shared" si="123"/>
        <v>0</v>
      </c>
    </row>
    <row r="948" spans="1:13" s="3" customFormat="1" ht="16.5" x14ac:dyDescent="0.25">
      <c r="A948" s="1285"/>
      <c r="B948" s="43"/>
      <c r="C948" s="671" t="s">
        <v>678</v>
      </c>
      <c r="D948" s="672" t="s">
        <v>47</v>
      </c>
      <c r="E948" s="524">
        <v>1.05</v>
      </c>
      <c r="F948" s="515">
        <f>F945*E948</f>
        <v>23.94</v>
      </c>
      <c r="G948" s="8"/>
      <c r="H948" s="8">
        <f t="shared" ref="H948:H950" si="125">F948*G948</f>
        <v>0</v>
      </c>
      <c r="I948" s="8"/>
      <c r="J948" s="8"/>
      <c r="K948" s="8"/>
      <c r="L948" s="8"/>
      <c r="M948" s="8">
        <f t="shared" si="123"/>
        <v>0</v>
      </c>
    </row>
    <row r="949" spans="1:13" s="3" customFormat="1" ht="16.5" x14ac:dyDescent="0.25">
      <c r="A949" s="1285"/>
      <c r="B949" s="43"/>
      <c r="C949" s="671" t="s">
        <v>675</v>
      </c>
      <c r="D949" s="672" t="s">
        <v>2</v>
      </c>
      <c r="E949" s="524">
        <v>7.0000000000000007E-2</v>
      </c>
      <c r="F949" s="515">
        <f>F945*E949</f>
        <v>1.5960000000000003</v>
      </c>
      <c r="G949" s="8"/>
      <c r="H949" s="8">
        <f t="shared" si="125"/>
        <v>0</v>
      </c>
      <c r="I949" s="8"/>
      <c r="J949" s="8"/>
      <c r="K949" s="8"/>
      <c r="L949" s="8"/>
      <c r="M949" s="8">
        <f t="shared" si="123"/>
        <v>0</v>
      </c>
    </row>
    <row r="950" spans="1:13" s="3" customFormat="1" ht="16.5" x14ac:dyDescent="0.25">
      <c r="A950" s="1284"/>
      <c r="B950" s="593"/>
      <c r="C950" s="671" t="s">
        <v>50</v>
      </c>
      <c r="D950" s="48" t="s">
        <v>4</v>
      </c>
      <c r="E950" s="524">
        <v>4.4400000000000002E-2</v>
      </c>
      <c r="F950" s="515">
        <f>F945*E950</f>
        <v>1.0123200000000001</v>
      </c>
      <c r="G950" s="8"/>
      <c r="H950" s="8">
        <f t="shared" si="125"/>
        <v>0</v>
      </c>
      <c r="I950" s="8"/>
      <c r="J950" s="8"/>
      <c r="K950" s="8"/>
      <c r="L950" s="8"/>
      <c r="M950" s="8">
        <f t="shared" si="123"/>
        <v>0</v>
      </c>
    </row>
    <row r="951" spans="1:13" s="3" customFormat="1" ht="16.5" x14ac:dyDescent="0.25">
      <c r="A951" s="1249" t="s">
        <v>679</v>
      </c>
      <c r="B951" s="532" t="s">
        <v>680</v>
      </c>
      <c r="C951" s="152" t="s">
        <v>681</v>
      </c>
      <c r="D951" s="275" t="s">
        <v>47</v>
      </c>
      <c r="E951" s="276"/>
      <c r="F951" s="22">
        <f>F939</f>
        <v>22.8</v>
      </c>
      <c r="G951" s="8"/>
      <c r="H951" s="8"/>
      <c r="I951" s="8"/>
      <c r="J951" s="8"/>
      <c r="K951" s="8"/>
      <c r="L951" s="8"/>
      <c r="M951" s="8"/>
    </row>
    <row r="952" spans="1:13" s="3" customFormat="1" ht="16.5" x14ac:dyDescent="0.25">
      <c r="A952" s="1249"/>
      <c r="B952" s="532"/>
      <c r="C952" s="80" t="s">
        <v>54</v>
      </c>
      <c r="D952" s="48" t="s">
        <v>6</v>
      </c>
      <c r="E952" s="49">
        <v>3.0300000000000001E-2</v>
      </c>
      <c r="F952" s="515">
        <f>F951*E952</f>
        <v>0.69084000000000001</v>
      </c>
      <c r="G952" s="8"/>
      <c r="H952" s="8"/>
      <c r="I952" s="8"/>
      <c r="J952" s="8">
        <f t="shared" ref="J952" si="126">F952*I952</f>
        <v>0</v>
      </c>
      <c r="K952" s="8"/>
      <c r="L952" s="8"/>
      <c r="M952" s="8">
        <f t="shared" ref="M952:M957" si="127">H952+J952+L952</f>
        <v>0</v>
      </c>
    </row>
    <row r="953" spans="1:13" s="3" customFormat="1" ht="16.5" x14ac:dyDescent="0.25">
      <c r="A953" s="1249"/>
      <c r="B953" s="532"/>
      <c r="C953" s="80" t="s">
        <v>657</v>
      </c>
      <c r="D953" s="48" t="s">
        <v>4</v>
      </c>
      <c r="E953" s="49">
        <v>4.1000000000000003E-3</v>
      </c>
      <c r="F953" s="515">
        <f>F951*E953</f>
        <v>9.3480000000000008E-2</v>
      </c>
      <c r="G953" s="8"/>
      <c r="H953" s="8"/>
      <c r="I953" s="8"/>
      <c r="J953" s="8"/>
      <c r="K953" s="8"/>
      <c r="L953" s="8">
        <f t="shared" ref="L953" si="128">F953*K953</f>
        <v>0</v>
      </c>
      <c r="M953" s="8">
        <f t="shared" si="127"/>
        <v>0</v>
      </c>
    </row>
    <row r="954" spans="1:13" s="3" customFormat="1" ht="16.5" x14ac:dyDescent="0.25">
      <c r="A954" s="1249"/>
      <c r="B954" s="532"/>
      <c r="C954" s="80" t="s">
        <v>658</v>
      </c>
      <c r="D954" s="48" t="s">
        <v>2</v>
      </c>
      <c r="E954" s="49">
        <v>0.23100000000000001</v>
      </c>
      <c r="F954" s="515">
        <f>F951*E954</f>
        <v>5.2668000000000008</v>
      </c>
      <c r="G954" s="8"/>
      <c r="H954" s="8">
        <f t="shared" ref="H954:H957" si="129">F954*G954</f>
        <v>0</v>
      </c>
      <c r="I954" s="8"/>
      <c r="J954" s="8"/>
      <c r="K954" s="8"/>
      <c r="L954" s="8"/>
      <c r="M954" s="8">
        <f t="shared" si="127"/>
        <v>0</v>
      </c>
    </row>
    <row r="955" spans="1:13" s="3" customFormat="1" ht="16.5" x14ac:dyDescent="0.25">
      <c r="A955" s="1249"/>
      <c r="B955" s="532"/>
      <c r="C955" s="80" t="s">
        <v>659</v>
      </c>
      <c r="D955" s="48" t="s">
        <v>2</v>
      </c>
      <c r="E955" s="49">
        <v>5.8000000000000003E-2</v>
      </c>
      <c r="F955" s="515">
        <f>F951*E955</f>
        <v>1.3224</v>
      </c>
      <c r="G955" s="8"/>
      <c r="H955" s="8">
        <f t="shared" si="129"/>
        <v>0</v>
      </c>
      <c r="I955" s="8"/>
      <c r="J955" s="8"/>
      <c r="K955" s="8"/>
      <c r="L955" s="8"/>
      <c r="M955" s="8">
        <f t="shared" si="127"/>
        <v>0</v>
      </c>
    </row>
    <row r="956" spans="1:13" s="3" customFormat="1" ht="16.5" x14ac:dyDescent="0.25">
      <c r="A956" s="1249"/>
      <c r="B956" s="532"/>
      <c r="C956" s="80" t="s">
        <v>660</v>
      </c>
      <c r="D956" s="48" t="s">
        <v>2</v>
      </c>
      <c r="E956" s="49">
        <v>3.5000000000000003E-2</v>
      </c>
      <c r="F956" s="515">
        <f>F951*E956</f>
        <v>0.79800000000000015</v>
      </c>
      <c r="G956" s="8"/>
      <c r="H956" s="8">
        <f t="shared" si="129"/>
        <v>0</v>
      </c>
      <c r="I956" s="8"/>
      <c r="J956" s="8"/>
      <c r="K956" s="8"/>
      <c r="L956" s="8"/>
      <c r="M956" s="8">
        <f t="shared" si="127"/>
        <v>0</v>
      </c>
    </row>
    <row r="957" spans="1:13" s="3" customFormat="1" ht="16.5" x14ac:dyDescent="0.25">
      <c r="A957" s="1249"/>
      <c r="B957" s="532"/>
      <c r="C957" s="80" t="s">
        <v>50</v>
      </c>
      <c r="D957" s="48" t="s">
        <v>4</v>
      </c>
      <c r="E957" s="49">
        <v>4.0000000000000002E-4</v>
      </c>
      <c r="F957" s="515">
        <f>F951*E957</f>
        <v>9.1200000000000014E-3</v>
      </c>
      <c r="G957" s="8"/>
      <c r="H957" s="8">
        <f t="shared" si="129"/>
        <v>0</v>
      </c>
      <c r="I957" s="8"/>
      <c r="J957" s="8"/>
      <c r="K957" s="8"/>
      <c r="L957" s="8"/>
      <c r="M957" s="8">
        <f t="shared" si="127"/>
        <v>0</v>
      </c>
    </row>
    <row r="958" spans="1:13" s="3" customFormat="1" ht="16.5" x14ac:dyDescent="0.25">
      <c r="A958" s="1249" t="s">
        <v>682</v>
      </c>
      <c r="B958" s="666" t="s">
        <v>683</v>
      </c>
      <c r="C958" s="152" t="s">
        <v>684</v>
      </c>
      <c r="D958" s="275" t="s">
        <v>47</v>
      </c>
      <c r="E958" s="276"/>
      <c r="F958" s="23">
        <f>F939</f>
        <v>22.8</v>
      </c>
      <c r="G958" s="8"/>
      <c r="H958" s="8"/>
      <c r="I958" s="8"/>
      <c r="J958" s="8"/>
      <c r="K958" s="8"/>
      <c r="L958" s="8"/>
      <c r="M958" s="8"/>
    </row>
    <row r="959" spans="1:13" s="3" customFormat="1" ht="16.5" x14ac:dyDescent="0.25">
      <c r="A959" s="1249"/>
      <c r="B959" s="666"/>
      <c r="C959" s="80" t="s">
        <v>54</v>
      </c>
      <c r="D959" s="48" t="s">
        <v>6</v>
      </c>
      <c r="E959" s="49">
        <v>6.9199999999999998E-2</v>
      </c>
      <c r="F959" s="515">
        <f>F958*E959</f>
        <v>1.5777600000000001</v>
      </c>
      <c r="G959" s="8"/>
      <c r="H959" s="8"/>
      <c r="I959" s="8"/>
      <c r="J959" s="8">
        <f t="shared" ref="J959" si="130">F959*I959</f>
        <v>0</v>
      </c>
      <c r="K959" s="8"/>
      <c r="L959" s="8"/>
      <c r="M959" s="8">
        <f t="shared" ref="M959:M961" si="131">H959+J959+L959</f>
        <v>0</v>
      </c>
    </row>
    <row r="960" spans="1:13" s="3" customFormat="1" ht="16.5" x14ac:dyDescent="0.25">
      <c r="A960" s="1249"/>
      <c r="B960" s="666"/>
      <c r="C960" s="80" t="s">
        <v>657</v>
      </c>
      <c r="D960" s="48" t="s">
        <v>4</v>
      </c>
      <c r="E960" s="49">
        <v>1.6000000000000001E-3</v>
      </c>
      <c r="F960" s="515">
        <f>F958*E960</f>
        <v>3.6480000000000005E-2</v>
      </c>
      <c r="G960" s="8"/>
      <c r="H960" s="8"/>
      <c r="I960" s="8"/>
      <c r="J960" s="8"/>
      <c r="K960" s="8"/>
      <c r="L960" s="8">
        <f t="shared" ref="L960" si="132">F960*K960</f>
        <v>0</v>
      </c>
      <c r="M960" s="8">
        <f t="shared" si="131"/>
        <v>0</v>
      </c>
    </row>
    <row r="961" spans="1:18" s="3" customFormat="1" ht="16.5" x14ac:dyDescent="0.25">
      <c r="A961" s="1249"/>
      <c r="B961" s="666"/>
      <c r="C961" s="80" t="s">
        <v>664</v>
      </c>
      <c r="D961" s="48" t="s">
        <v>2</v>
      </c>
      <c r="E961" s="49">
        <v>0.4</v>
      </c>
      <c r="F961" s="515">
        <f>F958*E961</f>
        <v>9.120000000000001</v>
      </c>
      <c r="G961" s="8"/>
      <c r="H961" s="8">
        <f t="shared" ref="H961" si="133">F961*G961</f>
        <v>0</v>
      </c>
      <c r="I961" s="8"/>
      <c r="J961" s="8"/>
      <c r="K961" s="8"/>
      <c r="L961" s="8"/>
      <c r="M961" s="8">
        <f t="shared" si="131"/>
        <v>0</v>
      </c>
    </row>
    <row r="962" spans="1:18" s="3" customFormat="1" ht="16.5" x14ac:dyDescent="0.25">
      <c r="A962" s="1283" t="s">
        <v>685</v>
      </c>
      <c r="B962" s="294" t="s">
        <v>686</v>
      </c>
      <c r="C962" s="152" t="s">
        <v>687</v>
      </c>
      <c r="D962" s="275" t="s">
        <v>47</v>
      </c>
      <c r="E962" s="276"/>
      <c r="F962" s="22">
        <f>F939</f>
        <v>22.8</v>
      </c>
      <c r="G962" s="8"/>
      <c r="H962" s="8"/>
      <c r="I962" s="8"/>
      <c r="J962" s="8"/>
      <c r="K962" s="8"/>
      <c r="L962" s="223"/>
      <c r="M962" s="223"/>
    </row>
    <row r="963" spans="1:18" s="3" customFormat="1" ht="16.5" x14ac:dyDescent="0.25">
      <c r="A963" s="1285"/>
      <c r="B963" s="532"/>
      <c r="C963" s="24" t="s">
        <v>36</v>
      </c>
      <c r="D963" s="532" t="s">
        <v>6</v>
      </c>
      <c r="E963" s="533">
        <v>0.497</v>
      </c>
      <c r="F963" s="512">
        <f>F962*E963</f>
        <v>11.3316</v>
      </c>
      <c r="G963" s="8"/>
      <c r="H963" s="8"/>
      <c r="I963" s="8"/>
      <c r="J963" s="8">
        <f t="shared" ref="J963" si="134">F963*I963</f>
        <v>0</v>
      </c>
      <c r="K963" s="8"/>
      <c r="L963" s="8"/>
      <c r="M963" s="8">
        <f t="shared" ref="M963:M966" si="135">H963+J963+L963</f>
        <v>0</v>
      </c>
    </row>
    <row r="964" spans="1:18" s="3" customFormat="1" ht="16.5" x14ac:dyDescent="0.25">
      <c r="A964" s="1285"/>
      <c r="B964" s="532"/>
      <c r="C964" s="24" t="s">
        <v>17</v>
      </c>
      <c r="D964" s="532" t="s">
        <v>4</v>
      </c>
      <c r="E964" s="533">
        <v>2.8400000000000002E-2</v>
      </c>
      <c r="F964" s="512">
        <f>F962*E964</f>
        <v>0.6475200000000001</v>
      </c>
      <c r="G964" s="8"/>
      <c r="H964" s="8"/>
      <c r="I964" s="8"/>
      <c r="J964" s="8"/>
      <c r="K964" s="8"/>
      <c r="L964" s="8">
        <f t="shared" ref="L964" si="136">F964*K964</f>
        <v>0</v>
      </c>
      <c r="M964" s="8">
        <f t="shared" si="135"/>
        <v>0</v>
      </c>
    </row>
    <row r="965" spans="1:18" s="3" customFormat="1" ht="16.5" x14ac:dyDescent="0.25">
      <c r="A965" s="1285"/>
      <c r="B965" s="532"/>
      <c r="C965" s="42" t="s">
        <v>688</v>
      </c>
      <c r="D965" s="297" t="s">
        <v>47</v>
      </c>
      <c r="E965" s="20">
        <v>1.26</v>
      </c>
      <c r="F965" s="21">
        <f>F962*E965</f>
        <v>28.728000000000002</v>
      </c>
      <c r="G965" s="8"/>
      <c r="H965" s="8">
        <f t="shared" ref="H965:H966" si="137">F965*G965</f>
        <v>0</v>
      </c>
      <c r="I965" s="8"/>
      <c r="J965" s="8"/>
      <c r="K965" s="8"/>
      <c r="L965" s="8"/>
      <c r="M965" s="8">
        <f t="shared" si="135"/>
        <v>0</v>
      </c>
    </row>
    <row r="966" spans="1:18" s="3" customFormat="1" ht="16.5" x14ac:dyDescent="0.25">
      <c r="A966" s="1284"/>
      <c r="B966" s="532"/>
      <c r="C966" s="24" t="s">
        <v>7</v>
      </c>
      <c r="D966" s="532" t="s">
        <v>4</v>
      </c>
      <c r="E966" s="2">
        <v>2.06E-2</v>
      </c>
      <c r="F966" s="512">
        <f>F962*E966</f>
        <v>0.46968000000000004</v>
      </c>
      <c r="G966" s="8"/>
      <c r="H966" s="8">
        <f t="shared" si="137"/>
        <v>0</v>
      </c>
      <c r="I966" s="8"/>
      <c r="J966" s="8"/>
      <c r="K966" s="8"/>
      <c r="L966" s="8"/>
      <c r="M966" s="8">
        <f t="shared" si="135"/>
        <v>0</v>
      </c>
    </row>
    <row r="967" spans="1:18" s="3" customFormat="1" ht="16.5" x14ac:dyDescent="0.25">
      <c r="A967" s="1258" t="s">
        <v>689</v>
      </c>
      <c r="B967" s="519" t="s">
        <v>690</v>
      </c>
      <c r="C967" s="62" t="s">
        <v>691</v>
      </c>
      <c r="D967" s="484" t="s">
        <v>41</v>
      </c>
      <c r="E967" s="524"/>
      <c r="F967" s="23">
        <f>3.1*6*F882</f>
        <v>18.600000000000001</v>
      </c>
      <c r="G967" s="514"/>
      <c r="H967" s="514"/>
      <c r="I967" s="514"/>
      <c r="J967" s="514"/>
      <c r="K967" s="514"/>
      <c r="L967" s="514"/>
      <c r="M967" s="514"/>
    </row>
    <row r="968" spans="1:18" s="3" customFormat="1" ht="16.5" x14ac:dyDescent="0.25">
      <c r="A968" s="1258"/>
      <c r="B968" s="519"/>
      <c r="C968" s="80" t="s">
        <v>54</v>
      </c>
      <c r="D968" s="519" t="s">
        <v>6</v>
      </c>
      <c r="E968" s="49">
        <v>0.83</v>
      </c>
      <c r="F968" s="515">
        <f>F967*E968</f>
        <v>15.438000000000001</v>
      </c>
      <c r="G968" s="514"/>
      <c r="H968" s="514"/>
      <c r="I968" s="522"/>
      <c r="J968" s="514">
        <f>F968*I968</f>
        <v>0</v>
      </c>
      <c r="K968" s="514"/>
      <c r="L968" s="514"/>
      <c r="M968" s="514">
        <f t="shared" ref="M968:M972" si="138">H968+J968+L968</f>
        <v>0</v>
      </c>
    </row>
    <row r="969" spans="1:18" s="3" customFormat="1" ht="16.5" x14ac:dyDescent="0.25">
      <c r="A969" s="1258"/>
      <c r="B969" s="519"/>
      <c r="C969" s="80" t="s">
        <v>5</v>
      </c>
      <c r="D969" s="519" t="s">
        <v>4</v>
      </c>
      <c r="E969" s="49">
        <v>4.1000000000000003E-3</v>
      </c>
      <c r="F969" s="515">
        <f>F967*E969</f>
        <v>7.6260000000000008E-2</v>
      </c>
      <c r="G969" s="514"/>
      <c r="H969" s="514"/>
      <c r="I969" s="514"/>
      <c r="J969" s="514"/>
      <c r="K969" s="522"/>
      <c r="L969" s="514">
        <f>F969*K969</f>
        <v>0</v>
      </c>
      <c r="M969" s="514">
        <f t="shared" si="138"/>
        <v>0</v>
      </c>
    </row>
    <row r="970" spans="1:18" s="3" customFormat="1" ht="16.5" x14ac:dyDescent="0.25">
      <c r="A970" s="1258"/>
      <c r="B970" s="519"/>
      <c r="C970" s="80" t="s">
        <v>692</v>
      </c>
      <c r="D970" s="519" t="s">
        <v>693</v>
      </c>
      <c r="E970" s="524">
        <v>1.1000000000000001</v>
      </c>
      <c r="F970" s="515">
        <f>F967*E970</f>
        <v>20.460000000000004</v>
      </c>
      <c r="G970" s="514"/>
      <c r="H970" s="514">
        <f>F970*G970</f>
        <v>0</v>
      </c>
      <c r="I970" s="514"/>
      <c r="J970" s="514"/>
      <c r="K970" s="514"/>
      <c r="L970" s="514"/>
      <c r="M970" s="514">
        <f t="shared" si="138"/>
        <v>0</v>
      </c>
    </row>
    <row r="971" spans="1:18" s="3" customFormat="1" ht="16.5" x14ac:dyDescent="0.25">
      <c r="A971" s="1258"/>
      <c r="B971" s="519"/>
      <c r="C971" s="26" t="s">
        <v>694</v>
      </c>
      <c r="D971" s="519" t="s">
        <v>66</v>
      </c>
      <c r="E971" s="524">
        <v>3</v>
      </c>
      <c r="F971" s="515">
        <f>F967*E971</f>
        <v>55.800000000000004</v>
      </c>
      <c r="G971" s="514"/>
      <c r="H971" s="514">
        <f>F971*G971</f>
        <v>0</v>
      </c>
      <c r="I971" s="514"/>
      <c r="J971" s="514"/>
      <c r="K971" s="514"/>
      <c r="L971" s="514"/>
      <c r="M971" s="514">
        <f t="shared" si="138"/>
        <v>0</v>
      </c>
    </row>
    <row r="972" spans="1:18" s="3" customFormat="1" ht="16.5" x14ac:dyDescent="0.25">
      <c r="A972" s="1258"/>
      <c r="B972" s="519"/>
      <c r="C972" s="26" t="s">
        <v>50</v>
      </c>
      <c r="D972" s="519" t="s">
        <v>4</v>
      </c>
      <c r="E972" s="524">
        <v>7.8E-2</v>
      </c>
      <c r="F972" s="515">
        <f>F967*E972</f>
        <v>1.4508000000000001</v>
      </c>
      <c r="G972" s="514"/>
      <c r="H972" s="514">
        <f>F972*G972</f>
        <v>0</v>
      </c>
      <c r="I972" s="514"/>
      <c r="J972" s="514"/>
      <c r="K972" s="514"/>
      <c r="L972" s="514"/>
      <c r="M972" s="514">
        <f t="shared" si="138"/>
        <v>0</v>
      </c>
      <c r="N972" s="901">
        <f>SUM(M882:M972)</f>
        <v>0</v>
      </c>
    </row>
    <row r="973" spans="1:18" s="3" customFormat="1" ht="16.5" x14ac:dyDescent="0.25">
      <c r="A973" s="1109"/>
      <c r="B973" s="1100"/>
      <c r="C973" s="1155"/>
      <c r="D973" s="29"/>
      <c r="E973" s="524"/>
      <c r="F973" s="1093"/>
      <c r="G973" s="1091"/>
      <c r="H973" s="1091"/>
      <c r="I973" s="1091"/>
      <c r="J973" s="1091"/>
      <c r="K973" s="1091"/>
      <c r="L973" s="1091"/>
      <c r="M973" s="1091"/>
      <c r="N973" s="901"/>
    </row>
    <row r="974" spans="1:18" s="902" customFormat="1" ht="63" x14ac:dyDescent="0.25">
      <c r="A974" s="1211"/>
      <c r="B974" s="1156"/>
      <c r="C974" s="120" t="s">
        <v>1415</v>
      </c>
      <c r="D974" s="1156" t="s">
        <v>41</v>
      </c>
      <c r="E974" s="1157"/>
      <c r="F974" s="1157">
        <v>16</v>
      </c>
      <c r="G974" s="1158"/>
      <c r="H974" s="1133"/>
      <c r="I974" s="1158"/>
      <c r="J974" s="1133"/>
      <c r="K974" s="1159"/>
      <c r="L974" s="1133"/>
      <c r="M974" s="1133"/>
      <c r="N974" s="905"/>
      <c r="O974" s="1212"/>
      <c r="P974" s="1212"/>
      <c r="Q974" s="1212"/>
      <c r="R974" s="1212"/>
    </row>
    <row r="975" spans="1:18" s="902" customFormat="1" ht="47.25" x14ac:dyDescent="0.25">
      <c r="A975" s="1243" t="s">
        <v>93</v>
      </c>
      <c r="B975" s="136" t="s">
        <v>59</v>
      </c>
      <c r="C975" s="62" t="s">
        <v>1384</v>
      </c>
      <c r="D975" s="484" t="s">
        <v>32</v>
      </c>
      <c r="E975" s="213"/>
      <c r="F975" s="213">
        <f>0.6*0.7*F974</f>
        <v>6.72</v>
      </c>
      <c r="G975" s="1160"/>
      <c r="H975" s="1133"/>
      <c r="I975" s="1160"/>
      <c r="J975" s="1133"/>
      <c r="K975" s="1160"/>
      <c r="L975" s="1133"/>
      <c r="M975" s="1133"/>
      <c r="N975" s="1161"/>
      <c r="O975" s="1212"/>
      <c r="P975" s="1212"/>
      <c r="Q975" s="1212"/>
      <c r="R975" s="1212"/>
    </row>
    <row r="976" spans="1:18" s="902" customFormat="1" ht="15.75" x14ac:dyDescent="0.25">
      <c r="A976" s="1244"/>
      <c r="B976" s="136"/>
      <c r="C976" s="139" t="s">
        <v>33</v>
      </c>
      <c r="D976" s="134" t="s">
        <v>34</v>
      </c>
      <c r="E976" s="1162">
        <v>2.06</v>
      </c>
      <c r="F976" s="1162">
        <f>F975*E976</f>
        <v>13.8432</v>
      </c>
      <c r="G976" s="1158"/>
      <c r="H976" s="1133"/>
      <c r="I976" s="1158"/>
      <c r="J976" s="1133">
        <f>F976*I976</f>
        <v>0</v>
      </c>
      <c r="K976" s="1159"/>
      <c r="L976" s="1133"/>
      <c r="M976" s="1133">
        <f>H976+J976+L976</f>
        <v>0</v>
      </c>
      <c r="N976" s="1161"/>
      <c r="O976" s="1212"/>
      <c r="P976" s="1212"/>
      <c r="Q976" s="1212"/>
      <c r="R976" s="1212"/>
    </row>
    <row r="977" spans="1:18" s="902" customFormat="1" ht="31.5" x14ac:dyDescent="0.25">
      <c r="A977" s="1243" t="s">
        <v>72</v>
      </c>
      <c r="B977" s="1163" t="s">
        <v>91</v>
      </c>
      <c r="C977" s="126" t="s">
        <v>269</v>
      </c>
      <c r="D977" s="484" t="s">
        <v>38</v>
      </c>
      <c r="E977" s="1164"/>
      <c r="F977" s="1165">
        <f>F975*1.65</f>
        <v>11.087999999999999</v>
      </c>
      <c r="G977" s="1166"/>
      <c r="H977" s="1133"/>
      <c r="I977" s="1166"/>
      <c r="J977" s="1133"/>
      <c r="K977" s="1166"/>
      <c r="L977" s="1133"/>
      <c r="M977" s="1133"/>
      <c r="N977" s="1161"/>
      <c r="O977" s="1212"/>
      <c r="P977" s="1212"/>
      <c r="Q977" s="1212"/>
      <c r="R977" s="1212"/>
    </row>
    <row r="978" spans="1:18" s="902" customFormat="1" ht="15.75" x14ac:dyDescent="0.25">
      <c r="A978" s="1245"/>
      <c r="B978" s="362"/>
      <c r="C978" s="44" t="s">
        <v>56</v>
      </c>
      <c r="D978" s="45" t="s">
        <v>6</v>
      </c>
      <c r="E978" s="1164">
        <v>0.53</v>
      </c>
      <c r="F978" s="1167">
        <f>F977*E978</f>
        <v>5.8766400000000001</v>
      </c>
      <c r="G978" s="1166"/>
      <c r="H978" s="1133"/>
      <c r="I978" s="1166"/>
      <c r="J978" s="1133">
        <f>F978*I978</f>
        <v>0</v>
      </c>
      <c r="K978" s="1166"/>
      <c r="L978" s="1133"/>
      <c r="M978" s="1133">
        <f>H978+J978+L978</f>
        <v>0</v>
      </c>
      <c r="N978" s="1161"/>
      <c r="O978" s="1212"/>
      <c r="P978" s="1212"/>
      <c r="Q978" s="1212"/>
      <c r="R978" s="1212"/>
    </row>
    <row r="979" spans="1:18" s="902" customFormat="1" ht="31.5" x14ac:dyDescent="0.25">
      <c r="A979" s="1244"/>
      <c r="B979" s="484" t="s">
        <v>137</v>
      </c>
      <c r="C979" s="1094" t="s">
        <v>499</v>
      </c>
      <c r="D979" s="484" t="s">
        <v>38</v>
      </c>
      <c r="E979" s="1164"/>
      <c r="F979" s="1165">
        <f>F977</f>
        <v>11.087999999999999</v>
      </c>
      <c r="G979" s="1166"/>
      <c r="H979" s="1133"/>
      <c r="I979" s="1166"/>
      <c r="J979" s="1133"/>
      <c r="K979" s="1166"/>
      <c r="L979" s="1133">
        <f>F979*K979</f>
        <v>0</v>
      </c>
      <c r="M979" s="1133">
        <f>H979+J979+L979</f>
        <v>0</v>
      </c>
      <c r="N979" s="1161"/>
      <c r="O979" s="1212"/>
      <c r="P979" s="1212"/>
      <c r="Q979" s="1212"/>
      <c r="R979" s="1212"/>
    </row>
    <row r="980" spans="1:18" s="902" customFormat="1" ht="31.5" x14ac:dyDescent="0.25">
      <c r="A980" s="1243" t="s">
        <v>94</v>
      </c>
      <c r="B980" s="136" t="s">
        <v>35</v>
      </c>
      <c r="C980" s="138" t="s">
        <v>1385</v>
      </c>
      <c r="D980" s="136" t="s">
        <v>37</v>
      </c>
      <c r="E980" s="1162"/>
      <c r="F980" s="213">
        <f>0.6*0.1*F974</f>
        <v>0.96</v>
      </c>
      <c r="G980" s="1158"/>
      <c r="H980" s="1133"/>
      <c r="I980" s="1133"/>
      <c r="J980" s="1133"/>
      <c r="K980" s="1159"/>
      <c r="L980" s="1133"/>
      <c r="M980" s="1133"/>
      <c r="N980" s="1161"/>
      <c r="O980" s="1212"/>
      <c r="P980" s="1212"/>
      <c r="Q980" s="1212"/>
      <c r="R980" s="1212"/>
    </row>
    <row r="981" spans="1:18" s="902" customFormat="1" ht="15.75" x14ac:dyDescent="0.25">
      <c r="A981" s="1245"/>
      <c r="B981" s="136"/>
      <c r="C981" s="139" t="s">
        <v>33</v>
      </c>
      <c r="D981" s="134" t="s">
        <v>34</v>
      </c>
      <c r="E981" s="1162">
        <v>3.52</v>
      </c>
      <c r="F981" s="1162">
        <f>F980*E981</f>
        <v>3.3792</v>
      </c>
      <c r="G981" s="1158"/>
      <c r="H981" s="1133"/>
      <c r="I981" s="1158"/>
      <c r="J981" s="1133">
        <f>F981*I981</f>
        <v>0</v>
      </c>
      <c r="K981" s="1159"/>
      <c r="L981" s="1133"/>
      <c r="M981" s="1133">
        <f>H981+J981+L981</f>
        <v>0</v>
      </c>
      <c r="N981" s="1161"/>
      <c r="O981" s="1212"/>
      <c r="P981" s="1212"/>
      <c r="Q981" s="1212"/>
      <c r="R981" s="1212"/>
    </row>
    <row r="982" spans="1:18" s="902" customFormat="1" ht="15.75" x14ac:dyDescent="0.25">
      <c r="A982" s="1245"/>
      <c r="B982" s="136"/>
      <c r="C982" s="139" t="s">
        <v>17</v>
      </c>
      <c r="D982" s="134" t="s">
        <v>4</v>
      </c>
      <c r="E982" s="1162">
        <v>1.06</v>
      </c>
      <c r="F982" s="1162">
        <f>F980*E982</f>
        <v>1.0176000000000001</v>
      </c>
      <c r="G982" s="1158"/>
      <c r="H982" s="1133"/>
      <c r="I982" s="1133"/>
      <c r="J982" s="1133"/>
      <c r="K982" s="1159"/>
      <c r="L982" s="1133">
        <f>F982*K982</f>
        <v>0</v>
      </c>
      <c r="M982" s="1133">
        <f>H982+J982+L982</f>
        <v>0</v>
      </c>
      <c r="N982" s="1161"/>
      <c r="O982" s="1212"/>
      <c r="P982" s="1212"/>
      <c r="Q982" s="1212"/>
      <c r="R982" s="1212"/>
    </row>
    <row r="983" spans="1:18" s="902" customFormat="1" ht="15.75" x14ac:dyDescent="0.25">
      <c r="A983" s="1245"/>
      <c r="B983" s="136"/>
      <c r="C983" s="139" t="s">
        <v>636</v>
      </c>
      <c r="D983" s="134" t="s">
        <v>37</v>
      </c>
      <c r="E983" s="1162">
        <f>0.18+0.09+0.97</f>
        <v>1.24</v>
      </c>
      <c r="F983" s="1162">
        <f>F980*E983</f>
        <v>1.1903999999999999</v>
      </c>
      <c r="G983" s="1158"/>
      <c r="H983" s="1133">
        <f>F983*G983</f>
        <v>0</v>
      </c>
      <c r="I983" s="1133"/>
      <c r="J983" s="1133"/>
      <c r="K983" s="1159"/>
      <c r="L983" s="1133"/>
      <c r="M983" s="1133">
        <f>H983+J983+L983</f>
        <v>0</v>
      </c>
      <c r="N983" s="1161"/>
      <c r="O983" s="1212"/>
      <c r="P983" s="1212"/>
      <c r="Q983" s="1212"/>
      <c r="R983" s="1212"/>
    </row>
    <row r="984" spans="1:18" s="902" customFormat="1" ht="15.75" x14ac:dyDescent="0.25">
      <c r="A984" s="1244"/>
      <c r="B984" s="136"/>
      <c r="C984" s="139" t="s">
        <v>50</v>
      </c>
      <c r="D984" s="134" t="s">
        <v>4</v>
      </c>
      <c r="E984" s="1162">
        <v>0.02</v>
      </c>
      <c r="F984" s="1162">
        <f>F980*E984</f>
        <v>1.9199999999999998E-2</v>
      </c>
      <c r="G984" s="1158"/>
      <c r="H984" s="1133">
        <f>F984*G984</f>
        <v>0</v>
      </c>
      <c r="I984" s="1133"/>
      <c r="J984" s="1133"/>
      <c r="K984" s="1159"/>
      <c r="L984" s="1133"/>
      <c r="M984" s="1133">
        <f>H984+J984+L984</f>
        <v>0</v>
      </c>
      <c r="N984" s="1161"/>
      <c r="O984" s="1212"/>
      <c r="P984" s="1212"/>
      <c r="Q984" s="1212"/>
      <c r="R984" s="1212"/>
    </row>
    <row r="985" spans="1:18" s="902" customFormat="1" ht="31.5" x14ac:dyDescent="0.25">
      <c r="A985" s="1233" t="s">
        <v>87</v>
      </c>
      <c r="B985" s="484" t="s">
        <v>1386</v>
      </c>
      <c r="C985" s="62" t="s">
        <v>1387</v>
      </c>
      <c r="D985" s="484" t="s">
        <v>37</v>
      </c>
      <c r="E985" s="1134"/>
      <c r="F985" s="213">
        <f>( 0.5*0.3+0.3*(0+0.3))*F974</f>
        <v>3.84</v>
      </c>
      <c r="G985" s="1133"/>
      <c r="H985" s="1133"/>
      <c r="I985" s="1133"/>
      <c r="J985" s="1133"/>
      <c r="K985" s="1133"/>
      <c r="L985" s="1133"/>
      <c r="M985" s="1133"/>
      <c r="N985" s="1161"/>
      <c r="O985" s="1212"/>
      <c r="P985" s="1212"/>
      <c r="Q985" s="1212"/>
      <c r="R985" s="1212"/>
    </row>
    <row r="986" spans="1:18" s="902" customFormat="1" ht="15.75" x14ac:dyDescent="0.25">
      <c r="A986" s="1234"/>
      <c r="B986" s="484"/>
      <c r="C986" s="42" t="s">
        <v>494</v>
      </c>
      <c r="D986" s="297" t="s">
        <v>14</v>
      </c>
      <c r="E986" s="1135">
        <v>3.78</v>
      </c>
      <c r="F986" s="1135">
        <f>E986*F985</f>
        <v>14.515199999999998</v>
      </c>
      <c r="G986" s="1133"/>
      <c r="H986" s="1133"/>
      <c r="I986" s="1133"/>
      <c r="J986" s="1133">
        <f>F986*I986</f>
        <v>0</v>
      </c>
      <c r="K986" s="1133"/>
      <c r="L986" s="1133"/>
      <c r="M986" s="1133">
        <f t="shared" ref="M986:M993" si="139">H986+J986+L986</f>
        <v>0</v>
      </c>
      <c r="N986" s="1161"/>
      <c r="O986" s="1212"/>
      <c r="P986" s="1212"/>
      <c r="Q986" s="1212"/>
      <c r="R986" s="1212"/>
    </row>
    <row r="987" spans="1:18" s="902" customFormat="1" ht="15.75" x14ac:dyDescent="0.25">
      <c r="A987" s="1234"/>
      <c r="B987" s="484"/>
      <c r="C987" s="42" t="s">
        <v>5</v>
      </c>
      <c r="D987" s="297" t="s">
        <v>4</v>
      </c>
      <c r="E987" s="1135">
        <v>0.92</v>
      </c>
      <c r="F987" s="1135">
        <f>E987*F985</f>
        <v>3.5327999999999999</v>
      </c>
      <c r="G987" s="1133"/>
      <c r="H987" s="1133"/>
      <c r="I987" s="1133"/>
      <c r="J987" s="1133"/>
      <c r="K987" s="1133"/>
      <c r="L987" s="1133">
        <f>F987*K987</f>
        <v>0</v>
      </c>
      <c r="M987" s="1133">
        <f t="shared" si="139"/>
        <v>0</v>
      </c>
      <c r="N987" s="1161"/>
      <c r="O987" s="1212"/>
      <c r="P987" s="1212"/>
      <c r="Q987" s="1212"/>
      <c r="R987" s="1212"/>
    </row>
    <row r="988" spans="1:18" s="902" customFormat="1" ht="15.75" x14ac:dyDescent="0.25">
      <c r="A988" s="1234"/>
      <c r="B988" s="484"/>
      <c r="C988" s="42" t="s">
        <v>317</v>
      </c>
      <c r="D988" s="297" t="s">
        <v>29</v>
      </c>
      <c r="E988" s="1135">
        <v>1.0149999999999999</v>
      </c>
      <c r="F988" s="1135">
        <f>E988*F985</f>
        <v>3.8975999999999993</v>
      </c>
      <c r="G988" s="1133"/>
      <c r="H988" s="1133">
        <f t="shared" ref="H988:H993" si="140">F988*G988</f>
        <v>0</v>
      </c>
      <c r="I988" s="1133"/>
      <c r="J988" s="1133"/>
      <c r="K988" s="1133"/>
      <c r="L988" s="1133"/>
      <c r="M988" s="1133">
        <f t="shared" si="139"/>
        <v>0</v>
      </c>
      <c r="N988" s="1161"/>
      <c r="O988" s="1212"/>
      <c r="P988" s="1212"/>
      <c r="Q988" s="1212"/>
      <c r="R988" s="1212"/>
    </row>
    <row r="989" spans="1:18" s="902" customFormat="1" ht="15.75" x14ac:dyDescent="0.25">
      <c r="A989" s="1234"/>
      <c r="B989" s="484"/>
      <c r="C989" s="42" t="s">
        <v>575</v>
      </c>
      <c r="D989" s="297" t="s">
        <v>576</v>
      </c>
      <c r="E989" s="1135">
        <v>0.70299999999999996</v>
      </c>
      <c r="F989" s="1135">
        <f>E989*F985</f>
        <v>2.6995199999999997</v>
      </c>
      <c r="G989" s="1133"/>
      <c r="H989" s="1133">
        <f t="shared" si="140"/>
        <v>0</v>
      </c>
      <c r="I989" s="1133"/>
      <c r="J989" s="1133"/>
      <c r="K989" s="1133"/>
      <c r="L989" s="1133"/>
      <c r="M989" s="1133">
        <f t="shared" si="139"/>
        <v>0</v>
      </c>
      <c r="N989" s="1161"/>
      <c r="O989" s="1212"/>
      <c r="P989" s="1212"/>
      <c r="Q989" s="1212"/>
      <c r="R989" s="1212"/>
    </row>
    <row r="990" spans="1:18" s="902" customFormat="1" ht="15.75" x14ac:dyDescent="0.25">
      <c r="A990" s="1234"/>
      <c r="B990" s="484"/>
      <c r="C990" s="42" t="s">
        <v>577</v>
      </c>
      <c r="D990" s="297" t="s">
        <v>29</v>
      </c>
      <c r="E990" s="1135">
        <v>1.14E-2</v>
      </c>
      <c r="F990" s="1135">
        <f>E990*F985</f>
        <v>4.3776000000000002E-2</v>
      </c>
      <c r="G990" s="1133"/>
      <c r="H990" s="1133">
        <f t="shared" si="140"/>
        <v>0</v>
      </c>
      <c r="I990" s="1133"/>
      <c r="J990" s="1133"/>
      <c r="K990" s="1133"/>
      <c r="L990" s="1133"/>
      <c r="M990" s="1133">
        <f t="shared" si="139"/>
        <v>0</v>
      </c>
      <c r="N990" s="1161"/>
      <c r="O990" s="1212"/>
      <c r="P990" s="1212"/>
      <c r="Q990" s="1212"/>
      <c r="R990" s="1212"/>
    </row>
    <row r="991" spans="1:18" s="902" customFormat="1" ht="15.75" x14ac:dyDescent="0.25">
      <c r="A991" s="1234"/>
      <c r="B991" s="484"/>
      <c r="C991" s="1168" t="s">
        <v>1388</v>
      </c>
      <c r="D991" s="297" t="s">
        <v>571</v>
      </c>
      <c r="E991" s="1169"/>
      <c r="F991" s="1170">
        <f>( ((F974/0.15)+1)*((0.6+0.1)*2+0.5)+F974*(3*2+5) )*1.03*0.395/1000</f>
        <v>0.15483354833333335</v>
      </c>
      <c r="G991" s="682"/>
      <c r="H991" s="1133">
        <f t="shared" si="140"/>
        <v>0</v>
      </c>
      <c r="I991" s="1133"/>
      <c r="J991" s="1133"/>
      <c r="K991" s="1133"/>
      <c r="L991" s="1133"/>
      <c r="M991" s="1133">
        <f t="shared" si="139"/>
        <v>0</v>
      </c>
      <c r="N991" s="1161"/>
      <c r="O991" s="1212"/>
      <c r="P991" s="1212"/>
      <c r="Q991" s="1212"/>
      <c r="R991" s="1212"/>
    </row>
    <row r="992" spans="1:18" s="902" customFormat="1" ht="15.75" x14ac:dyDescent="0.25">
      <c r="A992" s="1234"/>
      <c r="B992" s="484"/>
      <c r="C992" s="1168" t="s">
        <v>1389</v>
      </c>
      <c r="D992" s="297" t="s">
        <v>571</v>
      </c>
      <c r="E992" s="1169"/>
      <c r="F992" s="1170">
        <f>((F974/0.15)+1)*2*0.4*1.03*0.222/1000</f>
        <v>1.9695248000000002E-2</v>
      </c>
      <c r="G992" s="731"/>
      <c r="H992" s="1133">
        <f t="shared" si="140"/>
        <v>0</v>
      </c>
      <c r="I992" s="1133"/>
      <c r="J992" s="1133"/>
      <c r="K992" s="1133"/>
      <c r="L992" s="1133"/>
      <c r="M992" s="1133">
        <f t="shared" si="139"/>
        <v>0</v>
      </c>
      <c r="N992" s="1161"/>
      <c r="O992" s="1212"/>
      <c r="P992" s="1212"/>
      <c r="Q992" s="1212"/>
      <c r="R992" s="1212"/>
    </row>
    <row r="993" spans="1:18" s="902" customFormat="1" ht="15.75" x14ac:dyDescent="0.25">
      <c r="A993" s="1235"/>
      <c r="B993" s="484"/>
      <c r="C993" s="42" t="s">
        <v>7</v>
      </c>
      <c r="D993" s="297" t="s">
        <v>4</v>
      </c>
      <c r="E993" s="1135">
        <v>0.6</v>
      </c>
      <c r="F993" s="1135">
        <f>E993*F985</f>
        <v>2.3039999999999998</v>
      </c>
      <c r="G993" s="1133"/>
      <c r="H993" s="1133">
        <f t="shared" si="140"/>
        <v>0</v>
      </c>
      <c r="I993" s="1133"/>
      <c r="J993" s="1133"/>
      <c r="K993" s="1133"/>
      <c r="L993" s="1133"/>
      <c r="M993" s="1133">
        <f t="shared" si="139"/>
        <v>0</v>
      </c>
      <c r="N993" s="1161"/>
      <c r="O993" s="1212"/>
      <c r="P993" s="1212"/>
      <c r="Q993" s="1212"/>
      <c r="R993" s="1212"/>
    </row>
    <row r="994" spans="1:18" s="902" customFormat="1" ht="15.75" x14ac:dyDescent="0.25">
      <c r="A994" s="1240" t="s">
        <v>90</v>
      </c>
      <c r="B994" s="700" t="s">
        <v>63</v>
      </c>
      <c r="C994" s="1094" t="s">
        <v>711</v>
      </c>
      <c r="D994" s="1103" t="s">
        <v>37</v>
      </c>
      <c r="E994" s="1171"/>
      <c r="F994" s="1172">
        <f>0.3*0.1*2*F974</f>
        <v>0.96</v>
      </c>
      <c r="G994" s="1136"/>
      <c r="H994" s="1136"/>
      <c r="I994" s="1136"/>
      <c r="J994" s="1136"/>
      <c r="K994" s="1136"/>
      <c r="L994" s="1136"/>
      <c r="M994" s="1137"/>
      <c r="N994" s="1161"/>
      <c r="O994" s="1212"/>
      <c r="P994" s="1212"/>
      <c r="Q994" s="1212"/>
      <c r="R994" s="1212"/>
    </row>
    <row r="995" spans="1:18" s="902" customFormat="1" ht="15.75" x14ac:dyDescent="0.25">
      <c r="A995" s="1242"/>
      <c r="B995" s="700"/>
      <c r="C995" s="24" t="s">
        <v>36</v>
      </c>
      <c r="D995" s="1103" t="s">
        <v>6</v>
      </c>
      <c r="E995" s="1173">
        <v>1.21</v>
      </c>
      <c r="F995" s="1174">
        <f>F994*E995</f>
        <v>1.1616</v>
      </c>
      <c r="G995" s="1136"/>
      <c r="H995" s="1136"/>
      <c r="I995" s="1136"/>
      <c r="J995" s="1136">
        <f>F995*I995</f>
        <v>0</v>
      </c>
      <c r="K995" s="1136"/>
      <c r="L995" s="1136"/>
      <c r="M995" s="1137">
        <f>H995+J995+L995</f>
        <v>0</v>
      </c>
      <c r="N995" s="1161"/>
      <c r="O995" s="1212"/>
      <c r="P995" s="1212"/>
      <c r="Q995" s="1212"/>
      <c r="R995" s="1212"/>
    </row>
    <row r="996" spans="1:18" s="902" customFormat="1" ht="47.25" hidden="1" customHeight="1" x14ac:dyDescent="0.25">
      <c r="A996" s="1233" t="s">
        <v>82</v>
      </c>
      <c r="B996" s="1175" t="s">
        <v>1390</v>
      </c>
      <c r="C996" s="1176" t="s">
        <v>1391</v>
      </c>
      <c r="D996" s="1101" t="s">
        <v>47</v>
      </c>
      <c r="E996" s="1131"/>
      <c r="F996" s="1177">
        <f>(0)*F974</f>
        <v>0</v>
      </c>
      <c r="G996" s="1178"/>
      <c r="H996" s="1178"/>
      <c r="I996" s="1178"/>
      <c r="J996" s="1178"/>
      <c r="K996" s="1178"/>
      <c r="L996" s="1178"/>
      <c r="M996" s="1178"/>
      <c r="N996" s="1161"/>
      <c r="O996" s="1212"/>
      <c r="P996" s="1212"/>
      <c r="Q996" s="1212"/>
      <c r="R996" s="1212"/>
    </row>
    <row r="997" spans="1:18" s="902" customFormat="1" ht="15.75" hidden="1" customHeight="1" x14ac:dyDescent="0.25">
      <c r="A997" s="1234"/>
      <c r="B997" s="108"/>
      <c r="C997" s="1179" t="s">
        <v>36</v>
      </c>
      <c r="D997" s="1180" t="s">
        <v>6</v>
      </c>
      <c r="E997" s="1181">
        <v>1.42</v>
      </c>
      <c r="F997" s="1182">
        <f>F996*E997</f>
        <v>0</v>
      </c>
      <c r="G997" s="1133"/>
      <c r="H997" s="1133"/>
      <c r="I997" s="1133">
        <v>7.8</v>
      </c>
      <c r="J997" s="1133">
        <f>F997*I997</f>
        <v>0</v>
      </c>
      <c r="K997" s="1133"/>
      <c r="L997" s="1133"/>
      <c r="M997" s="1133">
        <f t="shared" ref="M997:M1015" si="141">H997+J997+L997</f>
        <v>0</v>
      </c>
      <c r="N997" s="1161"/>
      <c r="O997" s="1212"/>
      <c r="P997" s="1212"/>
      <c r="Q997" s="1212"/>
      <c r="R997" s="1212"/>
    </row>
    <row r="998" spans="1:18" s="902" customFormat="1" ht="27" hidden="1" customHeight="1" x14ac:dyDescent="0.25">
      <c r="A998" s="1234"/>
      <c r="B998" s="108" t="s">
        <v>715</v>
      </c>
      <c r="C998" s="105" t="s">
        <v>716</v>
      </c>
      <c r="D998" s="1102" t="s">
        <v>43</v>
      </c>
      <c r="E998" s="1131">
        <v>0</v>
      </c>
      <c r="F998" s="1131">
        <f>F996*E998</f>
        <v>0</v>
      </c>
      <c r="G998" s="1133"/>
      <c r="H998" s="1133"/>
      <c r="I998" s="1133"/>
      <c r="J998" s="1133"/>
      <c r="K998" s="1133">
        <v>9.1999999999999993</v>
      </c>
      <c r="L998" s="1133">
        <f>F998*K998</f>
        <v>0</v>
      </c>
      <c r="M998" s="1133">
        <f t="shared" si="141"/>
        <v>0</v>
      </c>
      <c r="N998" s="1161"/>
      <c r="O998" s="1212"/>
      <c r="P998" s="1212"/>
      <c r="Q998" s="1212"/>
      <c r="R998" s="1212"/>
    </row>
    <row r="999" spans="1:18" s="902" customFormat="1" ht="15.75" hidden="1" customHeight="1" x14ac:dyDescent="0.25">
      <c r="A999" s="1234"/>
      <c r="B999" s="108"/>
      <c r="C999" s="105" t="s">
        <v>657</v>
      </c>
      <c r="D999" s="1102" t="s">
        <v>4</v>
      </c>
      <c r="E999" s="1131">
        <v>6.9000000000000006E-2</v>
      </c>
      <c r="F999" s="1131">
        <f>F996*E999</f>
        <v>0</v>
      </c>
      <c r="G999" s="1133"/>
      <c r="H999" s="1133"/>
      <c r="I999" s="1133"/>
      <c r="J999" s="1133"/>
      <c r="K999" s="1133">
        <v>4</v>
      </c>
      <c r="L999" s="1133">
        <f>F999*K999</f>
        <v>0</v>
      </c>
      <c r="M999" s="1133">
        <f t="shared" si="141"/>
        <v>0</v>
      </c>
      <c r="N999" s="1161"/>
      <c r="O999" s="1212"/>
      <c r="P999" s="1212"/>
      <c r="Q999" s="1212"/>
      <c r="R999" s="1212"/>
    </row>
    <row r="1000" spans="1:18" s="902" customFormat="1" ht="15.75" hidden="1" customHeight="1" x14ac:dyDescent="0.25">
      <c r="A1000" s="1234"/>
      <c r="B1000" s="108"/>
      <c r="C1000" s="105" t="s">
        <v>717</v>
      </c>
      <c r="D1000" s="1102" t="s">
        <v>37</v>
      </c>
      <c r="E1000" s="1131">
        <v>3.6499999999999998E-2</v>
      </c>
      <c r="F1000" s="1131">
        <f>F996*E1000</f>
        <v>0</v>
      </c>
      <c r="G1000" s="1133">
        <v>98</v>
      </c>
      <c r="H1000" s="1133">
        <f>F1000*G1000</f>
        <v>0</v>
      </c>
      <c r="I1000" s="1133"/>
      <c r="J1000" s="1133"/>
      <c r="K1000" s="1133"/>
      <c r="L1000" s="1133"/>
      <c r="M1000" s="1133">
        <f t="shared" si="141"/>
        <v>0</v>
      </c>
      <c r="N1000" s="1161"/>
      <c r="O1000" s="1212"/>
      <c r="P1000" s="1212"/>
      <c r="Q1000" s="1212"/>
      <c r="R1000" s="1212"/>
    </row>
    <row r="1001" spans="1:18" s="902" customFormat="1" ht="15.75" hidden="1" customHeight="1" x14ac:dyDescent="0.25">
      <c r="A1001" s="1234"/>
      <c r="B1001" s="108"/>
      <c r="C1001" s="105" t="s">
        <v>1392</v>
      </c>
      <c r="D1001" s="1102" t="s">
        <v>2</v>
      </c>
      <c r="E1001" s="1131">
        <v>0.12</v>
      </c>
      <c r="F1001" s="1131">
        <f>F996*E1001</f>
        <v>0</v>
      </c>
      <c r="G1001" s="1133">
        <v>4</v>
      </c>
      <c r="H1001" s="1133">
        <f>F1001*G1001</f>
        <v>0</v>
      </c>
      <c r="I1001" s="1133"/>
      <c r="J1001" s="1133"/>
      <c r="K1001" s="1133"/>
      <c r="L1001" s="1133"/>
      <c r="M1001" s="1133">
        <f t="shared" si="141"/>
        <v>0</v>
      </c>
      <c r="N1001" s="1161"/>
      <c r="O1001" s="1212"/>
      <c r="P1001" s="1212"/>
      <c r="Q1001" s="1212"/>
      <c r="R1001" s="1212"/>
    </row>
    <row r="1002" spans="1:18" s="902" customFormat="1" ht="15.75" hidden="1" customHeight="1" x14ac:dyDescent="0.25">
      <c r="A1002" s="1235"/>
      <c r="B1002" s="108"/>
      <c r="C1002" s="105" t="s">
        <v>50</v>
      </c>
      <c r="D1002" s="1102" t="s">
        <v>4</v>
      </c>
      <c r="E1002" s="1131">
        <v>1E-3</v>
      </c>
      <c r="F1002" s="1131">
        <f>F996*E1002</f>
        <v>0</v>
      </c>
      <c r="G1002" s="1133">
        <v>4</v>
      </c>
      <c r="H1002" s="1133">
        <f>F1002*G1002</f>
        <v>0</v>
      </c>
      <c r="I1002" s="1133"/>
      <c r="J1002" s="1133"/>
      <c r="K1002" s="1133"/>
      <c r="L1002" s="1133"/>
      <c r="M1002" s="1133">
        <f t="shared" si="141"/>
        <v>0</v>
      </c>
      <c r="N1002" s="1161"/>
      <c r="O1002" s="1212"/>
      <c r="P1002" s="1212"/>
      <c r="Q1002" s="1212"/>
      <c r="R1002" s="1212"/>
    </row>
    <row r="1003" spans="1:18" s="902" customFormat="1" ht="31.5" hidden="1" customHeight="1" x14ac:dyDescent="0.25">
      <c r="A1003" s="1246" t="s">
        <v>87</v>
      </c>
      <c r="B1003" s="1183" t="s">
        <v>1393</v>
      </c>
      <c r="C1003" s="1184" t="s">
        <v>1394</v>
      </c>
      <c r="D1003" s="1102" t="s">
        <v>41</v>
      </c>
      <c r="E1003" s="109"/>
      <c r="F1003" s="51">
        <f>0</f>
        <v>0</v>
      </c>
      <c r="G1003" s="1091"/>
      <c r="H1003" s="1091"/>
      <c r="I1003" s="1091"/>
      <c r="J1003" s="1091"/>
      <c r="K1003" s="1091"/>
      <c r="L1003" s="1091"/>
      <c r="M1003" s="1091"/>
      <c r="N1003" s="1161"/>
      <c r="O1003" s="1212"/>
      <c r="P1003" s="1212"/>
      <c r="Q1003" s="1212"/>
      <c r="R1003" s="1212"/>
    </row>
    <row r="1004" spans="1:18" s="902" customFormat="1" ht="15.75" hidden="1" customHeight="1" x14ac:dyDescent="0.25">
      <c r="A1004" s="1247"/>
      <c r="B1004" s="1008"/>
      <c r="C1004" s="1185"/>
      <c r="D1004" s="1103" t="s">
        <v>47</v>
      </c>
      <c r="E1004" s="1186"/>
      <c r="F1004" s="51">
        <f>F1003*0.4</f>
        <v>0</v>
      </c>
      <c r="G1004" s="8"/>
      <c r="H1004" s="1091"/>
      <c r="I1004" s="1091"/>
      <c r="J1004" s="1091"/>
      <c r="K1004" s="1091"/>
      <c r="L1004" s="1091"/>
      <c r="M1004" s="1091"/>
      <c r="N1004" s="1161"/>
      <c r="O1004" s="1212"/>
      <c r="P1004" s="1212"/>
      <c r="Q1004" s="1212"/>
      <c r="R1004" s="1212"/>
    </row>
    <row r="1005" spans="1:18" s="902" customFormat="1" ht="15.75" hidden="1" customHeight="1" x14ac:dyDescent="0.25">
      <c r="A1005" s="1247"/>
      <c r="B1005" s="43"/>
      <c r="C1005" s="303" t="s">
        <v>36</v>
      </c>
      <c r="D1005" s="735" t="s">
        <v>6</v>
      </c>
      <c r="E1005" s="1105">
        <v>6</v>
      </c>
      <c r="F1005" s="1105">
        <f>F1004*E1005</f>
        <v>0</v>
      </c>
      <c r="G1005" s="682"/>
      <c r="H1005" s="682"/>
      <c r="I1005" s="682">
        <v>7.8</v>
      </c>
      <c r="J1005" s="682">
        <f>F1005*I1005</f>
        <v>0</v>
      </c>
      <c r="K1005" s="682"/>
      <c r="L1005" s="682"/>
      <c r="M1005" s="682">
        <f>H1005+J1005+L1005</f>
        <v>0</v>
      </c>
      <c r="N1005" s="1161"/>
      <c r="O1005" s="1212"/>
      <c r="P1005" s="1212"/>
      <c r="Q1005" s="1212"/>
      <c r="R1005" s="1212"/>
    </row>
    <row r="1006" spans="1:18" s="902" customFormat="1" ht="15.75" hidden="1" customHeight="1" x14ac:dyDescent="0.25">
      <c r="A1006" s="1247"/>
      <c r="B1006" s="43"/>
      <c r="C1006" s="303" t="s">
        <v>17</v>
      </c>
      <c r="D1006" s="735" t="s">
        <v>4</v>
      </c>
      <c r="E1006" s="1105">
        <v>0.18</v>
      </c>
      <c r="F1006" s="1105">
        <f>F1004*E1006</f>
        <v>0</v>
      </c>
      <c r="G1006" s="682"/>
      <c r="H1006" s="682"/>
      <c r="I1006" s="682"/>
      <c r="J1006" s="682"/>
      <c r="K1006" s="682">
        <v>4</v>
      </c>
      <c r="L1006" s="682">
        <f>F1006*K1006</f>
        <v>0</v>
      </c>
      <c r="M1006" s="682">
        <f>H1006+J1006+L1006</f>
        <v>0</v>
      </c>
      <c r="N1006" s="1161"/>
      <c r="O1006" s="1212"/>
      <c r="P1006" s="1212"/>
      <c r="Q1006" s="1212"/>
      <c r="R1006" s="1212"/>
    </row>
    <row r="1007" spans="1:18" s="902" customFormat="1" ht="15.75" hidden="1" customHeight="1" x14ac:dyDescent="0.25">
      <c r="A1007" s="1247"/>
      <c r="B1007" s="43"/>
      <c r="C1007" s="303" t="s">
        <v>1395</v>
      </c>
      <c r="D1007" s="735" t="s">
        <v>47</v>
      </c>
      <c r="E1007" s="1105">
        <v>1.03</v>
      </c>
      <c r="F1007" s="1105">
        <f>F1004*E1007</f>
        <v>0</v>
      </c>
      <c r="G1007" s="682">
        <v>44</v>
      </c>
      <c r="H1007" s="682">
        <f>F1007*G1007</f>
        <v>0</v>
      </c>
      <c r="I1007" s="682"/>
      <c r="J1007" s="682"/>
      <c r="K1007" s="682"/>
      <c r="L1007" s="682"/>
      <c r="M1007" s="682">
        <f>H1007+J1007+L1007</f>
        <v>0</v>
      </c>
      <c r="N1007" s="1161"/>
      <c r="O1007" s="1212"/>
      <c r="P1007" s="1212"/>
      <c r="Q1007" s="1212"/>
      <c r="R1007" s="1212"/>
    </row>
    <row r="1008" spans="1:18" s="902" customFormat="1" ht="15.75" hidden="1" customHeight="1" x14ac:dyDescent="0.25">
      <c r="A1008" s="1247"/>
      <c r="B1008" s="43"/>
      <c r="C1008" s="105" t="s">
        <v>775</v>
      </c>
      <c r="D1008" s="1102" t="s">
        <v>2</v>
      </c>
      <c r="E1008" s="1131">
        <v>7</v>
      </c>
      <c r="F1008" s="1131">
        <f>F1004*E1008</f>
        <v>0</v>
      </c>
      <c r="G1008" s="1133">
        <v>1.7</v>
      </c>
      <c r="H1008" s="1133">
        <f>F1008*G1008</f>
        <v>0</v>
      </c>
      <c r="I1008" s="1133"/>
      <c r="J1008" s="1133"/>
      <c r="K1008" s="1133"/>
      <c r="L1008" s="1133"/>
      <c r="M1008" s="1133">
        <f t="shared" ref="M1008:M1009" si="142">H1008+J1008+L1008</f>
        <v>0</v>
      </c>
      <c r="N1008" s="1161"/>
      <c r="O1008" s="1212"/>
      <c r="P1008" s="1212"/>
      <c r="Q1008" s="1212"/>
      <c r="R1008" s="1212"/>
    </row>
    <row r="1009" spans="1:18" s="902" customFormat="1" ht="15.75" hidden="1" customHeight="1" x14ac:dyDescent="0.25">
      <c r="A1009" s="1248"/>
      <c r="B1009" s="686"/>
      <c r="C1009" s="689" t="s">
        <v>50</v>
      </c>
      <c r="D1009" s="735" t="s">
        <v>4</v>
      </c>
      <c r="E1009" s="1187">
        <v>0.08</v>
      </c>
      <c r="F1009" s="1187">
        <f>F1004*E1009</f>
        <v>0</v>
      </c>
      <c r="G1009" s="681">
        <v>4</v>
      </c>
      <c r="H1009" s="682">
        <f t="shared" ref="H1009" si="143">F1009*G1009</f>
        <v>0</v>
      </c>
      <c r="I1009" s="682"/>
      <c r="J1009" s="682"/>
      <c r="K1009" s="682"/>
      <c r="L1009" s="682"/>
      <c r="M1009" s="682">
        <f t="shared" si="142"/>
        <v>0</v>
      </c>
      <c r="N1009" s="1161"/>
      <c r="O1009" s="1212"/>
      <c r="P1009" s="1212"/>
      <c r="Q1009" s="1212"/>
      <c r="R1009" s="1212"/>
    </row>
    <row r="1010" spans="1:18" s="902" customFormat="1" ht="47.25" hidden="1" customHeight="1" x14ac:dyDescent="0.25">
      <c r="A1010" s="1233" t="s">
        <v>40</v>
      </c>
      <c r="B1010" s="108" t="s">
        <v>722</v>
      </c>
      <c r="C1010" s="107" t="s">
        <v>1396</v>
      </c>
      <c r="D1010" s="1102" t="s">
        <v>47</v>
      </c>
      <c r="E1010" s="1131"/>
      <c r="F1010" s="1132">
        <f>F996</f>
        <v>0</v>
      </c>
      <c r="G1010" s="1133"/>
      <c r="H1010" s="1133"/>
      <c r="I1010" s="1133"/>
      <c r="J1010" s="1133"/>
      <c r="K1010" s="1133"/>
      <c r="L1010" s="1133"/>
      <c r="M1010" s="1133"/>
      <c r="N1010" s="1161"/>
      <c r="O1010" s="1212"/>
      <c r="P1010" s="1212"/>
      <c r="Q1010" s="1212"/>
      <c r="R1010" s="1212"/>
    </row>
    <row r="1011" spans="1:18" s="902" customFormat="1" ht="15.75" hidden="1" customHeight="1" x14ac:dyDescent="0.25">
      <c r="A1011" s="1234"/>
      <c r="B1011" s="108"/>
      <c r="C1011" s="1179" t="s">
        <v>36</v>
      </c>
      <c r="D1011" s="1180" t="s">
        <v>6</v>
      </c>
      <c r="E1011" s="1181">
        <v>0.65800000000000003</v>
      </c>
      <c r="F1011" s="1182">
        <f>F1010*E1011</f>
        <v>0</v>
      </c>
      <c r="G1011" s="1133"/>
      <c r="H1011" s="1133"/>
      <c r="I1011" s="1133">
        <v>7.8</v>
      </c>
      <c r="J1011" s="1133">
        <f>F1011*I1011</f>
        <v>0</v>
      </c>
      <c r="K1011" s="1133"/>
      <c r="L1011" s="1133"/>
      <c r="M1011" s="1133">
        <f t="shared" si="141"/>
        <v>0</v>
      </c>
      <c r="N1011" s="1161"/>
      <c r="O1011" s="1212"/>
      <c r="P1011" s="1212"/>
      <c r="Q1011" s="1212"/>
      <c r="R1011" s="1212"/>
    </row>
    <row r="1012" spans="1:18" s="902" customFormat="1" ht="15.75" hidden="1" customHeight="1" x14ac:dyDescent="0.25">
      <c r="A1012" s="1234"/>
      <c r="B1012" s="108"/>
      <c r="C1012" s="105" t="s">
        <v>17</v>
      </c>
      <c r="D1012" s="1102" t="s">
        <v>4</v>
      </c>
      <c r="E1012" s="1131">
        <v>0.01</v>
      </c>
      <c r="F1012" s="1188">
        <f>F1010*E1012</f>
        <v>0</v>
      </c>
      <c r="G1012" s="1133"/>
      <c r="H1012" s="1133"/>
      <c r="I1012" s="1133"/>
      <c r="J1012" s="1133"/>
      <c r="K1012" s="1133">
        <v>4</v>
      </c>
      <c r="L1012" s="1133">
        <f>F1012*K1012</f>
        <v>0</v>
      </c>
      <c r="M1012" s="1133">
        <f t="shared" si="141"/>
        <v>0</v>
      </c>
      <c r="N1012" s="1161"/>
      <c r="O1012" s="1212"/>
      <c r="P1012" s="1212"/>
      <c r="Q1012" s="1212"/>
      <c r="R1012" s="1212"/>
    </row>
    <row r="1013" spans="1:18" s="902" customFormat="1" ht="15.75" hidden="1" customHeight="1" x14ac:dyDescent="0.25">
      <c r="A1013" s="1234"/>
      <c r="B1013" s="108"/>
      <c r="C1013" s="105" t="s">
        <v>1397</v>
      </c>
      <c r="D1013" s="1102" t="s">
        <v>2</v>
      </c>
      <c r="E1013" s="1131">
        <v>0.63</v>
      </c>
      <c r="F1013" s="1188">
        <f>F1010*E1013</f>
        <v>0</v>
      </c>
      <c r="G1013" s="1133">
        <v>7.8</v>
      </c>
      <c r="H1013" s="1133">
        <f>F1013*G1013</f>
        <v>0</v>
      </c>
      <c r="I1013" s="1133"/>
      <c r="J1013" s="1133"/>
      <c r="K1013" s="1133"/>
      <c r="L1013" s="1133"/>
      <c r="M1013" s="1133">
        <f t="shared" si="141"/>
        <v>0</v>
      </c>
      <c r="N1013" s="1161"/>
      <c r="O1013" s="1212"/>
      <c r="P1013" s="1212"/>
      <c r="Q1013" s="1212"/>
      <c r="R1013" s="1212"/>
    </row>
    <row r="1014" spans="1:18" s="902" customFormat="1" ht="15.75" hidden="1" customHeight="1" x14ac:dyDescent="0.25">
      <c r="A1014" s="1234"/>
      <c r="B1014" s="108"/>
      <c r="C1014" s="105" t="s">
        <v>1398</v>
      </c>
      <c r="D1014" s="1102" t="s">
        <v>2</v>
      </c>
      <c r="E1014" s="1131">
        <v>0.79</v>
      </c>
      <c r="F1014" s="1188">
        <f>F1010*E1014</f>
        <v>0</v>
      </c>
      <c r="G1014" s="1133">
        <v>2</v>
      </c>
      <c r="H1014" s="1133">
        <f>F1014*G1014</f>
        <v>0</v>
      </c>
      <c r="I1014" s="1133"/>
      <c r="J1014" s="1133"/>
      <c r="K1014" s="1133"/>
      <c r="L1014" s="1133"/>
      <c r="M1014" s="1133">
        <f t="shared" si="141"/>
        <v>0</v>
      </c>
      <c r="N1014" s="1161"/>
      <c r="O1014" s="1212"/>
      <c r="P1014" s="1212"/>
      <c r="Q1014" s="1212"/>
      <c r="R1014" s="1212"/>
    </row>
    <row r="1015" spans="1:18" s="902" customFormat="1" ht="15.75" hidden="1" customHeight="1" x14ac:dyDescent="0.25">
      <c r="A1015" s="1235"/>
      <c r="B1015" s="108"/>
      <c r="C1015" s="105" t="s">
        <v>50</v>
      </c>
      <c r="D1015" s="1102" t="s">
        <v>4</v>
      </c>
      <c r="E1015" s="1131">
        <v>1.6E-2</v>
      </c>
      <c r="F1015" s="1188">
        <f>F1010*E1015</f>
        <v>0</v>
      </c>
      <c r="G1015" s="1133">
        <v>4</v>
      </c>
      <c r="H1015" s="1133">
        <f>F1015*G1015</f>
        <v>0</v>
      </c>
      <c r="I1015" s="1133"/>
      <c r="J1015" s="1133"/>
      <c r="K1015" s="1133"/>
      <c r="L1015" s="1133"/>
      <c r="M1015" s="1133">
        <f t="shared" si="141"/>
        <v>0</v>
      </c>
      <c r="N1015" s="1161"/>
      <c r="O1015" s="1212"/>
      <c r="P1015" s="1212"/>
      <c r="Q1015" s="1212"/>
      <c r="R1015" s="1212"/>
    </row>
    <row r="1016" spans="1:18" s="902" customFormat="1" ht="47.25" hidden="1" customHeight="1" x14ac:dyDescent="0.25">
      <c r="A1016" s="1233" t="s">
        <v>46</v>
      </c>
      <c r="B1016" s="108" t="s">
        <v>728</v>
      </c>
      <c r="C1016" s="107" t="s">
        <v>1399</v>
      </c>
      <c r="D1016" s="1102" t="s">
        <v>47</v>
      </c>
      <c r="E1016" s="1131"/>
      <c r="F1016" s="1132">
        <f>(0.4+0.4+0.4)*F974*0</f>
        <v>0</v>
      </c>
      <c r="G1016" s="1133"/>
      <c r="H1016" s="1133"/>
      <c r="I1016" s="1133"/>
      <c r="J1016" s="1133"/>
      <c r="K1016" s="1133"/>
      <c r="L1016" s="1133"/>
      <c r="M1016" s="1133"/>
      <c r="N1016" s="1161"/>
      <c r="O1016" s="1212"/>
      <c r="P1016" s="1212"/>
      <c r="Q1016" s="1212"/>
      <c r="R1016" s="1212"/>
    </row>
    <row r="1017" spans="1:18" s="902" customFormat="1" ht="15.75" hidden="1" customHeight="1" x14ac:dyDescent="0.25">
      <c r="A1017" s="1234"/>
      <c r="B1017" s="108"/>
      <c r="C1017" s="1179" t="s">
        <v>36</v>
      </c>
      <c r="D1017" s="1180" t="s">
        <v>6</v>
      </c>
      <c r="E1017" s="1135">
        <v>7.6</v>
      </c>
      <c r="F1017" s="1182">
        <f>F1016*E1017</f>
        <v>0</v>
      </c>
      <c r="G1017" s="1133"/>
      <c r="H1017" s="1133"/>
      <c r="I1017" s="1133">
        <v>7.8</v>
      </c>
      <c r="J1017" s="1133">
        <f>F1017*I1017</f>
        <v>0</v>
      </c>
      <c r="K1017" s="1133"/>
      <c r="L1017" s="1133"/>
      <c r="M1017" s="1133">
        <f>H1017+J1017+L1017</f>
        <v>0</v>
      </c>
      <c r="N1017" s="1161"/>
      <c r="O1017" s="1212"/>
      <c r="P1017" s="1212"/>
      <c r="Q1017" s="1212"/>
      <c r="R1017" s="1212"/>
    </row>
    <row r="1018" spans="1:18" s="902" customFormat="1" ht="15.75" hidden="1" customHeight="1" x14ac:dyDescent="0.25">
      <c r="A1018" s="1234"/>
      <c r="B1018" s="108"/>
      <c r="C1018" s="105" t="s">
        <v>17</v>
      </c>
      <c r="D1018" s="1102" t="s">
        <v>4</v>
      </c>
      <c r="E1018" s="1135">
        <v>0.2</v>
      </c>
      <c r="F1018" s="1188">
        <f>F1016*E1018</f>
        <v>0</v>
      </c>
      <c r="G1018" s="1133"/>
      <c r="H1018" s="1133"/>
      <c r="I1018" s="1133"/>
      <c r="J1018" s="1133"/>
      <c r="K1018" s="1133">
        <v>4</v>
      </c>
      <c r="L1018" s="1133">
        <f>F1018*K1018</f>
        <v>0</v>
      </c>
      <c r="M1018" s="1133">
        <f>H1018+J1018+L1018</f>
        <v>0</v>
      </c>
      <c r="N1018" s="1161"/>
      <c r="O1018" s="1212"/>
      <c r="P1018" s="1212"/>
      <c r="Q1018" s="1212"/>
      <c r="R1018" s="1212"/>
    </row>
    <row r="1019" spans="1:18" s="902" customFormat="1" ht="15.75" hidden="1" customHeight="1" x14ac:dyDescent="0.25">
      <c r="A1019" s="1234"/>
      <c r="B1019" s="108"/>
      <c r="C1019" s="105" t="s">
        <v>1400</v>
      </c>
      <c r="D1019" s="1102" t="s">
        <v>47</v>
      </c>
      <c r="E1019" s="1135">
        <v>1</v>
      </c>
      <c r="F1019" s="1131">
        <f>F1016*E1019</f>
        <v>0</v>
      </c>
      <c r="G1019" s="1133">
        <v>44</v>
      </c>
      <c r="H1019" s="1133">
        <f>F1019*G1019</f>
        <v>0</v>
      </c>
      <c r="I1019" s="1133"/>
      <c r="J1019" s="1133"/>
      <c r="K1019" s="1133"/>
      <c r="L1019" s="1133"/>
      <c r="M1019" s="1133">
        <f>H1019+J1019+L1019</f>
        <v>0</v>
      </c>
      <c r="N1019" s="1161"/>
      <c r="O1019" s="1212"/>
      <c r="P1019" s="1212"/>
      <c r="Q1019" s="1212"/>
      <c r="R1019" s="1212"/>
    </row>
    <row r="1020" spans="1:18" s="902" customFormat="1" ht="15.75" hidden="1" customHeight="1" x14ac:dyDescent="0.25">
      <c r="A1020" s="1234"/>
      <c r="B1020" s="108"/>
      <c r="C1020" s="105" t="s">
        <v>88</v>
      </c>
      <c r="D1020" s="1102" t="s">
        <v>37</v>
      </c>
      <c r="E1020" s="1135">
        <v>3.5999999999999997E-2</v>
      </c>
      <c r="F1020" s="1131">
        <f>F1016*E1020</f>
        <v>0</v>
      </c>
      <c r="G1020" s="1133">
        <v>123</v>
      </c>
      <c r="H1020" s="1133">
        <f>F1020*G1020</f>
        <v>0</v>
      </c>
      <c r="I1020" s="1133"/>
      <c r="J1020" s="1133"/>
      <c r="K1020" s="1133"/>
      <c r="L1020" s="1133"/>
      <c r="M1020" s="1133">
        <f>H1020+J1020+L1020</f>
        <v>0</v>
      </c>
      <c r="N1020" s="1161"/>
      <c r="O1020" s="1212"/>
      <c r="P1020" s="1212"/>
      <c r="Q1020" s="1212"/>
      <c r="R1020" s="1212"/>
    </row>
    <row r="1021" spans="1:18" s="902" customFormat="1" ht="15.75" hidden="1" customHeight="1" x14ac:dyDescent="0.25">
      <c r="A1021" s="1235"/>
      <c r="B1021" s="108"/>
      <c r="C1021" s="105" t="s">
        <v>50</v>
      </c>
      <c r="D1021" s="1102" t="s">
        <v>4</v>
      </c>
      <c r="E1021" s="1135">
        <v>0.09</v>
      </c>
      <c r="F1021" s="1131">
        <f>F1016*E1021</f>
        <v>0</v>
      </c>
      <c r="G1021" s="1133">
        <v>4</v>
      </c>
      <c r="H1021" s="1133">
        <f>F1021*G1021</f>
        <v>0</v>
      </c>
      <c r="I1021" s="1133"/>
      <c r="J1021" s="1133"/>
      <c r="K1021" s="1133"/>
      <c r="L1021" s="1133"/>
      <c r="M1021" s="1133">
        <f>H1021+J1021+L1021</f>
        <v>0</v>
      </c>
      <c r="N1021" s="1161"/>
      <c r="O1021" s="1212"/>
      <c r="P1021" s="1212"/>
      <c r="Q1021" s="1212"/>
      <c r="R1021" s="1212"/>
    </row>
    <row r="1022" spans="1:18" s="902" customFormat="1" ht="47.25" x14ac:dyDescent="0.25">
      <c r="A1022" s="1233" t="s">
        <v>48</v>
      </c>
      <c r="B1022" s="108" t="s">
        <v>1401</v>
      </c>
      <c r="C1022" s="107" t="s">
        <v>1402</v>
      </c>
      <c r="D1022" s="108" t="s">
        <v>62</v>
      </c>
      <c r="E1022" s="1188"/>
      <c r="F1022" s="1132">
        <f>F974</f>
        <v>16</v>
      </c>
      <c r="G1022" s="1133"/>
      <c r="H1022" s="1133"/>
      <c r="I1022" s="1133"/>
      <c r="J1022" s="1133"/>
      <c r="K1022" s="1133"/>
      <c r="L1022" s="1133"/>
      <c r="M1022" s="1133"/>
      <c r="N1022" s="1161"/>
      <c r="O1022" s="1212"/>
      <c r="P1022" s="1212"/>
      <c r="Q1022" s="1212"/>
      <c r="R1022" s="1212"/>
    </row>
    <row r="1023" spans="1:18" s="902" customFormat="1" ht="15.75" x14ac:dyDescent="0.25">
      <c r="A1023" s="1234"/>
      <c r="B1023" s="108"/>
      <c r="C1023" s="105" t="s">
        <v>36</v>
      </c>
      <c r="D1023" s="1100" t="s">
        <v>6</v>
      </c>
      <c r="E1023" s="1188">
        <v>1.58</v>
      </c>
      <c r="F1023" s="1188">
        <f>F1022*E1023</f>
        <v>25.28</v>
      </c>
      <c r="G1023" s="1133"/>
      <c r="H1023" s="1133"/>
      <c r="I1023" s="1133"/>
      <c r="J1023" s="1133">
        <f>F1023*I1023</f>
        <v>0</v>
      </c>
      <c r="K1023" s="1133"/>
      <c r="L1023" s="1133"/>
      <c r="M1023" s="1133">
        <f t="shared" ref="M1023:M1029" si="144">H1023+J1023+L1023</f>
        <v>0</v>
      </c>
      <c r="N1023" s="1161"/>
      <c r="O1023" s="1212"/>
      <c r="P1023" s="1212"/>
      <c r="Q1023" s="1212"/>
      <c r="R1023" s="1212"/>
    </row>
    <row r="1024" spans="1:18" s="902" customFormat="1" ht="15.75" x14ac:dyDescent="0.25">
      <c r="A1024" s="1234"/>
      <c r="B1024" s="484" t="s">
        <v>740</v>
      </c>
      <c r="C1024" s="26" t="s">
        <v>741</v>
      </c>
      <c r="D1024" s="1100" t="s">
        <v>15</v>
      </c>
      <c r="E1024" s="1181">
        <f>20.5/100</f>
        <v>0.20499999999999999</v>
      </c>
      <c r="F1024" s="1181">
        <f>F1022*E1024</f>
        <v>3.28</v>
      </c>
      <c r="G1024" s="1133"/>
      <c r="H1024" s="1133"/>
      <c r="I1024" s="1133"/>
      <c r="J1024" s="1133"/>
      <c r="K1024" s="1133"/>
      <c r="L1024" s="1133">
        <f>F1024*K1024</f>
        <v>0</v>
      </c>
      <c r="M1024" s="1133">
        <f t="shared" si="144"/>
        <v>0</v>
      </c>
      <c r="N1024" s="1161"/>
      <c r="O1024" s="1212"/>
      <c r="P1024" s="1212"/>
      <c r="Q1024" s="1212"/>
      <c r="R1024" s="1212"/>
    </row>
    <row r="1025" spans="1:18" s="902" customFormat="1" ht="15.75" x14ac:dyDescent="0.25">
      <c r="A1025" s="1234"/>
      <c r="B1025" s="484"/>
      <c r="C1025" s="26" t="s">
        <v>5</v>
      </c>
      <c r="D1025" s="1100" t="s">
        <v>4</v>
      </c>
      <c r="E1025" s="1181">
        <f>4*0.01</f>
        <v>0.04</v>
      </c>
      <c r="F1025" s="1181">
        <f>F1022*E1025</f>
        <v>0.64</v>
      </c>
      <c r="G1025" s="1133"/>
      <c r="H1025" s="1133"/>
      <c r="I1025" s="1133"/>
      <c r="J1025" s="1133"/>
      <c r="K1025" s="1133"/>
      <c r="L1025" s="1133">
        <f>F1025*K1025</f>
        <v>0</v>
      </c>
      <c r="M1025" s="1133">
        <f t="shared" si="144"/>
        <v>0</v>
      </c>
      <c r="N1025" s="1161"/>
      <c r="O1025" s="1212"/>
      <c r="P1025" s="1212"/>
      <c r="Q1025" s="1212"/>
      <c r="R1025" s="1212"/>
    </row>
    <row r="1026" spans="1:18" s="902" customFormat="1" ht="15.75" x14ac:dyDescent="0.25">
      <c r="A1026" s="1234"/>
      <c r="B1026" s="484"/>
      <c r="C1026" s="1155" t="s">
        <v>743</v>
      </c>
      <c r="D1026" s="1099" t="s">
        <v>29</v>
      </c>
      <c r="E1026" s="1181">
        <f>1.41*0.01</f>
        <v>1.41E-2</v>
      </c>
      <c r="F1026" s="1181">
        <f>F1022*E1026</f>
        <v>0.22559999999999999</v>
      </c>
      <c r="G1026" s="1133"/>
      <c r="H1026" s="1133">
        <f>F1026*G1026</f>
        <v>0</v>
      </c>
      <c r="I1026" s="1133"/>
      <c r="J1026" s="1133"/>
      <c r="K1026" s="1133"/>
      <c r="L1026" s="1133"/>
      <c r="M1026" s="1133">
        <f t="shared" si="144"/>
        <v>0</v>
      </c>
      <c r="N1026" s="1161"/>
      <c r="O1026" s="1212"/>
      <c r="P1026" s="1212"/>
      <c r="Q1026" s="1212"/>
      <c r="R1026" s="1212"/>
    </row>
    <row r="1027" spans="1:18" s="902" customFormat="1" ht="15.75" x14ac:dyDescent="0.25">
      <c r="A1027" s="1234"/>
      <c r="B1027" s="108"/>
      <c r="C1027" s="105" t="s">
        <v>745</v>
      </c>
      <c r="D1027" s="1102" t="str">
        <f>D1022</f>
        <v>grZ.m.</v>
      </c>
      <c r="E1027" s="1131">
        <v>1</v>
      </c>
      <c r="F1027" s="1188">
        <f>F1022*E1027</f>
        <v>16</v>
      </c>
      <c r="G1027" s="1133"/>
      <c r="H1027" s="1133">
        <f>F1027*G1027</f>
        <v>0</v>
      </c>
      <c r="I1027" s="1133"/>
      <c r="J1027" s="1133"/>
      <c r="K1027" s="1133"/>
      <c r="L1027" s="1133"/>
      <c r="M1027" s="1133">
        <f t="shared" si="144"/>
        <v>0</v>
      </c>
      <c r="N1027" s="1161"/>
      <c r="O1027" s="1212"/>
      <c r="P1027" s="1212"/>
      <c r="Q1027" s="1212"/>
      <c r="R1027" s="1212"/>
    </row>
    <row r="1028" spans="1:18" s="902" customFormat="1" ht="15.75" x14ac:dyDescent="0.25">
      <c r="A1028" s="1234"/>
      <c r="B1028" s="484"/>
      <c r="C1028" s="1155" t="s">
        <v>747</v>
      </c>
      <c r="D1028" s="1100" t="s">
        <v>81</v>
      </c>
      <c r="E1028" s="1181">
        <f>0.002*1000*0.01</f>
        <v>0.02</v>
      </c>
      <c r="F1028" s="1181">
        <f>F1022*E1028</f>
        <v>0.32</v>
      </c>
      <c r="G1028" s="1133"/>
      <c r="H1028" s="1133">
        <f>F1028*G1028</f>
        <v>0</v>
      </c>
      <c r="I1028" s="1133"/>
      <c r="J1028" s="1133"/>
      <c r="K1028" s="1133"/>
      <c r="L1028" s="1133"/>
      <c r="M1028" s="1133">
        <f t="shared" si="144"/>
        <v>0</v>
      </c>
      <c r="N1028" s="1161"/>
      <c r="O1028" s="1212"/>
      <c r="P1028" s="1212"/>
      <c r="Q1028" s="1212"/>
      <c r="R1028" s="1212"/>
    </row>
    <row r="1029" spans="1:18" s="902" customFormat="1" ht="15.75" x14ac:dyDescent="0.25">
      <c r="A1029" s="1235"/>
      <c r="B1029" s="484"/>
      <c r="C1029" s="26" t="s">
        <v>7</v>
      </c>
      <c r="D1029" s="1100" t="s">
        <v>4</v>
      </c>
      <c r="E1029" s="1181">
        <f>6*0.01</f>
        <v>0.06</v>
      </c>
      <c r="F1029" s="1181">
        <f>F1022*E1029</f>
        <v>0.96</v>
      </c>
      <c r="G1029" s="1133"/>
      <c r="H1029" s="1133">
        <f>F1029*G1029</f>
        <v>0</v>
      </c>
      <c r="I1029" s="1133"/>
      <c r="J1029" s="1133"/>
      <c r="K1029" s="1133"/>
      <c r="L1029" s="1133"/>
      <c r="M1029" s="1133">
        <f t="shared" si="144"/>
        <v>0</v>
      </c>
      <c r="N1029" s="1161"/>
      <c r="O1029" s="1212"/>
      <c r="P1029" s="1212"/>
      <c r="Q1029" s="1212"/>
      <c r="R1029" s="1212"/>
    </row>
    <row r="1030" spans="1:18" s="902" customFormat="1" ht="47.25" hidden="1" customHeight="1" x14ac:dyDescent="0.25">
      <c r="A1030" s="1236" t="s">
        <v>48</v>
      </c>
      <c r="B1030" s="108" t="s">
        <v>1403</v>
      </c>
      <c r="C1030" s="107" t="s">
        <v>1402</v>
      </c>
      <c r="D1030" s="108" t="s">
        <v>41</v>
      </c>
      <c r="E1030" s="1188"/>
      <c r="F1030" s="1132">
        <v>0</v>
      </c>
      <c r="G1030" s="1133"/>
      <c r="H1030" s="1133"/>
      <c r="I1030" s="1133"/>
      <c r="J1030" s="1133"/>
      <c r="K1030" s="1133"/>
      <c r="L1030" s="1133"/>
      <c r="M1030" s="1133"/>
      <c r="O1030" s="1237" t="s">
        <v>1404</v>
      </c>
      <c r="P1030" s="1238"/>
      <c r="Q1030" s="1238"/>
      <c r="R1030" s="1239"/>
    </row>
    <row r="1031" spans="1:18" s="902" customFormat="1" ht="15.75" hidden="1" customHeight="1" x14ac:dyDescent="0.25">
      <c r="A1031" s="1236"/>
      <c r="B1031" s="484"/>
      <c r="C1031" s="1189" t="s">
        <v>1405</v>
      </c>
      <c r="D1031" s="886" t="s">
        <v>38</v>
      </c>
      <c r="E1031" s="1190">
        <f>((F1030/2)+1)*1.1*0.00565   *0</f>
        <v>0</v>
      </c>
      <c r="F1031" s="1191"/>
      <c r="G1031" s="1192"/>
      <c r="H1031" s="1192"/>
      <c r="I1031" s="1192"/>
      <c r="J1031" s="1192"/>
      <c r="K1031" s="1192"/>
      <c r="L1031" s="1192"/>
      <c r="M1031" s="1192"/>
      <c r="O1031" s="1213"/>
      <c r="P1031" s="1124" t="s">
        <v>38</v>
      </c>
      <c r="Q1031" s="1214"/>
      <c r="R1031" s="1215"/>
    </row>
    <row r="1032" spans="1:18" s="902" customFormat="1" ht="15.75" hidden="1" customHeight="1" x14ac:dyDescent="0.25">
      <c r="A1032" s="1236"/>
      <c r="B1032" s="484"/>
      <c r="C1032" s="1189" t="s">
        <v>620</v>
      </c>
      <c r="D1032" s="886" t="s">
        <v>47</v>
      </c>
      <c r="E1032" s="1193">
        <f>((F1030/2)+1)*0.2*0.2*0.0471*1.1    *0</f>
        <v>0</v>
      </c>
      <c r="F1032" s="1191"/>
      <c r="G1032" s="1192"/>
      <c r="H1032" s="1192"/>
      <c r="I1032" s="1192"/>
      <c r="J1032" s="1192"/>
      <c r="K1032" s="1192"/>
      <c r="L1032" s="1192"/>
      <c r="M1032" s="1192"/>
      <c r="O1032" s="1194" t="s">
        <v>1405</v>
      </c>
      <c r="P1032" s="1216">
        <f>Q1032*0.00565</f>
        <v>6.215E-3</v>
      </c>
      <c r="Q1032" s="1216">
        <f>((F1030/2)+1)*1.1</f>
        <v>1.1000000000000001</v>
      </c>
      <c r="R1032" s="1217" t="s">
        <v>41</v>
      </c>
    </row>
    <row r="1033" spans="1:18" s="902" customFormat="1" ht="31.5" hidden="1" customHeight="1" x14ac:dyDescent="0.25">
      <c r="A1033" s="1236"/>
      <c r="B1033" s="484"/>
      <c r="C1033" s="1189" t="s">
        <v>1406</v>
      </c>
      <c r="D1033" s="886" t="s">
        <v>52</v>
      </c>
      <c r="E1033" s="1193">
        <f>((F1030/2)+1)*4     *0</f>
        <v>0</v>
      </c>
      <c r="F1033" s="1191"/>
      <c r="G1033" s="1192"/>
      <c r="H1033" s="1192"/>
      <c r="I1033" s="1192"/>
      <c r="J1033" s="1192"/>
      <c r="K1033" s="1192"/>
      <c r="L1033" s="1192"/>
      <c r="M1033" s="1192"/>
      <c r="O1033" s="1195" t="s">
        <v>620</v>
      </c>
      <c r="P1033" s="1216">
        <f>Q1033*0.0471</f>
        <v>2.0724000000000007E-3</v>
      </c>
      <c r="Q1033" s="1216">
        <f>((F1030/2)+1)*0.2*0.2*1.1</f>
        <v>4.4000000000000011E-2</v>
      </c>
      <c r="R1033" s="1217" t="s">
        <v>47</v>
      </c>
    </row>
    <row r="1034" spans="1:18" s="902" customFormat="1" ht="31.5" hidden="1" customHeight="1" x14ac:dyDescent="0.25">
      <c r="A1034" s="1236"/>
      <c r="B1034" s="484"/>
      <c r="C1034" s="1189" t="s">
        <v>432</v>
      </c>
      <c r="D1034" s="886" t="s">
        <v>38</v>
      </c>
      <c r="E1034" s="1193">
        <f>((F1030/2)+0)*(2*2+0.8*2)*0.00314*1.1</f>
        <v>0</v>
      </c>
      <c r="F1034" s="1191"/>
      <c r="G1034" s="1192"/>
      <c r="H1034" s="1192"/>
      <c r="I1034" s="1192"/>
      <c r="J1034" s="1192"/>
      <c r="K1034" s="1192"/>
      <c r="L1034" s="1192"/>
      <c r="M1034" s="1192"/>
      <c r="O1034" s="1195" t="s">
        <v>1406</v>
      </c>
      <c r="P1034" s="1214"/>
      <c r="Q1034" s="1216">
        <f>((F1030/2)+1)*4</f>
        <v>4</v>
      </c>
      <c r="R1034" s="1217" t="s">
        <v>41</v>
      </c>
    </row>
    <row r="1035" spans="1:18" s="902" customFormat="1" ht="15.75" hidden="1" customHeight="1" x14ac:dyDescent="0.25">
      <c r="A1035" s="1236"/>
      <c r="B1035" s="484"/>
      <c r="C1035" s="1189" t="s">
        <v>1407</v>
      </c>
      <c r="D1035" s="886" t="s">
        <v>38</v>
      </c>
      <c r="E1035" s="1193">
        <f>((F1030/2)+0)*(4*1.6)*0.00125*1.1</f>
        <v>0</v>
      </c>
      <c r="F1035" s="1191"/>
      <c r="G1035" s="1192"/>
      <c r="H1035" s="1192"/>
      <c r="I1035" s="1192"/>
      <c r="J1035" s="1192"/>
      <c r="K1035" s="1192"/>
      <c r="L1035" s="1192"/>
      <c r="M1035" s="1192"/>
      <c r="O1035" s="1195" t="s">
        <v>432</v>
      </c>
      <c r="P1035" s="1216">
        <f>Q1035*0.00314</f>
        <v>0</v>
      </c>
      <c r="Q1035" s="1216">
        <f>((F1030/2)+0)*(2*2+0.8*2)*1.1</f>
        <v>0</v>
      </c>
      <c r="R1035" s="1217" t="s">
        <v>52</v>
      </c>
    </row>
    <row r="1036" spans="1:18" s="902" customFormat="1" ht="16.5" hidden="1" customHeight="1" thickBot="1" x14ac:dyDescent="0.3">
      <c r="A1036" s="1236"/>
      <c r="B1036" s="1196"/>
      <c r="C1036" s="876" t="s">
        <v>1408</v>
      </c>
      <c r="D1036" s="877" t="s">
        <v>38</v>
      </c>
      <c r="E1036" s="1193"/>
      <c r="F1036" s="1197">
        <f>SUM(E1031+E1032+E1033*0.0002+E1034+E1035)</f>
        <v>0</v>
      </c>
      <c r="G1036" s="1133"/>
      <c r="H1036" s="1133"/>
      <c r="I1036" s="1133"/>
      <c r="J1036" s="1133"/>
      <c r="K1036" s="1133"/>
      <c r="L1036" s="1133"/>
      <c r="M1036" s="1133"/>
      <c r="N1036" s="216">
        <f>SUM(M1036:M1046)</f>
        <v>0</v>
      </c>
      <c r="O1036" s="1198" t="s">
        <v>1407</v>
      </c>
      <c r="P1036" s="1218">
        <f>Q1036*0.00125</f>
        <v>0</v>
      </c>
      <c r="Q1036" s="1218">
        <f>((F1030/2)+0)*(4*1.6)*1.1</f>
        <v>0</v>
      </c>
      <c r="R1036" s="1219" t="s">
        <v>41</v>
      </c>
    </row>
    <row r="1037" spans="1:18" s="902" customFormat="1" ht="15.75" hidden="1" customHeight="1" x14ac:dyDescent="0.25">
      <c r="A1037" s="1236"/>
      <c r="B1037" s="484"/>
      <c r="C1037" s="26" t="s">
        <v>36</v>
      </c>
      <c r="D1037" s="1100"/>
      <c r="E1037" s="1181">
        <v>62.6</v>
      </c>
      <c r="F1037" s="1181">
        <f>F1036*E1037</f>
        <v>0</v>
      </c>
      <c r="G1037" s="1133"/>
      <c r="H1037" s="1133"/>
      <c r="I1037" s="1133">
        <v>7.8</v>
      </c>
      <c r="J1037" s="1133">
        <f>F1037*I1037</f>
        <v>0</v>
      </c>
      <c r="K1037" s="1133"/>
      <c r="L1037" s="1133"/>
      <c r="M1037" s="1133">
        <f t="shared" ref="M1037:M1038" si="145">H1037+J1037+L1037</f>
        <v>0</v>
      </c>
      <c r="N1037" s="1161"/>
      <c r="O1037" s="1212"/>
      <c r="P1037" s="1212"/>
      <c r="Q1037" s="1212"/>
      <c r="R1037" s="1212"/>
    </row>
    <row r="1038" spans="1:18" s="902" customFormat="1" ht="15.75" hidden="1" customHeight="1" x14ac:dyDescent="0.25">
      <c r="A1038" s="1236"/>
      <c r="B1038" s="484"/>
      <c r="C1038" s="26" t="s">
        <v>17</v>
      </c>
      <c r="D1038" s="1100"/>
      <c r="E1038" s="1181">
        <v>1</v>
      </c>
      <c r="F1038" s="1181">
        <f>F1036*E1038</f>
        <v>0</v>
      </c>
      <c r="G1038" s="1133"/>
      <c r="H1038" s="1133"/>
      <c r="I1038" s="1133"/>
      <c r="J1038" s="1133"/>
      <c r="K1038" s="1133">
        <v>4</v>
      </c>
      <c r="L1038" s="1133">
        <f>F1038*K1038</f>
        <v>0</v>
      </c>
      <c r="M1038" s="1133">
        <f t="shared" si="145"/>
        <v>0</v>
      </c>
      <c r="N1038" s="1161"/>
      <c r="O1038" s="1212"/>
      <c r="P1038" s="1212"/>
      <c r="Q1038" s="1212"/>
      <c r="R1038" s="1212"/>
    </row>
    <row r="1039" spans="1:18" s="902" customFormat="1" ht="15.75" hidden="1" customHeight="1" x14ac:dyDescent="0.25">
      <c r="A1039" s="1236"/>
      <c r="B1039" s="484"/>
      <c r="C1039" s="26" t="s">
        <v>1409</v>
      </c>
      <c r="D1039" s="1100"/>
      <c r="E1039" s="1181"/>
      <c r="F1039" s="1181"/>
      <c r="G1039" s="1133"/>
      <c r="H1039" s="1133"/>
      <c r="I1039" s="1133"/>
      <c r="J1039" s="1133"/>
      <c r="K1039" s="1133"/>
      <c r="L1039" s="1133"/>
      <c r="M1039" s="1133"/>
      <c r="N1039" s="1161"/>
      <c r="O1039" s="1212"/>
      <c r="P1039" s="1212"/>
      <c r="Q1039" s="1212"/>
      <c r="R1039" s="1212"/>
    </row>
    <row r="1040" spans="1:18" s="902" customFormat="1" ht="15.75" hidden="1" customHeight="1" x14ac:dyDescent="0.25">
      <c r="A1040" s="1236"/>
      <c r="B1040" s="484"/>
      <c r="C1040" s="26" t="s">
        <v>1405</v>
      </c>
      <c r="D1040" s="1100" t="s">
        <v>38</v>
      </c>
      <c r="E1040" s="1181"/>
      <c r="F1040" s="1181">
        <f>E1031</f>
        <v>0</v>
      </c>
      <c r="G1040" s="1133">
        <v>2680</v>
      </c>
      <c r="H1040" s="1133">
        <f>F1040*G1040</f>
        <v>0</v>
      </c>
      <c r="I1040" s="1133"/>
      <c r="J1040" s="1133"/>
      <c r="K1040" s="1133"/>
      <c r="L1040" s="1133"/>
      <c r="M1040" s="1133">
        <f t="shared" ref="M1040:M1046" si="146">H1040+J1040+L1040</f>
        <v>0</v>
      </c>
      <c r="N1040" s="1161"/>
      <c r="O1040" s="1212"/>
      <c r="P1040" s="1212"/>
      <c r="Q1040" s="1212"/>
      <c r="R1040" s="1212"/>
    </row>
    <row r="1041" spans="1:18" s="902" customFormat="1" ht="15.75" hidden="1" customHeight="1" x14ac:dyDescent="0.25">
      <c r="A1041" s="1236"/>
      <c r="B1041" s="484"/>
      <c r="C1041" s="26" t="s">
        <v>620</v>
      </c>
      <c r="D1041" s="1100" t="s">
        <v>47</v>
      </c>
      <c r="E1041" s="1181"/>
      <c r="F1041" s="1181">
        <f t="shared" ref="F1041:F1044" si="147">E1032</f>
        <v>0</v>
      </c>
      <c r="G1041" s="1133">
        <v>2610</v>
      </c>
      <c r="H1041" s="1133">
        <f t="shared" ref="H1041:H1046" si="148">F1041*G1041</f>
        <v>0</v>
      </c>
      <c r="I1041" s="1133"/>
      <c r="J1041" s="1133"/>
      <c r="K1041" s="1133"/>
      <c r="L1041" s="1133"/>
      <c r="M1041" s="1133">
        <f t="shared" si="146"/>
        <v>0</v>
      </c>
      <c r="N1041" s="1161"/>
      <c r="O1041" s="1212"/>
      <c r="P1041" s="1212"/>
      <c r="Q1041" s="1212"/>
      <c r="R1041" s="1212"/>
    </row>
    <row r="1042" spans="1:18" s="902" customFormat="1" ht="15.75" hidden="1" customHeight="1" x14ac:dyDescent="0.25">
      <c r="A1042" s="1236"/>
      <c r="B1042" s="484"/>
      <c r="C1042" s="26" t="s">
        <v>1406</v>
      </c>
      <c r="D1042" s="1100" t="s">
        <v>52</v>
      </c>
      <c r="E1042" s="1181"/>
      <c r="F1042" s="1181">
        <f t="shared" si="147"/>
        <v>0</v>
      </c>
      <c r="G1042" s="1133">
        <v>3</v>
      </c>
      <c r="H1042" s="1133">
        <f t="shared" si="148"/>
        <v>0</v>
      </c>
      <c r="I1042" s="1133"/>
      <c r="J1042" s="1133"/>
      <c r="K1042" s="1133"/>
      <c r="L1042" s="1133"/>
      <c r="M1042" s="1133">
        <f t="shared" si="146"/>
        <v>0</v>
      </c>
      <c r="N1042" s="1161"/>
      <c r="O1042" s="1212"/>
      <c r="P1042" s="1212"/>
      <c r="Q1042" s="1212"/>
      <c r="R1042" s="1212"/>
    </row>
    <row r="1043" spans="1:18" s="902" customFormat="1" ht="15.75" hidden="1" customHeight="1" x14ac:dyDescent="0.25">
      <c r="A1043" s="1236"/>
      <c r="B1043" s="484"/>
      <c r="C1043" s="26" t="s">
        <v>432</v>
      </c>
      <c r="D1043" s="1100" t="s">
        <v>38</v>
      </c>
      <c r="E1043" s="1181"/>
      <c r="F1043" s="1181">
        <f t="shared" si="147"/>
        <v>0</v>
      </c>
      <c r="G1043" s="1133">
        <v>2680</v>
      </c>
      <c r="H1043" s="1133">
        <f t="shared" si="148"/>
        <v>0</v>
      </c>
      <c r="I1043" s="1133"/>
      <c r="J1043" s="1133"/>
      <c r="K1043" s="1133"/>
      <c r="L1043" s="1133"/>
      <c r="M1043" s="1133">
        <f t="shared" si="146"/>
        <v>0</v>
      </c>
      <c r="N1043" s="1161"/>
      <c r="O1043" s="1212"/>
      <c r="P1043" s="1212"/>
      <c r="Q1043" s="1212"/>
      <c r="R1043" s="1212"/>
    </row>
    <row r="1044" spans="1:18" ht="15.75" hidden="1" customHeight="1" x14ac:dyDescent="0.25">
      <c r="A1044" s="1236"/>
      <c r="B1044" s="484"/>
      <c r="C1044" s="26" t="s">
        <v>1407</v>
      </c>
      <c r="D1044" s="1100" t="s">
        <v>38</v>
      </c>
      <c r="E1044" s="1181"/>
      <c r="F1044" s="1181">
        <f t="shared" si="147"/>
        <v>0</v>
      </c>
      <c r="G1044" s="1133">
        <v>2680</v>
      </c>
      <c r="H1044" s="1133">
        <f t="shared" si="148"/>
        <v>0</v>
      </c>
      <c r="I1044" s="1133"/>
      <c r="J1044" s="1133"/>
      <c r="K1044" s="1133"/>
      <c r="L1044" s="1133"/>
      <c r="M1044" s="1133">
        <f t="shared" si="146"/>
        <v>0</v>
      </c>
      <c r="N1044" s="1161"/>
      <c r="O1044" s="1212"/>
      <c r="P1044" s="1212"/>
      <c r="Q1044" s="1212"/>
      <c r="R1044" s="1212"/>
    </row>
    <row r="1045" spans="1:18" ht="15.75" hidden="1" customHeight="1" x14ac:dyDescent="0.25">
      <c r="A1045" s="1236"/>
      <c r="B1045" s="484"/>
      <c r="C1045" s="26" t="s">
        <v>45</v>
      </c>
      <c r="D1045" s="1100" t="s">
        <v>2</v>
      </c>
      <c r="E1045" s="1181"/>
      <c r="F1045" s="1199">
        <f>70    *0</f>
        <v>0</v>
      </c>
      <c r="G1045" s="1133">
        <v>4.58</v>
      </c>
      <c r="H1045" s="1133">
        <f t="shared" si="148"/>
        <v>0</v>
      </c>
      <c r="I1045" s="1133"/>
      <c r="J1045" s="1133"/>
      <c r="K1045" s="1133"/>
      <c r="L1045" s="1133"/>
      <c r="M1045" s="1133">
        <f t="shared" si="146"/>
        <v>0</v>
      </c>
      <c r="N1045" s="1161"/>
      <c r="O1045" s="1212"/>
      <c r="P1045" s="1212"/>
      <c r="Q1045" s="1212"/>
      <c r="R1045" s="1212"/>
    </row>
    <row r="1046" spans="1:18" ht="15.75" hidden="1" customHeight="1" x14ac:dyDescent="0.25">
      <c r="A1046" s="1236"/>
      <c r="B1046" s="484"/>
      <c r="C1046" s="26" t="s">
        <v>7</v>
      </c>
      <c r="D1046" s="1100" t="s">
        <v>4</v>
      </c>
      <c r="E1046" s="1181">
        <v>2.78</v>
      </c>
      <c r="F1046" s="1181">
        <f>F1036*E1046</f>
        <v>0</v>
      </c>
      <c r="G1046" s="1133">
        <v>4</v>
      </c>
      <c r="H1046" s="1133">
        <f t="shared" si="148"/>
        <v>0</v>
      </c>
      <c r="I1046" s="1133"/>
      <c r="J1046" s="1133"/>
      <c r="K1046" s="1133"/>
      <c r="L1046" s="1133"/>
      <c r="M1046" s="1133">
        <f t="shared" si="146"/>
        <v>0</v>
      </c>
      <c r="N1046" s="1161"/>
      <c r="O1046" s="1212"/>
      <c r="P1046" s="1212"/>
      <c r="Q1046" s="1212"/>
      <c r="R1046" s="1212"/>
    </row>
    <row r="1047" spans="1:18" ht="31.5" x14ac:dyDescent="0.25">
      <c r="A1047" s="1240" t="s">
        <v>601</v>
      </c>
      <c r="B1047" s="601" t="s">
        <v>1410</v>
      </c>
      <c r="C1047" s="1043" t="s">
        <v>1411</v>
      </c>
      <c r="D1047" s="601" t="s">
        <v>52</v>
      </c>
      <c r="E1047" s="874"/>
      <c r="F1047" s="23">
        <v>3</v>
      </c>
      <c r="G1047" s="223"/>
      <c r="H1047" s="223"/>
      <c r="I1047" s="223"/>
      <c r="J1047" s="223"/>
      <c r="K1047" s="223"/>
      <c r="L1047" s="223"/>
      <c r="M1047" s="223"/>
      <c r="N1047" s="1161"/>
      <c r="O1047" s="1212"/>
      <c r="P1047" s="1212"/>
      <c r="Q1047" s="1212"/>
      <c r="R1047" s="1212"/>
    </row>
    <row r="1048" spans="1:18" ht="15.75" x14ac:dyDescent="0.25">
      <c r="A1048" s="1241"/>
      <c r="B1048" s="1200"/>
      <c r="C1048" s="771" t="s">
        <v>36</v>
      </c>
      <c r="D1048" s="622" t="s">
        <v>6</v>
      </c>
      <c r="E1048" s="1140">
        <f>1720*0.01</f>
        <v>17.2</v>
      </c>
      <c r="F1048" s="1093">
        <f>F1047*E1048</f>
        <v>51.599999999999994</v>
      </c>
      <c r="G1048" s="223"/>
      <c r="H1048" s="223"/>
      <c r="I1048" s="8"/>
      <c r="J1048" s="223">
        <f>F1048*I1048</f>
        <v>0</v>
      </c>
      <c r="K1048" s="223"/>
      <c r="L1048" s="223"/>
      <c r="M1048" s="223">
        <f t="shared" ref="M1048:M1062" si="149">H1048+J1048+L1048</f>
        <v>0</v>
      </c>
      <c r="N1048" s="1161"/>
      <c r="O1048" s="1212"/>
      <c r="P1048" s="1212"/>
      <c r="Q1048" s="1212"/>
      <c r="R1048" s="1212"/>
    </row>
    <row r="1049" spans="1:18" ht="15.75" x14ac:dyDescent="0.25">
      <c r="A1049" s="1241"/>
      <c r="B1049" s="601" t="s">
        <v>740</v>
      </c>
      <c r="C1049" s="299" t="s">
        <v>741</v>
      </c>
      <c r="D1049" s="622" t="s">
        <v>15</v>
      </c>
      <c r="E1049" s="1140">
        <f>91.3/100</f>
        <v>0.91299999999999992</v>
      </c>
      <c r="F1049" s="288">
        <f>F1047*E1049</f>
        <v>2.7389999999999999</v>
      </c>
      <c r="G1049" s="223"/>
      <c r="H1049" s="223"/>
      <c r="I1049" s="223"/>
      <c r="J1049" s="223"/>
      <c r="K1049" s="8"/>
      <c r="L1049" s="223">
        <f>F1049*K1049</f>
        <v>0</v>
      </c>
      <c r="M1049" s="223">
        <f t="shared" si="149"/>
        <v>0</v>
      </c>
      <c r="N1049" s="1161"/>
      <c r="O1049" s="1212"/>
      <c r="P1049" s="1212"/>
      <c r="Q1049" s="1212"/>
      <c r="R1049" s="1212"/>
    </row>
    <row r="1050" spans="1:18" ht="15.75" x14ac:dyDescent="0.25">
      <c r="A1050" s="1241"/>
      <c r="B1050" s="601"/>
      <c r="C1050" s="299" t="s">
        <v>5</v>
      </c>
      <c r="D1050" s="622" t="s">
        <v>4</v>
      </c>
      <c r="E1050" s="1140">
        <f>70*0.01</f>
        <v>0.70000000000000007</v>
      </c>
      <c r="F1050" s="288">
        <f>F1047*E1050</f>
        <v>2.1</v>
      </c>
      <c r="G1050" s="223"/>
      <c r="H1050" s="223"/>
      <c r="I1050" s="223"/>
      <c r="J1050" s="223"/>
      <c r="K1050" s="8"/>
      <c r="L1050" s="223">
        <f>F1050*K1050</f>
        <v>0</v>
      </c>
      <c r="M1050" s="223">
        <f t="shared" si="149"/>
        <v>0</v>
      </c>
      <c r="N1050" s="1161"/>
      <c r="O1050" s="1212"/>
      <c r="P1050" s="1212"/>
      <c r="Q1050" s="1212"/>
      <c r="R1050" s="1212"/>
    </row>
    <row r="1051" spans="1:18" ht="15.75" x14ac:dyDescent="0.25">
      <c r="A1051" s="1241"/>
      <c r="B1051" s="1200"/>
      <c r="C1051" s="771" t="s">
        <v>1412</v>
      </c>
      <c r="D1051" s="93" t="s">
        <v>41</v>
      </c>
      <c r="E1051" s="1140"/>
      <c r="F1051" s="23">
        <f>5</f>
        <v>5</v>
      </c>
      <c r="G1051" s="8"/>
      <c r="H1051" s="223">
        <f>F1051*G1051</f>
        <v>0</v>
      </c>
      <c r="I1051" s="223"/>
      <c r="J1051" s="223"/>
      <c r="K1051" s="223"/>
      <c r="L1051" s="223"/>
      <c r="M1051" s="223">
        <f t="shared" si="149"/>
        <v>0</v>
      </c>
      <c r="N1051" s="1161"/>
      <c r="O1051" s="1212"/>
      <c r="P1051" s="1212"/>
      <c r="Q1051" s="1212"/>
      <c r="R1051" s="1212"/>
    </row>
    <row r="1052" spans="1:18" ht="15.75" x14ac:dyDescent="0.25">
      <c r="A1052" s="1241"/>
      <c r="B1052" s="601"/>
      <c r="C1052" s="771" t="s">
        <v>752</v>
      </c>
      <c r="D1052" s="93" t="s">
        <v>29</v>
      </c>
      <c r="E1052" s="1140">
        <f>29.7*0.01</f>
        <v>0.29699999999999999</v>
      </c>
      <c r="F1052" s="288">
        <f>F1047*E1052</f>
        <v>0.89100000000000001</v>
      </c>
      <c r="G1052" s="8"/>
      <c r="H1052" s="223">
        <f>F1052*G1052</f>
        <v>0</v>
      </c>
      <c r="I1052" s="223"/>
      <c r="J1052" s="223"/>
      <c r="K1052" s="223"/>
      <c r="L1052" s="223"/>
      <c r="M1052" s="223">
        <f t="shared" si="149"/>
        <v>0</v>
      </c>
      <c r="N1052" s="1161"/>
      <c r="O1052" s="1212"/>
      <c r="P1052" s="1212"/>
      <c r="Q1052" s="1212"/>
      <c r="R1052" s="1212"/>
    </row>
    <row r="1053" spans="1:18" ht="15.75" x14ac:dyDescent="0.25">
      <c r="A1053" s="1241"/>
      <c r="B1053" s="1200"/>
      <c r="C1053" s="771" t="s">
        <v>1413</v>
      </c>
      <c r="D1053" s="93" t="s">
        <v>526</v>
      </c>
      <c r="E1053" s="1140">
        <f>0.16*0.01</f>
        <v>1.6000000000000001E-3</v>
      </c>
      <c r="F1053" s="1093">
        <f>F1047*E1053</f>
        <v>4.8000000000000004E-3</v>
      </c>
      <c r="G1053" s="8"/>
      <c r="H1053" s="223">
        <f>F1053*G1053</f>
        <v>0</v>
      </c>
      <c r="I1053" s="223"/>
      <c r="J1053" s="223"/>
      <c r="K1053" s="223"/>
      <c r="L1053" s="223"/>
      <c r="M1053" s="223">
        <f t="shared" si="149"/>
        <v>0</v>
      </c>
      <c r="N1053" s="1161"/>
      <c r="O1053" s="1212"/>
      <c r="P1053" s="1212"/>
      <c r="Q1053" s="1212"/>
      <c r="R1053" s="1212"/>
    </row>
    <row r="1054" spans="1:18" ht="15.75" x14ac:dyDescent="0.25">
      <c r="A1054" s="1241"/>
      <c r="B1054" s="1200"/>
      <c r="C1054" s="771" t="s">
        <v>1414</v>
      </c>
      <c r="D1054" s="93" t="s">
        <v>81</v>
      </c>
      <c r="E1054" s="1140">
        <v>0.2</v>
      </c>
      <c r="F1054" s="1093">
        <f>F1047*E1054</f>
        <v>0.60000000000000009</v>
      </c>
      <c r="G1054" s="8"/>
      <c r="H1054" s="223">
        <f>F1054*G1054</f>
        <v>0</v>
      </c>
      <c r="I1054" s="223"/>
      <c r="J1054" s="223"/>
      <c r="K1054" s="223"/>
      <c r="L1054" s="223"/>
      <c r="M1054" s="223">
        <f t="shared" si="149"/>
        <v>0</v>
      </c>
      <c r="N1054" s="1161"/>
      <c r="O1054" s="1212"/>
      <c r="P1054" s="1212"/>
      <c r="Q1054" s="1212"/>
      <c r="R1054" s="1212"/>
    </row>
    <row r="1055" spans="1:18" ht="15.75" x14ac:dyDescent="0.25">
      <c r="A1055" s="1242"/>
      <c r="B1055" s="601"/>
      <c r="C1055" s="299" t="s">
        <v>7</v>
      </c>
      <c r="D1055" s="622" t="s">
        <v>4</v>
      </c>
      <c r="E1055" s="1140">
        <f>20*0.01</f>
        <v>0.2</v>
      </c>
      <c r="F1055" s="288">
        <f>F1047*E1055</f>
        <v>0.60000000000000009</v>
      </c>
      <c r="G1055" s="8"/>
      <c r="H1055" s="223">
        <f>F1055*G1055</f>
        <v>0</v>
      </c>
      <c r="I1055" s="223"/>
      <c r="J1055" s="223"/>
      <c r="K1055" s="223"/>
      <c r="L1055" s="223"/>
      <c r="M1055" s="223">
        <f t="shared" si="149"/>
        <v>0</v>
      </c>
      <c r="N1055" s="1161"/>
      <c r="O1055" s="1212"/>
      <c r="P1055" s="1212"/>
      <c r="Q1055" s="1212"/>
      <c r="R1055" s="1212"/>
    </row>
    <row r="1056" spans="1:18" ht="31.5" hidden="1" customHeight="1" x14ac:dyDescent="0.25">
      <c r="A1056" s="1233" t="s">
        <v>554</v>
      </c>
      <c r="B1056" s="484" t="s">
        <v>749</v>
      </c>
      <c r="C1056" s="62" t="s">
        <v>750</v>
      </c>
      <c r="D1056" s="484" t="s">
        <v>52</v>
      </c>
      <c r="E1056" s="1093"/>
      <c r="F1056" s="22">
        <v>0</v>
      </c>
      <c r="G1056" s="1091"/>
      <c r="H1056" s="1091"/>
      <c r="I1056" s="1091"/>
      <c r="J1056" s="1091"/>
      <c r="K1056" s="1091"/>
      <c r="L1056" s="1091"/>
      <c r="M1056" s="1091">
        <f t="shared" si="149"/>
        <v>0</v>
      </c>
      <c r="N1056" s="1161"/>
      <c r="O1056" s="1212"/>
      <c r="P1056" s="1212"/>
      <c r="Q1056" s="1212"/>
      <c r="R1056" s="1212"/>
    </row>
    <row r="1057" spans="1:18" ht="15.75" hidden="1" customHeight="1" x14ac:dyDescent="0.25">
      <c r="A1057" s="1234"/>
      <c r="B1057" s="1008"/>
      <c r="C1057" s="1155" t="s">
        <v>36</v>
      </c>
      <c r="D1057" s="1100" t="s">
        <v>6</v>
      </c>
      <c r="E1057" s="288">
        <f>733*0.01</f>
        <v>7.33</v>
      </c>
      <c r="F1057" s="1093">
        <f>F1056*E1057</f>
        <v>0</v>
      </c>
      <c r="G1057" s="1091"/>
      <c r="H1057" s="1091"/>
      <c r="I1057" s="1091">
        <v>7.8</v>
      </c>
      <c r="J1057" s="1091">
        <f>F1057*I1057</f>
        <v>0</v>
      </c>
      <c r="K1057" s="1091"/>
      <c r="L1057" s="1091"/>
      <c r="M1057" s="1091">
        <f t="shared" si="149"/>
        <v>0</v>
      </c>
      <c r="N1057" s="1161"/>
      <c r="O1057" s="1212"/>
      <c r="P1057" s="1212"/>
      <c r="Q1057" s="1212"/>
      <c r="R1057" s="1212"/>
    </row>
    <row r="1058" spans="1:18" ht="15.75" hidden="1" customHeight="1" x14ac:dyDescent="0.25">
      <c r="A1058" s="1234"/>
      <c r="B1058" s="484"/>
      <c r="C1058" s="26" t="s">
        <v>5</v>
      </c>
      <c r="D1058" s="1100" t="s">
        <v>4</v>
      </c>
      <c r="E1058" s="288">
        <f>11*0.01</f>
        <v>0.11</v>
      </c>
      <c r="F1058" s="288">
        <f>F1056*E1058</f>
        <v>0</v>
      </c>
      <c r="G1058" s="1091"/>
      <c r="H1058" s="1091"/>
      <c r="I1058" s="1091"/>
      <c r="J1058" s="1091"/>
      <c r="K1058" s="1091">
        <v>4</v>
      </c>
      <c r="L1058" s="1091">
        <f>F1058*K1058</f>
        <v>0</v>
      </c>
      <c r="M1058" s="1091">
        <f t="shared" si="149"/>
        <v>0</v>
      </c>
      <c r="N1058" s="1161"/>
      <c r="O1058" s="1212"/>
      <c r="P1058" s="1212"/>
      <c r="Q1058" s="1212"/>
      <c r="R1058" s="1212"/>
    </row>
    <row r="1059" spans="1:18" ht="15.75" hidden="1" customHeight="1" x14ac:dyDescent="0.25">
      <c r="A1059" s="1234"/>
      <c r="B1059" s="1008"/>
      <c r="C1059" s="1155" t="s">
        <v>751</v>
      </c>
      <c r="D1059" s="1008" t="s">
        <v>27</v>
      </c>
      <c r="E1059" s="288"/>
      <c r="F1059" s="23">
        <v>0</v>
      </c>
      <c r="G1059" s="1091">
        <v>160</v>
      </c>
      <c r="H1059" s="1091">
        <f>F1059*G1059</f>
        <v>0</v>
      </c>
      <c r="I1059" s="1091"/>
      <c r="J1059" s="1091"/>
      <c r="K1059" s="1091"/>
      <c r="L1059" s="1091"/>
      <c r="M1059" s="1091">
        <f t="shared" si="149"/>
        <v>0</v>
      </c>
      <c r="N1059" s="1161"/>
      <c r="O1059" s="1212"/>
      <c r="P1059" s="1212"/>
      <c r="Q1059" s="1212"/>
      <c r="R1059" s="1212"/>
    </row>
    <row r="1060" spans="1:18" ht="15.75" hidden="1" customHeight="1" x14ac:dyDescent="0.25">
      <c r="A1060" s="1234"/>
      <c r="B1060" s="484"/>
      <c r="C1060" s="1155" t="s">
        <v>752</v>
      </c>
      <c r="D1060" s="1099" t="s">
        <v>29</v>
      </c>
      <c r="E1060" s="288">
        <f>5.1*0.01</f>
        <v>5.0999999999999997E-2</v>
      </c>
      <c r="F1060" s="288">
        <f>E1060*F1056</f>
        <v>0</v>
      </c>
      <c r="G1060" s="1091">
        <v>108</v>
      </c>
      <c r="H1060" s="1091">
        <f>F1060*G1060</f>
        <v>0</v>
      </c>
      <c r="I1060" s="1091"/>
      <c r="J1060" s="1091"/>
      <c r="K1060" s="1091"/>
      <c r="L1060" s="1091"/>
      <c r="M1060" s="1091">
        <f t="shared" si="149"/>
        <v>0</v>
      </c>
      <c r="N1060" s="1161"/>
      <c r="O1060" s="1212"/>
      <c r="P1060" s="1212"/>
      <c r="Q1060" s="1212"/>
      <c r="R1060" s="1212"/>
    </row>
    <row r="1061" spans="1:18" ht="15.75" hidden="1" customHeight="1" x14ac:dyDescent="0.25">
      <c r="A1061" s="1234"/>
      <c r="B1061" s="1008"/>
      <c r="C1061" s="1155" t="s">
        <v>653</v>
      </c>
      <c r="D1061" s="1099" t="s">
        <v>81</v>
      </c>
      <c r="E1061" s="288">
        <v>0.2</v>
      </c>
      <c r="F1061" s="1093">
        <f>F1056*E1061</f>
        <v>0</v>
      </c>
      <c r="G1061" s="1091">
        <v>4.58</v>
      </c>
      <c r="H1061" s="1091">
        <f>F1061*G1061</f>
        <v>0</v>
      </c>
      <c r="I1061" s="1091"/>
      <c r="J1061" s="1091"/>
      <c r="K1061" s="1091"/>
      <c r="L1061" s="1091"/>
      <c r="M1061" s="1091">
        <f t="shared" si="149"/>
        <v>0</v>
      </c>
      <c r="N1061" s="1161"/>
      <c r="O1061" s="1212"/>
      <c r="P1061" s="1212"/>
      <c r="Q1061" s="1212"/>
      <c r="R1061" s="1212"/>
    </row>
    <row r="1062" spans="1:18" ht="15.75" hidden="1" customHeight="1" x14ac:dyDescent="0.25">
      <c r="A1062" s="1235"/>
      <c r="B1062" s="484"/>
      <c r="C1062" s="26" t="s">
        <v>7</v>
      </c>
      <c r="D1062" s="1100" t="s">
        <v>4</v>
      </c>
      <c r="E1062" s="288">
        <f>2*0.01</f>
        <v>0.02</v>
      </c>
      <c r="F1062" s="288">
        <f>F1056*E1062</f>
        <v>0</v>
      </c>
      <c r="G1062" s="1091">
        <v>4</v>
      </c>
      <c r="H1062" s="1091">
        <f>F1062*G1062</f>
        <v>0</v>
      </c>
      <c r="I1062" s="1091"/>
      <c r="J1062" s="1091"/>
      <c r="K1062" s="1091"/>
      <c r="L1062" s="1091"/>
      <c r="M1062" s="1091">
        <f t="shared" si="149"/>
        <v>0</v>
      </c>
      <c r="N1062" s="1161"/>
      <c r="O1062" s="1212"/>
      <c r="P1062" s="1212"/>
      <c r="Q1062" s="1212"/>
      <c r="R1062" s="1212"/>
    </row>
    <row r="1063" spans="1:18" ht="31.5" x14ac:dyDescent="0.25">
      <c r="A1063" s="1233" t="s">
        <v>601</v>
      </c>
      <c r="B1063" s="108" t="s">
        <v>23</v>
      </c>
      <c r="C1063" s="107" t="s">
        <v>753</v>
      </c>
      <c r="D1063" s="108" t="s">
        <v>27</v>
      </c>
      <c r="E1063" s="1188"/>
      <c r="F1063" s="1132">
        <f>F974*1*1+F1051*1*1</f>
        <v>21</v>
      </c>
      <c r="G1063" s="1133"/>
      <c r="H1063" s="1133"/>
      <c r="I1063" s="1133"/>
      <c r="J1063" s="1133"/>
      <c r="K1063" s="1133"/>
      <c r="L1063" s="1133"/>
      <c r="M1063" s="1133"/>
      <c r="O1063" s="1220"/>
      <c r="P1063" s="1220"/>
      <c r="Q1063" s="1220"/>
      <c r="R1063" s="1220"/>
    </row>
    <row r="1064" spans="1:18" ht="15.75" x14ac:dyDescent="0.25">
      <c r="A1064" s="1234"/>
      <c r="B1064" s="1175"/>
      <c r="C1064" s="1179" t="s">
        <v>36</v>
      </c>
      <c r="D1064" s="1180" t="s">
        <v>6</v>
      </c>
      <c r="E1064" s="1181">
        <f>68*0.01</f>
        <v>0.68</v>
      </c>
      <c r="F1064" s="1182">
        <f>F1063*E1064</f>
        <v>14.280000000000001</v>
      </c>
      <c r="G1064" s="1133"/>
      <c r="H1064" s="1133"/>
      <c r="I1064" s="1133"/>
      <c r="J1064" s="1133">
        <f>F1064*I1064</f>
        <v>0</v>
      </c>
      <c r="K1064" s="1133"/>
      <c r="L1064" s="1133"/>
      <c r="M1064" s="1133">
        <f>H1064+J1064+L1064</f>
        <v>0</v>
      </c>
      <c r="O1064" s="1220"/>
      <c r="P1064" s="1220"/>
      <c r="Q1064" s="1220"/>
      <c r="R1064" s="1220"/>
    </row>
    <row r="1065" spans="1:18" ht="15.75" x14ac:dyDescent="0.25">
      <c r="A1065" s="1234"/>
      <c r="B1065" s="108"/>
      <c r="C1065" s="105" t="s">
        <v>5</v>
      </c>
      <c r="D1065" s="1102" t="s">
        <v>4</v>
      </c>
      <c r="E1065" s="1131">
        <f>0.03*0.01</f>
        <v>2.9999999999999997E-4</v>
      </c>
      <c r="F1065" s="1131">
        <f>F1063*E1065</f>
        <v>6.2999999999999992E-3</v>
      </c>
      <c r="G1065" s="1133"/>
      <c r="H1065" s="1133"/>
      <c r="I1065" s="1133"/>
      <c r="J1065" s="1133"/>
      <c r="K1065" s="1133"/>
      <c r="L1065" s="1133">
        <f>F1065*K1065</f>
        <v>0</v>
      </c>
      <c r="M1065" s="1133">
        <f>H1065+J1065+L1065</f>
        <v>0</v>
      </c>
      <c r="O1065" s="1220"/>
      <c r="P1065" s="1220"/>
      <c r="Q1065" s="1220"/>
      <c r="R1065" s="1220"/>
    </row>
    <row r="1066" spans="1:18" ht="15.75" x14ac:dyDescent="0.25">
      <c r="A1066" s="1234"/>
      <c r="B1066" s="108"/>
      <c r="C1066" s="105" t="s">
        <v>49</v>
      </c>
      <c r="D1066" s="1101" t="s">
        <v>81</v>
      </c>
      <c r="E1066" s="1188">
        <v>0.35</v>
      </c>
      <c r="F1066" s="1188">
        <f>E1066*F1063</f>
        <v>7.35</v>
      </c>
      <c r="G1066" s="1133"/>
      <c r="H1066" s="1133">
        <f>F1066*G1066</f>
        <v>0</v>
      </c>
      <c r="I1066" s="1133"/>
      <c r="J1066" s="1133"/>
      <c r="K1066" s="1133"/>
      <c r="L1066" s="1133"/>
      <c r="M1066" s="1133">
        <f>H1066+J1066+L1066</f>
        <v>0</v>
      </c>
      <c r="O1066" s="1220"/>
      <c r="P1066" s="1220"/>
      <c r="Q1066" s="1220"/>
      <c r="R1066" s="1220"/>
    </row>
    <row r="1067" spans="1:18" ht="15.75" x14ac:dyDescent="0.25">
      <c r="A1067" s="1234"/>
      <c r="B1067" s="108"/>
      <c r="C1067" s="105" t="s">
        <v>310</v>
      </c>
      <c r="D1067" s="1101" t="s">
        <v>81</v>
      </c>
      <c r="E1067" s="1188">
        <v>2.7E-2</v>
      </c>
      <c r="F1067" s="1188">
        <f>E1067*F1063</f>
        <v>0.56699999999999995</v>
      </c>
      <c r="G1067" s="1133"/>
      <c r="H1067" s="1133">
        <f>F1067*G1067</f>
        <v>0</v>
      </c>
      <c r="I1067" s="1133"/>
      <c r="J1067" s="1133"/>
      <c r="K1067" s="1133"/>
      <c r="L1067" s="1133"/>
      <c r="M1067" s="1133">
        <f>H1067+J1067+L1067</f>
        <v>0</v>
      </c>
      <c r="O1067" s="1220"/>
      <c r="P1067" s="1220"/>
      <c r="Q1067" s="1220"/>
      <c r="R1067" s="1220"/>
    </row>
    <row r="1068" spans="1:18" ht="15.75" x14ac:dyDescent="0.25">
      <c r="A1068" s="1235"/>
      <c r="B1068" s="108"/>
      <c r="C1068" s="105" t="s">
        <v>7</v>
      </c>
      <c r="D1068" s="1102" t="s">
        <v>4</v>
      </c>
      <c r="E1068" s="1131">
        <v>1.9E-3</v>
      </c>
      <c r="F1068" s="1131">
        <f>F1063*E1068</f>
        <v>3.9899999999999998E-2</v>
      </c>
      <c r="G1068" s="1133"/>
      <c r="H1068" s="1133">
        <f>F1068*G1068</f>
        <v>0</v>
      </c>
      <c r="I1068" s="1133"/>
      <c r="J1068" s="1133"/>
      <c r="K1068" s="1133"/>
      <c r="L1068" s="1133"/>
      <c r="M1068" s="1133">
        <f>H1068+J1068+L1068</f>
        <v>0</v>
      </c>
      <c r="O1068" s="1220"/>
      <c r="P1068" s="1220"/>
      <c r="Q1068" s="1220"/>
      <c r="R1068" s="1220"/>
    </row>
    <row r="1069" spans="1:18" s="3" customFormat="1" ht="16.5" x14ac:dyDescent="0.25">
      <c r="A1069" s="1109"/>
      <c r="B1069" s="1100"/>
      <c r="C1069" s="1155"/>
      <c r="D1069" s="29"/>
      <c r="E1069" s="524"/>
      <c r="F1069" s="1093"/>
      <c r="G1069" s="1091"/>
      <c r="H1069" s="1091"/>
      <c r="I1069" s="1091"/>
      <c r="J1069" s="1091"/>
      <c r="K1069" s="1091"/>
      <c r="L1069" s="1091"/>
      <c r="M1069" s="1091"/>
      <c r="N1069" s="901"/>
      <c r="O1069" s="1"/>
      <c r="P1069" s="1"/>
      <c r="Q1069" s="1"/>
      <c r="R1069" s="1"/>
    </row>
    <row r="1070" spans="1:18" s="73" customFormat="1" ht="47.25" x14ac:dyDescent="0.3">
      <c r="A1070" s="674"/>
      <c r="B1070" s="85"/>
      <c r="C1070" s="1097" t="s">
        <v>701</v>
      </c>
      <c r="D1070" s="675" t="s">
        <v>41</v>
      </c>
      <c r="E1070" s="53"/>
      <c r="F1070" s="53">
        <v>30</v>
      </c>
      <c r="G1070" s="1091"/>
      <c r="H1070" s="1091"/>
      <c r="I1070" s="1091"/>
      <c r="J1070" s="1091"/>
      <c r="K1070" s="1091"/>
      <c r="L1070" s="1091"/>
      <c r="M1070" s="1091"/>
      <c r="N1070" s="241"/>
    </row>
    <row r="1071" spans="1:18" s="73" customFormat="1" ht="63" x14ac:dyDescent="0.3">
      <c r="A1071" s="1262" t="s">
        <v>93</v>
      </c>
      <c r="B1071" s="108" t="s">
        <v>23</v>
      </c>
      <c r="C1071" s="647" t="s">
        <v>702</v>
      </c>
      <c r="D1071" s="1098" t="s">
        <v>47</v>
      </c>
      <c r="E1071" s="34"/>
      <c r="F1071" s="38">
        <f>F1070*0.8*2</f>
        <v>48</v>
      </c>
      <c r="G1071" s="32"/>
      <c r="H1071" s="32"/>
      <c r="I1071" s="32"/>
      <c r="J1071" s="32"/>
      <c r="K1071" s="32"/>
      <c r="L1071" s="32"/>
      <c r="M1071" s="32"/>
      <c r="N1071" s="241"/>
    </row>
    <row r="1072" spans="1:18" s="73" customFormat="1" ht="16.5" x14ac:dyDescent="0.3">
      <c r="A1072" s="1263"/>
      <c r="B1072" s="1100"/>
      <c r="C1072" s="26" t="s">
        <v>36</v>
      </c>
      <c r="D1072" s="1100" t="s">
        <v>6</v>
      </c>
      <c r="E1072" s="524">
        <v>0.68</v>
      </c>
      <c r="F1072" s="36">
        <f>F1071*E1072</f>
        <v>32.64</v>
      </c>
      <c r="G1072" s="1091"/>
      <c r="H1072" s="32"/>
      <c r="I1072" s="1091"/>
      <c r="J1072" s="32">
        <f>F1072*I1072</f>
        <v>0</v>
      </c>
      <c r="K1072" s="1091"/>
      <c r="L1072" s="32"/>
      <c r="M1072" s="32">
        <f>H1072+J1072+L1072</f>
        <v>0</v>
      </c>
      <c r="N1072" s="241"/>
    </row>
    <row r="1073" spans="1:14" s="73" customFormat="1" ht="16.5" x14ac:dyDescent="0.3">
      <c r="A1073" s="1263"/>
      <c r="B1073" s="1100"/>
      <c r="C1073" s="26" t="s">
        <v>17</v>
      </c>
      <c r="D1073" s="1100" t="s">
        <v>6</v>
      </c>
      <c r="E1073" s="524">
        <v>2.9999999999999997E-4</v>
      </c>
      <c r="F1073" s="36">
        <f>F1071*E1073</f>
        <v>1.44E-2</v>
      </c>
      <c r="G1073" s="1091"/>
      <c r="H1073" s="32"/>
      <c r="I1073" s="1091"/>
      <c r="J1073" s="32"/>
      <c r="K1073" s="1091"/>
      <c r="L1073" s="32">
        <f>F1073*K1073</f>
        <v>0</v>
      </c>
      <c r="M1073" s="32">
        <f>H1073+J1073+L1073</f>
        <v>0</v>
      </c>
      <c r="N1073" s="241"/>
    </row>
    <row r="1074" spans="1:14" s="73" customFormat="1" ht="16.5" x14ac:dyDescent="0.3">
      <c r="A1074" s="1263"/>
      <c r="B1074" s="1100"/>
      <c r="C1074" s="105" t="s">
        <v>49</v>
      </c>
      <c r="D1074" s="388" t="s">
        <v>81</v>
      </c>
      <c r="E1074" s="103">
        <v>0.35</v>
      </c>
      <c r="F1074" s="103">
        <f>E1074*F1071</f>
        <v>16.799999999999997</v>
      </c>
      <c r="G1074" s="1091"/>
      <c r="H1074" s="1091">
        <f>F1074*G1074</f>
        <v>0</v>
      </c>
      <c r="I1074" s="1091"/>
      <c r="J1074" s="1091"/>
      <c r="K1074" s="1091"/>
      <c r="L1074" s="1091"/>
      <c r="M1074" s="1091">
        <f>H1074+J1074+L1074</f>
        <v>0</v>
      </c>
      <c r="N1074" s="241"/>
    </row>
    <row r="1075" spans="1:14" s="73" customFormat="1" ht="16.5" x14ac:dyDescent="0.3">
      <c r="A1075" s="1263"/>
      <c r="B1075" s="1100"/>
      <c r="C1075" s="105" t="s">
        <v>310</v>
      </c>
      <c r="D1075" s="388" t="s">
        <v>81</v>
      </c>
      <c r="E1075" s="103">
        <v>2.7E-2</v>
      </c>
      <c r="F1075" s="103">
        <f>E1075*F1071</f>
        <v>1.296</v>
      </c>
      <c r="G1075" s="1091"/>
      <c r="H1075" s="1091">
        <f>F1075*G1075</f>
        <v>0</v>
      </c>
      <c r="I1075" s="1091"/>
      <c r="J1075" s="1091"/>
      <c r="K1075" s="1091"/>
      <c r="L1075" s="1091"/>
      <c r="M1075" s="1091">
        <f>H1075+J1075+L1075</f>
        <v>0</v>
      </c>
      <c r="N1075" s="241"/>
    </row>
    <row r="1076" spans="1:14" s="73" customFormat="1" ht="16.5" x14ac:dyDescent="0.3">
      <c r="A1076" s="1264"/>
      <c r="B1076" s="1100"/>
      <c r="C1076" s="26" t="s">
        <v>7</v>
      </c>
      <c r="D1076" s="1100" t="s">
        <v>4</v>
      </c>
      <c r="E1076" s="524">
        <v>1.9E-3</v>
      </c>
      <c r="F1076" s="36">
        <f>F1071*E1076</f>
        <v>9.1200000000000003E-2</v>
      </c>
      <c r="G1076" s="1091"/>
      <c r="H1076" s="32">
        <f>F1076*G1076</f>
        <v>0</v>
      </c>
      <c r="I1076" s="1091"/>
      <c r="J1076" s="32"/>
      <c r="K1076" s="1091"/>
      <c r="L1076" s="32"/>
      <c r="M1076" s="32">
        <f>H1076+J1076+L1076</f>
        <v>0</v>
      </c>
      <c r="N1076" s="900">
        <f>SUM(M1070:M1076)</f>
        <v>0</v>
      </c>
    </row>
    <row r="1077" spans="1:14" s="73" customFormat="1" ht="16.5" x14ac:dyDescent="0.3">
      <c r="A1077" s="368"/>
      <c r="B1077" s="484"/>
      <c r="C1077" s="378"/>
      <c r="D1077" s="87"/>
      <c r="E1077" s="23"/>
      <c r="F1077" s="23"/>
      <c r="G1077" s="1091"/>
      <c r="H1077" s="1091"/>
      <c r="I1077" s="1091"/>
      <c r="J1077" s="1091"/>
      <c r="K1077" s="1091"/>
      <c r="L1077" s="1091"/>
      <c r="M1077" s="1091"/>
      <c r="N1077" s="900"/>
    </row>
    <row r="1078" spans="1:14" s="73" customFormat="1" ht="78.75" x14ac:dyDescent="0.3">
      <c r="A1078" s="674"/>
      <c r="B1078" s="85"/>
      <c r="C1078" s="1097" t="s">
        <v>1416</v>
      </c>
      <c r="D1078" s="675"/>
      <c r="E1078" s="53"/>
      <c r="F1078" s="53"/>
      <c r="G1078" s="1091"/>
      <c r="H1078" s="1091"/>
      <c r="I1078" s="1091"/>
      <c r="J1078" s="1091"/>
      <c r="K1078" s="1091"/>
      <c r="L1078" s="1091"/>
      <c r="M1078" s="1091"/>
      <c r="N1078" s="900"/>
    </row>
    <row r="1079" spans="1:14" s="76" customFormat="1" ht="15.75" x14ac:dyDescent="0.3">
      <c r="A1079" s="1228"/>
      <c r="B1079" s="85"/>
      <c r="C1079" s="1201" t="s">
        <v>1417</v>
      </c>
      <c r="D1079" s="630" t="s">
        <v>41</v>
      </c>
      <c r="E1079" s="393"/>
      <c r="F1079" s="53">
        <v>45</v>
      </c>
      <c r="G1079" s="661"/>
      <c r="H1079" s="8"/>
      <c r="I1079" s="17"/>
      <c r="J1079" s="1120"/>
      <c r="K1079" s="18"/>
      <c r="L1079" s="1120"/>
      <c r="M1079" s="8"/>
      <c r="N1079" s="240"/>
    </row>
    <row r="1080" spans="1:14" s="76" customFormat="1" ht="31.5" x14ac:dyDescent="0.3">
      <c r="A1080" s="1331" t="s">
        <v>93</v>
      </c>
      <c r="B1080" s="1202" t="s">
        <v>59</v>
      </c>
      <c r="C1080" s="37" t="s">
        <v>151</v>
      </c>
      <c r="D1080" s="1202" t="s">
        <v>1418</v>
      </c>
      <c r="E1080" s="36"/>
      <c r="F1080" s="38">
        <f>F1079*0.65*0.8</f>
        <v>23.400000000000002</v>
      </c>
      <c r="G1080" s="101"/>
      <c r="H1080" s="32"/>
      <c r="I1080" s="101"/>
      <c r="J1080" s="32"/>
      <c r="K1080" s="101"/>
      <c r="L1080" s="32"/>
      <c r="M1080" s="8"/>
      <c r="N1080" s="240"/>
    </row>
    <row r="1081" spans="1:14" s="76" customFormat="1" ht="31.5" x14ac:dyDescent="0.3">
      <c r="A1081" s="1331"/>
      <c r="B1081" s="1203"/>
      <c r="C1081" s="33" t="s">
        <v>33</v>
      </c>
      <c r="D1081" s="1203" t="s">
        <v>6</v>
      </c>
      <c r="E1081" s="36">
        <v>2.06</v>
      </c>
      <c r="F1081" s="1122">
        <f>F1080*E1081</f>
        <v>48.204000000000008</v>
      </c>
      <c r="G1081" s="32"/>
      <c r="H1081" s="32"/>
      <c r="I1081" s="32"/>
      <c r="J1081" s="32">
        <f>F1081*I1081</f>
        <v>0</v>
      </c>
      <c r="K1081" s="32"/>
      <c r="L1081" s="32"/>
      <c r="M1081" s="8">
        <f>H1081+J1081+L1081</f>
        <v>0</v>
      </c>
      <c r="N1081" s="240"/>
    </row>
    <row r="1082" spans="1:14" s="76" customFormat="1" ht="31.5" x14ac:dyDescent="0.3">
      <c r="A1082" s="1332" t="s">
        <v>72</v>
      </c>
      <c r="B1082" s="1204" t="s">
        <v>91</v>
      </c>
      <c r="C1082" s="280" t="s">
        <v>269</v>
      </c>
      <c r="D1082" s="1205" t="s">
        <v>294</v>
      </c>
      <c r="E1082" s="1206"/>
      <c r="F1082" s="277">
        <f>F1080*1.95</f>
        <v>45.63</v>
      </c>
      <c r="G1082" s="1120"/>
      <c r="H1082" s="8"/>
      <c r="I1082" s="1120"/>
      <c r="J1082" s="8"/>
      <c r="K1082" s="1120"/>
      <c r="L1082" s="8"/>
      <c r="M1082" s="8"/>
      <c r="N1082" s="240"/>
    </row>
    <row r="1083" spans="1:14" s="76" customFormat="1" ht="31.5" x14ac:dyDescent="0.3">
      <c r="A1083" s="1332"/>
      <c r="B1083" s="1121"/>
      <c r="C1083" s="281" t="s">
        <v>54</v>
      </c>
      <c r="D1083" s="1207" t="s">
        <v>6</v>
      </c>
      <c r="E1083" s="1186">
        <v>0.53</v>
      </c>
      <c r="F1083" s="520">
        <f>F1082*E1083</f>
        <v>24.183900000000001</v>
      </c>
      <c r="G1083" s="1120"/>
      <c r="H1083" s="8"/>
      <c r="I1083" s="1120"/>
      <c r="J1083" s="8">
        <f>F1083*I1083</f>
        <v>0</v>
      </c>
      <c r="K1083" s="1120"/>
      <c r="L1083" s="8"/>
      <c r="M1083" s="8">
        <f>H1083+J1083+L1083</f>
        <v>0</v>
      </c>
      <c r="N1083" s="240"/>
    </row>
    <row r="1084" spans="1:14" s="76" customFormat="1" ht="31.5" x14ac:dyDescent="0.3">
      <c r="A1084" s="1229" t="s">
        <v>94</v>
      </c>
      <c r="B1084" s="1121" t="s">
        <v>633</v>
      </c>
      <c r="C1084" s="1117" t="s">
        <v>499</v>
      </c>
      <c r="D1084" s="483" t="s">
        <v>38</v>
      </c>
      <c r="E1084" s="277"/>
      <c r="F1084" s="277">
        <f>F1082</f>
        <v>45.63</v>
      </c>
      <c r="G1084" s="1120"/>
      <c r="H1084" s="8"/>
      <c r="I1084" s="1120"/>
      <c r="J1084" s="8"/>
      <c r="K1084" s="19"/>
      <c r="L1084" s="8">
        <f>F1084*K1084</f>
        <v>0</v>
      </c>
      <c r="M1084" s="8">
        <f>H1084+J1084+L1084</f>
        <v>0</v>
      </c>
      <c r="N1084" s="240"/>
    </row>
    <row r="1085" spans="1:14" s="76" customFormat="1" ht="31.5" x14ac:dyDescent="0.3">
      <c r="A1085" s="1333" t="s">
        <v>87</v>
      </c>
      <c r="B1085" s="492" t="s">
        <v>35</v>
      </c>
      <c r="C1085" s="37" t="s">
        <v>1419</v>
      </c>
      <c r="D1085" s="1202" t="s">
        <v>1420</v>
      </c>
      <c r="E1085" s="38"/>
      <c r="F1085" s="38">
        <f>F1079*0.8*0.1</f>
        <v>3.6</v>
      </c>
      <c r="G1085" s="101"/>
      <c r="H1085" s="32"/>
      <c r="I1085" s="101"/>
      <c r="J1085" s="32"/>
      <c r="K1085" s="101"/>
      <c r="L1085" s="32"/>
      <c r="M1085" s="32"/>
      <c r="N1085" s="240"/>
    </row>
    <row r="1086" spans="1:14" s="76" customFormat="1" ht="15.75" x14ac:dyDescent="0.3">
      <c r="A1086" s="1334"/>
      <c r="B1086" s="484"/>
      <c r="C1086" s="13" t="s">
        <v>36</v>
      </c>
      <c r="D1086" s="1124" t="s">
        <v>6</v>
      </c>
      <c r="E1086" s="524">
        <v>3.52</v>
      </c>
      <c r="F1086" s="1122">
        <f>F1085*E1086</f>
        <v>12.672000000000001</v>
      </c>
      <c r="G1086" s="1120"/>
      <c r="H1086" s="1120"/>
      <c r="I1086" s="1120"/>
      <c r="J1086" s="1120">
        <f>F1086*I1086</f>
        <v>0</v>
      </c>
      <c r="K1086" s="1120"/>
      <c r="L1086" s="1120"/>
      <c r="M1086" s="1120">
        <f>H1086+J1086+L1086</f>
        <v>0</v>
      </c>
      <c r="N1086" s="240"/>
    </row>
    <row r="1087" spans="1:14" s="76" customFormat="1" ht="15.75" x14ac:dyDescent="0.3">
      <c r="A1087" s="1334"/>
      <c r="B1087" s="484"/>
      <c r="C1087" s="13" t="s">
        <v>5</v>
      </c>
      <c r="D1087" s="1124" t="s">
        <v>4</v>
      </c>
      <c r="E1087" s="524">
        <v>1.06</v>
      </c>
      <c r="F1087" s="1122">
        <f>F1085*E1087</f>
        <v>3.8160000000000003</v>
      </c>
      <c r="G1087" s="1120"/>
      <c r="H1087" s="1120"/>
      <c r="I1087" s="1120"/>
      <c r="J1087" s="1120"/>
      <c r="K1087" s="1120"/>
      <c r="L1087" s="1120">
        <f>F1087*K1087</f>
        <v>0</v>
      </c>
      <c r="M1087" s="1120">
        <f>H1087+J1087+L1087</f>
        <v>0</v>
      </c>
      <c r="N1087" s="240"/>
    </row>
    <row r="1088" spans="1:14" s="76" customFormat="1" ht="15.75" x14ac:dyDescent="0.3">
      <c r="A1088" s="1334"/>
      <c r="B1088" s="484"/>
      <c r="C1088" s="13" t="s">
        <v>30</v>
      </c>
      <c r="D1088" s="1124" t="s">
        <v>37</v>
      </c>
      <c r="E1088" s="524">
        <f>0.18+0.09+0.97</f>
        <v>1.24</v>
      </c>
      <c r="F1088" s="1122">
        <f>F1085*E1088</f>
        <v>4.4640000000000004</v>
      </c>
      <c r="G1088" s="1120"/>
      <c r="H1088" s="1120">
        <f>F1088*G1088</f>
        <v>0</v>
      </c>
      <c r="I1088" s="1120"/>
      <c r="J1088" s="1120"/>
      <c r="K1088" s="1120"/>
      <c r="L1088" s="1120"/>
      <c r="M1088" s="1120">
        <f>H1088+J1088+L1088</f>
        <v>0</v>
      </c>
      <c r="N1088" s="240"/>
    </row>
    <row r="1089" spans="1:14" s="76" customFormat="1" ht="15.75" x14ac:dyDescent="0.3">
      <c r="A1089" s="1335"/>
      <c r="B1089" s="484"/>
      <c r="C1089" s="13" t="s">
        <v>7</v>
      </c>
      <c r="D1089" s="1124" t="s">
        <v>4</v>
      </c>
      <c r="E1089" s="524">
        <v>0.02</v>
      </c>
      <c r="F1089" s="1122">
        <f>F1085*E1089</f>
        <v>7.2000000000000008E-2</v>
      </c>
      <c r="G1089" s="1120"/>
      <c r="H1089" s="1120">
        <f>F1089*G1089</f>
        <v>0</v>
      </c>
      <c r="I1089" s="1120"/>
      <c r="J1089" s="1120"/>
      <c r="K1089" s="1120"/>
      <c r="L1089" s="1120"/>
      <c r="M1089" s="1120">
        <f>H1089+J1089+L1089</f>
        <v>0</v>
      </c>
      <c r="N1089" s="240"/>
    </row>
    <row r="1090" spans="1:14" s="76" customFormat="1" ht="31.5" x14ac:dyDescent="0.3">
      <c r="A1090" s="1233" t="s">
        <v>89</v>
      </c>
      <c r="B1090" s="484" t="s">
        <v>1386</v>
      </c>
      <c r="C1090" s="148" t="s">
        <v>1421</v>
      </c>
      <c r="D1090" s="31" t="s">
        <v>37</v>
      </c>
      <c r="E1090" s="1122"/>
      <c r="F1090" s="23">
        <f>0.15*(0.4+0.6+0.4)*F1079</f>
        <v>9.4499999999999993</v>
      </c>
      <c r="G1090" s="1208"/>
      <c r="H1090" s="1120"/>
      <c r="I1090" s="1208"/>
      <c r="J1090" s="1120"/>
      <c r="K1090" s="1208"/>
      <c r="L1090" s="1120"/>
      <c r="M1090" s="1120"/>
      <c r="N1090" s="240"/>
    </row>
    <row r="1091" spans="1:14" s="76" customFormat="1" ht="15.75" x14ac:dyDescent="0.3">
      <c r="A1091" s="1234"/>
      <c r="B1091" s="484"/>
      <c r="C1091" s="42" t="s">
        <v>494</v>
      </c>
      <c r="D1091" s="297" t="s">
        <v>14</v>
      </c>
      <c r="E1091" s="21">
        <v>3.78</v>
      </c>
      <c r="F1091" s="1209">
        <f>E1091*F1090</f>
        <v>35.720999999999997</v>
      </c>
      <c r="G1091" s="1120"/>
      <c r="H1091" s="1120"/>
      <c r="I1091" s="1120"/>
      <c r="J1091" s="1120">
        <f>F1091*I1091</f>
        <v>0</v>
      </c>
      <c r="K1091" s="1120"/>
      <c r="L1091" s="1120"/>
      <c r="M1091" s="1120">
        <f t="shared" ref="M1091:M1098" si="150">H1091+J1091+L1091</f>
        <v>0</v>
      </c>
      <c r="N1091" s="240"/>
    </row>
    <row r="1092" spans="1:14" s="76" customFormat="1" ht="15.75" x14ac:dyDescent="0.3">
      <c r="A1092" s="1234"/>
      <c r="B1092" s="484"/>
      <c r="C1092" s="42" t="s">
        <v>5</v>
      </c>
      <c r="D1092" s="297" t="s">
        <v>4</v>
      </c>
      <c r="E1092" s="21">
        <v>0.92</v>
      </c>
      <c r="F1092" s="1209">
        <f>E1092*F1090</f>
        <v>8.6939999999999991</v>
      </c>
      <c r="G1092" s="1120"/>
      <c r="H1092" s="1120"/>
      <c r="I1092" s="1120"/>
      <c r="J1092" s="1120"/>
      <c r="K1092" s="1120"/>
      <c r="L1092" s="1120">
        <f>F1092*K1092</f>
        <v>0</v>
      </c>
      <c r="M1092" s="1120">
        <f t="shared" si="150"/>
        <v>0</v>
      </c>
      <c r="N1092" s="240"/>
    </row>
    <row r="1093" spans="1:14" s="76" customFormat="1" ht="15.75" x14ac:dyDescent="0.3">
      <c r="A1093" s="1234"/>
      <c r="B1093" s="484"/>
      <c r="C1093" s="42" t="s">
        <v>145</v>
      </c>
      <c r="D1093" s="297" t="s">
        <v>29</v>
      </c>
      <c r="E1093" s="21">
        <v>1.0149999999999999</v>
      </c>
      <c r="F1093" s="1209">
        <f>E1093*F1090</f>
        <v>9.5917499999999976</v>
      </c>
      <c r="G1093" s="1120"/>
      <c r="H1093" s="1120">
        <f t="shared" ref="H1093:H1098" si="151">F1093*G1093</f>
        <v>0</v>
      </c>
      <c r="I1093" s="1120"/>
      <c r="J1093" s="1120"/>
      <c r="K1093" s="1120"/>
      <c r="L1093" s="1120"/>
      <c r="M1093" s="1120">
        <f t="shared" si="150"/>
        <v>0</v>
      </c>
      <c r="N1093" s="240"/>
    </row>
    <row r="1094" spans="1:14" s="76" customFormat="1" ht="15.75" x14ac:dyDescent="0.3">
      <c r="A1094" s="1234"/>
      <c r="B1094" s="484"/>
      <c r="C1094" s="42" t="s">
        <v>575</v>
      </c>
      <c r="D1094" s="297" t="s">
        <v>576</v>
      </c>
      <c r="E1094" s="21">
        <v>0.70299999999999996</v>
      </c>
      <c r="F1094" s="1209">
        <f>E1094*F1090</f>
        <v>6.643349999999999</v>
      </c>
      <c r="G1094" s="1120"/>
      <c r="H1094" s="1120">
        <f t="shared" si="151"/>
        <v>0</v>
      </c>
      <c r="I1094" s="1120"/>
      <c r="J1094" s="1120"/>
      <c r="K1094" s="1120"/>
      <c r="L1094" s="1120"/>
      <c r="M1094" s="1120">
        <f t="shared" si="150"/>
        <v>0</v>
      </c>
      <c r="N1094" s="240"/>
    </row>
    <row r="1095" spans="1:14" s="76" customFormat="1" ht="15.75" x14ac:dyDescent="0.3">
      <c r="A1095" s="1234"/>
      <c r="B1095" s="484"/>
      <c r="C1095" s="42" t="s">
        <v>577</v>
      </c>
      <c r="D1095" s="297" t="s">
        <v>29</v>
      </c>
      <c r="E1095" s="21">
        <v>1.14E-2</v>
      </c>
      <c r="F1095" s="1209">
        <f>E1095*F1090</f>
        <v>0.10772999999999999</v>
      </c>
      <c r="G1095" s="1120"/>
      <c r="H1095" s="1120">
        <f t="shared" si="151"/>
        <v>0</v>
      </c>
      <c r="I1095" s="1120"/>
      <c r="J1095" s="1120"/>
      <c r="K1095" s="1120"/>
      <c r="L1095" s="1120"/>
      <c r="M1095" s="1120">
        <f t="shared" si="150"/>
        <v>0</v>
      </c>
      <c r="N1095" s="240"/>
    </row>
    <row r="1096" spans="1:14" s="76" customFormat="1" ht="15.75" x14ac:dyDescent="0.3">
      <c r="A1096" s="1234"/>
      <c r="B1096" s="484"/>
      <c r="C1096" s="274" t="s">
        <v>1423</v>
      </c>
      <c r="D1096" s="220" t="s">
        <v>571</v>
      </c>
      <c r="E1096" s="78"/>
      <c r="F1096" s="1210">
        <f>( (5+4+4)*F1079+    ((F1079/0.15)+1)* (0.6+0.55+0.55)  )* 1.03*0.395/1000</f>
        <v>0.44619239500000007</v>
      </c>
      <c r="G1096" s="1120"/>
      <c r="H1096" s="1120">
        <f t="shared" si="151"/>
        <v>0</v>
      </c>
      <c r="I1096" s="1120"/>
      <c r="J1096" s="1120"/>
      <c r="K1096" s="1120"/>
      <c r="L1096" s="1120"/>
      <c r="M1096" s="1120">
        <f t="shared" si="150"/>
        <v>0</v>
      </c>
      <c r="N1096" s="240"/>
    </row>
    <row r="1097" spans="1:14" s="76" customFormat="1" ht="15.75" x14ac:dyDescent="0.3">
      <c r="A1097" s="1234"/>
      <c r="B1097" s="484"/>
      <c r="C1097" s="274" t="s">
        <v>1389</v>
      </c>
      <c r="D1097" s="220" t="s">
        <v>571</v>
      </c>
      <c r="E1097" s="78"/>
      <c r="F1097" s="1210">
        <v>0</v>
      </c>
      <c r="G1097" s="1120"/>
      <c r="H1097" s="1120">
        <f t="shared" si="151"/>
        <v>0</v>
      </c>
      <c r="I1097" s="1120"/>
      <c r="J1097" s="1120"/>
      <c r="K1097" s="1120"/>
      <c r="L1097" s="1120"/>
      <c r="M1097" s="1120">
        <f t="shared" si="150"/>
        <v>0</v>
      </c>
      <c r="N1097" s="240"/>
    </row>
    <row r="1098" spans="1:14" s="76" customFormat="1" ht="15.75" x14ac:dyDescent="0.3">
      <c r="A1098" s="1235"/>
      <c r="B1098" s="484"/>
      <c r="C1098" s="42" t="s">
        <v>7</v>
      </c>
      <c r="D1098" s="297" t="s">
        <v>4</v>
      </c>
      <c r="E1098" s="21">
        <v>0.6</v>
      </c>
      <c r="F1098" s="1209">
        <f>E1098*F1090</f>
        <v>5.669999999999999</v>
      </c>
      <c r="G1098" s="1120"/>
      <c r="H1098" s="1120">
        <f t="shared" si="151"/>
        <v>0</v>
      </c>
      <c r="I1098" s="1120"/>
      <c r="J1098" s="1120"/>
      <c r="K1098" s="1120"/>
      <c r="L1098" s="1120"/>
      <c r="M1098" s="1120">
        <f t="shared" si="150"/>
        <v>0</v>
      </c>
      <c r="N1098" s="240"/>
    </row>
    <row r="1099" spans="1:14" s="76" customFormat="1" ht="31.5" x14ac:dyDescent="0.3">
      <c r="A1099" s="1240" t="s">
        <v>90</v>
      </c>
      <c r="B1099" s="700" t="s">
        <v>708</v>
      </c>
      <c r="C1099" s="531" t="s">
        <v>1422</v>
      </c>
      <c r="D1099" s="1126" t="s">
        <v>47</v>
      </c>
      <c r="E1099" s="2"/>
      <c r="F1099" s="22">
        <f>(0.55+0.55)*F1079</f>
        <v>49.500000000000007</v>
      </c>
      <c r="G1099" s="223"/>
      <c r="H1099" s="8"/>
      <c r="I1099" s="223"/>
      <c r="J1099" s="8"/>
      <c r="K1099" s="223"/>
      <c r="L1099" s="223"/>
      <c r="M1099" s="223"/>
      <c r="N1099" s="240"/>
    </row>
    <row r="1100" spans="1:14" s="76" customFormat="1" ht="15.75" x14ac:dyDescent="0.3">
      <c r="A1100" s="1241"/>
      <c r="B1100" s="700"/>
      <c r="C1100" s="24" t="s">
        <v>36</v>
      </c>
      <c r="D1100" s="1126" t="s">
        <v>6</v>
      </c>
      <c r="E1100" s="2">
        <v>0.33600000000000002</v>
      </c>
      <c r="F1100" s="293">
        <f>F1099*E1100</f>
        <v>16.632000000000005</v>
      </c>
      <c r="G1100" s="8"/>
      <c r="H1100" s="8"/>
      <c r="I1100" s="8"/>
      <c r="J1100" s="8">
        <f>F1100*I1100</f>
        <v>0</v>
      </c>
      <c r="K1100" s="8"/>
      <c r="L1100" s="8"/>
      <c r="M1100" s="223">
        <f>H1100+J1100+L1100</f>
        <v>0</v>
      </c>
      <c r="N1100" s="240"/>
    </row>
    <row r="1101" spans="1:14" s="76" customFormat="1" ht="15.75" x14ac:dyDescent="0.3">
      <c r="A1101" s="1241"/>
      <c r="B1101" s="700"/>
      <c r="C1101" s="24" t="s">
        <v>17</v>
      </c>
      <c r="D1101" s="1126" t="s">
        <v>4</v>
      </c>
      <c r="E1101" s="2">
        <v>1.4999999999999999E-2</v>
      </c>
      <c r="F1101" s="293">
        <f>F1099*E1101</f>
        <v>0.74250000000000005</v>
      </c>
      <c r="G1101" s="8"/>
      <c r="H1101" s="8"/>
      <c r="I1101" s="8"/>
      <c r="J1101" s="8"/>
      <c r="K1101" s="8"/>
      <c r="L1101" s="8">
        <f>F1101*K1101</f>
        <v>0</v>
      </c>
      <c r="M1101" s="223">
        <f>H1101+J1101+L1101</f>
        <v>0</v>
      </c>
      <c r="N1101" s="240"/>
    </row>
    <row r="1102" spans="1:14" s="76" customFormat="1" ht="15.75" x14ac:dyDescent="0.3">
      <c r="A1102" s="1241"/>
      <c r="B1102" s="700"/>
      <c r="C1102" s="24" t="s">
        <v>710</v>
      </c>
      <c r="D1102" s="1126" t="s">
        <v>2</v>
      </c>
      <c r="E1102" s="2">
        <v>2.4</v>
      </c>
      <c r="F1102" s="293">
        <f>F1099*E1102</f>
        <v>118.80000000000001</v>
      </c>
      <c r="G1102" s="8"/>
      <c r="H1102" s="8">
        <f>F1102*G1102</f>
        <v>0</v>
      </c>
      <c r="I1102" s="8"/>
      <c r="J1102" s="8"/>
      <c r="K1102" s="8"/>
      <c r="L1102" s="8"/>
      <c r="M1102" s="223">
        <f>H1102+J1102+L1102</f>
        <v>0</v>
      </c>
      <c r="N1102" s="240"/>
    </row>
    <row r="1103" spans="1:14" s="76" customFormat="1" ht="15.75" x14ac:dyDescent="0.3">
      <c r="A1103" s="1242"/>
      <c r="B1103" s="700"/>
      <c r="C1103" s="24" t="s">
        <v>50</v>
      </c>
      <c r="D1103" s="1126" t="s">
        <v>4</v>
      </c>
      <c r="E1103" s="2">
        <v>2.2800000000000001E-2</v>
      </c>
      <c r="F1103" s="293">
        <f>F1099*E1103</f>
        <v>1.1286000000000003</v>
      </c>
      <c r="G1103" s="8"/>
      <c r="H1103" s="8">
        <f>F1103*G1103</f>
        <v>0</v>
      </c>
      <c r="I1103" s="8"/>
      <c r="J1103" s="8"/>
      <c r="K1103" s="8"/>
      <c r="L1103" s="8"/>
      <c r="M1103" s="223">
        <f>H1103+J1103+L1103</f>
        <v>0</v>
      </c>
      <c r="N1103" s="240"/>
    </row>
    <row r="1104" spans="1:14" s="73" customFormat="1" ht="31.5" x14ac:dyDescent="0.3">
      <c r="A1104" s="1221" t="s">
        <v>82</v>
      </c>
      <c r="B1104" s="484" t="s">
        <v>18</v>
      </c>
      <c r="C1104" s="632" t="s">
        <v>1424</v>
      </c>
      <c r="D1104" s="87" t="s">
        <v>41</v>
      </c>
      <c r="E1104" s="23"/>
      <c r="F1104" s="23">
        <f>F1079</f>
        <v>45</v>
      </c>
      <c r="G1104" s="1091"/>
      <c r="H1104" s="8">
        <f>F1104*G1104</f>
        <v>0</v>
      </c>
      <c r="I1104" s="1091"/>
      <c r="J1104" s="8">
        <f>F1104*I1104</f>
        <v>0</v>
      </c>
      <c r="K1104" s="8"/>
      <c r="L1104" s="8"/>
      <c r="M1104" s="223">
        <f>H1104+J1104+L1104</f>
        <v>0</v>
      </c>
      <c r="N1104" s="900"/>
    </row>
    <row r="1105" spans="1:14" ht="31.5" x14ac:dyDescent="0.25">
      <c r="A1105" s="1227">
        <v>1</v>
      </c>
      <c r="B1105" s="119"/>
      <c r="C1105" s="120" t="s">
        <v>1426</v>
      </c>
      <c r="D1105" s="121" t="s">
        <v>41</v>
      </c>
      <c r="E1105" s="279"/>
      <c r="F1105" s="122">
        <v>20</v>
      </c>
      <c r="G1105" s="106"/>
      <c r="H1105" s="1120"/>
      <c r="I1105" s="32"/>
      <c r="J1105" s="1120"/>
      <c r="K1105" s="32"/>
      <c r="L1105" s="1120"/>
      <c r="M1105" s="1120"/>
      <c r="N1105"/>
    </row>
    <row r="1106" spans="1:14" ht="31.5" x14ac:dyDescent="0.25">
      <c r="A1106" s="1336">
        <v>1</v>
      </c>
      <c r="B1106" s="1125" t="s">
        <v>59</v>
      </c>
      <c r="C1106" s="107" t="s">
        <v>121</v>
      </c>
      <c r="D1106" s="108" t="s">
        <v>32</v>
      </c>
      <c r="E1106" s="245"/>
      <c r="F1106" s="23">
        <f>F1105*0.7*1</f>
        <v>14</v>
      </c>
      <c r="G1106" s="106"/>
      <c r="H1106" s="1120"/>
      <c r="I1106" s="106"/>
      <c r="J1106" s="1120"/>
      <c r="K1106" s="106"/>
      <c r="L1106" s="1120"/>
      <c r="M1106" s="1120"/>
      <c r="N1106"/>
    </row>
    <row r="1107" spans="1:14" ht="15.75" x14ac:dyDescent="0.25">
      <c r="A1107" s="1337"/>
      <c r="B1107" s="110"/>
      <c r="C1107" s="105" t="s">
        <v>36</v>
      </c>
      <c r="D1107" s="1125" t="s">
        <v>29</v>
      </c>
      <c r="E1107" s="245">
        <v>2.06</v>
      </c>
      <c r="F1107" s="109">
        <f>E1107*F1106</f>
        <v>28.84</v>
      </c>
      <c r="G1107" s="40"/>
      <c r="H1107" s="1120"/>
      <c r="I1107" s="40"/>
      <c r="J1107" s="1120">
        <f>F1107*I1107</f>
        <v>0</v>
      </c>
      <c r="K1107" s="32"/>
      <c r="L1107" s="1120"/>
      <c r="M1107" s="1120">
        <f t="shared" ref="M1107:M1133" si="152">H1107+J1107+L1107</f>
        <v>0</v>
      </c>
      <c r="N1107"/>
    </row>
    <row r="1108" spans="1:14" ht="31.5" hidden="1" x14ac:dyDescent="0.25">
      <c r="A1108" s="1243" t="s">
        <v>72</v>
      </c>
      <c r="B1108" s="83" t="s">
        <v>91</v>
      </c>
      <c r="C1108" s="126" t="s">
        <v>269</v>
      </c>
      <c r="D1108" s="484" t="s">
        <v>38</v>
      </c>
      <c r="E1108" s="418"/>
      <c r="F1108" s="84">
        <f>0*1.95</f>
        <v>0</v>
      </c>
      <c r="G1108" s="19"/>
      <c r="H1108" s="1120"/>
      <c r="I1108" s="19"/>
      <c r="J1108" s="1120"/>
      <c r="K1108" s="19"/>
      <c r="L1108" s="1120"/>
      <c r="M1108" s="1120"/>
      <c r="N1108"/>
    </row>
    <row r="1109" spans="1:14" ht="15.75" hidden="1" x14ac:dyDescent="0.25">
      <c r="A1109" s="1245"/>
      <c r="B1109" s="47"/>
      <c r="C1109" s="44" t="s">
        <v>56</v>
      </c>
      <c r="D1109" s="45" t="s">
        <v>6</v>
      </c>
      <c r="E1109" s="418">
        <v>0.53</v>
      </c>
      <c r="F1109" s="46">
        <f>F1108*E1109</f>
        <v>0</v>
      </c>
      <c r="G1109" s="19"/>
      <c r="H1109" s="1120"/>
      <c r="I1109" s="19">
        <v>6</v>
      </c>
      <c r="J1109" s="1120">
        <f>F1109*I1109</f>
        <v>0</v>
      </c>
      <c r="K1109" s="19"/>
      <c r="L1109" s="1120"/>
      <c r="M1109" s="1120">
        <f>H1109+J1109+L1109</f>
        <v>0</v>
      </c>
      <c r="N1109"/>
    </row>
    <row r="1110" spans="1:14" ht="15.75" hidden="1" x14ac:dyDescent="0.25">
      <c r="A1110" s="1244"/>
      <c r="B1110" s="1124" t="s">
        <v>137</v>
      </c>
      <c r="C1110" s="127" t="s">
        <v>270</v>
      </c>
      <c r="D1110" s="484" t="s">
        <v>38</v>
      </c>
      <c r="E1110" s="418"/>
      <c r="F1110" s="84">
        <f>F1108</f>
        <v>0</v>
      </c>
      <c r="G1110" s="19"/>
      <c r="H1110" s="1120"/>
      <c r="I1110" s="19"/>
      <c r="J1110" s="1120"/>
      <c r="K1110" s="19">
        <v>6.44</v>
      </c>
      <c r="L1110" s="1120">
        <f>F1110*K1110</f>
        <v>0</v>
      </c>
      <c r="M1110" s="1120">
        <f>H1110+J1110+L1110</f>
        <v>0</v>
      </c>
      <c r="N1110"/>
    </row>
    <row r="1111" spans="1:14" ht="31.5" x14ac:dyDescent="0.25">
      <c r="A1111" s="1325" t="s">
        <v>94</v>
      </c>
      <c r="B1111" s="1124" t="s">
        <v>112</v>
      </c>
      <c r="C1111" s="100" t="s">
        <v>122</v>
      </c>
      <c r="D1111" s="484" t="s">
        <v>32</v>
      </c>
      <c r="E1111" s="10"/>
      <c r="F1111" s="23">
        <f>0.7*0.35*F1105-3.14*0.075*0.075*F1105</f>
        <v>4.5467499999999994</v>
      </c>
      <c r="G1111" s="40"/>
      <c r="H1111" s="1120"/>
      <c r="I1111" s="40"/>
      <c r="J1111" s="1120"/>
      <c r="K1111" s="32"/>
      <c r="L1111" s="1120"/>
      <c r="M1111" s="1120"/>
      <c r="N1111"/>
    </row>
    <row r="1112" spans="1:14" ht="15.75" x14ac:dyDescent="0.25">
      <c r="A1112" s="1325"/>
      <c r="B1112" s="1124"/>
      <c r="C1112" s="26" t="s">
        <v>13</v>
      </c>
      <c r="D1112" s="1124" t="s">
        <v>6</v>
      </c>
      <c r="E1112" s="524">
        <f>18/10</f>
        <v>1.8</v>
      </c>
      <c r="F1112" s="1122">
        <f>E1112*F1111</f>
        <v>8.1841499999999989</v>
      </c>
      <c r="G1112" s="40"/>
      <c r="H1112" s="1120"/>
      <c r="I1112" s="40"/>
      <c r="J1112" s="1120">
        <f>F1112*I1112</f>
        <v>0</v>
      </c>
      <c r="K1112" s="32"/>
      <c r="L1112" s="1120"/>
      <c r="M1112" s="1120">
        <f t="shared" si="152"/>
        <v>0</v>
      </c>
      <c r="N1112"/>
    </row>
    <row r="1113" spans="1:14" ht="15.75" x14ac:dyDescent="0.25">
      <c r="A1113" s="1325"/>
      <c r="B1113" s="1124"/>
      <c r="C1113" s="26" t="s">
        <v>114</v>
      </c>
      <c r="D1113" s="1124" t="s">
        <v>29</v>
      </c>
      <c r="E1113" s="524">
        <v>1.1499999999999999</v>
      </c>
      <c r="F1113" s="1122">
        <f>F1111*E1113</f>
        <v>5.2287624999999993</v>
      </c>
      <c r="G1113" s="40"/>
      <c r="H1113" s="1120">
        <f t="shared" ref="H1113:H1133" si="153">F1113*G1113</f>
        <v>0</v>
      </c>
      <c r="I1113" s="40"/>
      <c r="J1113" s="1120"/>
      <c r="K1113" s="32"/>
      <c r="L1113" s="1120"/>
      <c r="M1113" s="1120">
        <f t="shared" si="152"/>
        <v>0</v>
      </c>
      <c r="N1113"/>
    </row>
    <row r="1114" spans="1:14" ht="31.5" x14ac:dyDescent="0.25">
      <c r="A1114" s="1336" t="s">
        <v>87</v>
      </c>
      <c r="B1114" s="484" t="s">
        <v>123</v>
      </c>
      <c r="C1114" s="100" t="s">
        <v>1427</v>
      </c>
      <c r="D1114" s="108" t="s">
        <v>41</v>
      </c>
      <c r="E1114" s="260"/>
      <c r="F1114" s="23">
        <f>F1105</f>
        <v>20</v>
      </c>
      <c r="G1114" s="101"/>
      <c r="H1114" s="1120"/>
      <c r="I1114" s="32"/>
      <c r="J1114" s="1120"/>
      <c r="K1114" s="32"/>
      <c r="L1114" s="1120"/>
      <c r="M1114" s="1120"/>
      <c r="N1114"/>
    </row>
    <row r="1115" spans="1:14" ht="15.75" x14ac:dyDescent="0.25">
      <c r="A1115" s="1338"/>
      <c r="B1115" s="1125"/>
      <c r="C1115" s="26" t="s">
        <v>36</v>
      </c>
      <c r="D1115" s="1124" t="s">
        <v>6</v>
      </c>
      <c r="E1115" s="261">
        <f>95.9*0.001</f>
        <v>9.5900000000000013E-2</v>
      </c>
      <c r="F1115" s="103">
        <f>F1114*E1115</f>
        <v>1.9180000000000001</v>
      </c>
      <c r="G1115" s="32"/>
      <c r="H1115" s="1120"/>
      <c r="I1115" s="32"/>
      <c r="J1115" s="1120">
        <f>F1115*I1115</f>
        <v>0</v>
      </c>
      <c r="K1115" s="32"/>
      <c r="L1115" s="1120"/>
      <c r="M1115" s="1120">
        <f t="shared" si="152"/>
        <v>0</v>
      </c>
      <c r="N1115"/>
    </row>
    <row r="1116" spans="1:14" ht="15.75" x14ac:dyDescent="0.25">
      <c r="A1116" s="1338"/>
      <c r="B1116" s="1125"/>
      <c r="C1116" s="105" t="s">
        <v>5</v>
      </c>
      <c r="D1116" s="1125" t="s">
        <v>4</v>
      </c>
      <c r="E1116" s="261">
        <f>45.2/1000</f>
        <v>4.5200000000000004E-2</v>
      </c>
      <c r="F1116" s="103">
        <f>F1114*E1116</f>
        <v>0.90400000000000014</v>
      </c>
      <c r="G1116" s="111"/>
      <c r="H1116" s="1120"/>
      <c r="I1116" s="111"/>
      <c r="J1116" s="1120"/>
      <c r="K1116" s="111"/>
      <c r="L1116" s="1120">
        <f>F1116*K1116</f>
        <v>0</v>
      </c>
      <c r="M1116" s="1120">
        <f t="shared" si="152"/>
        <v>0</v>
      </c>
      <c r="N1116"/>
    </row>
    <row r="1117" spans="1:14" ht="15.75" x14ac:dyDescent="0.25">
      <c r="A1117" s="1338"/>
      <c r="B1117" s="1125"/>
      <c r="C1117" s="105" t="s">
        <v>1428</v>
      </c>
      <c r="D1117" s="1125" t="str">
        <f>D1114</f>
        <v>g/m</v>
      </c>
      <c r="E1117" s="261">
        <f>1010*0.001</f>
        <v>1.01</v>
      </c>
      <c r="F1117" s="103">
        <f>F1114*E1117</f>
        <v>20.2</v>
      </c>
      <c r="G1117" s="32"/>
      <c r="H1117" s="1120">
        <f t="shared" si="153"/>
        <v>0</v>
      </c>
      <c r="I1117" s="32"/>
      <c r="J1117" s="1120"/>
      <c r="K1117" s="32"/>
      <c r="L1117" s="1120"/>
      <c r="M1117" s="1120">
        <f t="shared" si="152"/>
        <v>0</v>
      </c>
      <c r="N1117"/>
    </row>
    <row r="1118" spans="1:14" ht="15.75" x14ac:dyDescent="0.25">
      <c r="A1118" s="1338"/>
      <c r="B1118" s="1125"/>
      <c r="C1118" s="80" t="s">
        <v>1429</v>
      </c>
      <c r="D1118" s="48" t="s">
        <v>52</v>
      </c>
      <c r="E1118" s="261"/>
      <c r="F1118" s="103">
        <v>4</v>
      </c>
      <c r="G1118" s="32"/>
      <c r="H1118" s="1120">
        <f t="shared" si="153"/>
        <v>0</v>
      </c>
      <c r="I1118" s="32"/>
      <c r="J1118" s="1120"/>
      <c r="K1118" s="32"/>
      <c r="L1118" s="1120"/>
      <c r="M1118" s="1120">
        <f t="shared" si="152"/>
        <v>0</v>
      </c>
      <c r="N1118"/>
    </row>
    <row r="1119" spans="1:14" ht="15.75" x14ac:dyDescent="0.25">
      <c r="A1119" s="1337"/>
      <c r="B1119" s="1125"/>
      <c r="C1119" s="105" t="s">
        <v>7</v>
      </c>
      <c r="D1119" s="1125" t="s">
        <v>4</v>
      </c>
      <c r="E1119" s="261">
        <f>0.6*0.001</f>
        <v>5.9999999999999995E-4</v>
      </c>
      <c r="F1119" s="103">
        <f>F1114*E1119</f>
        <v>1.1999999999999999E-2</v>
      </c>
      <c r="G1119" s="32"/>
      <c r="H1119" s="1120">
        <f t="shared" si="153"/>
        <v>0</v>
      </c>
      <c r="I1119" s="32"/>
      <c r="J1119" s="1120"/>
      <c r="K1119" s="32"/>
      <c r="L1119" s="1120"/>
      <c r="M1119" s="1120">
        <f t="shared" si="152"/>
        <v>0</v>
      </c>
      <c r="N1119"/>
    </row>
    <row r="1120" spans="1:14" ht="15.75" hidden="1" x14ac:dyDescent="0.25">
      <c r="A1120" s="1325" t="s">
        <v>89</v>
      </c>
      <c r="B1120" s="112" t="s">
        <v>124</v>
      </c>
      <c r="C1120" s="102" t="s">
        <v>117</v>
      </c>
      <c r="D1120" s="484" t="s">
        <v>32</v>
      </c>
      <c r="E1120" s="262"/>
      <c r="F1120" s="23">
        <f>0*0.7*(1-0.3)</f>
        <v>0</v>
      </c>
      <c r="G1120" s="40"/>
      <c r="H1120" s="1120"/>
      <c r="I1120" s="40"/>
      <c r="J1120" s="1120"/>
      <c r="K1120" s="32"/>
      <c r="L1120" s="1120"/>
      <c r="M1120" s="1120"/>
      <c r="N1120"/>
    </row>
    <row r="1121" spans="1:14" ht="15.75" hidden="1" x14ac:dyDescent="0.25">
      <c r="A1121" s="1325"/>
      <c r="B1121" s="1124"/>
      <c r="C1121" s="26" t="s">
        <v>13</v>
      </c>
      <c r="D1121" s="1124" t="s">
        <v>6</v>
      </c>
      <c r="E1121" s="524">
        <f>17.8/10</f>
        <v>1.78</v>
      </c>
      <c r="F1121" s="1122">
        <f>E1121*F1120</f>
        <v>0</v>
      </c>
      <c r="G1121" s="40"/>
      <c r="H1121" s="1120"/>
      <c r="I1121" s="40">
        <v>6</v>
      </c>
      <c r="J1121" s="1120">
        <f>F1121*I1121</f>
        <v>0</v>
      </c>
      <c r="K1121" s="32"/>
      <c r="L1121" s="1120"/>
      <c r="M1121" s="1120">
        <f t="shared" si="152"/>
        <v>0</v>
      </c>
      <c r="N1121"/>
    </row>
    <row r="1122" spans="1:14" ht="15.75" hidden="1" x14ac:dyDescent="0.25">
      <c r="A1122" s="1325"/>
      <c r="B1122" s="1124"/>
      <c r="C1122" s="26" t="s">
        <v>30</v>
      </c>
      <c r="D1122" s="1124" t="s">
        <v>29</v>
      </c>
      <c r="E1122" s="524">
        <v>1.1000000000000001</v>
      </c>
      <c r="F1122" s="1122">
        <f>E1122*F1120</f>
        <v>0</v>
      </c>
      <c r="G1122" s="40">
        <v>18.600000000000001</v>
      </c>
      <c r="H1122" s="1120">
        <f t="shared" si="153"/>
        <v>0</v>
      </c>
      <c r="I1122" s="40"/>
      <c r="J1122" s="1120"/>
      <c r="K1122" s="32"/>
      <c r="L1122" s="1120"/>
      <c r="M1122" s="1120">
        <f t="shared" si="152"/>
        <v>0</v>
      </c>
      <c r="N1122"/>
    </row>
    <row r="1123" spans="1:14" ht="15.75" x14ac:dyDescent="0.25">
      <c r="A1123" s="1326" t="s">
        <v>90</v>
      </c>
      <c r="B1123" s="31" t="s">
        <v>338</v>
      </c>
      <c r="C1123" s="37" t="s">
        <v>339</v>
      </c>
      <c r="D1123" s="31" t="s">
        <v>37</v>
      </c>
      <c r="E1123" s="34"/>
      <c r="F1123" s="23">
        <f>F1105*0.7*(1-0.35)</f>
        <v>9.1</v>
      </c>
      <c r="G1123" s="32"/>
      <c r="H1123" s="32"/>
      <c r="I1123" s="32"/>
      <c r="J1123" s="32"/>
      <c r="K1123" s="32"/>
      <c r="L1123" s="32"/>
      <c r="M1123" s="32"/>
      <c r="N1123"/>
    </row>
    <row r="1124" spans="1:14" ht="15.75" x14ac:dyDescent="0.25">
      <c r="A1124" s="1327"/>
      <c r="B1124" s="1110"/>
      <c r="C1124" s="33" t="s">
        <v>33</v>
      </c>
      <c r="D1124" s="143" t="s">
        <v>6</v>
      </c>
      <c r="E1124" s="34">
        <v>1.21</v>
      </c>
      <c r="F1124" s="1122">
        <f>F1123*E1124</f>
        <v>11.010999999999999</v>
      </c>
      <c r="G1124" s="32"/>
      <c r="H1124" s="32"/>
      <c r="I1124" s="32"/>
      <c r="J1124" s="32">
        <f t="shared" ref="J1124" si="154">F1124*I1124</f>
        <v>0</v>
      </c>
      <c r="K1124" s="32"/>
      <c r="L1124" s="32"/>
      <c r="M1124" s="32">
        <f t="shared" ref="M1124" si="155">H1124+J1124+L1124</f>
        <v>0</v>
      </c>
      <c r="N1124"/>
    </row>
    <row r="1125" spans="1:14" ht="31.5" x14ac:dyDescent="0.25">
      <c r="A1125" s="1243" t="s">
        <v>82</v>
      </c>
      <c r="B1125" s="83" t="s">
        <v>91</v>
      </c>
      <c r="C1125" s="126" t="s">
        <v>269</v>
      </c>
      <c r="D1125" s="484" t="s">
        <v>38</v>
      </c>
      <c r="E1125" s="418"/>
      <c r="F1125" s="84">
        <f>(F1106-F1123)*1.95</f>
        <v>9.5549999999999997</v>
      </c>
      <c r="G1125" s="19"/>
      <c r="H1125" s="1120"/>
      <c r="I1125" s="19"/>
      <c r="J1125" s="1120"/>
      <c r="K1125" s="19"/>
      <c r="L1125" s="1120"/>
      <c r="M1125" s="1120"/>
      <c r="N1125"/>
    </row>
    <row r="1126" spans="1:14" ht="15.75" x14ac:dyDescent="0.25">
      <c r="A1126" s="1245"/>
      <c r="B1126" s="47"/>
      <c r="C1126" s="44" t="s">
        <v>56</v>
      </c>
      <c r="D1126" s="45" t="s">
        <v>6</v>
      </c>
      <c r="E1126" s="418">
        <v>0.53</v>
      </c>
      <c r="F1126" s="46">
        <f>F1125*E1126</f>
        <v>5.0641499999999997</v>
      </c>
      <c r="G1126" s="19"/>
      <c r="H1126" s="1120"/>
      <c r="I1126" s="19"/>
      <c r="J1126" s="1120">
        <f>F1126*I1126</f>
        <v>0</v>
      </c>
      <c r="K1126" s="19"/>
      <c r="L1126" s="1120"/>
      <c r="M1126" s="1120">
        <f>H1126+J1126+L1126</f>
        <v>0</v>
      </c>
      <c r="N1126"/>
    </row>
    <row r="1127" spans="1:14" ht="15.75" x14ac:dyDescent="0.25">
      <c r="A1127" s="1244"/>
      <c r="B1127" s="1124" t="s">
        <v>137</v>
      </c>
      <c r="C1127" s="127" t="s">
        <v>1425</v>
      </c>
      <c r="D1127" s="484" t="s">
        <v>38</v>
      </c>
      <c r="E1127" s="418"/>
      <c r="F1127" s="84">
        <f>F1125</f>
        <v>9.5549999999999997</v>
      </c>
      <c r="G1127" s="19"/>
      <c r="H1127" s="1120"/>
      <c r="I1127" s="19"/>
      <c r="J1127" s="1120"/>
      <c r="K1127" s="19"/>
      <c r="L1127" s="1120">
        <f>F1127*K1127</f>
        <v>0</v>
      </c>
      <c r="M1127" s="1120">
        <f>H1127+J1127+L1127</f>
        <v>0</v>
      </c>
      <c r="N1127"/>
    </row>
    <row r="1128" spans="1:14" ht="31.5" x14ac:dyDescent="0.25">
      <c r="A1128" s="1328" t="s">
        <v>40</v>
      </c>
      <c r="B1128" s="112" t="s">
        <v>125</v>
      </c>
      <c r="C1128" s="102" t="s">
        <v>1430</v>
      </c>
      <c r="D1128" s="112" t="s">
        <v>126</v>
      </c>
      <c r="E1128" s="262"/>
      <c r="F1128" s="23">
        <v>1</v>
      </c>
      <c r="G1128" s="113"/>
      <c r="H1128" s="1120"/>
      <c r="I1128" s="113"/>
      <c r="J1128" s="1120"/>
      <c r="K1128" s="113"/>
      <c r="L1128" s="1120"/>
      <c r="M1128" s="1120"/>
      <c r="N1128"/>
    </row>
    <row r="1129" spans="1:14" ht="15.75" x14ac:dyDescent="0.25">
      <c r="A1129" s="1329"/>
      <c r="B1129" s="114"/>
      <c r="C1129" s="26" t="s">
        <v>13</v>
      </c>
      <c r="D1129" s="1124" t="s">
        <v>6</v>
      </c>
      <c r="E1129" s="524">
        <v>17</v>
      </c>
      <c r="F1129" s="1122">
        <f>F1128*E1129</f>
        <v>17</v>
      </c>
      <c r="G1129" s="1120"/>
      <c r="H1129" s="1120"/>
      <c r="I1129" s="1120"/>
      <c r="J1129" s="1120">
        <f>F1129*I1129</f>
        <v>0</v>
      </c>
      <c r="K1129" s="1120"/>
      <c r="L1129" s="1120"/>
      <c r="M1129" s="1120">
        <f t="shared" si="152"/>
        <v>0</v>
      </c>
      <c r="N1129"/>
    </row>
    <row r="1130" spans="1:14" ht="15.75" x14ac:dyDescent="0.25">
      <c r="A1130" s="1329"/>
      <c r="B1130" s="1124"/>
      <c r="C1130" s="26" t="s">
        <v>127</v>
      </c>
      <c r="D1130" s="1124" t="s">
        <v>11</v>
      </c>
      <c r="E1130" s="524">
        <v>0.05</v>
      </c>
      <c r="F1130" s="1122">
        <f>F1128*E1130</f>
        <v>0.05</v>
      </c>
      <c r="G1130" s="32"/>
      <c r="H1130" s="1120">
        <f t="shared" si="153"/>
        <v>0</v>
      </c>
      <c r="I1130" s="32"/>
      <c r="J1130" s="1120"/>
      <c r="K1130" s="32"/>
      <c r="L1130" s="1120"/>
      <c r="M1130" s="1120">
        <f t="shared" si="152"/>
        <v>0</v>
      </c>
      <c r="N1130"/>
    </row>
    <row r="1131" spans="1:14" ht="15.75" x14ac:dyDescent="0.25">
      <c r="A1131" s="1329"/>
      <c r="B1131" s="1124"/>
      <c r="C1131" s="26" t="s">
        <v>30</v>
      </c>
      <c r="D1131" s="1124" t="s">
        <v>29</v>
      </c>
      <c r="E1131" s="524">
        <v>0.2</v>
      </c>
      <c r="F1131" s="1122">
        <f>F1128*E1131</f>
        <v>0.2</v>
      </c>
      <c r="G1131" s="32"/>
      <c r="H1131" s="1120">
        <f t="shared" si="153"/>
        <v>0</v>
      </c>
      <c r="I1131" s="32"/>
      <c r="J1131" s="1120"/>
      <c r="K1131" s="32"/>
      <c r="L1131" s="1120"/>
      <c r="M1131" s="1120">
        <f t="shared" si="152"/>
        <v>0</v>
      </c>
      <c r="N1131"/>
    </row>
    <row r="1132" spans="1:14" ht="15.75" x14ac:dyDescent="0.25">
      <c r="A1132" s="1329"/>
      <c r="B1132" s="114"/>
      <c r="C1132" s="26" t="s">
        <v>118</v>
      </c>
      <c r="D1132" s="1124" t="s">
        <v>2</v>
      </c>
      <c r="E1132" s="524">
        <v>7.8</v>
      </c>
      <c r="F1132" s="1122">
        <f>F1128*E1132</f>
        <v>7.8</v>
      </c>
      <c r="G1132" s="1120"/>
      <c r="H1132" s="1120">
        <f t="shared" si="153"/>
        <v>0</v>
      </c>
      <c r="I1132" s="1120"/>
      <c r="J1132" s="1120"/>
      <c r="K1132" s="32"/>
      <c r="L1132" s="1120"/>
      <c r="M1132" s="1120">
        <f t="shared" si="152"/>
        <v>0</v>
      </c>
      <c r="N1132"/>
    </row>
    <row r="1133" spans="1:14" ht="15.75" x14ac:dyDescent="0.25">
      <c r="A1133" s="1330"/>
      <c r="B1133" s="114"/>
      <c r="C1133" s="26" t="s">
        <v>50</v>
      </c>
      <c r="D1133" s="1124" t="s">
        <v>4</v>
      </c>
      <c r="E1133" s="524">
        <v>1.08</v>
      </c>
      <c r="F1133" s="1122">
        <f>F1128*E1133</f>
        <v>1.08</v>
      </c>
      <c r="G1133" s="1120"/>
      <c r="H1133" s="1120">
        <f t="shared" si="153"/>
        <v>0</v>
      </c>
      <c r="I1133" s="1120"/>
      <c r="J1133" s="1120"/>
      <c r="K1133" s="32"/>
      <c r="L1133" s="1120"/>
      <c r="M1133" s="1120">
        <f t="shared" si="152"/>
        <v>0</v>
      </c>
      <c r="N1133"/>
    </row>
    <row r="1134" spans="1:14" s="73" customFormat="1" ht="16.5" x14ac:dyDescent="0.3">
      <c r="A1134" s="1109"/>
      <c r="B1134" s="1100"/>
      <c r="C1134" s="1092"/>
      <c r="D1134" s="29"/>
      <c r="E1134" s="1093"/>
      <c r="F1134" s="1093"/>
      <c r="G1134" s="1091"/>
      <c r="H1134" s="1091"/>
      <c r="I1134" s="1091"/>
      <c r="J1134" s="1091"/>
      <c r="K1134" s="1091"/>
      <c r="L1134" s="1091"/>
      <c r="M1134" s="1091"/>
      <c r="N1134" s="900"/>
    </row>
    <row r="1135" spans="1:14" s="73" customFormat="1" ht="31.5" x14ac:dyDescent="0.3">
      <c r="A1135" s="760"/>
      <c r="B1135" s="649"/>
      <c r="C1135" s="650" t="s">
        <v>703</v>
      </c>
      <c r="D1135" s="650"/>
      <c r="E1135" s="1414"/>
      <c r="F1135" s="1415"/>
      <c r="G1135" s="1091"/>
      <c r="H1135" s="1091"/>
      <c r="I1135" s="1091"/>
      <c r="J1135" s="1091"/>
      <c r="K1135" s="1091"/>
      <c r="L1135" s="1091"/>
      <c r="M1135" s="1091"/>
      <c r="N1135" s="241"/>
    </row>
    <row r="1136" spans="1:14" ht="47.25" x14ac:dyDescent="0.25">
      <c r="A1136" s="676" t="s">
        <v>93</v>
      </c>
      <c r="B1136" s="677"/>
      <c r="C1136" s="678" t="s">
        <v>731</v>
      </c>
      <c r="D1136" s="677" t="s">
        <v>41</v>
      </c>
      <c r="E1136" s="679"/>
      <c r="F1136" s="680">
        <v>70</v>
      </c>
      <c r="G1136" s="681"/>
      <c r="H1136" s="682"/>
      <c r="I1136" s="681"/>
      <c r="J1136" s="682"/>
      <c r="K1136" s="683"/>
      <c r="L1136" s="682"/>
      <c r="M1136" s="682"/>
      <c r="N1136"/>
    </row>
    <row r="1137" spans="1:14" ht="47.25" x14ac:dyDescent="0.25">
      <c r="A1137" s="1252" t="s">
        <v>93</v>
      </c>
      <c r="B1137" s="684" t="s">
        <v>31</v>
      </c>
      <c r="C1137" s="685" t="s">
        <v>732</v>
      </c>
      <c r="D1137" s="686" t="s">
        <v>37</v>
      </c>
      <c r="E1137" s="687"/>
      <c r="F1137" s="688">
        <f>0.8*0.3*F1136</f>
        <v>16.8</v>
      </c>
      <c r="G1137" s="681"/>
      <c r="H1137" s="682"/>
      <c r="I1137" s="681"/>
      <c r="J1137" s="682"/>
      <c r="K1137" s="683"/>
      <c r="L1137" s="682"/>
      <c r="M1137" s="682"/>
      <c r="N1137"/>
    </row>
    <row r="1138" spans="1:14" ht="15.75" x14ac:dyDescent="0.25">
      <c r="A1138" s="1265"/>
      <c r="B1138" s="684"/>
      <c r="C1138" s="689" t="s">
        <v>36</v>
      </c>
      <c r="D1138" s="686" t="s">
        <v>6</v>
      </c>
      <c r="E1138" s="690">
        <v>3.88</v>
      </c>
      <c r="F1138" s="691">
        <f>F1137*E1138</f>
        <v>65.183999999999997</v>
      </c>
      <c r="G1138" s="681"/>
      <c r="H1138" s="682"/>
      <c r="I1138" s="681"/>
      <c r="J1138" s="682">
        <f>F1138*I1138</f>
        <v>0</v>
      </c>
      <c r="K1138" s="19"/>
      <c r="L1138" s="682"/>
      <c r="M1138" s="682">
        <f>H1138+J1138+L1138</f>
        <v>0</v>
      </c>
      <c r="N1138"/>
    </row>
    <row r="1139" spans="1:14" ht="31.5" hidden="1" x14ac:dyDescent="0.25">
      <c r="A1139" s="1252" t="s">
        <v>72</v>
      </c>
      <c r="B1139" s="692" t="s">
        <v>91</v>
      </c>
      <c r="C1139" s="693" t="s">
        <v>269</v>
      </c>
      <c r="D1139" s="278" t="s">
        <v>38</v>
      </c>
      <c r="E1139" s="694"/>
      <c r="F1139" s="84">
        <v>0</v>
      </c>
      <c r="G1139" s="19"/>
      <c r="H1139" s="682"/>
      <c r="I1139" s="19"/>
      <c r="J1139" s="682"/>
      <c r="K1139" s="19"/>
      <c r="L1139" s="682"/>
      <c r="M1139" s="682"/>
      <c r="N1139"/>
    </row>
    <row r="1140" spans="1:14" ht="15.75" hidden="1" x14ac:dyDescent="0.25">
      <c r="A1140" s="1253"/>
      <c r="B1140" s="695"/>
      <c r="C1140" s="696" t="s">
        <v>56</v>
      </c>
      <c r="D1140" s="697" t="s">
        <v>6</v>
      </c>
      <c r="E1140" s="694">
        <v>0.53</v>
      </c>
      <c r="F1140" s="46">
        <f>F1139*E1140</f>
        <v>0</v>
      </c>
      <c r="G1140" s="19"/>
      <c r="H1140" s="682"/>
      <c r="I1140" s="19">
        <v>6</v>
      </c>
      <c r="J1140" s="682">
        <f>F1140*I1140</f>
        <v>0</v>
      </c>
      <c r="K1140" s="19"/>
      <c r="L1140" s="682"/>
      <c r="M1140" s="682">
        <f>H1140+J1140+L1140</f>
        <v>0</v>
      </c>
      <c r="N1140"/>
    </row>
    <row r="1141" spans="1:14" ht="15.75" hidden="1" x14ac:dyDescent="0.25">
      <c r="A1141" s="1265"/>
      <c r="B1141" s="278" t="s">
        <v>137</v>
      </c>
      <c r="C1141" s="698" t="s">
        <v>819</v>
      </c>
      <c r="D1141" s="278" t="s">
        <v>38</v>
      </c>
      <c r="E1141" s="694"/>
      <c r="F1141" s="84">
        <f>F1139</f>
        <v>0</v>
      </c>
      <c r="G1141" s="19"/>
      <c r="H1141" s="682"/>
      <c r="I1141" s="19"/>
      <c r="J1141" s="682"/>
      <c r="K1141" s="19">
        <v>8.92</v>
      </c>
      <c r="L1141" s="682">
        <f>F1141*K1141</f>
        <v>0</v>
      </c>
      <c r="M1141" s="682">
        <f>H1141+J1141+L1141</f>
        <v>0</v>
      </c>
      <c r="N1141"/>
    </row>
    <row r="1142" spans="1:14" ht="15.75" hidden="1" x14ac:dyDescent="0.25">
      <c r="A1142" s="1250" t="s">
        <v>94</v>
      </c>
      <c r="B1142" s="700" t="s">
        <v>63</v>
      </c>
      <c r="C1142" s="531" t="s">
        <v>734</v>
      </c>
      <c r="D1142" s="1103" t="s">
        <v>37</v>
      </c>
      <c r="E1142" s="713"/>
      <c r="F1142" s="714">
        <v>0</v>
      </c>
      <c r="G1142" s="223"/>
      <c r="H1142" s="223"/>
      <c r="I1142" s="223"/>
      <c r="J1142" s="223"/>
      <c r="K1142" s="223"/>
      <c r="L1142" s="223"/>
      <c r="M1142" s="223"/>
      <c r="N1142"/>
    </row>
    <row r="1143" spans="1:14" ht="15.75" hidden="1" x14ac:dyDescent="0.25">
      <c r="A1143" s="1251"/>
      <c r="B1143" s="700"/>
      <c r="C1143" s="24" t="s">
        <v>36</v>
      </c>
      <c r="D1143" s="1103" t="s">
        <v>6</v>
      </c>
      <c r="E1143" s="701">
        <v>1.21</v>
      </c>
      <c r="F1143" s="711">
        <f>F1142*E1143</f>
        <v>0</v>
      </c>
      <c r="G1143" s="223"/>
      <c r="H1143" s="223"/>
      <c r="I1143" s="223">
        <v>6</v>
      </c>
      <c r="J1143" s="223">
        <f>F1143*I1143</f>
        <v>0</v>
      </c>
      <c r="K1143" s="223"/>
      <c r="L1143" s="223"/>
      <c r="M1143" s="223">
        <f>H1143+J1143+L1143</f>
        <v>0</v>
      </c>
      <c r="N1143"/>
    </row>
    <row r="1144" spans="1:14" ht="31.5" x14ac:dyDescent="0.25">
      <c r="A1144" s="1252" t="s">
        <v>87</v>
      </c>
      <c r="B1144" s="684" t="s">
        <v>35</v>
      </c>
      <c r="C1144" s="685" t="s">
        <v>733</v>
      </c>
      <c r="D1144" s="686" t="s">
        <v>37</v>
      </c>
      <c r="E1144" s="690"/>
      <c r="F1144" s="84">
        <f>0.2*0.1*F1136</f>
        <v>1.4000000000000004</v>
      </c>
      <c r="G1144" s="681"/>
      <c r="H1144" s="682"/>
      <c r="I1144" s="681"/>
      <c r="J1144" s="682"/>
      <c r="K1144" s="683"/>
      <c r="L1144" s="223"/>
      <c r="M1144" s="682"/>
      <c r="N1144"/>
    </row>
    <row r="1145" spans="1:14" ht="15.75" x14ac:dyDescent="0.25">
      <c r="A1145" s="1253"/>
      <c r="B1145" s="684"/>
      <c r="C1145" s="689" t="s">
        <v>36</v>
      </c>
      <c r="D1145" s="686" t="s">
        <v>6</v>
      </c>
      <c r="E1145" s="690">
        <v>3.52</v>
      </c>
      <c r="F1145" s="691">
        <f>F1144*E1145</f>
        <v>4.9280000000000017</v>
      </c>
      <c r="G1145" s="682"/>
      <c r="H1145" s="223"/>
      <c r="I1145" s="681"/>
      <c r="J1145" s="682">
        <f>F1145*I1145</f>
        <v>0</v>
      </c>
      <c r="K1145" s="19"/>
      <c r="L1145" s="682"/>
      <c r="M1145" s="682">
        <f>H1145+J1145+L1145</f>
        <v>0</v>
      </c>
      <c r="N1145"/>
    </row>
    <row r="1146" spans="1:14" ht="15.75" x14ac:dyDescent="0.25">
      <c r="A1146" s="1253"/>
      <c r="B1146" s="684"/>
      <c r="C1146" s="689" t="s">
        <v>17</v>
      </c>
      <c r="D1146" s="43" t="s">
        <v>4</v>
      </c>
      <c r="E1146" s="687">
        <v>1.06</v>
      </c>
      <c r="F1146" s="212">
        <f>F1144*E1146</f>
        <v>1.4840000000000004</v>
      </c>
      <c r="G1146" s="699"/>
      <c r="H1146" s="223"/>
      <c r="I1146" s="682"/>
      <c r="J1146" s="223"/>
      <c r="K1146" s="682"/>
      <c r="L1146" s="682">
        <f>F1146*K1146</f>
        <v>0</v>
      </c>
      <c r="M1146" s="682">
        <f>H1146+J1146+L1146</f>
        <v>0</v>
      </c>
      <c r="N1146"/>
    </row>
    <row r="1147" spans="1:14" ht="15.75" x14ac:dyDescent="0.25">
      <c r="A1147" s="1253"/>
      <c r="B1147" s="684"/>
      <c r="C1147" s="689" t="s">
        <v>30</v>
      </c>
      <c r="D1147" s="43" t="s">
        <v>37</v>
      </c>
      <c r="E1147" s="687">
        <f>0.18+0.09+0.97</f>
        <v>1.24</v>
      </c>
      <c r="F1147" s="212">
        <f>F1144*E1147</f>
        <v>1.7360000000000004</v>
      </c>
      <c r="G1147" s="699"/>
      <c r="H1147" s="223">
        <f>F1147*G1147</f>
        <v>0</v>
      </c>
      <c r="I1147" s="682"/>
      <c r="J1147" s="223"/>
      <c r="K1147" s="682"/>
      <c r="L1147" s="223"/>
      <c r="M1147" s="682">
        <f>H1147+J1147+L1147</f>
        <v>0</v>
      </c>
      <c r="N1147"/>
    </row>
    <row r="1148" spans="1:14" ht="15.75" x14ac:dyDescent="0.25">
      <c r="A1148" s="1265"/>
      <c r="B1148" s="684"/>
      <c r="C1148" s="689" t="s">
        <v>50</v>
      </c>
      <c r="D1148" s="43" t="s">
        <v>4</v>
      </c>
      <c r="E1148" s="687">
        <v>0.02</v>
      </c>
      <c r="F1148" s="212">
        <f>F1144*E1148</f>
        <v>2.8000000000000008E-2</v>
      </c>
      <c r="G1148" s="699"/>
      <c r="H1148" s="223">
        <f>F1148*G1148</f>
        <v>0</v>
      </c>
      <c r="I1148" s="682"/>
      <c r="J1148" s="223"/>
      <c r="K1148" s="682"/>
      <c r="L1148" s="223"/>
      <c r="M1148" s="682">
        <f>H1148+J1148+L1148</f>
        <v>0</v>
      </c>
      <c r="N1148"/>
    </row>
    <row r="1149" spans="1:14" ht="15.75" x14ac:dyDescent="0.25">
      <c r="A1149" s="1250" t="s">
        <v>89</v>
      </c>
      <c r="B1149" s="700" t="s">
        <v>378</v>
      </c>
      <c r="C1149" s="531" t="s">
        <v>704</v>
      </c>
      <c r="D1149" s="1103" t="s">
        <v>37</v>
      </c>
      <c r="E1149" s="701"/>
      <c r="F1149" s="688">
        <f>(0.15*(3+0.7))*F1136</f>
        <v>38.85</v>
      </c>
      <c r="G1149" s="223"/>
      <c r="H1149" s="223"/>
      <c r="I1149" s="223"/>
      <c r="J1149" s="223"/>
      <c r="K1149" s="223"/>
      <c r="L1149" s="223"/>
      <c r="M1149" s="223"/>
      <c r="N1149"/>
    </row>
    <row r="1150" spans="1:14" ht="15.75" x14ac:dyDescent="0.25">
      <c r="A1150" s="1266"/>
      <c r="B1150" s="702"/>
      <c r="C1150" s="703" t="s">
        <v>36</v>
      </c>
      <c r="D1150" s="43" t="s">
        <v>6</v>
      </c>
      <c r="E1150" s="687">
        <v>8.44</v>
      </c>
      <c r="F1150" s="212">
        <f>F1149*E1150</f>
        <v>327.89400000000001</v>
      </c>
      <c r="G1150" s="682"/>
      <c r="H1150" s="223"/>
      <c r="I1150" s="682"/>
      <c r="J1150" s="223">
        <f>F1150*I1150</f>
        <v>0</v>
      </c>
      <c r="K1150" s="682"/>
      <c r="L1150" s="223"/>
      <c r="M1150" s="223">
        <f t="shared" ref="M1150:M1157" si="156">H1150+J1150+L1150</f>
        <v>0</v>
      </c>
      <c r="N1150"/>
    </row>
    <row r="1151" spans="1:14" ht="15.75" x14ac:dyDescent="0.25">
      <c r="A1151" s="1266"/>
      <c r="B1151" s="278"/>
      <c r="C1151" s="704" t="s">
        <v>5</v>
      </c>
      <c r="D1151" s="43" t="s">
        <v>4</v>
      </c>
      <c r="E1151" s="705">
        <v>1.1000000000000001</v>
      </c>
      <c r="F1151" s="706">
        <f>F1149*E1151</f>
        <v>42.735000000000007</v>
      </c>
      <c r="G1151" s="682"/>
      <c r="H1151" s="223"/>
      <c r="I1151" s="682"/>
      <c r="J1151" s="223"/>
      <c r="K1151" s="682"/>
      <c r="L1151" s="223">
        <f>F1151*K1151</f>
        <v>0</v>
      </c>
      <c r="M1151" s="223">
        <f t="shared" si="156"/>
        <v>0</v>
      </c>
      <c r="N1151"/>
    </row>
    <row r="1152" spans="1:14" ht="15.75" x14ac:dyDescent="0.25">
      <c r="A1152" s="1266"/>
      <c r="B1152" s="278"/>
      <c r="C1152" s="704" t="s">
        <v>705</v>
      </c>
      <c r="D1152" s="43" t="s">
        <v>29</v>
      </c>
      <c r="E1152" s="687">
        <v>1.0149999999999999</v>
      </c>
      <c r="F1152" s="706">
        <f>F1149*E1152</f>
        <v>39.432749999999999</v>
      </c>
      <c r="G1152" s="682"/>
      <c r="H1152" s="223">
        <f t="shared" ref="H1152:H1157" si="157">F1152*G1152</f>
        <v>0</v>
      </c>
      <c r="I1152" s="682"/>
      <c r="J1152" s="223"/>
      <c r="K1152" s="682"/>
      <c r="L1152" s="223"/>
      <c r="M1152" s="223">
        <f t="shared" si="156"/>
        <v>0</v>
      </c>
      <c r="N1152"/>
    </row>
    <row r="1153" spans="1:15" ht="15.75" x14ac:dyDescent="0.25">
      <c r="A1153" s="1266"/>
      <c r="B1153" s="707"/>
      <c r="C1153" s="703" t="s">
        <v>575</v>
      </c>
      <c r="D1153" s="43" t="s">
        <v>576</v>
      </c>
      <c r="E1153" s="687">
        <v>1.84</v>
      </c>
      <c r="F1153" s="212">
        <f>F1149*E1153</f>
        <v>71.484000000000009</v>
      </c>
      <c r="G1153" s="699"/>
      <c r="H1153" s="223">
        <f t="shared" si="157"/>
        <v>0</v>
      </c>
      <c r="I1153" s="682"/>
      <c r="J1153" s="223"/>
      <c r="K1153" s="682"/>
      <c r="L1153" s="223"/>
      <c r="M1153" s="223">
        <f t="shared" si="156"/>
        <v>0</v>
      </c>
      <c r="N1153"/>
    </row>
    <row r="1154" spans="1:15" ht="15.75" x14ac:dyDescent="0.25">
      <c r="A1154" s="1266"/>
      <c r="B1154" s="707"/>
      <c r="C1154" s="703" t="s">
        <v>39</v>
      </c>
      <c r="D1154" s="708" t="s">
        <v>29</v>
      </c>
      <c r="E1154" s="687">
        <f>(0.34+3.91)/100</f>
        <v>4.2500000000000003E-2</v>
      </c>
      <c r="F1154" s="212">
        <f>F1149*E1154</f>
        <v>1.6511250000000002</v>
      </c>
      <c r="G1154" s="682"/>
      <c r="H1154" s="223">
        <f t="shared" si="157"/>
        <v>0</v>
      </c>
      <c r="I1154" s="682"/>
      <c r="J1154" s="223"/>
      <c r="K1154" s="682"/>
      <c r="L1154" s="223"/>
      <c r="M1154" s="223">
        <f t="shared" si="156"/>
        <v>0</v>
      </c>
      <c r="N1154"/>
    </row>
    <row r="1155" spans="1:15" ht="15.75" x14ac:dyDescent="0.25">
      <c r="A1155" s="1266"/>
      <c r="B1155" s="707"/>
      <c r="C1155" s="703" t="s">
        <v>267</v>
      </c>
      <c r="D1155" s="708" t="s">
        <v>2</v>
      </c>
      <c r="E1155" s="705">
        <v>0.22</v>
      </c>
      <c r="F1155" s="212">
        <f>F1149*E1155</f>
        <v>8.5470000000000006</v>
      </c>
      <c r="G1155" s="682"/>
      <c r="H1155" s="223">
        <f t="shared" si="157"/>
        <v>0</v>
      </c>
      <c r="I1155" s="682"/>
      <c r="J1155" s="223"/>
      <c r="K1155" s="682"/>
      <c r="L1155" s="223"/>
      <c r="M1155" s="223">
        <f t="shared" si="156"/>
        <v>0</v>
      </c>
      <c r="N1155"/>
    </row>
    <row r="1156" spans="1:15" ht="15.75" x14ac:dyDescent="0.25">
      <c r="A1156" s="1266"/>
      <c r="B1156" s="707"/>
      <c r="C1156" s="703" t="s">
        <v>45</v>
      </c>
      <c r="D1156" s="708" t="s">
        <v>81</v>
      </c>
      <c r="E1156" s="705">
        <v>1</v>
      </c>
      <c r="F1156" s="212">
        <f>F1149*E1156</f>
        <v>38.85</v>
      </c>
      <c r="G1156" s="682"/>
      <c r="H1156" s="223">
        <f t="shared" si="157"/>
        <v>0</v>
      </c>
      <c r="I1156" s="682"/>
      <c r="J1156" s="223"/>
      <c r="K1156" s="682"/>
      <c r="L1156" s="223"/>
      <c r="M1156" s="223">
        <f t="shared" si="156"/>
        <v>0</v>
      </c>
      <c r="N1156"/>
    </row>
    <row r="1157" spans="1:15" ht="15.75" x14ac:dyDescent="0.25">
      <c r="A1157" s="1266"/>
      <c r="B1157" s="278"/>
      <c r="C1157" s="704" t="s">
        <v>50</v>
      </c>
      <c r="D1157" s="43" t="s">
        <v>4</v>
      </c>
      <c r="E1157" s="705">
        <v>0.46</v>
      </c>
      <c r="F1157" s="706">
        <f>F1149*E1157</f>
        <v>17.871000000000002</v>
      </c>
      <c r="G1157" s="682"/>
      <c r="H1157" s="223">
        <f t="shared" si="157"/>
        <v>0</v>
      </c>
      <c r="I1157" s="682"/>
      <c r="J1157" s="223"/>
      <c r="K1157" s="682"/>
      <c r="L1157" s="223"/>
      <c r="M1157" s="223">
        <f t="shared" si="156"/>
        <v>0</v>
      </c>
      <c r="N1157"/>
    </row>
    <row r="1158" spans="1:15" ht="15.75" x14ac:dyDescent="0.25">
      <c r="A1158" s="1266"/>
      <c r="B1158" s="707"/>
      <c r="C1158" s="709" t="s">
        <v>706</v>
      </c>
      <c r="D1158" s="43" t="s">
        <v>526</v>
      </c>
      <c r="E1158" s="705"/>
      <c r="F1158" s="710">
        <f>((F1136/0.15)+1)*1*(3.9)*1.03*0.888/1000+26*F1136*1.03*0.395/1000+((F1136/0.6)+1)*7*0.4*1.03*2.47/1000</f>
        <v>3.2468750426666673</v>
      </c>
      <c r="G1158" s="699"/>
      <c r="H1158" s="223">
        <f>F1158*G1158</f>
        <v>0</v>
      </c>
      <c r="I1158" s="682"/>
      <c r="J1158" s="223"/>
      <c r="K1158" s="682"/>
      <c r="L1158" s="223"/>
      <c r="M1158" s="223">
        <f>H1158+J1158+L1158</f>
        <v>0</v>
      </c>
      <c r="O1158" s="743" t="s">
        <v>834</v>
      </c>
    </row>
    <row r="1159" spans="1:15" ht="15.75" x14ac:dyDescent="0.25">
      <c r="A1159" s="1251"/>
      <c r="B1159" s="278"/>
      <c r="C1159" s="709" t="s">
        <v>707</v>
      </c>
      <c r="D1159" s="43" t="s">
        <v>526</v>
      </c>
      <c r="E1159" s="705"/>
      <c r="F1159" s="710">
        <v>0</v>
      </c>
      <c r="G1159" s="682"/>
      <c r="H1159" s="223">
        <f>F1159*G1159</f>
        <v>0</v>
      </c>
      <c r="I1159" s="682"/>
      <c r="J1159" s="223"/>
      <c r="K1159" s="682"/>
      <c r="L1159" s="223"/>
      <c r="M1159" s="223">
        <f>H1159+J1159+L1159</f>
        <v>0</v>
      </c>
      <c r="N1159"/>
    </row>
    <row r="1160" spans="1:15" ht="15.75" x14ac:dyDescent="0.25">
      <c r="A1160" s="1250" t="s">
        <v>90</v>
      </c>
      <c r="B1160" s="700" t="s">
        <v>708</v>
      </c>
      <c r="C1160" s="531" t="s">
        <v>709</v>
      </c>
      <c r="D1160" s="665" t="s">
        <v>47</v>
      </c>
      <c r="E1160" s="701"/>
      <c r="F1160" s="688">
        <f>(0.7)*F1136</f>
        <v>49</v>
      </c>
      <c r="G1160" s="223"/>
      <c r="H1160" s="223"/>
      <c r="I1160" s="223"/>
      <c r="J1160" s="223"/>
      <c r="K1160" s="223"/>
      <c r="L1160" s="223"/>
      <c r="M1160" s="223"/>
      <c r="N1160"/>
    </row>
    <row r="1161" spans="1:15" ht="15.75" x14ac:dyDescent="0.25">
      <c r="A1161" s="1266"/>
      <c r="B1161" s="700"/>
      <c r="C1161" s="24" t="s">
        <v>36</v>
      </c>
      <c r="D1161" s="665" t="s">
        <v>6</v>
      </c>
      <c r="E1161" s="701">
        <v>0.33600000000000002</v>
      </c>
      <c r="F1161" s="711">
        <f>F1160*E1161</f>
        <v>16.464000000000002</v>
      </c>
      <c r="G1161" s="223"/>
      <c r="H1161" s="223"/>
      <c r="I1161" s="223"/>
      <c r="J1161" s="223">
        <f>F1161*I1161</f>
        <v>0</v>
      </c>
      <c r="K1161" s="223"/>
      <c r="L1161" s="223"/>
      <c r="M1161" s="223">
        <f>H1161+J1161+L1161</f>
        <v>0</v>
      </c>
      <c r="N1161"/>
    </row>
    <row r="1162" spans="1:15" ht="15.75" x14ac:dyDescent="0.25">
      <c r="A1162" s="1266"/>
      <c r="B1162" s="700"/>
      <c r="C1162" s="24" t="s">
        <v>17</v>
      </c>
      <c r="D1162" s="665" t="s">
        <v>4</v>
      </c>
      <c r="E1162" s="701">
        <v>1.4999999999999999E-2</v>
      </c>
      <c r="F1162" s="711">
        <f>F1160*E1162</f>
        <v>0.73499999999999999</v>
      </c>
      <c r="G1162" s="223"/>
      <c r="H1162" s="223"/>
      <c r="I1162" s="223"/>
      <c r="J1162" s="223"/>
      <c r="K1162" s="223"/>
      <c r="L1162" s="223">
        <f>F1162*K1162</f>
        <v>0</v>
      </c>
      <c r="M1162" s="223">
        <f>H1162+J1162+L1162</f>
        <v>0</v>
      </c>
      <c r="N1162"/>
    </row>
    <row r="1163" spans="1:15" ht="15.75" x14ac:dyDescent="0.25">
      <c r="A1163" s="1266"/>
      <c r="B1163" s="700"/>
      <c r="C1163" s="24" t="s">
        <v>710</v>
      </c>
      <c r="D1163" s="665" t="s">
        <v>2</v>
      </c>
      <c r="E1163" s="701">
        <v>2.4</v>
      </c>
      <c r="F1163" s="711">
        <f>F1160*E1163</f>
        <v>117.6</v>
      </c>
      <c r="G1163" s="223"/>
      <c r="H1163" s="223">
        <f>F1163*G1163</f>
        <v>0</v>
      </c>
      <c r="I1163" s="223"/>
      <c r="J1163" s="223"/>
      <c r="K1163" s="223"/>
      <c r="L1163" s="223"/>
      <c r="M1163" s="223">
        <f>H1163+J1163+L1163</f>
        <v>0</v>
      </c>
      <c r="N1163"/>
    </row>
    <row r="1164" spans="1:15" ht="15.75" x14ac:dyDescent="0.25">
      <c r="A1164" s="1251"/>
      <c r="B1164" s="700"/>
      <c r="C1164" s="24" t="s">
        <v>50</v>
      </c>
      <c r="D1164" s="665" t="s">
        <v>4</v>
      </c>
      <c r="E1164" s="701">
        <v>2.2800000000000001E-2</v>
      </c>
      <c r="F1164" s="711">
        <f>F1160*E1164</f>
        <v>1.1172</v>
      </c>
      <c r="G1164" s="223"/>
      <c r="H1164" s="223">
        <f>F1164*G1164</f>
        <v>0</v>
      </c>
      <c r="I1164" s="223"/>
      <c r="J1164" s="223"/>
      <c r="K1164" s="223"/>
      <c r="L1164" s="223"/>
      <c r="M1164" s="223">
        <f>H1164+J1164+L1164</f>
        <v>0</v>
      </c>
      <c r="N1164"/>
    </row>
    <row r="1165" spans="1:15" ht="15.75" x14ac:dyDescent="0.25">
      <c r="A1165" s="1250" t="s">
        <v>82</v>
      </c>
      <c r="B1165" s="700" t="s">
        <v>63</v>
      </c>
      <c r="C1165" s="712" t="s">
        <v>711</v>
      </c>
      <c r="D1165" s="665" t="s">
        <v>37</v>
      </c>
      <c r="E1165" s="713"/>
      <c r="F1165" s="714">
        <f>0.15*0.7*F1136</f>
        <v>7.35</v>
      </c>
      <c r="G1165" s="223"/>
      <c r="H1165" s="223"/>
      <c r="I1165" s="223"/>
      <c r="J1165" s="223"/>
      <c r="K1165" s="223"/>
      <c r="L1165" s="223"/>
      <c r="M1165" s="223"/>
      <c r="N1165"/>
    </row>
    <row r="1166" spans="1:15" ht="15.75" x14ac:dyDescent="0.25">
      <c r="A1166" s="1251"/>
      <c r="B1166" s="700"/>
      <c r="C1166" s="24" t="s">
        <v>36</v>
      </c>
      <c r="D1166" s="665" t="s">
        <v>6</v>
      </c>
      <c r="E1166" s="701">
        <v>1.21</v>
      </c>
      <c r="F1166" s="711">
        <f>F1165*E1166</f>
        <v>8.8934999999999995</v>
      </c>
      <c r="G1166" s="223"/>
      <c r="H1166" s="223"/>
      <c r="I1166" s="223"/>
      <c r="J1166" s="223">
        <f>F1166*I1166</f>
        <v>0</v>
      </c>
      <c r="K1166" s="223"/>
      <c r="L1166" s="223"/>
      <c r="M1166" s="223">
        <f>H1166+J1166+L1166</f>
        <v>0</v>
      </c>
      <c r="N1166" s="715"/>
    </row>
    <row r="1167" spans="1:15" ht="15.75" x14ac:dyDescent="0.25">
      <c r="A1167" s="1249" t="s">
        <v>40</v>
      </c>
      <c r="B1167" s="700" t="s">
        <v>63</v>
      </c>
      <c r="C1167" s="531" t="s">
        <v>734</v>
      </c>
      <c r="D1167" s="673" t="s">
        <v>37</v>
      </c>
      <c r="E1167" s="713"/>
      <c r="F1167" s="714">
        <f>F1137-F1165</f>
        <v>9.4500000000000011</v>
      </c>
      <c r="G1167" s="223"/>
      <c r="H1167" s="223"/>
      <c r="I1167" s="223"/>
      <c r="J1167" s="223"/>
      <c r="K1167" s="223"/>
      <c r="L1167" s="223"/>
      <c r="M1167" s="223"/>
      <c r="N1167" s="715"/>
    </row>
    <row r="1168" spans="1:15" ht="15.75" x14ac:dyDescent="0.25">
      <c r="A1168" s="1249"/>
      <c r="B1168" s="700"/>
      <c r="C1168" s="24" t="s">
        <v>36</v>
      </c>
      <c r="D1168" s="742" t="s">
        <v>6</v>
      </c>
      <c r="E1168" s="701">
        <v>1.21</v>
      </c>
      <c r="F1168" s="711">
        <f>F1167*E1168</f>
        <v>11.434500000000002</v>
      </c>
      <c r="G1168" s="223"/>
      <c r="H1168" s="223"/>
      <c r="I1168" s="223"/>
      <c r="J1168" s="223">
        <f>F1168*I1168</f>
        <v>0</v>
      </c>
      <c r="K1168" s="223"/>
      <c r="L1168" s="223"/>
      <c r="M1168" s="223">
        <f>H1168+J1168+L1168</f>
        <v>0</v>
      </c>
      <c r="N1168" s="715"/>
    </row>
    <row r="1169" spans="1:14" ht="31.5" x14ac:dyDescent="0.25">
      <c r="A1169" s="1252" t="s">
        <v>46</v>
      </c>
      <c r="B1169" s="684" t="s">
        <v>736</v>
      </c>
      <c r="C1169" s="685" t="s">
        <v>735</v>
      </c>
      <c r="D1169" s="686" t="s">
        <v>37</v>
      </c>
      <c r="E1169" s="716"/>
      <c r="F1169" s="752">
        <f>0.45*0.2*F1136</f>
        <v>6.3000000000000007</v>
      </c>
      <c r="G1169" s="681"/>
      <c r="H1169" s="682"/>
      <c r="I1169" s="681"/>
      <c r="J1169" s="682"/>
      <c r="K1169" s="683"/>
      <c r="L1169" s="682"/>
      <c r="M1169" s="682"/>
      <c r="N1169"/>
    </row>
    <row r="1170" spans="1:14" ht="15.75" x14ac:dyDescent="0.25">
      <c r="A1170" s="1253"/>
      <c r="B1170" s="684"/>
      <c r="C1170" s="703" t="s">
        <v>36</v>
      </c>
      <c r="D1170" s="43" t="s">
        <v>6</v>
      </c>
      <c r="E1170" s="687">
        <v>8.5399999999999991</v>
      </c>
      <c r="F1170" s="212">
        <f>F1169*E1170</f>
        <v>53.802</v>
      </c>
      <c r="G1170" s="682"/>
      <c r="H1170" s="223"/>
      <c r="I1170" s="682"/>
      <c r="J1170" s="223">
        <f>F1170*I1170</f>
        <v>0</v>
      </c>
      <c r="K1170" s="682"/>
      <c r="L1170" s="223"/>
      <c r="M1170" s="223">
        <f t="shared" ref="M1170:M1176" si="158">H1170+J1170+L1170</f>
        <v>0</v>
      </c>
      <c r="N1170"/>
    </row>
    <row r="1171" spans="1:14" ht="15.75" x14ac:dyDescent="0.25">
      <c r="A1171" s="1253"/>
      <c r="B1171" s="684"/>
      <c r="C1171" s="704" t="s">
        <v>5</v>
      </c>
      <c r="D1171" s="43" t="s">
        <v>4</v>
      </c>
      <c r="E1171" s="705">
        <v>1.06</v>
      </c>
      <c r="F1171" s="706">
        <f>F1169*E1171</f>
        <v>6.6780000000000008</v>
      </c>
      <c r="G1171" s="682"/>
      <c r="H1171" s="223"/>
      <c r="I1171" s="682"/>
      <c r="J1171" s="223"/>
      <c r="K1171" s="682"/>
      <c r="L1171" s="223">
        <f>F1171*K1171</f>
        <v>0</v>
      </c>
      <c r="M1171" s="223">
        <f t="shared" si="158"/>
        <v>0</v>
      </c>
      <c r="N1171"/>
    </row>
    <row r="1172" spans="1:14" ht="15.75" x14ac:dyDescent="0.25">
      <c r="A1172" s="1253"/>
      <c r="B1172" s="684"/>
      <c r="C1172" s="704" t="s">
        <v>705</v>
      </c>
      <c r="D1172" s="43" t="s">
        <v>29</v>
      </c>
      <c r="E1172" s="687">
        <v>1.0149999999999999</v>
      </c>
      <c r="F1172" s="706">
        <f>F1169*E1172</f>
        <v>6.3944999999999999</v>
      </c>
      <c r="G1172" s="682"/>
      <c r="H1172" s="223">
        <f t="shared" ref="H1172:H1176" si="159">F1172*G1172</f>
        <v>0</v>
      </c>
      <c r="I1172" s="682"/>
      <c r="J1172" s="223"/>
      <c r="K1172" s="682"/>
      <c r="L1172" s="223"/>
      <c r="M1172" s="223">
        <f t="shared" si="158"/>
        <v>0</v>
      </c>
      <c r="N1172"/>
    </row>
    <row r="1173" spans="1:14" ht="15.75" x14ac:dyDescent="0.25">
      <c r="A1173" s="1253"/>
      <c r="B1173" s="684"/>
      <c r="C1173" s="703" t="s">
        <v>575</v>
      </c>
      <c r="D1173" s="43" t="s">
        <v>576</v>
      </c>
      <c r="E1173" s="687">
        <v>1.4</v>
      </c>
      <c r="F1173" s="212">
        <f>F1169*E1173</f>
        <v>8.82</v>
      </c>
      <c r="G1173" s="699"/>
      <c r="H1173" s="223">
        <f t="shared" si="159"/>
        <v>0</v>
      </c>
      <c r="I1173" s="682"/>
      <c r="J1173" s="223"/>
      <c r="K1173" s="682"/>
      <c r="L1173" s="223"/>
      <c r="M1173" s="223">
        <f t="shared" si="158"/>
        <v>0</v>
      </c>
      <c r="N1173"/>
    </row>
    <row r="1174" spans="1:14" ht="15.75" x14ac:dyDescent="0.25">
      <c r="A1174" s="1253"/>
      <c r="B1174" s="684"/>
      <c r="C1174" s="703" t="s">
        <v>39</v>
      </c>
      <c r="D1174" s="708" t="s">
        <v>29</v>
      </c>
      <c r="E1174" s="687">
        <f>0.0145</f>
        <v>1.4500000000000001E-2</v>
      </c>
      <c r="F1174" s="212">
        <f>F1169*E1174</f>
        <v>9.1350000000000015E-2</v>
      </c>
      <c r="G1174" s="682"/>
      <c r="H1174" s="223">
        <f t="shared" si="159"/>
        <v>0</v>
      </c>
      <c r="I1174" s="682"/>
      <c r="J1174" s="223"/>
      <c r="K1174" s="682"/>
      <c r="L1174" s="223"/>
      <c r="M1174" s="223">
        <f t="shared" si="158"/>
        <v>0</v>
      </c>
      <c r="N1174"/>
    </row>
    <row r="1175" spans="1:14" ht="15.75" x14ac:dyDescent="0.25">
      <c r="A1175" s="1253"/>
      <c r="B1175" s="684"/>
      <c r="C1175" s="703" t="s">
        <v>45</v>
      </c>
      <c r="D1175" s="708" t="s">
        <v>81</v>
      </c>
      <c r="E1175" s="705">
        <v>2.5</v>
      </c>
      <c r="F1175" s="212">
        <f>F1169*E1175</f>
        <v>15.750000000000002</v>
      </c>
      <c r="G1175" s="682"/>
      <c r="H1175" s="223">
        <f t="shared" si="159"/>
        <v>0</v>
      </c>
      <c r="I1175" s="682"/>
      <c r="J1175" s="223"/>
      <c r="K1175" s="682"/>
      <c r="L1175" s="223"/>
      <c r="M1175" s="223">
        <f t="shared" si="158"/>
        <v>0</v>
      </c>
      <c r="N1175"/>
    </row>
    <row r="1176" spans="1:14" ht="15.75" x14ac:dyDescent="0.25">
      <c r="A1176" s="1253"/>
      <c r="B1176" s="684"/>
      <c r="C1176" s="704" t="s">
        <v>50</v>
      </c>
      <c r="D1176" s="43" t="s">
        <v>4</v>
      </c>
      <c r="E1176" s="705">
        <v>0.74</v>
      </c>
      <c r="F1176" s="706">
        <f>F1169*E1176</f>
        <v>4.6620000000000008</v>
      </c>
      <c r="G1176" s="682"/>
      <c r="H1176" s="223">
        <f t="shared" si="159"/>
        <v>0</v>
      </c>
      <c r="I1176" s="682"/>
      <c r="J1176" s="223"/>
      <c r="K1176" s="682"/>
      <c r="L1176" s="223"/>
      <c r="M1176" s="223">
        <f t="shared" si="158"/>
        <v>0</v>
      </c>
      <c r="N1176"/>
    </row>
    <row r="1177" spans="1:14" ht="15.75" x14ac:dyDescent="0.25">
      <c r="A1177" s="1253"/>
      <c r="B1177" s="684"/>
      <c r="C1177" s="709" t="s">
        <v>706</v>
      </c>
      <c r="D1177" s="43" t="s">
        <v>526</v>
      </c>
      <c r="E1177" s="705"/>
      <c r="F1177" s="710">
        <f>4*F1136*1.03*0.888/1000+((F1136/0.45)+1)*0.6*2*1.03*1.578/1000</f>
        <v>0.56144640800000001</v>
      </c>
      <c r="G1177" s="699"/>
      <c r="H1177" s="223">
        <f>F1177*G1177</f>
        <v>0</v>
      </c>
      <c r="I1177" s="682"/>
      <c r="J1177" s="223"/>
      <c r="K1177" s="682"/>
      <c r="L1177" s="223"/>
      <c r="M1177" s="223">
        <f>H1177+J1177+L1177</f>
        <v>0</v>
      </c>
      <c r="N1177"/>
    </row>
    <row r="1178" spans="1:14" ht="15.75" x14ac:dyDescent="0.25">
      <c r="A1178" s="1253"/>
      <c r="B1178" s="684"/>
      <c r="C1178" s="709" t="s">
        <v>707</v>
      </c>
      <c r="D1178" s="43" t="s">
        <v>526</v>
      </c>
      <c r="E1178" s="705"/>
      <c r="F1178" s="710">
        <f>((F1136/0.15)+1)*(0.45+0.2)*2*1.03*0.395/1000</f>
        <v>0.24735123833333336</v>
      </c>
      <c r="G1178" s="682"/>
      <c r="H1178" s="223">
        <f>F1178*G1178</f>
        <v>0</v>
      </c>
      <c r="I1178" s="682"/>
      <c r="J1178" s="223"/>
      <c r="K1178" s="682"/>
      <c r="L1178" s="223"/>
      <c r="M1178" s="223">
        <f>H1178+J1178+L1178</f>
        <v>0</v>
      </c>
      <c r="N1178"/>
    </row>
    <row r="1179" spans="1:14" ht="15.75" x14ac:dyDescent="0.25">
      <c r="A1179" s="764"/>
      <c r="B1179" s="677"/>
      <c r="C1179" s="487" t="s">
        <v>712</v>
      </c>
      <c r="D1179" s="677"/>
      <c r="E1179" s="756"/>
      <c r="F1179" s="757"/>
      <c r="G1179" s="682"/>
      <c r="H1179" s="682"/>
      <c r="I1179" s="682"/>
      <c r="J1179" s="682"/>
      <c r="K1179" s="682"/>
      <c r="L1179" s="682"/>
      <c r="M1179" s="682"/>
      <c r="N1179"/>
    </row>
    <row r="1180" spans="1:14" ht="47.25" x14ac:dyDescent="0.25">
      <c r="A1180" s="1112"/>
      <c r="B1180" s="136"/>
      <c r="C1180" s="138" t="s">
        <v>748</v>
      </c>
      <c r="D1180" s="136" t="s">
        <v>41</v>
      </c>
      <c r="E1180" s="762"/>
      <c r="F1180" s="763">
        <f>F1136</f>
        <v>70</v>
      </c>
      <c r="G1180" s="681"/>
      <c r="H1180" s="682"/>
      <c r="I1180" s="681"/>
      <c r="J1180" s="682"/>
      <c r="K1180" s="683"/>
      <c r="L1180" s="682"/>
      <c r="M1180" s="682"/>
      <c r="N1180"/>
    </row>
    <row r="1181" spans="1:14" ht="47.25" x14ac:dyDescent="0.25">
      <c r="A1181" s="1254" t="s">
        <v>48</v>
      </c>
      <c r="B1181" s="719" t="s">
        <v>738</v>
      </c>
      <c r="C1181" s="718" t="s">
        <v>739</v>
      </c>
      <c r="D1181" s="717" t="s">
        <v>62</v>
      </c>
      <c r="E1181" s="753"/>
      <c r="F1181" s="38">
        <f>F1180</f>
        <v>70</v>
      </c>
      <c r="G1181" s="682"/>
      <c r="H1181" s="682"/>
      <c r="I1181" s="682"/>
      <c r="J1181" s="682"/>
      <c r="K1181" s="682"/>
      <c r="L1181" s="682"/>
      <c r="M1181" s="682"/>
      <c r="N1181"/>
    </row>
    <row r="1182" spans="1:14" ht="15.75" x14ac:dyDescent="0.25">
      <c r="A1182" s="1255"/>
      <c r="B1182" s="719"/>
      <c r="C1182" s="725" t="s">
        <v>36</v>
      </c>
      <c r="D1182" s="43" t="s">
        <v>6</v>
      </c>
      <c r="E1182" s="753">
        <v>1.58</v>
      </c>
      <c r="F1182" s="36">
        <f>F1181*E1182</f>
        <v>110.60000000000001</v>
      </c>
      <c r="G1182" s="682"/>
      <c r="H1182" s="682"/>
      <c r="I1182" s="682"/>
      <c r="J1182" s="682">
        <f>F1182*I1182</f>
        <v>0</v>
      </c>
      <c r="K1182" s="682"/>
      <c r="L1182" s="682"/>
      <c r="M1182" s="682">
        <f t="shared" ref="M1182:M1188" si="160">H1182+J1182+L1182</f>
        <v>0</v>
      </c>
      <c r="N1182"/>
    </row>
    <row r="1183" spans="1:14" ht="15.75" x14ac:dyDescent="0.25">
      <c r="A1183" s="1255"/>
      <c r="B1183" s="43" t="s">
        <v>740</v>
      </c>
      <c r="C1183" s="303" t="s">
        <v>741</v>
      </c>
      <c r="D1183" s="43" t="s">
        <v>15</v>
      </c>
      <c r="E1183" s="705">
        <f>20.5/100</f>
        <v>0.20499999999999999</v>
      </c>
      <c r="F1183" s="754">
        <f>F1181*E1183</f>
        <v>14.35</v>
      </c>
      <c r="G1183" s="682"/>
      <c r="H1183" s="682"/>
      <c r="I1183" s="682"/>
      <c r="J1183" s="682"/>
      <c r="K1183" s="682"/>
      <c r="L1183" s="682">
        <f>F1183*K1183</f>
        <v>0</v>
      </c>
      <c r="M1183" s="682">
        <f t="shared" si="160"/>
        <v>0</v>
      </c>
      <c r="N1183"/>
    </row>
    <row r="1184" spans="1:14" ht="15.75" x14ac:dyDescent="0.25">
      <c r="A1184" s="1255"/>
      <c r="B1184" s="43"/>
      <c r="C1184" s="303" t="s">
        <v>5</v>
      </c>
      <c r="D1184" s="43" t="s">
        <v>4</v>
      </c>
      <c r="E1184" s="705">
        <f>4*0.01</f>
        <v>0.04</v>
      </c>
      <c r="F1184" s="754">
        <f>F1181*E1184</f>
        <v>2.8000000000000003</v>
      </c>
      <c r="G1184" s="682"/>
      <c r="H1184" s="682"/>
      <c r="I1184" s="682"/>
      <c r="J1184" s="682"/>
      <c r="K1184" s="682"/>
      <c r="L1184" s="682">
        <f>F1184*K1184</f>
        <v>0</v>
      </c>
      <c r="M1184" s="682">
        <f t="shared" si="160"/>
        <v>0</v>
      </c>
      <c r="N1184"/>
    </row>
    <row r="1185" spans="1:14" ht="15.75" x14ac:dyDescent="0.25">
      <c r="A1185" s="1255"/>
      <c r="B1185" s="43" t="s">
        <v>742</v>
      </c>
      <c r="C1185" s="755" t="s">
        <v>743</v>
      </c>
      <c r="D1185" s="708" t="s">
        <v>29</v>
      </c>
      <c r="E1185" s="705">
        <f>1.41*0.01</f>
        <v>1.41E-2</v>
      </c>
      <c r="F1185" s="754">
        <f>F1181*E1185</f>
        <v>0.98699999999999999</v>
      </c>
      <c r="G1185" s="682"/>
      <c r="H1185" s="682">
        <f>F1185*G1185</f>
        <v>0</v>
      </c>
      <c r="I1185" s="682"/>
      <c r="J1185" s="682"/>
      <c r="K1185" s="682"/>
      <c r="L1185" s="682"/>
      <c r="M1185" s="682">
        <f t="shared" si="160"/>
        <v>0</v>
      </c>
      <c r="N1185"/>
    </row>
    <row r="1186" spans="1:14" ht="15.75" x14ac:dyDescent="0.25">
      <c r="A1186" s="1255"/>
      <c r="B1186" s="719" t="s">
        <v>744</v>
      </c>
      <c r="C1186" s="718" t="s">
        <v>745</v>
      </c>
      <c r="D1186" s="719" t="str">
        <f>D1181</f>
        <v>grZ.m.</v>
      </c>
      <c r="E1186" s="720">
        <v>1</v>
      </c>
      <c r="F1186" s="38">
        <f>F1181*E1186</f>
        <v>70</v>
      </c>
      <c r="G1186" s="682"/>
      <c r="H1186" s="682">
        <f>F1186*G1186</f>
        <v>0</v>
      </c>
      <c r="I1186" s="682"/>
      <c r="J1186" s="682"/>
      <c r="K1186" s="682"/>
      <c r="L1186" s="682"/>
      <c r="M1186" s="682">
        <f t="shared" si="160"/>
        <v>0</v>
      </c>
      <c r="N1186"/>
    </row>
    <row r="1187" spans="1:14" ht="15.75" x14ac:dyDescent="0.25">
      <c r="A1187" s="1255"/>
      <c r="B1187" s="43" t="s">
        <v>746</v>
      </c>
      <c r="C1187" s="755" t="s">
        <v>747</v>
      </c>
      <c r="D1187" s="43" t="s">
        <v>81</v>
      </c>
      <c r="E1187" s="705">
        <f>0.002*1000*0.01</f>
        <v>0.02</v>
      </c>
      <c r="F1187" s="754">
        <f>F1181*E1187</f>
        <v>1.4000000000000001</v>
      </c>
      <c r="G1187" s="682"/>
      <c r="H1187" s="682">
        <f>F1187*G1187</f>
        <v>0</v>
      </c>
      <c r="I1187" s="682"/>
      <c r="J1187" s="682"/>
      <c r="K1187" s="682"/>
      <c r="L1187" s="682"/>
      <c r="M1187" s="682">
        <f t="shared" si="160"/>
        <v>0</v>
      </c>
      <c r="N1187"/>
    </row>
    <row r="1188" spans="1:14" ht="15.75" x14ac:dyDescent="0.25">
      <c r="A1188" s="1256"/>
      <c r="B1188" s="43"/>
      <c r="C1188" s="303" t="s">
        <v>7</v>
      </c>
      <c r="D1188" s="43" t="s">
        <v>4</v>
      </c>
      <c r="E1188" s="705">
        <f>6*0.01</f>
        <v>0.06</v>
      </c>
      <c r="F1188" s="754">
        <f>F1181*E1188</f>
        <v>4.2</v>
      </c>
      <c r="G1188" s="682"/>
      <c r="H1188" s="682">
        <f>F1188*G1188</f>
        <v>0</v>
      </c>
      <c r="I1188" s="682"/>
      <c r="J1188" s="682"/>
      <c r="K1188" s="682"/>
      <c r="L1188" s="682"/>
      <c r="M1188" s="682">
        <f t="shared" si="160"/>
        <v>0</v>
      </c>
      <c r="N1188"/>
    </row>
    <row r="1189" spans="1:14" ht="31.5" hidden="1" x14ac:dyDescent="0.25">
      <c r="A1189" s="1254" t="s">
        <v>553</v>
      </c>
      <c r="B1189" s="278" t="s">
        <v>749</v>
      </c>
      <c r="C1189" s="758" t="s">
        <v>750</v>
      </c>
      <c r="D1189" s="278" t="s">
        <v>52</v>
      </c>
      <c r="E1189" s="687"/>
      <c r="F1189" s="38">
        <v>0</v>
      </c>
      <c r="G1189" s="682"/>
      <c r="H1189" s="682"/>
      <c r="I1189" s="682"/>
      <c r="J1189" s="682"/>
      <c r="K1189" s="682"/>
      <c r="L1189" s="682"/>
      <c r="M1189" s="682"/>
      <c r="N1189"/>
    </row>
    <row r="1190" spans="1:14" ht="15.75" hidden="1" x14ac:dyDescent="0.25">
      <c r="A1190" s="1255"/>
      <c r="B1190" s="708"/>
      <c r="C1190" s="755" t="s">
        <v>36</v>
      </c>
      <c r="D1190" s="43" t="s">
        <v>6</v>
      </c>
      <c r="E1190" s="705">
        <f>733*0.01</f>
        <v>7.33</v>
      </c>
      <c r="F1190" s="36">
        <f>F1189*E1190</f>
        <v>0</v>
      </c>
      <c r="G1190" s="682"/>
      <c r="H1190" s="682"/>
      <c r="I1190" s="682">
        <v>6</v>
      </c>
      <c r="J1190" s="682">
        <f>F1190*I1190</f>
        <v>0</v>
      </c>
      <c r="K1190" s="682"/>
      <c r="L1190" s="682"/>
      <c r="M1190" s="682">
        <f t="shared" ref="M1190:M1195" si="161">H1190+J1190+L1190</f>
        <v>0</v>
      </c>
      <c r="N1190"/>
    </row>
    <row r="1191" spans="1:14" ht="15.75" hidden="1" x14ac:dyDescent="0.25">
      <c r="A1191" s="1255"/>
      <c r="B1191" s="43"/>
      <c r="C1191" s="303" t="s">
        <v>5</v>
      </c>
      <c r="D1191" s="43" t="s">
        <v>4</v>
      </c>
      <c r="E1191" s="705">
        <f>11*0.01</f>
        <v>0.11</v>
      </c>
      <c r="F1191" s="754">
        <f>F1189*E1191</f>
        <v>0</v>
      </c>
      <c r="G1191" s="682"/>
      <c r="H1191" s="682"/>
      <c r="I1191" s="682"/>
      <c r="J1191" s="682"/>
      <c r="K1191" s="682">
        <v>4</v>
      </c>
      <c r="L1191" s="682">
        <f>F1191*K1191</f>
        <v>0</v>
      </c>
      <c r="M1191" s="682">
        <f t="shared" si="161"/>
        <v>0</v>
      </c>
      <c r="N1191"/>
    </row>
    <row r="1192" spans="1:14" ht="15.75" hidden="1" x14ac:dyDescent="0.25">
      <c r="A1192" s="1255"/>
      <c r="B1192" s="708"/>
      <c r="C1192" s="755" t="s">
        <v>751</v>
      </c>
      <c r="D1192" s="707" t="s">
        <v>27</v>
      </c>
      <c r="E1192" s="705"/>
      <c r="F1192" s="38">
        <v>0</v>
      </c>
      <c r="G1192" s="682">
        <v>135</v>
      </c>
      <c r="H1192" s="682">
        <f>F1192*G1192</f>
        <v>0</v>
      </c>
      <c r="I1192" s="682"/>
      <c r="J1192" s="682"/>
      <c r="K1192" s="682"/>
      <c r="L1192" s="682"/>
      <c r="M1192" s="682">
        <f t="shared" si="161"/>
        <v>0</v>
      </c>
      <c r="N1192"/>
    </row>
    <row r="1193" spans="1:14" ht="15.75" hidden="1" x14ac:dyDescent="0.25">
      <c r="A1193" s="1255"/>
      <c r="B1193" s="43"/>
      <c r="C1193" s="755" t="s">
        <v>752</v>
      </c>
      <c r="D1193" s="708" t="s">
        <v>29</v>
      </c>
      <c r="E1193" s="705">
        <f>5.1*0.01</f>
        <v>5.0999999999999997E-2</v>
      </c>
      <c r="F1193" s="754">
        <f>E1193*F1189</f>
        <v>0</v>
      </c>
      <c r="G1193" s="682">
        <v>97</v>
      </c>
      <c r="H1193" s="682">
        <f>F1193*G1193</f>
        <v>0</v>
      </c>
      <c r="I1193" s="682"/>
      <c r="J1193" s="682"/>
      <c r="K1193" s="682"/>
      <c r="L1193" s="682"/>
      <c r="M1193" s="682">
        <f t="shared" si="161"/>
        <v>0</v>
      </c>
      <c r="N1193"/>
    </row>
    <row r="1194" spans="1:14" ht="15.75" hidden="1" x14ac:dyDescent="0.25">
      <c r="A1194" s="1255"/>
      <c r="B1194" s="708"/>
      <c r="C1194" s="755" t="s">
        <v>653</v>
      </c>
      <c r="D1194" s="708" t="s">
        <v>81</v>
      </c>
      <c r="E1194" s="705">
        <v>0.2</v>
      </c>
      <c r="F1194" s="36">
        <f>F1189*E1194</f>
        <v>0</v>
      </c>
      <c r="G1194" s="682">
        <v>3.7</v>
      </c>
      <c r="H1194" s="682">
        <f>F1194*G1194</f>
        <v>0</v>
      </c>
      <c r="I1194" s="682"/>
      <c r="J1194" s="682"/>
      <c r="K1194" s="682"/>
      <c r="L1194" s="682"/>
      <c r="M1194" s="682">
        <f t="shared" si="161"/>
        <v>0</v>
      </c>
      <c r="N1194"/>
    </row>
    <row r="1195" spans="1:14" ht="15.75" hidden="1" x14ac:dyDescent="0.25">
      <c r="A1195" s="1256"/>
      <c r="B1195" s="43"/>
      <c r="C1195" s="303" t="s">
        <v>7</v>
      </c>
      <c r="D1195" s="43" t="s">
        <v>4</v>
      </c>
      <c r="E1195" s="705">
        <f>2*0.01</f>
        <v>0.02</v>
      </c>
      <c r="F1195" s="754">
        <f>F1189*E1195</f>
        <v>0</v>
      </c>
      <c r="G1195" s="682">
        <v>4</v>
      </c>
      <c r="H1195" s="682">
        <f>F1195*G1195</f>
        <v>0</v>
      </c>
      <c r="I1195" s="682"/>
      <c r="J1195" s="682"/>
      <c r="K1195" s="682"/>
      <c r="L1195" s="682"/>
      <c r="M1195" s="682">
        <f t="shared" si="161"/>
        <v>0</v>
      </c>
      <c r="N1195"/>
    </row>
    <row r="1196" spans="1:14" ht="31.5" x14ac:dyDescent="0.25">
      <c r="A1196" s="1257" t="s">
        <v>53</v>
      </c>
      <c r="B1196" s="717" t="s">
        <v>23</v>
      </c>
      <c r="C1196" s="718" t="s">
        <v>753</v>
      </c>
      <c r="D1196" s="717" t="s">
        <v>27</v>
      </c>
      <c r="E1196" s="753"/>
      <c r="F1196" s="38">
        <f>F1181*2*0.4+F1192*2</f>
        <v>56</v>
      </c>
      <c r="G1196" s="682"/>
      <c r="H1196" s="682"/>
      <c r="I1196" s="682"/>
      <c r="J1196" s="682"/>
      <c r="K1196" s="682"/>
      <c r="L1196" s="682"/>
      <c r="M1196" s="682"/>
      <c r="N1196"/>
    </row>
    <row r="1197" spans="1:14" ht="15.75" x14ac:dyDescent="0.25">
      <c r="A1197" s="1257"/>
      <c r="B1197" s="741"/>
      <c r="C1197" s="26" t="s">
        <v>36</v>
      </c>
      <c r="D1197" s="741" t="s">
        <v>6</v>
      </c>
      <c r="E1197" s="524">
        <v>0.68</v>
      </c>
      <c r="F1197" s="36">
        <f>F1196*E1197</f>
        <v>38.080000000000005</v>
      </c>
      <c r="G1197" s="740"/>
      <c r="H1197" s="32"/>
      <c r="I1197" s="740"/>
      <c r="J1197" s="32">
        <f>F1197*I1197</f>
        <v>0</v>
      </c>
      <c r="K1197" s="740"/>
      <c r="L1197" s="32"/>
      <c r="M1197" s="32">
        <f>H1197+J1197+L1197</f>
        <v>0</v>
      </c>
      <c r="N1197"/>
    </row>
    <row r="1198" spans="1:14" ht="15.75" x14ac:dyDescent="0.25">
      <c r="A1198" s="1257"/>
      <c r="B1198" s="741"/>
      <c r="C1198" s="26" t="s">
        <v>17</v>
      </c>
      <c r="D1198" s="741" t="s">
        <v>6</v>
      </c>
      <c r="E1198" s="524">
        <v>2.9999999999999997E-4</v>
      </c>
      <c r="F1198" s="36">
        <f>F1196*E1198</f>
        <v>1.6799999999999999E-2</v>
      </c>
      <c r="G1198" s="740"/>
      <c r="H1198" s="32"/>
      <c r="I1198" s="740"/>
      <c r="J1198" s="32"/>
      <c r="K1198" s="740"/>
      <c r="L1198" s="32">
        <f>F1198*K1198</f>
        <v>0</v>
      </c>
      <c r="M1198" s="32">
        <f>H1198+J1198+L1198</f>
        <v>0</v>
      </c>
      <c r="N1198"/>
    </row>
    <row r="1199" spans="1:14" ht="15.75" x14ac:dyDescent="0.25">
      <c r="A1199" s="1257"/>
      <c r="B1199" s="741"/>
      <c r="C1199" s="105" t="s">
        <v>49</v>
      </c>
      <c r="D1199" s="388" t="s">
        <v>81</v>
      </c>
      <c r="E1199" s="103">
        <v>0.35</v>
      </c>
      <c r="F1199" s="103">
        <f>E1199*F1196</f>
        <v>19.599999999999998</v>
      </c>
      <c r="G1199" s="740"/>
      <c r="H1199" s="740">
        <f>F1199*G1199</f>
        <v>0</v>
      </c>
      <c r="I1199" s="740"/>
      <c r="J1199" s="740"/>
      <c r="K1199" s="740"/>
      <c r="L1199" s="740"/>
      <c r="M1199" s="740">
        <f>H1199+J1199+L1199</f>
        <v>0</v>
      </c>
      <c r="N1199"/>
    </row>
    <row r="1200" spans="1:14" ht="15.75" x14ac:dyDescent="0.25">
      <c r="A1200" s="1257"/>
      <c r="B1200" s="741"/>
      <c r="C1200" s="105" t="s">
        <v>310</v>
      </c>
      <c r="D1200" s="388" t="s">
        <v>81</v>
      </c>
      <c r="E1200" s="103">
        <v>2.7E-2</v>
      </c>
      <c r="F1200" s="103">
        <f>E1200*F1196</f>
        <v>1.512</v>
      </c>
      <c r="G1200" s="740"/>
      <c r="H1200" s="740">
        <f>F1200*G1200</f>
        <v>0</v>
      </c>
      <c r="I1200" s="740"/>
      <c r="J1200" s="740"/>
      <c r="K1200" s="740"/>
      <c r="L1200" s="740"/>
      <c r="M1200" s="740">
        <f>H1200+J1200+L1200</f>
        <v>0</v>
      </c>
      <c r="N1200"/>
    </row>
    <row r="1201" spans="1:14" ht="15.75" x14ac:dyDescent="0.25">
      <c r="A1201" s="1257"/>
      <c r="B1201" s="741"/>
      <c r="C1201" s="26" t="s">
        <v>7</v>
      </c>
      <c r="D1201" s="741" t="s">
        <v>4</v>
      </c>
      <c r="E1201" s="524">
        <v>1.9E-3</v>
      </c>
      <c r="F1201" s="36">
        <f>F1196*E1201</f>
        <v>0.10639999999999999</v>
      </c>
      <c r="G1201" s="740"/>
      <c r="H1201" s="32">
        <f>F1201*G1201</f>
        <v>0</v>
      </c>
      <c r="I1201" s="740"/>
      <c r="J1201" s="32"/>
      <c r="K1201" s="740"/>
      <c r="L1201" s="32"/>
      <c r="M1201" s="32">
        <f>H1201+J1201+L1201</f>
        <v>0</v>
      </c>
      <c r="N1201"/>
    </row>
    <row r="1202" spans="1:14" ht="47.25" hidden="1" customHeight="1" x14ac:dyDescent="0.25">
      <c r="A1202" s="1254" t="s">
        <v>93</v>
      </c>
      <c r="B1202" s="717" t="s">
        <v>713</v>
      </c>
      <c r="C1202" s="718" t="s">
        <v>714</v>
      </c>
      <c r="D1202" s="719" t="s">
        <v>47</v>
      </c>
      <c r="E1202" s="720"/>
      <c r="F1202" s="721">
        <v>0</v>
      </c>
      <c r="G1202" s="682"/>
      <c r="H1202" s="682"/>
      <c r="I1202" s="682"/>
      <c r="J1202" s="682"/>
      <c r="K1202" s="682"/>
      <c r="L1202" s="682"/>
      <c r="M1202" s="682"/>
      <c r="N1202"/>
    </row>
    <row r="1203" spans="1:14" ht="15.75" hidden="1" customHeight="1" x14ac:dyDescent="0.25">
      <c r="A1203" s="1255"/>
      <c r="B1203" s="717"/>
      <c r="C1203" s="722" t="s">
        <v>36</v>
      </c>
      <c r="D1203" s="723" t="s">
        <v>6</v>
      </c>
      <c r="E1203" s="705">
        <v>1.9</v>
      </c>
      <c r="F1203" s="724">
        <f>F1202*E1203</f>
        <v>0</v>
      </c>
      <c r="G1203" s="682"/>
      <c r="H1203" s="682"/>
      <c r="I1203" s="682">
        <v>7.8</v>
      </c>
      <c r="J1203" s="682">
        <f>F1203*I1203</f>
        <v>0</v>
      </c>
      <c r="K1203" s="682"/>
      <c r="L1203" s="682"/>
      <c r="M1203" s="682">
        <f t="shared" ref="M1203:M1207" si="162">H1203+J1203+L1203</f>
        <v>0</v>
      </c>
      <c r="N1203"/>
    </row>
    <row r="1204" spans="1:14" ht="27" hidden="1" customHeight="1" x14ac:dyDescent="0.25">
      <c r="A1204" s="1255"/>
      <c r="B1204" s="717" t="s">
        <v>715</v>
      </c>
      <c r="C1204" s="725" t="s">
        <v>716</v>
      </c>
      <c r="D1204" s="719" t="s">
        <v>43</v>
      </c>
      <c r="E1204" s="720">
        <v>2.7E-2</v>
      </c>
      <c r="F1204" s="726">
        <f>F1202*E1204</f>
        <v>0</v>
      </c>
      <c r="G1204" s="682"/>
      <c r="H1204" s="682"/>
      <c r="I1204" s="682"/>
      <c r="J1204" s="682"/>
      <c r="K1204" s="682">
        <v>8.89</v>
      </c>
      <c r="L1204" s="682">
        <f>F1204*K1204</f>
        <v>0</v>
      </c>
      <c r="M1204" s="682">
        <f t="shared" si="162"/>
        <v>0</v>
      </c>
      <c r="N1204"/>
    </row>
    <row r="1205" spans="1:14" ht="15.75" hidden="1" customHeight="1" x14ac:dyDescent="0.25">
      <c r="A1205" s="1255"/>
      <c r="B1205" s="717"/>
      <c r="C1205" s="725" t="s">
        <v>657</v>
      </c>
      <c r="D1205" s="719" t="s">
        <v>4</v>
      </c>
      <c r="E1205" s="720">
        <v>3.1E-2</v>
      </c>
      <c r="F1205" s="726">
        <f>F1202*E1205</f>
        <v>0</v>
      </c>
      <c r="G1205" s="682"/>
      <c r="H1205" s="682"/>
      <c r="I1205" s="682"/>
      <c r="J1205" s="682"/>
      <c r="K1205" s="682">
        <v>3.2</v>
      </c>
      <c r="L1205" s="682">
        <f>F1205*K1205</f>
        <v>0</v>
      </c>
      <c r="M1205" s="682">
        <f t="shared" si="162"/>
        <v>0</v>
      </c>
      <c r="N1205"/>
    </row>
    <row r="1206" spans="1:14" ht="15.75" hidden="1" customHeight="1" x14ac:dyDescent="0.25">
      <c r="A1206" s="1255"/>
      <c r="B1206" s="717"/>
      <c r="C1206" s="725" t="s">
        <v>717</v>
      </c>
      <c r="D1206" s="719" t="s">
        <v>37</v>
      </c>
      <c r="E1206" s="720">
        <v>3.2899999999999999E-2</v>
      </c>
      <c r="F1206" s="726">
        <f>F1202*E1206</f>
        <v>0</v>
      </c>
      <c r="G1206" s="682">
        <v>88</v>
      </c>
      <c r="H1206" s="682">
        <f>F1206*G1206</f>
        <v>0</v>
      </c>
      <c r="I1206" s="682"/>
      <c r="J1206" s="682"/>
      <c r="K1206" s="682"/>
      <c r="L1206" s="682"/>
      <c r="M1206" s="682">
        <f t="shared" si="162"/>
        <v>0</v>
      </c>
      <c r="N1206"/>
    </row>
    <row r="1207" spans="1:14" ht="15.75" hidden="1" customHeight="1" x14ac:dyDescent="0.25">
      <c r="A1207" s="1256"/>
      <c r="B1207" s="717"/>
      <c r="C1207" s="725" t="s">
        <v>50</v>
      </c>
      <c r="D1207" s="719" t="s">
        <v>4</v>
      </c>
      <c r="E1207" s="720">
        <v>1E-3</v>
      </c>
      <c r="F1207" s="726">
        <f>F1202*E1207</f>
        <v>0</v>
      </c>
      <c r="G1207" s="682">
        <v>3.2</v>
      </c>
      <c r="H1207" s="682">
        <f>F1207*G1207</f>
        <v>0</v>
      </c>
      <c r="I1207" s="682"/>
      <c r="J1207" s="682"/>
      <c r="K1207" s="682"/>
      <c r="L1207" s="682"/>
      <c r="M1207" s="682">
        <f t="shared" si="162"/>
        <v>0</v>
      </c>
      <c r="N1207"/>
    </row>
    <row r="1208" spans="1:14" ht="78.75" hidden="1" customHeight="1" x14ac:dyDescent="0.25">
      <c r="A1208" s="1123" t="s">
        <v>72</v>
      </c>
      <c r="B1208" s="717" t="s">
        <v>18</v>
      </c>
      <c r="C1208" s="718" t="s">
        <v>718</v>
      </c>
      <c r="D1208" s="719" t="s">
        <v>47</v>
      </c>
      <c r="E1208" s="720"/>
      <c r="F1208" s="721">
        <f>F1202</f>
        <v>0</v>
      </c>
      <c r="G1208" s="682">
        <v>10</v>
      </c>
      <c r="H1208" s="682">
        <f>F1208*G1208</f>
        <v>0</v>
      </c>
      <c r="I1208" s="682">
        <v>50</v>
      </c>
      <c r="J1208" s="682">
        <f>F1208*I1208</f>
        <v>0</v>
      </c>
      <c r="K1208" s="682"/>
      <c r="L1208" s="682">
        <f>F1208*K1208</f>
        <v>0</v>
      </c>
      <c r="M1208" s="682">
        <f>H1208+J1208+L1208</f>
        <v>0</v>
      </c>
      <c r="N1208"/>
    </row>
    <row r="1209" spans="1:14" ht="47.25" hidden="1" customHeight="1" x14ac:dyDescent="0.25">
      <c r="A1209" s="1254" t="s">
        <v>94</v>
      </c>
      <c r="B1209" s="717" t="s">
        <v>713</v>
      </c>
      <c r="C1209" s="718" t="s">
        <v>719</v>
      </c>
      <c r="D1209" s="719" t="s">
        <v>47</v>
      </c>
      <c r="E1209" s="720"/>
      <c r="F1209" s="721">
        <v>0</v>
      </c>
      <c r="G1209" s="682"/>
      <c r="H1209" s="682"/>
      <c r="I1209" s="682"/>
      <c r="J1209" s="682"/>
      <c r="K1209" s="682"/>
      <c r="L1209" s="682"/>
      <c r="M1209" s="682"/>
      <c r="N1209"/>
    </row>
    <row r="1210" spans="1:14" ht="15.75" hidden="1" customHeight="1" x14ac:dyDescent="0.25">
      <c r="A1210" s="1255"/>
      <c r="B1210" s="717"/>
      <c r="C1210" s="722" t="s">
        <v>36</v>
      </c>
      <c r="D1210" s="723" t="s">
        <v>6</v>
      </c>
      <c r="E1210" s="705">
        <v>1.9</v>
      </c>
      <c r="F1210" s="724">
        <f>F1209*E1210</f>
        <v>0</v>
      </c>
      <c r="G1210" s="682"/>
      <c r="H1210" s="682"/>
      <c r="I1210" s="682">
        <v>7.8</v>
      </c>
      <c r="J1210" s="682">
        <f>F1210*I1210</f>
        <v>0</v>
      </c>
      <c r="K1210" s="682"/>
      <c r="L1210" s="682"/>
      <c r="M1210" s="682">
        <f t="shared" ref="M1210:M1219" si="163">H1210+J1210+L1210</f>
        <v>0</v>
      </c>
      <c r="N1210"/>
    </row>
    <row r="1211" spans="1:14" ht="27" hidden="1" customHeight="1" x14ac:dyDescent="0.25">
      <c r="A1211" s="1255"/>
      <c r="B1211" s="717" t="s">
        <v>715</v>
      </c>
      <c r="C1211" s="725" t="s">
        <v>716</v>
      </c>
      <c r="D1211" s="719" t="s">
        <v>43</v>
      </c>
      <c r="E1211" s="720">
        <v>2.7E-2</v>
      </c>
      <c r="F1211" s="726">
        <f>F1209*E1211</f>
        <v>0</v>
      </c>
      <c r="G1211" s="682"/>
      <c r="H1211" s="682"/>
      <c r="I1211" s="682"/>
      <c r="J1211" s="682"/>
      <c r="K1211" s="682">
        <v>8.89</v>
      </c>
      <c r="L1211" s="682">
        <f>F1211*K1211</f>
        <v>0</v>
      </c>
      <c r="M1211" s="682">
        <f t="shared" si="163"/>
        <v>0</v>
      </c>
      <c r="N1211"/>
    </row>
    <row r="1212" spans="1:14" ht="15.75" hidden="1" customHeight="1" x14ac:dyDescent="0.25">
      <c r="A1212" s="1255"/>
      <c r="B1212" s="717"/>
      <c r="C1212" s="725" t="s">
        <v>657</v>
      </c>
      <c r="D1212" s="719" t="s">
        <v>4</v>
      </c>
      <c r="E1212" s="720">
        <v>3.1E-2</v>
      </c>
      <c r="F1212" s="726">
        <f>F1209*E1212</f>
        <v>0</v>
      </c>
      <c r="G1212" s="682"/>
      <c r="H1212" s="682"/>
      <c r="I1212" s="682"/>
      <c r="J1212" s="682"/>
      <c r="K1212" s="682">
        <v>4</v>
      </c>
      <c r="L1212" s="682">
        <f>F1212*K1212</f>
        <v>0</v>
      </c>
      <c r="M1212" s="682">
        <f t="shared" si="163"/>
        <v>0</v>
      </c>
      <c r="N1212"/>
    </row>
    <row r="1213" spans="1:14" ht="15.75" hidden="1" customHeight="1" x14ac:dyDescent="0.25">
      <c r="A1213" s="1255"/>
      <c r="B1213" s="717"/>
      <c r="C1213" s="725" t="s">
        <v>717</v>
      </c>
      <c r="D1213" s="719" t="s">
        <v>37</v>
      </c>
      <c r="E1213" s="720">
        <v>3.2899999999999999E-2</v>
      </c>
      <c r="F1213" s="726">
        <f>F1209*E1213</f>
        <v>0</v>
      </c>
      <c r="G1213" s="682">
        <v>88</v>
      </c>
      <c r="H1213" s="682">
        <f>F1213*G1213</f>
        <v>0</v>
      </c>
      <c r="I1213" s="682"/>
      <c r="J1213" s="682"/>
      <c r="K1213" s="682"/>
      <c r="L1213" s="682"/>
      <c r="M1213" s="682">
        <f t="shared" si="163"/>
        <v>0</v>
      </c>
      <c r="N1213"/>
    </row>
    <row r="1214" spans="1:14" ht="15.75" hidden="1" customHeight="1" x14ac:dyDescent="0.25">
      <c r="A1214" s="1256"/>
      <c r="B1214" s="717"/>
      <c r="C1214" s="725" t="s">
        <v>50</v>
      </c>
      <c r="D1214" s="719" t="s">
        <v>4</v>
      </c>
      <c r="E1214" s="720">
        <v>1E-3</v>
      </c>
      <c r="F1214" s="726">
        <f>F1209*E1214</f>
        <v>0</v>
      </c>
      <c r="G1214" s="682">
        <v>4</v>
      </c>
      <c r="H1214" s="682">
        <f>F1214*G1214</f>
        <v>0</v>
      </c>
      <c r="I1214" s="682"/>
      <c r="J1214" s="682"/>
      <c r="K1214" s="682"/>
      <c r="L1214" s="682"/>
      <c r="M1214" s="682">
        <f t="shared" si="163"/>
        <v>0</v>
      </c>
      <c r="N1214"/>
    </row>
    <row r="1215" spans="1:14" ht="78.75" hidden="1" customHeight="1" x14ac:dyDescent="0.25">
      <c r="A1215" s="1254" t="s">
        <v>87</v>
      </c>
      <c r="B1215" s="727" t="s">
        <v>720</v>
      </c>
      <c r="C1215" s="728" t="s">
        <v>721</v>
      </c>
      <c r="D1215" s="717" t="s">
        <v>47</v>
      </c>
      <c r="E1215" s="729"/>
      <c r="F1215" s="730">
        <f>F1209</f>
        <v>0</v>
      </c>
      <c r="G1215" s="731"/>
      <c r="H1215" s="682"/>
      <c r="I1215" s="682"/>
      <c r="J1215" s="682"/>
      <c r="K1215" s="682"/>
      <c r="L1215" s="682"/>
      <c r="M1215" s="682"/>
      <c r="N1215"/>
    </row>
    <row r="1216" spans="1:14" ht="15.75" hidden="1" customHeight="1" x14ac:dyDescent="0.25">
      <c r="A1216" s="1255"/>
      <c r="B1216" s="727"/>
      <c r="C1216" s="732" t="s">
        <v>36</v>
      </c>
      <c r="D1216" s="719" t="s">
        <v>47</v>
      </c>
      <c r="E1216" s="720">
        <v>0.25</v>
      </c>
      <c r="F1216" s="726">
        <f>F1215*E1216</f>
        <v>0</v>
      </c>
      <c r="G1216" s="731"/>
      <c r="H1216" s="682"/>
      <c r="I1216" s="682">
        <v>7.8</v>
      </c>
      <c r="J1216" s="682">
        <f>F1216*I1216</f>
        <v>0</v>
      </c>
      <c r="K1216" s="682"/>
      <c r="L1216" s="682"/>
      <c r="M1216" s="682">
        <f t="shared" si="163"/>
        <v>0</v>
      </c>
      <c r="N1216"/>
    </row>
    <row r="1217" spans="1:14" ht="15.75" hidden="1" customHeight="1" x14ac:dyDescent="0.25">
      <c r="A1217" s="1255"/>
      <c r="B1217" s="727"/>
      <c r="C1217" s="732" t="s">
        <v>5</v>
      </c>
      <c r="D1217" s="719" t="s">
        <v>4</v>
      </c>
      <c r="E1217" s="720">
        <v>0.08</v>
      </c>
      <c r="F1217" s="726">
        <f>F1215*E1217</f>
        <v>0</v>
      </c>
      <c r="G1217" s="731"/>
      <c r="H1217" s="682"/>
      <c r="I1217" s="682"/>
      <c r="J1217" s="682"/>
      <c r="K1217" s="682">
        <v>4</v>
      </c>
      <c r="L1217" s="682">
        <f>F1217*K1217</f>
        <v>0</v>
      </c>
      <c r="M1217" s="682">
        <f t="shared" si="163"/>
        <v>0</v>
      </c>
      <c r="N1217"/>
    </row>
    <row r="1218" spans="1:14" ht="15.75" hidden="1" customHeight="1" x14ac:dyDescent="0.25">
      <c r="A1218" s="1255"/>
      <c r="B1218" s="727"/>
      <c r="C1218" s="732" t="s">
        <v>88</v>
      </c>
      <c r="D1218" s="719" t="s">
        <v>37</v>
      </c>
      <c r="E1218" s="720">
        <v>0.01</v>
      </c>
      <c r="F1218" s="726">
        <f>F1215*E1218</f>
        <v>0</v>
      </c>
      <c r="G1218" s="731">
        <v>96</v>
      </c>
      <c r="H1218" s="682">
        <f t="shared" ref="H1218" si="164">F1218*G1218</f>
        <v>0</v>
      </c>
      <c r="I1218" s="682"/>
      <c r="J1218" s="682"/>
      <c r="K1218" s="682"/>
      <c r="L1218" s="682"/>
      <c r="M1218" s="682">
        <f t="shared" si="163"/>
        <v>0</v>
      </c>
      <c r="N1218"/>
    </row>
    <row r="1219" spans="1:14" ht="15.75" hidden="1" customHeight="1" x14ac:dyDescent="0.25">
      <c r="A1219" s="1256"/>
      <c r="B1219" s="727"/>
      <c r="C1219" s="732" t="s">
        <v>50</v>
      </c>
      <c r="D1219" s="719" t="s">
        <v>4</v>
      </c>
      <c r="E1219" s="720">
        <v>3.3999999999999998E-3</v>
      </c>
      <c r="F1219" s="726">
        <f>F1215*E1219</f>
        <v>0</v>
      </c>
      <c r="G1219" s="731">
        <v>4</v>
      </c>
      <c r="H1219" s="682">
        <f>F1219*G1219</f>
        <v>0</v>
      </c>
      <c r="I1219" s="682"/>
      <c r="J1219" s="682"/>
      <c r="K1219" s="682"/>
      <c r="L1219" s="682"/>
      <c r="M1219" s="682">
        <f t="shared" si="163"/>
        <v>0</v>
      </c>
      <c r="N1219"/>
    </row>
    <row r="1220" spans="1:14" ht="78.75" hidden="1" customHeight="1" x14ac:dyDescent="0.25">
      <c r="A1220" s="1254" t="s">
        <v>89</v>
      </c>
      <c r="B1220" s="727" t="s">
        <v>722</v>
      </c>
      <c r="C1220" s="728" t="s">
        <v>723</v>
      </c>
      <c r="D1220" s="717" t="s">
        <v>47</v>
      </c>
      <c r="E1220" s="729"/>
      <c r="F1220" s="730">
        <f>F1209</f>
        <v>0</v>
      </c>
      <c r="G1220" s="731"/>
      <c r="H1220" s="682"/>
      <c r="I1220" s="682"/>
      <c r="J1220" s="682"/>
      <c r="K1220" s="682"/>
      <c r="L1220" s="682"/>
      <c r="M1220" s="682"/>
      <c r="N1220"/>
    </row>
    <row r="1221" spans="1:14" ht="15.75" hidden="1" customHeight="1" x14ac:dyDescent="0.25">
      <c r="A1221" s="1255"/>
      <c r="B1221" s="727"/>
      <c r="C1221" s="732" t="s">
        <v>36</v>
      </c>
      <c r="D1221" s="719" t="s">
        <v>47</v>
      </c>
      <c r="E1221" s="720">
        <v>0.65800000000000003</v>
      </c>
      <c r="F1221" s="726">
        <f>F1220*E1221</f>
        <v>0</v>
      </c>
      <c r="G1221" s="731"/>
      <c r="H1221" s="682"/>
      <c r="I1221" s="682">
        <v>7.8</v>
      </c>
      <c r="J1221" s="682">
        <f>F1221*I1221</f>
        <v>0</v>
      </c>
      <c r="K1221" s="682"/>
      <c r="L1221" s="682"/>
      <c r="M1221" s="223">
        <f t="shared" ref="M1221:M1224" si="165">H1221+J1221+L1221</f>
        <v>0</v>
      </c>
      <c r="N1221"/>
    </row>
    <row r="1222" spans="1:14" ht="15.75" hidden="1" customHeight="1" x14ac:dyDescent="0.25">
      <c r="A1222" s="1255"/>
      <c r="B1222" s="727"/>
      <c r="C1222" s="732" t="s">
        <v>5</v>
      </c>
      <c r="D1222" s="719" t="s">
        <v>4</v>
      </c>
      <c r="E1222" s="720">
        <v>0.01</v>
      </c>
      <c r="F1222" s="726">
        <f>F1220*E1222</f>
        <v>0</v>
      </c>
      <c r="G1222" s="731"/>
      <c r="H1222" s="682"/>
      <c r="I1222" s="682"/>
      <c r="J1222" s="682"/>
      <c r="K1222" s="682">
        <v>4</v>
      </c>
      <c r="L1222" s="682">
        <f>F1222*K1222</f>
        <v>0</v>
      </c>
      <c r="M1222" s="223">
        <f t="shared" si="165"/>
        <v>0</v>
      </c>
      <c r="N1222"/>
    </row>
    <row r="1223" spans="1:14" ht="31.5" hidden="1" customHeight="1" x14ac:dyDescent="0.25">
      <c r="A1223" s="1255"/>
      <c r="B1223" s="727"/>
      <c r="C1223" s="732" t="s">
        <v>724</v>
      </c>
      <c r="D1223" s="719" t="s">
        <v>2</v>
      </c>
      <c r="E1223" s="720">
        <v>0.63</v>
      </c>
      <c r="F1223" s="726">
        <f>F1220*E1223</f>
        <v>0</v>
      </c>
      <c r="G1223" s="731">
        <v>5</v>
      </c>
      <c r="H1223" s="223">
        <f t="shared" ref="H1223:H1224" si="166">F1223*G1223</f>
        <v>0</v>
      </c>
      <c r="I1223" s="223"/>
      <c r="J1223" s="223"/>
      <c r="K1223" s="223"/>
      <c r="L1223" s="223"/>
      <c r="M1223" s="223">
        <f t="shared" si="165"/>
        <v>0</v>
      </c>
      <c r="N1223"/>
    </row>
    <row r="1224" spans="1:14" ht="15.75" hidden="1" customHeight="1" x14ac:dyDescent="0.25">
      <c r="A1224" s="1256"/>
      <c r="B1224" s="727"/>
      <c r="C1224" s="732" t="s">
        <v>50</v>
      </c>
      <c r="D1224" s="719" t="s">
        <v>4</v>
      </c>
      <c r="E1224" s="720">
        <v>1.6E-2</v>
      </c>
      <c r="F1224" s="726">
        <f>F1220*E1224</f>
        <v>0</v>
      </c>
      <c r="G1224" s="731">
        <v>4</v>
      </c>
      <c r="H1224" s="223">
        <f t="shared" si="166"/>
        <v>0</v>
      </c>
      <c r="I1224" s="223"/>
      <c r="J1224" s="223"/>
      <c r="K1224" s="223"/>
      <c r="L1224" s="223"/>
      <c r="M1224" s="223">
        <f t="shared" si="165"/>
        <v>0</v>
      </c>
      <c r="N1224"/>
    </row>
    <row r="1225" spans="1:14" ht="63" hidden="1" customHeight="1" x14ac:dyDescent="0.25">
      <c r="A1225" s="1257" t="s">
        <v>90</v>
      </c>
      <c r="B1225" s="733" t="s">
        <v>725</v>
      </c>
      <c r="C1225" s="718" t="s">
        <v>726</v>
      </c>
      <c r="D1225" s="719" t="s">
        <v>47</v>
      </c>
      <c r="E1225" s="720"/>
      <c r="F1225" s="721">
        <v>0</v>
      </c>
      <c r="G1225" s="682"/>
      <c r="H1225" s="682"/>
      <c r="I1225" s="682"/>
      <c r="J1225" s="682"/>
      <c r="K1225" s="682"/>
      <c r="L1225" s="682"/>
      <c r="M1225" s="682"/>
      <c r="N1225"/>
    </row>
    <row r="1226" spans="1:14" ht="15.75" hidden="1" customHeight="1" x14ac:dyDescent="0.25">
      <c r="A1226" s="1257"/>
      <c r="B1226" s="733"/>
      <c r="C1226" s="734" t="s">
        <v>36</v>
      </c>
      <c r="D1226" s="735" t="s">
        <v>6</v>
      </c>
      <c r="E1226" s="736">
        <v>11.9</v>
      </c>
      <c r="F1226" s="737">
        <f>F1225*E1226</f>
        <v>0</v>
      </c>
      <c r="G1226" s="223"/>
      <c r="H1226" s="223"/>
      <c r="I1226" s="223">
        <v>7.8</v>
      </c>
      <c r="J1226" s="223">
        <f>F1226*I1226</f>
        <v>0</v>
      </c>
      <c r="K1226" s="223"/>
      <c r="L1226" s="223"/>
      <c r="M1226" s="223">
        <f>H1226+J1226+L1226</f>
        <v>0</v>
      </c>
      <c r="N1226"/>
    </row>
    <row r="1227" spans="1:14" ht="15.75" hidden="1" customHeight="1" x14ac:dyDescent="0.25">
      <c r="A1227" s="1257"/>
      <c r="B1227" s="733"/>
      <c r="C1227" s="734" t="s">
        <v>17</v>
      </c>
      <c r="D1227" s="735" t="s">
        <v>4</v>
      </c>
      <c r="E1227" s="736">
        <v>0.17</v>
      </c>
      <c r="F1227" s="737">
        <f>F1225*E1227</f>
        <v>0</v>
      </c>
      <c r="G1227" s="223"/>
      <c r="H1227" s="223"/>
      <c r="I1227" s="223"/>
      <c r="J1227" s="223"/>
      <c r="K1227" s="223">
        <v>4</v>
      </c>
      <c r="L1227" s="223">
        <f>F1227*K1227</f>
        <v>0</v>
      </c>
      <c r="M1227" s="223">
        <f>H1227+J1227+L1227</f>
        <v>0</v>
      </c>
      <c r="N1227"/>
    </row>
    <row r="1228" spans="1:14" ht="31.5" hidden="1" customHeight="1" x14ac:dyDescent="0.25">
      <c r="A1228" s="1257"/>
      <c r="B1228" s="733"/>
      <c r="C1228" s="734" t="s">
        <v>727</v>
      </c>
      <c r="D1228" s="735" t="s">
        <v>47</v>
      </c>
      <c r="E1228" s="736">
        <v>1</v>
      </c>
      <c r="F1228" s="737">
        <f>F1225*E1228</f>
        <v>0</v>
      </c>
      <c r="G1228" s="223">
        <v>35</v>
      </c>
      <c r="H1228" s="223">
        <f>F1228*G1228</f>
        <v>0</v>
      </c>
      <c r="I1228" s="223"/>
      <c r="J1228" s="223"/>
      <c r="K1228" s="223"/>
      <c r="L1228" s="223"/>
      <c r="M1228" s="223">
        <f>H1228+J1228+L1228</f>
        <v>0</v>
      </c>
      <c r="N1228"/>
    </row>
    <row r="1229" spans="1:14" ht="15.75" hidden="1" customHeight="1" x14ac:dyDescent="0.25">
      <c r="A1229" s="1257"/>
      <c r="B1229" s="733"/>
      <c r="C1229" s="734" t="s">
        <v>88</v>
      </c>
      <c r="D1229" s="735" t="s">
        <v>37</v>
      </c>
      <c r="E1229" s="736">
        <v>3.6999999999999998E-2</v>
      </c>
      <c r="F1229" s="737">
        <f>F1225*E1229</f>
        <v>0</v>
      </c>
      <c r="G1229" s="223">
        <v>96</v>
      </c>
      <c r="H1229" s="223">
        <f>F1229*G1229</f>
        <v>0</v>
      </c>
      <c r="I1229" s="223"/>
      <c r="J1229" s="223"/>
      <c r="K1229" s="223"/>
      <c r="L1229" s="223"/>
      <c r="M1229" s="223">
        <f>H1229+J1229+L1229</f>
        <v>0</v>
      </c>
      <c r="N1229"/>
    </row>
    <row r="1230" spans="1:14" ht="15.75" hidden="1" customHeight="1" x14ac:dyDescent="0.25">
      <c r="A1230" s="1257"/>
      <c r="B1230" s="733"/>
      <c r="C1230" s="734" t="s">
        <v>50</v>
      </c>
      <c r="D1230" s="735" t="s">
        <v>4</v>
      </c>
      <c r="E1230" s="736">
        <v>0.1</v>
      </c>
      <c r="F1230" s="737">
        <f>F1225*E1230</f>
        <v>0</v>
      </c>
      <c r="G1230" s="223">
        <v>4</v>
      </c>
      <c r="H1230" s="223">
        <f>F1230*G1230</f>
        <v>0</v>
      </c>
      <c r="I1230" s="223"/>
      <c r="J1230" s="223"/>
      <c r="K1230" s="223"/>
      <c r="L1230" s="223"/>
      <c r="M1230" s="223">
        <f>H1230+J1230+L1230</f>
        <v>0</v>
      </c>
      <c r="N1230"/>
    </row>
    <row r="1231" spans="1:14" ht="47.25" hidden="1" customHeight="1" x14ac:dyDescent="0.25">
      <c r="A1231" s="1254" t="s">
        <v>82</v>
      </c>
      <c r="B1231" s="733" t="s">
        <v>728</v>
      </c>
      <c r="C1231" s="738" t="s">
        <v>729</v>
      </c>
      <c r="D1231" s="719" t="s">
        <v>41</v>
      </c>
      <c r="E1231" s="720"/>
      <c r="F1231" s="721">
        <v>0</v>
      </c>
      <c r="G1231" s="682"/>
      <c r="H1231" s="682"/>
      <c r="I1231" s="682"/>
      <c r="J1231" s="682"/>
      <c r="K1231" s="682"/>
      <c r="L1231" s="682"/>
      <c r="M1231" s="682"/>
      <c r="N1231"/>
    </row>
    <row r="1232" spans="1:14" ht="15.75" hidden="1" customHeight="1" x14ac:dyDescent="0.25">
      <c r="A1232" s="1255"/>
      <c r="B1232" s="733"/>
      <c r="C1232" s="739"/>
      <c r="D1232" s="719" t="s">
        <v>47</v>
      </c>
      <c r="E1232" s="720"/>
      <c r="F1232" s="721">
        <f>F1231*0.6</f>
        <v>0</v>
      </c>
      <c r="G1232" s="682"/>
      <c r="H1232" s="682"/>
      <c r="I1232" s="682"/>
      <c r="J1232" s="682"/>
      <c r="K1232" s="682"/>
      <c r="L1232" s="682"/>
      <c r="M1232" s="682"/>
      <c r="N1232"/>
    </row>
    <row r="1233" spans="1:14" ht="15.75" hidden="1" customHeight="1" x14ac:dyDescent="0.25">
      <c r="A1233" s="1255"/>
      <c r="B1233" s="733"/>
      <c r="C1233" s="734" t="s">
        <v>36</v>
      </c>
      <c r="D1233" s="735" t="s">
        <v>6</v>
      </c>
      <c r="E1233" s="736">
        <v>7.6</v>
      </c>
      <c r="F1233" s="737">
        <f>F1232*E1233</f>
        <v>0</v>
      </c>
      <c r="G1233" s="223"/>
      <c r="H1233" s="223"/>
      <c r="I1233" s="223">
        <v>7.8</v>
      </c>
      <c r="J1233" s="223">
        <f>F1233*I1233</f>
        <v>0</v>
      </c>
      <c r="K1233" s="223"/>
      <c r="L1233" s="223"/>
      <c r="M1233" s="223">
        <f>H1233+J1233+L1233</f>
        <v>0</v>
      </c>
      <c r="N1233"/>
    </row>
    <row r="1234" spans="1:14" ht="15.75" hidden="1" customHeight="1" x14ac:dyDescent="0.25">
      <c r="A1234" s="1255"/>
      <c r="B1234" s="733"/>
      <c r="C1234" s="734" t="s">
        <v>17</v>
      </c>
      <c r="D1234" s="735" t="s">
        <v>4</v>
      </c>
      <c r="E1234" s="736">
        <v>0.2</v>
      </c>
      <c r="F1234" s="737">
        <f>F1232*E1234</f>
        <v>0</v>
      </c>
      <c r="G1234" s="223"/>
      <c r="H1234" s="223"/>
      <c r="I1234" s="223"/>
      <c r="J1234" s="223"/>
      <c r="K1234" s="223">
        <v>4</v>
      </c>
      <c r="L1234" s="223">
        <f>F1234*K1234</f>
        <v>0</v>
      </c>
      <c r="M1234" s="223">
        <f>H1234+J1234+L1234</f>
        <v>0</v>
      </c>
      <c r="N1234"/>
    </row>
    <row r="1235" spans="1:14" ht="31.5" hidden="1" customHeight="1" x14ac:dyDescent="0.25">
      <c r="A1235" s="1255"/>
      <c r="B1235" s="733"/>
      <c r="C1235" s="734" t="s">
        <v>730</v>
      </c>
      <c r="D1235" s="735" t="s">
        <v>47</v>
      </c>
      <c r="E1235" s="736">
        <v>1</v>
      </c>
      <c r="F1235" s="737">
        <f>F1232*E1235</f>
        <v>0</v>
      </c>
      <c r="G1235" s="223">
        <v>40</v>
      </c>
      <c r="H1235" s="223">
        <f>F1235*G1235</f>
        <v>0</v>
      </c>
      <c r="I1235" s="223"/>
      <c r="J1235" s="223"/>
      <c r="K1235" s="223"/>
      <c r="L1235" s="223"/>
      <c r="M1235" s="223">
        <f>H1235+J1235+L1235</f>
        <v>0</v>
      </c>
      <c r="N1235"/>
    </row>
    <row r="1236" spans="1:14" ht="15.75" hidden="1" customHeight="1" x14ac:dyDescent="0.25">
      <c r="A1236" s="1255"/>
      <c r="B1236" s="733"/>
      <c r="C1236" s="734" t="s">
        <v>286</v>
      </c>
      <c r="D1236" s="735" t="s">
        <v>37</v>
      </c>
      <c r="E1236" s="736">
        <v>3.5999999999999997E-2</v>
      </c>
      <c r="F1236" s="737">
        <f>F1232*E1236</f>
        <v>0</v>
      </c>
      <c r="G1236" s="223">
        <v>96</v>
      </c>
      <c r="H1236" s="223">
        <f>F1236*G1236</f>
        <v>0</v>
      </c>
      <c r="I1236" s="223"/>
      <c r="J1236" s="223"/>
      <c r="K1236" s="223"/>
      <c r="L1236" s="223"/>
      <c r="M1236" s="223">
        <f>H1236+J1236+L1236</f>
        <v>0</v>
      </c>
      <c r="N1236"/>
    </row>
    <row r="1237" spans="1:14" ht="15.75" hidden="1" customHeight="1" x14ac:dyDescent="0.25">
      <c r="A1237" s="1256"/>
      <c r="B1237" s="733"/>
      <c r="C1237" s="734" t="s">
        <v>50</v>
      </c>
      <c r="D1237" s="735" t="s">
        <v>4</v>
      </c>
      <c r="E1237" s="736">
        <v>0.09</v>
      </c>
      <c r="F1237" s="737">
        <f>F1232*E1237</f>
        <v>0</v>
      </c>
      <c r="G1237" s="223">
        <v>4</v>
      </c>
      <c r="H1237" s="223">
        <f>F1237*G1237</f>
        <v>0</v>
      </c>
      <c r="I1237" s="223"/>
      <c r="J1237" s="223"/>
      <c r="K1237" s="223"/>
      <c r="L1237" s="223"/>
      <c r="M1237" s="223">
        <f>H1237+J1237+L1237</f>
        <v>0</v>
      </c>
      <c r="N1237" s="715">
        <f>SUM(M1179:M1237)</f>
        <v>0</v>
      </c>
    </row>
    <row r="1238" spans="1:14" s="73" customFormat="1" ht="47.25" x14ac:dyDescent="0.3">
      <c r="A1238" s="1254" t="s">
        <v>601</v>
      </c>
      <c r="B1238" s="733" t="s">
        <v>728</v>
      </c>
      <c r="C1238" s="738" t="s">
        <v>737</v>
      </c>
      <c r="D1238" s="719"/>
      <c r="E1238" s="720"/>
      <c r="F1238" s="721"/>
      <c r="G1238" s="682"/>
      <c r="H1238" s="682"/>
      <c r="I1238" s="682"/>
      <c r="J1238" s="682"/>
      <c r="K1238" s="682"/>
      <c r="L1238" s="682"/>
      <c r="M1238" s="682"/>
      <c r="N1238" s="241"/>
    </row>
    <row r="1239" spans="1:14" s="73" customFormat="1" ht="16.5" x14ac:dyDescent="0.3">
      <c r="A1239" s="1255"/>
      <c r="B1239" s="733"/>
      <c r="C1239" s="739"/>
      <c r="D1239" s="719" t="s">
        <v>47</v>
      </c>
      <c r="E1239" s="720"/>
      <c r="F1239" s="721">
        <f>F1136*(0.7+0.6)</f>
        <v>90.999999999999986</v>
      </c>
      <c r="G1239" s="682"/>
      <c r="H1239" s="682"/>
      <c r="I1239" s="682"/>
      <c r="J1239" s="682"/>
      <c r="K1239" s="682"/>
      <c r="L1239" s="682"/>
      <c r="M1239" s="682"/>
      <c r="N1239" s="241"/>
    </row>
    <row r="1240" spans="1:14" s="73" customFormat="1" ht="16.5" x14ac:dyDescent="0.3">
      <c r="A1240" s="1255"/>
      <c r="B1240" s="733"/>
      <c r="C1240" s="734" t="s">
        <v>36</v>
      </c>
      <c r="D1240" s="735" t="s">
        <v>6</v>
      </c>
      <c r="E1240" s="736">
        <v>7.6</v>
      </c>
      <c r="F1240" s="737">
        <f>F1239*E1240</f>
        <v>691.59999999999991</v>
      </c>
      <c r="G1240" s="223"/>
      <c r="H1240" s="223"/>
      <c r="I1240" s="223"/>
      <c r="J1240" s="223">
        <f>F1240*I1240</f>
        <v>0</v>
      </c>
      <c r="K1240" s="223"/>
      <c r="L1240" s="223"/>
      <c r="M1240" s="223">
        <f>H1240+J1240+L1240</f>
        <v>0</v>
      </c>
      <c r="N1240" s="241"/>
    </row>
    <row r="1241" spans="1:14" s="73" customFormat="1" ht="16.5" x14ac:dyDescent="0.3">
      <c r="A1241" s="1255"/>
      <c r="B1241" s="733"/>
      <c r="C1241" s="734" t="s">
        <v>17</v>
      </c>
      <c r="D1241" s="735" t="s">
        <v>4</v>
      </c>
      <c r="E1241" s="736">
        <v>0.2</v>
      </c>
      <c r="F1241" s="737">
        <f>F1239*E1241</f>
        <v>18.2</v>
      </c>
      <c r="G1241" s="223"/>
      <c r="H1241" s="223"/>
      <c r="I1241" s="223"/>
      <c r="J1241" s="223"/>
      <c r="K1241" s="223"/>
      <c r="L1241" s="223">
        <f>F1241*K1241</f>
        <v>0</v>
      </c>
      <c r="M1241" s="223">
        <f>H1241+J1241+L1241</f>
        <v>0</v>
      </c>
      <c r="N1241" s="241"/>
    </row>
    <row r="1242" spans="1:14" s="73" customFormat="1" ht="16.5" x14ac:dyDescent="0.3">
      <c r="A1242" s="1255"/>
      <c r="B1242" s="733"/>
      <c r="C1242" s="734" t="s">
        <v>730</v>
      </c>
      <c r="D1242" s="735" t="s">
        <v>47</v>
      </c>
      <c r="E1242" s="736">
        <v>1</v>
      </c>
      <c r="F1242" s="737">
        <f>F1239*E1242</f>
        <v>90.999999999999986</v>
      </c>
      <c r="G1242" s="223"/>
      <c r="H1242" s="223">
        <f>F1242*G1242</f>
        <v>0</v>
      </c>
      <c r="I1242" s="223"/>
      <c r="J1242" s="223"/>
      <c r="K1242" s="223"/>
      <c r="L1242" s="223"/>
      <c r="M1242" s="223">
        <f>H1242+J1242+L1242</f>
        <v>0</v>
      </c>
      <c r="N1242" s="241"/>
    </row>
    <row r="1243" spans="1:14" s="73" customFormat="1" ht="16.5" x14ac:dyDescent="0.3">
      <c r="A1243" s="1255"/>
      <c r="B1243" s="733"/>
      <c r="C1243" s="734" t="s">
        <v>286</v>
      </c>
      <c r="D1243" s="735" t="s">
        <v>37</v>
      </c>
      <c r="E1243" s="736">
        <v>3.5999999999999997E-2</v>
      </c>
      <c r="F1243" s="737">
        <f>F1239*E1243</f>
        <v>3.2759999999999994</v>
      </c>
      <c r="G1243" s="223"/>
      <c r="H1243" s="223">
        <f>F1243*G1243</f>
        <v>0</v>
      </c>
      <c r="I1243" s="223"/>
      <c r="J1243" s="223"/>
      <c r="K1243" s="223"/>
      <c r="L1243" s="223"/>
      <c r="M1243" s="223">
        <f>H1243+J1243+L1243</f>
        <v>0</v>
      </c>
      <c r="N1243" s="241"/>
    </row>
    <row r="1244" spans="1:14" s="73" customFormat="1" ht="16.5" x14ac:dyDescent="0.3">
      <c r="A1244" s="1256"/>
      <c r="B1244" s="733"/>
      <c r="C1244" s="734" t="s">
        <v>50</v>
      </c>
      <c r="D1244" s="735" t="s">
        <v>4</v>
      </c>
      <c r="E1244" s="736">
        <v>0.09</v>
      </c>
      <c r="F1244" s="737">
        <f>F1239*E1244</f>
        <v>8.1899999999999977</v>
      </c>
      <c r="G1244" s="223"/>
      <c r="H1244" s="223">
        <f>F1244*G1244</f>
        <v>0</v>
      </c>
      <c r="I1244" s="223"/>
      <c r="J1244" s="223"/>
      <c r="K1244" s="223"/>
      <c r="L1244" s="223"/>
      <c r="M1244" s="223">
        <f>H1244+J1244+L1244</f>
        <v>0</v>
      </c>
      <c r="N1244" s="900">
        <f>SUM(M1135:M1244)</f>
        <v>0</v>
      </c>
    </row>
    <row r="1245" spans="1:14" s="73" customFormat="1" ht="16.5" x14ac:dyDescent="0.3">
      <c r="A1245" s="368"/>
      <c r="B1245" s="484"/>
      <c r="C1245" s="632"/>
      <c r="D1245" s="87"/>
      <c r="E1245" s="23"/>
      <c r="F1245" s="23"/>
      <c r="G1245" s="514"/>
      <c r="H1245" s="514"/>
      <c r="I1245" s="514"/>
      <c r="J1245" s="514"/>
      <c r="K1245" s="514"/>
      <c r="L1245" s="514"/>
      <c r="M1245" s="514"/>
      <c r="N1245" s="241"/>
    </row>
    <row r="1246" spans="1:14" s="79" customFormat="1" ht="78.75" x14ac:dyDescent="0.3">
      <c r="A1246" s="1258" t="s">
        <v>698</v>
      </c>
      <c r="B1246" s="225" t="s">
        <v>136</v>
      </c>
      <c r="C1246" s="62" t="s">
        <v>271</v>
      </c>
      <c r="D1246" s="9" t="s">
        <v>11</v>
      </c>
      <c r="E1246" s="382"/>
      <c r="F1246" s="23">
        <v>10</v>
      </c>
      <c r="G1246" s="383"/>
      <c r="H1246" s="383"/>
      <c r="I1246" s="383"/>
      <c r="J1246" s="383"/>
      <c r="K1246" s="383"/>
      <c r="L1246" s="383"/>
      <c r="M1246" s="383"/>
      <c r="N1246" s="242"/>
    </row>
    <row r="1247" spans="1:14" s="79" customFormat="1" ht="16.5" x14ac:dyDescent="0.3">
      <c r="A1247" s="1258"/>
      <c r="B1247" s="224"/>
      <c r="C1247" s="125" t="s">
        <v>54</v>
      </c>
      <c r="D1247" s="45" t="s">
        <v>6</v>
      </c>
      <c r="E1247" s="82">
        <v>0.6</v>
      </c>
      <c r="F1247" s="46">
        <f>F1246*E1247</f>
        <v>6</v>
      </c>
      <c r="G1247" s="19"/>
      <c r="H1247" s="383"/>
      <c r="I1247" s="19"/>
      <c r="J1247" s="383">
        <f>F1247*I1247</f>
        <v>0</v>
      </c>
      <c r="K1247" s="383"/>
      <c r="L1247" s="383"/>
      <c r="M1247" s="383">
        <f>H1247+J1247+L1247</f>
        <v>0</v>
      </c>
      <c r="N1247" s="242"/>
    </row>
    <row r="1248" spans="1:14" s="79" customFormat="1" ht="31.5" x14ac:dyDescent="0.3">
      <c r="A1248" s="1258"/>
      <c r="B1248" s="83" t="s">
        <v>91</v>
      </c>
      <c r="C1248" s="126" t="s">
        <v>55</v>
      </c>
      <c r="D1248" s="9" t="s">
        <v>38</v>
      </c>
      <c r="E1248" s="82"/>
      <c r="F1248" s="84">
        <f>F1246*1.65</f>
        <v>16.5</v>
      </c>
      <c r="G1248" s="19"/>
      <c r="H1248" s="383"/>
      <c r="I1248" s="19"/>
      <c r="J1248" s="383"/>
      <c r="K1248" s="19"/>
      <c r="L1248" s="383"/>
      <c r="M1248" s="383"/>
      <c r="N1248" s="242"/>
    </row>
    <row r="1249" spans="1:14" s="79" customFormat="1" ht="16.5" x14ac:dyDescent="0.3">
      <c r="A1249" s="1258"/>
      <c r="B1249" s="362"/>
      <c r="C1249" s="44" t="s">
        <v>56</v>
      </c>
      <c r="D1249" s="45" t="s">
        <v>6</v>
      </c>
      <c r="E1249" s="82">
        <v>0.53</v>
      </c>
      <c r="F1249" s="46">
        <f>F1248*E1249</f>
        <v>8.745000000000001</v>
      </c>
      <c r="G1249" s="19"/>
      <c r="H1249" s="383"/>
      <c r="I1249" s="19"/>
      <c r="J1249" s="383">
        <f>F1249*I1249</f>
        <v>0</v>
      </c>
      <c r="K1249" s="19"/>
      <c r="L1249" s="383"/>
      <c r="M1249" s="383">
        <f>H1249+J1249+L1249</f>
        <v>0</v>
      </c>
      <c r="N1249" s="242"/>
    </row>
    <row r="1250" spans="1:14" s="79" customFormat="1" ht="16.5" x14ac:dyDescent="0.3">
      <c r="A1250" s="1258"/>
      <c r="B1250" s="224" t="s">
        <v>137</v>
      </c>
      <c r="C1250" s="127" t="s">
        <v>822</v>
      </c>
      <c r="D1250" s="9" t="s">
        <v>38</v>
      </c>
      <c r="E1250" s="82"/>
      <c r="F1250" s="84">
        <f>F1248</f>
        <v>16.5</v>
      </c>
      <c r="G1250" s="19"/>
      <c r="H1250" s="383"/>
      <c r="I1250" s="19"/>
      <c r="J1250" s="383"/>
      <c r="K1250" s="18"/>
      <c r="L1250" s="383">
        <f>F1250*K1250</f>
        <v>0</v>
      </c>
      <c r="M1250" s="383">
        <f>H1250+J1250+L1250</f>
        <v>0</v>
      </c>
      <c r="N1250" s="900">
        <f>SUM(M1246:M1250)</f>
        <v>0</v>
      </c>
    </row>
    <row r="1251" spans="1:14" s="79" customFormat="1" ht="16.5" x14ac:dyDescent="0.3">
      <c r="A1251" s="1109"/>
      <c r="B1251" s="224"/>
      <c r="C1251" s="62"/>
      <c r="D1251" s="9"/>
      <c r="E1251" s="382"/>
      <c r="F1251" s="382"/>
      <c r="G1251" s="383"/>
      <c r="H1251" s="383"/>
      <c r="I1251" s="383"/>
      <c r="J1251" s="383"/>
      <c r="K1251" s="383"/>
      <c r="L1251" s="383"/>
      <c r="M1251" s="383"/>
      <c r="N1251" s="242"/>
    </row>
    <row r="1252" spans="1:14" s="73" customFormat="1" ht="27" customHeight="1" x14ac:dyDescent="0.25">
      <c r="A1252" s="370"/>
      <c r="B1252" s="339"/>
      <c r="C1252" s="329" t="s">
        <v>1342</v>
      </c>
      <c r="D1252" s="339"/>
      <c r="E1252" s="340"/>
      <c r="F1252" s="341"/>
      <c r="G1252" s="342"/>
      <c r="H1252" s="342">
        <f>SUM(H8:H1251)</f>
        <v>0</v>
      </c>
      <c r="I1252" s="342"/>
      <c r="J1252" s="342">
        <f>SUM(J8:J1251)</f>
        <v>0</v>
      </c>
      <c r="K1252" s="342"/>
      <c r="L1252" s="342">
        <f>SUM(L8:L1251)</f>
        <v>0</v>
      </c>
      <c r="M1252" s="342">
        <f>SUM(M8:M1251)</f>
        <v>0</v>
      </c>
      <c r="N1252" s="501">
        <f>H1252+J1252+L1252</f>
        <v>0</v>
      </c>
    </row>
    <row r="1253" spans="1:14" s="73" customFormat="1" ht="16.5" x14ac:dyDescent="0.3">
      <c r="A1253" s="371"/>
      <c r="B1253" s="308"/>
      <c r="C1253" s="309" t="s">
        <v>301</v>
      </c>
      <c r="D1253" s="308"/>
      <c r="E1253" s="310"/>
      <c r="F1253" s="1416"/>
      <c r="G1253" s="312"/>
      <c r="H1253" s="312"/>
      <c r="I1253" s="312"/>
      <c r="J1253" s="312"/>
      <c r="K1253" s="312"/>
      <c r="L1253" s="312"/>
      <c r="M1253" s="313">
        <f>H1252*F1253</f>
        <v>0</v>
      </c>
      <c r="N1253" s="241"/>
    </row>
    <row r="1254" spans="1:14" s="73" customFormat="1" ht="16.5" x14ac:dyDescent="0.3">
      <c r="A1254" s="371"/>
      <c r="B1254" s="308"/>
      <c r="C1254" s="314" t="s">
        <v>19</v>
      </c>
      <c r="D1254" s="308"/>
      <c r="E1254" s="310"/>
      <c r="F1254" s="315"/>
      <c r="G1254" s="312"/>
      <c r="H1254" s="312"/>
      <c r="I1254" s="312"/>
      <c r="J1254" s="312"/>
      <c r="K1254" s="312"/>
      <c r="L1254" s="312"/>
      <c r="M1254" s="313">
        <f>M1252+M1253</f>
        <v>0</v>
      </c>
      <c r="N1254" s="241"/>
    </row>
    <row r="1255" spans="1:14" s="73" customFormat="1" ht="16.5" x14ac:dyDescent="0.3">
      <c r="A1255" s="372"/>
      <c r="B1255" s="317"/>
      <c r="C1255" s="318" t="s">
        <v>302</v>
      </c>
      <c r="D1255" s="319"/>
      <c r="E1255" s="320"/>
      <c r="F1255" s="1417"/>
      <c r="G1255" s="305"/>
      <c r="H1255" s="305"/>
      <c r="I1255" s="305"/>
      <c r="J1255" s="305"/>
      <c r="K1255" s="305"/>
      <c r="L1255" s="305"/>
      <c r="M1255" s="305">
        <f>M1254*F1255</f>
        <v>0</v>
      </c>
      <c r="N1255" s="241"/>
    </row>
    <row r="1256" spans="1:14" s="155" customFormat="1" ht="16.5" x14ac:dyDescent="0.3">
      <c r="A1256" s="373"/>
      <c r="B1256" s="322"/>
      <c r="C1256" s="314" t="s">
        <v>19</v>
      </c>
      <c r="D1256" s="323"/>
      <c r="E1256" s="324"/>
      <c r="F1256" s="325"/>
      <c r="G1256" s="306"/>
      <c r="H1256" s="306"/>
      <c r="I1256" s="306"/>
      <c r="J1256" s="306"/>
      <c r="K1256" s="306"/>
      <c r="L1256" s="306"/>
      <c r="M1256" s="306">
        <f>M1254+M1255</f>
        <v>0</v>
      </c>
      <c r="N1256" s="243"/>
    </row>
    <row r="1257" spans="1:14" s="73" customFormat="1" ht="16.5" x14ac:dyDescent="0.3">
      <c r="A1257" s="373"/>
      <c r="B1257" s="322"/>
      <c r="C1257" s="326" t="s">
        <v>78</v>
      </c>
      <c r="D1257" s="323"/>
      <c r="E1257" s="324"/>
      <c r="F1257" s="1418"/>
      <c r="G1257" s="306"/>
      <c r="H1257" s="306"/>
      <c r="I1257" s="306"/>
      <c r="J1257" s="306"/>
      <c r="K1257" s="306"/>
      <c r="L1257" s="306"/>
      <c r="M1257" s="306">
        <f>M1256*F1257</f>
        <v>0</v>
      </c>
      <c r="N1257" s="241"/>
    </row>
    <row r="1258" spans="1:14" s="155" customFormat="1" ht="35.25" customHeight="1" x14ac:dyDescent="0.3">
      <c r="A1258" s="374"/>
      <c r="B1258" s="328"/>
      <c r="C1258" s="329" t="s">
        <v>1346</v>
      </c>
      <c r="D1258" s="330"/>
      <c r="E1258" s="331"/>
      <c r="F1258" s="332"/>
      <c r="G1258" s="333"/>
      <c r="H1258" s="333"/>
      <c r="I1258" s="333"/>
      <c r="J1258" s="333"/>
      <c r="K1258" s="333"/>
      <c r="L1258" s="333"/>
      <c r="M1258" s="1412">
        <f>M1256+M1257</f>
        <v>0</v>
      </c>
      <c r="N1258" s="243"/>
    </row>
    <row r="1259" spans="1:14" s="73" customFormat="1" ht="16.5" x14ac:dyDescent="0.3">
      <c r="A1259" s="373"/>
      <c r="B1259" s="322"/>
      <c r="C1259" s="326" t="s">
        <v>1</v>
      </c>
      <c r="D1259" s="323"/>
      <c r="E1259" s="324"/>
      <c r="F1259" s="334" t="s">
        <v>57</v>
      </c>
      <c r="G1259" s="306"/>
      <c r="H1259" s="306"/>
      <c r="I1259" s="306"/>
      <c r="J1259" s="306"/>
      <c r="K1259" s="306"/>
      <c r="L1259" s="306"/>
      <c r="M1259" s="306">
        <f>M1258*F1259</f>
        <v>0</v>
      </c>
      <c r="N1259" s="241"/>
    </row>
    <row r="1260" spans="1:14" s="73" customFormat="1" ht="16.5" x14ac:dyDescent="0.3">
      <c r="A1260" s="373"/>
      <c r="B1260" s="322"/>
      <c r="C1260" s="346" t="s">
        <v>19</v>
      </c>
      <c r="D1260" s="323"/>
      <c r="E1260" s="324"/>
      <c r="F1260" s="335"/>
      <c r="G1260" s="306"/>
      <c r="H1260" s="306"/>
      <c r="I1260" s="306"/>
      <c r="J1260" s="306"/>
      <c r="K1260" s="306"/>
      <c r="L1260" s="306"/>
      <c r="M1260" s="306">
        <f>M1258+M1259</f>
        <v>0</v>
      </c>
      <c r="N1260" s="241"/>
    </row>
    <row r="1261" spans="1:14" s="73" customFormat="1" ht="31.5" x14ac:dyDescent="0.3">
      <c r="A1261" s="373"/>
      <c r="B1261" s="322"/>
      <c r="C1261" s="347" t="s">
        <v>303</v>
      </c>
      <c r="D1261" s="323"/>
      <c r="E1261" s="324"/>
      <c r="F1261" s="337">
        <v>0.02</v>
      </c>
      <c r="G1261" s="306"/>
      <c r="H1261" s="306"/>
      <c r="I1261" s="306"/>
      <c r="J1261" s="306"/>
      <c r="K1261" s="306"/>
      <c r="L1261" s="306"/>
      <c r="M1261" s="306">
        <f>J1252*F1261</f>
        <v>0</v>
      </c>
      <c r="N1261" s="241"/>
    </row>
    <row r="1262" spans="1:14" s="73" customFormat="1" ht="16.5" x14ac:dyDescent="0.3">
      <c r="A1262" s="373"/>
      <c r="B1262" s="322"/>
      <c r="C1262" s="346" t="s">
        <v>19</v>
      </c>
      <c r="D1262" s="323"/>
      <c r="E1262" s="324"/>
      <c r="F1262" s="335"/>
      <c r="G1262" s="306"/>
      <c r="H1262" s="306"/>
      <c r="I1262" s="306"/>
      <c r="J1262" s="306"/>
      <c r="K1262" s="306"/>
      <c r="L1262" s="306"/>
      <c r="M1262" s="306">
        <f>M1260+M1261</f>
        <v>0</v>
      </c>
      <c r="N1262" s="241"/>
    </row>
    <row r="1263" spans="1:14" s="73" customFormat="1" ht="16.5" x14ac:dyDescent="0.3">
      <c r="A1263" s="373"/>
      <c r="B1263" s="322"/>
      <c r="C1263" s="348" t="s">
        <v>304</v>
      </c>
      <c r="D1263" s="323"/>
      <c r="E1263" s="324"/>
      <c r="F1263" s="334" t="s">
        <v>58</v>
      </c>
      <c r="G1263" s="306"/>
      <c r="H1263" s="306"/>
      <c r="I1263" s="306"/>
      <c r="J1263" s="306"/>
      <c r="K1263" s="306"/>
      <c r="L1263" s="306"/>
      <c r="M1263" s="306">
        <f>M1262*F1263</f>
        <v>0</v>
      </c>
      <c r="N1263" s="241"/>
    </row>
    <row r="1264" spans="1:14" s="73" customFormat="1" ht="32.25" customHeight="1" x14ac:dyDescent="0.3">
      <c r="A1264" s="370"/>
      <c r="B1264" s="339"/>
      <c r="C1264" s="329" t="s">
        <v>1346</v>
      </c>
      <c r="D1264" s="339"/>
      <c r="E1264" s="340"/>
      <c r="F1264" s="341"/>
      <c r="G1264" s="342"/>
      <c r="H1264" s="342"/>
      <c r="I1264" s="342"/>
      <c r="J1264" s="342"/>
      <c r="K1264" s="342"/>
      <c r="L1264" s="342"/>
      <c r="M1264" s="342">
        <f>M1262+M1263</f>
        <v>0</v>
      </c>
      <c r="N1264" s="241"/>
    </row>
    <row r="1265" spans="1:14" s="73" customFormat="1" ht="16.5" x14ac:dyDescent="0.3">
      <c r="A1265" s="375"/>
      <c r="B1265" s="74"/>
      <c r="D1265" s="74"/>
      <c r="E1265" s="156"/>
      <c r="F1265" s="156"/>
      <c r="G1265" s="88"/>
      <c r="H1265" s="98"/>
      <c r="I1265" s="98"/>
      <c r="J1265" s="88"/>
      <c r="K1265" s="88"/>
      <c r="L1265" s="88"/>
      <c r="M1265" s="88"/>
      <c r="N1265" s="241"/>
    </row>
    <row r="1266" spans="1:14" s="73" customFormat="1" ht="16.5" x14ac:dyDescent="0.3">
      <c r="A1266" s="375"/>
      <c r="B1266" s="74"/>
      <c r="C1266" s="116"/>
      <c r="D1266" s="157"/>
      <c r="E1266" s="158"/>
      <c r="F1266" s="156"/>
      <c r="G1266" s="88"/>
      <c r="H1266" s="88"/>
      <c r="I1266" s="88"/>
      <c r="J1266" s="88"/>
      <c r="K1266" s="88"/>
      <c r="L1266" s="88"/>
      <c r="M1266" s="88"/>
      <c r="N1266" s="241"/>
    </row>
  </sheetData>
  <mergeCells count="208">
    <mergeCell ref="A1120:A1122"/>
    <mergeCell ref="A1123:A1124"/>
    <mergeCell ref="A1125:A1127"/>
    <mergeCell ref="A1128:A1133"/>
    <mergeCell ref="A1080:A1081"/>
    <mergeCell ref="A1082:A1083"/>
    <mergeCell ref="A1085:A1089"/>
    <mergeCell ref="A1090:A1098"/>
    <mergeCell ref="A1099:A1103"/>
    <mergeCell ref="A1106:A1107"/>
    <mergeCell ref="A1108:A1110"/>
    <mergeCell ref="A1111:A1113"/>
    <mergeCell ref="A1114:A1119"/>
    <mergeCell ref="A319:A378"/>
    <mergeCell ref="A379:A384"/>
    <mergeCell ref="A385:A392"/>
    <mergeCell ref="B385:B387"/>
    <mergeCell ref="A393:A396"/>
    <mergeCell ref="B320:B324"/>
    <mergeCell ref="B325:B329"/>
    <mergeCell ref="B330:B340"/>
    <mergeCell ref="B341:B351"/>
    <mergeCell ref="B352:B362"/>
    <mergeCell ref="A884:A885"/>
    <mergeCell ref="A886:A887"/>
    <mergeCell ref="A889:A893"/>
    <mergeCell ref="A837:A841"/>
    <mergeCell ref="A842:A846"/>
    <mergeCell ref="A847:A854"/>
    <mergeCell ref="A855:A874"/>
    <mergeCell ref="B856:B857"/>
    <mergeCell ref="A967:A972"/>
    <mergeCell ref="A939:A944"/>
    <mergeCell ref="A945:A950"/>
    <mergeCell ref="A951:A957"/>
    <mergeCell ref="A958:A961"/>
    <mergeCell ref="A962:A966"/>
    <mergeCell ref="A894:A902"/>
    <mergeCell ref="A903:A920"/>
    <mergeCell ref="A923:A929"/>
    <mergeCell ref="A930:A933"/>
    <mergeCell ref="A934:A937"/>
    <mergeCell ref="A832:A833"/>
    <mergeCell ref="A834:A836"/>
    <mergeCell ref="A770:A779"/>
    <mergeCell ref="A780:A788"/>
    <mergeCell ref="A789:A808"/>
    <mergeCell ref="A809:A814"/>
    <mergeCell ref="A815:A818"/>
    <mergeCell ref="C856:C857"/>
    <mergeCell ref="A875:A880"/>
    <mergeCell ref="A761:A769"/>
    <mergeCell ref="A628:A630"/>
    <mergeCell ref="A631:A638"/>
    <mergeCell ref="A639:A643"/>
    <mergeCell ref="A736:A738"/>
    <mergeCell ref="A739:A746"/>
    <mergeCell ref="C815:C816"/>
    <mergeCell ref="A820:A825"/>
    <mergeCell ref="A827:A829"/>
    <mergeCell ref="A530:A534"/>
    <mergeCell ref="A487:A488"/>
    <mergeCell ref="A527:A528"/>
    <mergeCell ref="A508:A513"/>
    <mergeCell ref="A514:A519"/>
    <mergeCell ref="A747:A750"/>
    <mergeCell ref="A751:A752"/>
    <mergeCell ref="A753:A755"/>
    <mergeCell ref="A756:A760"/>
    <mergeCell ref="C162:C163"/>
    <mergeCell ref="A169:A174"/>
    <mergeCell ref="A107:A108"/>
    <mergeCell ref="A109:A111"/>
    <mergeCell ref="A112:A116"/>
    <mergeCell ref="A117:A124"/>
    <mergeCell ref="A152:A153"/>
    <mergeCell ref="C137:C138"/>
    <mergeCell ref="A144:A149"/>
    <mergeCell ref="A132:A136"/>
    <mergeCell ref="M5:M6"/>
    <mergeCell ref="A1:M1"/>
    <mergeCell ref="A2:M2"/>
    <mergeCell ref="A3:M3"/>
    <mergeCell ref="A4:M4"/>
    <mergeCell ref="A5:A6"/>
    <mergeCell ref="B5:B6"/>
    <mergeCell ref="C5:C6"/>
    <mergeCell ref="D5:D6"/>
    <mergeCell ref="E5:F5"/>
    <mergeCell ref="G5:H5"/>
    <mergeCell ref="A15:A17"/>
    <mergeCell ref="A21:A23"/>
    <mergeCell ref="I5:J5"/>
    <mergeCell ref="K5:L5"/>
    <mergeCell ref="A27:A29"/>
    <mergeCell ref="A12:A14"/>
    <mergeCell ref="A10:A11"/>
    <mergeCell ref="A18:A20"/>
    <mergeCell ref="A24:A26"/>
    <mergeCell ref="A30:A31"/>
    <mergeCell ref="A127:A128"/>
    <mergeCell ref="A129:A130"/>
    <mergeCell ref="A49:A51"/>
    <mergeCell ref="A67:A68"/>
    <mergeCell ref="A69:A71"/>
    <mergeCell ref="A72:A76"/>
    <mergeCell ref="A77:A84"/>
    <mergeCell ref="A39:A43"/>
    <mergeCell ref="A57:A64"/>
    <mergeCell ref="A47:A48"/>
    <mergeCell ref="A52:A56"/>
    <mergeCell ref="A87:A88"/>
    <mergeCell ref="A89:A91"/>
    <mergeCell ref="A92:A96"/>
    <mergeCell ref="A97:A104"/>
    <mergeCell ref="A306:A311"/>
    <mergeCell ref="A300:A305"/>
    <mergeCell ref="A312:A314"/>
    <mergeCell ref="A289:A299"/>
    <mergeCell ref="A284:A288"/>
    <mergeCell ref="A272:A282"/>
    <mergeCell ref="A264:A265"/>
    <mergeCell ref="A267:A271"/>
    <mergeCell ref="A137:A143"/>
    <mergeCell ref="A262:A263"/>
    <mergeCell ref="A154:A155"/>
    <mergeCell ref="A157:A161"/>
    <mergeCell ref="A162:A168"/>
    <mergeCell ref="A244:A253"/>
    <mergeCell ref="A254:A259"/>
    <mergeCell ref="A234:A235"/>
    <mergeCell ref="A236:A237"/>
    <mergeCell ref="A239:A243"/>
    <mergeCell ref="A315:A317"/>
    <mergeCell ref="A402:A403"/>
    <mergeCell ref="A469:A474"/>
    <mergeCell ref="A475:A480"/>
    <mergeCell ref="A688:A689"/>
    <mergeCell ref="A647:A648"/>
    <mergeCell ref="A652:A654"/>
    <mergeCell ref="A650:A651"/>
    <mergeCell ref="A481:A484"/>
    <mergeCell ref="A489:A490"/>
    <mergeCell ref="A410:A420"/>
    <mergeCell ref="A492:A496"/>
    <mergeCell ref="A520:A523"/>
    <mergeCell ref="A525:A526"/>
    <mergeCell ref="A427:A432"/>
    <mergeCell ref="A437:A438"/>
    <mergeCell ref="A442:A446"/>
    <mergeCell ref="A421:A426"/>
    <mergeCell ref="A458:A463"/>
    <mergeCell ref="A439:A440"/>
    <mergeCell ref="A447:A457"/>
    <mergeCell ref="A433:A435"/>
    <mergeCell ref="A593:A596"/>
    <mergeCell ref="A597:A608"/>
    <mergeCell ref="A1246:A1250"/>
    <mergeCell ref="A729:A733"/>
    <mergeCell ref="A405:A409"/>
    <mergeCell ref="A400:A401"/>
    <mergeCell ref="A1071:A1076"/>
    <mergeCell ref="A1137:A1138"/>
    <mergeCell ref="A1139:A1141"/>
    <mergeCell ref="A1144:A1148"/>
    <mergeCell ref="A1149:A1159"/>
    <mergeCell ref="A1160:A1164"/>
    <mergeCell ref="A1165:A1166"/>
    <mergeCell ref="A1202:A1207"/>
    <mergeCell ref="A609:A611"/>
    <mergeCell ref="A612:A619"/>
    <mergeCell ref="A620:A627"/>
    <mergeCell ref="A497:A507"/>
    <mergeCell ref="A464:A468"/>
    <mergeCell ref="A581:A586"/>
    <mergeCell ref="A563:A580"/>
    <mergeCell ref="A587:A590"/>
    <mergeCell ref="A535:A545"/>
    <mergeCell ref="A546:A551"/>
    <mergeCell ref="A552:A557"/>
    <mergeCell ref="A558:A560"/>
    <mergeCell ref="A1167:A1168"/>
    <mergeCell ref="A1142:A1143"/>
    <mergeCell ref="A1169:A1178"/>
    <mergeCell ref="A1238:A1244"/>
    <mergeCell ref="A1181:A1188"/>
    <mergeCell ref="A1189:A1195"/>
    <mergeCell ref="A1196:A1201"/>
    <mergeCell ref="A1209:A1214"/>
    <mergeCell ref="A1215:A1219"/>
    <mergeCell ref="A1220:A1224"/>
    <mergeCell ref="A1225:A1230"/>
    <mergeCell ref="A1231:A1237"/>
    <mergeCell ref="A1022:A1029"/>
    <mergeCell ref="A1030:A1046"/>
    <mergeCell ref="O1030:R1030"/>
    <mergeCell ref="A1047:A1055"/>
    <mergeCell ref="A1056:A1062"/>
    <mergeCell ref="A1063:A1068"/>
    <mergeCell ref="A975:A976"/>
    <mergeCell ref="A977:A979"/>
    <mergeCell ref="A980:A984"/>
    <mergeCell ref="A985:A993"/>
    <mergeCell ref="A994:A995"/>
    <mergeCell ref="A996:A1002"/>
    <mergeCell ref="A1003:A1009"/>
    <mergeCell ref="A1010:A1015"/>
    <mergeCell ref="A1016:A1021"/>
  </mergeCells>
  <conditionalFormatting sqref="C136:D136">
    <cfRule type="cellIs" dxfId="41" priority="51" stopIfTrue="1" operator="equal">
      <formula>8223.307275</formula>
    </cfRule>
  </conditionalFormatting>
  <conditionalFormatting sqref="C271:D271">
    <cfRule type="cellIs" dxfId="40" priority="39" stopIfTrue="1" operator="equal">
      <formula>8223.307275</formula>
    </cfRule>
  </conditionalFormatting>
  <conditionalFormatting sqref="C56:D56">
    <cfRule type="cellIs" dxfId="39" priority="38" stopIfTrue="1" operator="equal">
      <formula>8223.307275</formula>
    </cfRule>
  </conditionalFormatting>
  <conditionalFormatting sqref="C76:D76">
    <cfRule type="cellIs" dxfId="38" priority="37" stopIfTrue="1" operator="equal">
      <formula>8223.307275</formula>
    </cfRule>
  </conditionalFormatting>
  <conditionalFormatting sqref="C96:D96">
    <cfRule type="cellIs" dxfId="37" priority="36" stopIfTrue="1" operator="equal">
      <formula>8223.307275</formula>
    </cfRule>
  </conditionalFormatting>
  <conditionalFormatting sqref="G400:M400">
    <cfRule type="cellIs" dxfId="36" priority="35" stopIfTrue="1" operator="equal">
      <formula>8223.307275</formula>
    </cfRule>
  </conditionalFormatting>
  <conditionalFormatting sqref="G301:M301 M302">
    <cfRule type="cellIs" dxfId="35" priority="34" stopIfTrue="1" operator="equal">
      <formula>8223.307275</formula>
    </cfRule>
  </conditionalFormatting>
  <conditionalFormatting sqref="C409:D409">
    <cfRule type="cellIs" dxfId="34" priority="33" stopIfTrue="1" operator="equal">
      <formula>8223.307275</formula>
    </cfRule>
  </conditionalFormatting>
  <conditionalFormatting sqref="G437:M437">
    <cfRule type="cellIs" dxfId="33" priority="32" stopIfTrue="1" operator="equal">
      <formula>8223.307275</formula>
    </cfRule>
  </conditionalFormatting>
  <conditionalFormatting sqref="C446:D446">
    <cfRule type="cellIs" dxfId="32" priority="31" stopIfTrue="1" operator="equal">
      <formula>8223.307275</formula>
    </cfRule>
  </conditionalFormatting>
  <conditionalFormatting sqref="C468:D468 C481:D482">
    <cfRule type="cellIs" dxfId="31" priority="30" stopIfTrue="1" operator="equal">
      <formula>8223.307275</formula>
    </cfRule>
  </conditionalFormatting>
  <conditionalFormatting sqref="C315:D316">
    <cfRule type="cellIs" dxfId="30" priority="29" stopIfTrue="1" operator="equal">
      <formula>8223.307275</formula>
    </cfRule>
  </conditionalFormatting>
  <conditionalFormatting sqref="G487:M487">
    <cfRule type="cellIs" dxfId="29" priority="28" stopIfTrue="1" operator="equal">
      <formula>8223.307275</formula>
    </cfRule>
  </conditionalFormatting>
  <conditionalFormatting sqref="C496:D496">
    <cfRule type="cellIs" dxfId="28" priority="27" stopIfTrue="1" operator="equal">
      <formula>8223.307275</formula>
    </cfRule>
  </conditionalFormatting>
  <conditionalFormatting sqref="G422:M422 M423">
    <cfRule type="cellIs" dxfId="27" priority="26" stopIfTrue="1" operator="equal">
      <formula>8223.307275</formula>
    </cfRule>
  </conditionalFormatting>
  <conditionalFormatting sqref="G459:M459 M460">
    <cfRule type="cellIs" dxfId="26" priority="25" stopIfTrue="1" operator="equal">
      <formula>8223.307275</formula>
    </cfRule>
  </conditionalFormatting>
  <conditionalFormatting sqref="C288:D288">
    <cfRule type="cellIs" dxfId="25" priority="24" stopIfTrue="1" operator="equal">
      <formula>8223.307275</formula>
    </cfRule>
  </conditionalFormatting>
  <conditionalFormatting sqref="G509:M509 M510">
    <cfRule type="cellIs" dxfId="24" priority="23" stopIfTrue="1" operator="equal">
      <formula>8223.307275</formula>
    </cfRule>
  </conditionalFormatting>
  <conditionalFormatting sqref="C520:D521">
    <cfRule type="cellIs" dxfId="23" priority="22" stopIfTrue="1" operator="equal">
      <formula>8223.307275</formula>
    </cfRule>
  </conditionalFormatting>
  <conditionalFormatting sqref="G525:M525">
    <cfRule type="cellIs" dxfId="22" priority="21" stopIfTrue="1" operator="equal">
      <formula>8223.307275</formula>
    </cfRule>
  </conditionalFormatting>
  <conditionalFormatting sqref="C534:D534">
    <cfRule type="cellIs" dxfId="21" priority="20" stopIfTrue="1" operator="equal">
      <formula>8223.307275</formula>
    </cfRule>
  </conditionalFormatting>
  <conditionalFormatting sqref="G547:M547 M548">
    <cfRule type="cellIs" dxfId="20" priority="19" stopIfTrue="1" operator="equal">
      <formula>8223.307275</formula>
    </cfRule>
  </conditionalFormatting>
  <conditionalFormatting sqref="C587:D588">
    <cfRule type="cellIs" dxfId="19" priority="18" stopIfTrue="1" operator="equal">
      <formula>8223.307275</formula>
    </cfRule>
  </conditionalFormatting>
  <conditionalFormatting sqref="C116:D116">
    <cfRule type="cellIs" dxfId="18" priority="17" stopIfTrue="1" operator="equal">
      <formula>8223.307275</formula>
    </cfRule>
  </conditionalFormatting>
  <conditionalFormatting sqref="C161:D161">
    <cfRule type="cellIs" dxfId="17" priority="16" stopIfTrue="1" operator="equal">
      <formula>8223.307275</formula>
    </cfRule>
  </conditionalFormatting>
  <conditionalFormatting sqref="C186:D186">
    <cfRule type="cellIs" dxfId="16" priority="15" stopIfTrue="1" operator="equal">
      <formula>8223.307275</formula>
    </cfRule>
  </conditionalFormatting>
  <conditionalFormatting sqref="C258">
    <cfRule type="cellIs" dxfId="15" priority="12" stopIfTrue="1" operator="equal">
      <formula>8223.307275</formula>
    </cfRule>
  </conditionalFormatting>
  <conditionalFormatting sqref="D254:D255 C259 D257:D259">
    <cfRule type="cellIs" dxfId="14" priority="14" stopIfTrue="1" operator="equal">
      <formula>8223.307275</formula>
    </cfRule>
  </conditionalFormatting>
  <conditionalFormatting sqref="C254">
    <cfRule type="cellIs" dxfId="13" priority="13" stopIfTrue="1" operator="equal">
      <formula>8223.307275</formula>
    </cfRule>
  </conditionalFormatting>
  <conditionalFormatting sqref="D820:D821 C820 D823:D825 C824:C825 C830:D830">
    <cfRule type="cellIs" dxfId="12" priority="11" stopIfTrue="1" operator="equal">
      <formula>8223.307275</formula>
    </cfRule>
  </conditionalFormatting>
  <conditionalFormatting sqref="D838">
    <cfRule type="cellIs" dxfId="11" priority="10" stopIfTrue="1" operator="equal">
      <formula>8223.307275</formula>
    </cfRule>
  </conditionalFormatting>
  <conditionalFormatting sqref="D843">
    <cfRule type="cellIs" dxfId="10" priority="9" stopIfTrue="1" operator="equal">
      <formula>8223.307275</formula>
    </cfRule>
  </conditionalFormatting>
  <conditionalFormatting sqref="D848">
    <cfRule type="cellIs" dxfId="9" priority="8" stopIfTrue="1" operator="equal">
      <formula>8223.307275</formula>
    </cfRule>
  </conditionalFormatting>
  <conditionalFormatting sqref="D833">
    <cfRule type="cellIs" dxfId="8" priority="7" stopIfTrue="1" operator="equal">
      <formula>8223.307275</formula>
    </cfRule>
  </conditionalFormatting>
  <conditionalFormatting sqref="C922:D934 C905:D920 F933 F938">
    <cfRule type="cellIs" dxfId="7" priority="6" stopIfTrue="1" operator="equal">
      <formula>8223.307275</formula>
    </cfRule>
  </conditionalFormatting>
  <conditionalFormatting sqref="C391:F391">
    <cfRule type="cellIs" dxfId="6" priority="5" stopIfTrue="1" operator="equal">
      <formula>8223.307275</formula>
    </cfRule>
  </conditionalFormatting>
  <conditionalFormatting sqref="C385:D385 C388:F389 C390:E390 C392:E392">
    <cfRule type="cellIs" dxfId="5" priority="4" stopIfTrue="1" operator="equal">
      <formula>8223.307275</formula>
    </cfRule>
  </conditionalFormatting>
  <conditionalFormatting sqref="C217:D217">
    <cfRule type="cellIs" dxfId="4" priority="3" stopIfTrue="1" operator="equal">
      <formula>8223.307275</formula>
    </cfRule>
  </conditionalFormatting>
  <conditionalFormatting sqref="C1079:D1079">
    <cfRule type="cellIs" dxfId="3" priority="2" stopIfTrue="1" operator="equal">
      <formula>8223.307275</formula>
    </cfRule>
  </conditionalFormatting>
  <conditionalFormatting sqref="C1090:D1090">
    <cfRule type="cellIs" dxfId="2" priority="1" stopIfTrue="1" operator="equal">
      <formula>8223.307275</formula>
    </cfRule>
  </conditionalFormatting>
  <pageMargins left="0.62992125984251968" right="0.11811023622047245" top="0.66" bottom="0.51181102362204722" header="0.31" footer="0.27559055118110237"/>
  <pageSetup paperSize="9" orientation="landscape" horizontalDpi="1200" verticalDpi="1200" r:id="rId1"/>
  <headerFooter>
    <oddHeader>&amp;R&amp;P--&amp;N</oddHeader>
    <oddFooter>&amp;R&amp;P--&amp;N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34"/>
  <sheetViews>
    <sheetView zoomScale="120" zoomScaleNormal="12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M131" sqref="M131"/>
    </sheetView>
  </sheetViews>
  <sheetFormatPr defaultRowHeight="15" x14ac:dyDescent="0.25"/>
  <cols>
    <col min="1" max="1" width="5.140625" customWidth="1"/>
    <col min="3" max="3" width="32.140625" customWidth="1"/>
    <col min="4" max="4" width="9.140625" customWidth="1"/>
    <col min="5" max="5" width="9.140625" style="251"/>
    <col min="6" max="6" width="10.5703125" style="251" bestFit="1" customWidth="1"/>
    <col min="7" max="7" width="9.140625" style="253"/>
    <col min="8" max="8" width="12" style="253" customWidth="1"/>
    <col min="9" max="9" width="6.85546875" style="253" customWidth="1"/>
    <col min="10" max="10" width="9.140625" style="253"/>
    <col min="11" max="11" width="6.85546875" style="253" customWidth="1"/>
    <col min="12" max="12" width="9.140625" style="253"/>
    <col min="13" max="13" width="11.85546875" style="253" customWidth="1"/>
    <col min="14" max="15" width="31" customWidth="1"/>
  </cols>
  <sheetData>
    <row r="1" spans="1:14" s="76" customFormat="1" ht="24.75" customHeight="1" x14ac:dyDescent="0.25">
      <c r="A1" s="1292" t="str">
        <f>krebsiti!A2</f>
        <v>borjomis municipalitetis daba waRverSi kulturis saxlis mimdebared skveris mowyobis samuSaoebi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</row>
    <row r="2" spans="1:14" s="76" customFormat="1" ht="18" customHeight="1" x14ac:dyDescent="0.25">
      <c r="A2" s="1293" t="s">
        <v>128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419"/>
    </row>
    <row r="3" spans="1:14" s="76" customFormat="1" ht="15.75" customHeight="1" x14ac:dyDescent="0.25">
      <c r="A3" s="1292" t="s">
        <v>344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1292"/>
    </row>
    <row r="4" spans="1:14" s="76" customFormat="1" ht="15.75" x14ac:dyDescent="0.25">
      <c r="A4" s="1292" t="s">
        <v>1345</v>
      </c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</row>
    <row r="5" spans="1:14" s="76" customFormat="1" ht="38.25" customHeight="1" x14ac:dyDescent="0.3">
      <c r="A5" s="1294" t="s">
        <v>0</v>
      </c>
      <c r="B5" s="1295" t="s">
        <v>546</v>
      </c>
      <c r="C5" s="1296" t="s">
        <v>547</v>
      </c>
      <c r="D5" s="1295" t="s">
        <v>548</v>
      </c>
      <c r="E5" s="1298" t="s">
        <v>549</v>
      </c>
      <c r="F5" s="1298"/>
      <c r="G5" s="1289" t="s">
        <v>550</v>
      </c>
      <c r="H5" s="1289"/>
      <c r="I5" s="1289" t="s">
        <v>551</v>
      </c>
      <c r="J5" s="1289"/>
      <c r="K5" s="1290" t="s">
        <v>25</v>
      </c>
      <c r="L5" s="1291"/>
      <c r="M5" s="1289" t="s">
        <v>552</v>
      </c>
      <c r="N5" s="240"/>
    </row>
    <row r="6" spans="1:14" s="76" customFormat="1" ht="47.25" x14ac:dyDescent="0.3">
      <c r="A6" s="1294"/>
      <c r="B6" s="1295"/>
      <c r="C6" s="1297"/>
      <c r="D6" s="1295"/>
      <c r="E6" s="515" t="s">
        <v>12</v>
      </c>
      <c r="F6" s="515" t="s">
        <v>3</v>
      </c>
      <c r="G6" s="515" t="s">
        <v>12</v>
      </c>
      <c r="H6" s="515" t="s">
        <v>3</v>
      </c>
      <c r="I6" s="515" t="s">
        <v>12</v>
      </c>
      <c r="J6" s="515" t="s">
        <v>3</v>
      </c>
      <c r="K6" s="515" t="s">
        <v>12</v>
      </c>
      <c r="L6" s="515" t="s">
        <v>3</v>
      </c>
      <c r="M6" s="1289"/>
      <c r="N6" s="240"/>
    </row>
    <row r="7" spans="1:14" s="73" customFormat="1" ht="16.5" x14ac:dyDescent="0.3">
      <c r="A7" s="519" t="s">
        <v>93</v>
      </c>
      <c r="B7" s="519" t="s">
        <v>72</v>
      </c>
      <c r="C7" s="519" t="s">
        <v>94</v>
      </c>
      <c r="D7" s="519" t="s">
        <v>87</v>
      </c>
      <c r="E7" s="519" t="s">
        <v>89</v>
      </c>
      <c r="F7" s="519" t="s">
        <v>90</v>
      </c>
      <c r="G7" s="519" t="s">
        <v>82</v>
      </c>
      <c r="H7" s="519" t="s">
        <v>40</v>
      </c>
      <c r="I7" s="519" t="s">
        <v>46</v>
      </c>
      <c r="J7" s="519" t="s">
        <v>48</v>
      </c>
      <c r="K7" s="519" t="s">
        <v>553</v>
      </c>
      <c r="L7" s="519" t="s">
        <v>53</v>
      </c>
      <c r="M7" s="519" t="s">
        <v>554</v>
      </c>
      <c r="N7" s="241"/>
    </row>
    <row r="8" spans="1:14" s="73" customFormat="1" ht="16.5" hidden="1" x14ac:dyDescent="0.25">
      <c r="A8" s="117"/>
      <c r="B8" s="117"/>
      <c r="C8" s="118" t="s">
        <v>129</v>
      </c>
      <c r="D8" s="117"/>
      <c r="E8" s="161"/>
      <c r="F8" s="246"/>
      <c r="G8" s="252"/>
      <c r="H8" s="252"/>
      <c r="I8" s="252"/>
      <c r="J8" s="252"/>
      <c r="K8" s="252"/>
      <c r="L8" s="252"/>
      <c r="M8" s="252"/>
    </row>
    <row r="9" spans="1:14" s="73" customFormat="1" ht="31.5" x14ac:dyDescent="0.25">
      <c r="A9" s="162" t="s">
        <v>190</v>
      </c>
      <c r="B9" s="162"/>
      <c r="C9" s="163" t="s">
        <v>189</v>
      </c>
      <c r="D9" s="162"/>
      <c r="E9" s="1420"/>
      <c r="F9" s="1420"/>
      <c r="G9" s="1421"/>
      <c r="H9" s="1421"/>
      <c r="I9" s="1421"/>
      <c r="J9" s="1421"/>
      <c r="K9" s="1421"/>
      <c r="L9" s="1421"/>
      <c r="M9" s="1421"/>
    </row>
    <row r="10" spans="1:14" s="73" customFormat="1" ht="16.5" x14ac:dyDescent="0.25">
      <c r="A10" s="164"/>
      <c r="B10" s="164"/>
      <c r="C10" s="165" t="s">
        <v>191</v>
      </c>
      <c r="D10" s="166"/>
      <c r="E10" s="1422"/>
      <c r="F10" s="1422"/>
      <c r="G10" s="1423"/>
      <c r="H10" s="875"/>
      <c r="I10" s="1423"/>
      <c r="J10" s="875"/>
      <c r="K10" s="1424"/>
      <c r="L10" s="875"/>
      <c r="M10" s="875"/>
    </row>
    <row r="11" spans="1:14" s="73" customFormat="1" ht="31.5" x14ac:dyDescent="0.25">
      <c r="A11" s="1322"/>
      <c r="B11" s="1322"/>
      <c r="C11" s="58" t="s">
        <v>296</v>
      </c>
      <c r="D11" s="9" t="s">
        <v>66</v>
      </c>
      <c r="E11" s="234"/>
      <c r="F11" s="23">
        <f>F12+F13-F14+F15</f>
        <v>22</v>
      </c>
      <c r="G11" s="1343"/>
      <c r="H11" s="1343"/>
      <c r="I11" s="1343"/>
      <c r="J11" s="1343"/>
      <c r="K11" s="1343"/>
      <c r="L11" s="1343"/>
      <c r="M11" s="1343"/>
    </row>
    <row r="12" spans="1:14" s="73" customFormat="1" ht="16.5" x14ac:dyDescent="0.25">
      <c r="A12" s="1323"/>
      <c r="B12" s="1323"/>
      <c r="C12" s="298" t="s">
        <v>444</v>
      </c>
      <c r="D12" s="224" t="s">
        <v>66</v>
      </c>
      <c r="E12" s="286"/>
      <c r="F12" s="23">
        <v>18</v>
      </c>
      <c r="G12" s="1344"/>
      <c r="H12" s="1344"/>
      <c r="I12" s="1344"/>
      <c r="J12" s="1344"/>
      <c r="K12" s="1344"/>
      <c r="L12" s="1344"/>
      <c r="M12" s="1344"/>
    </row>
    <row r="13" spans="1:14" s="73" customFormat="1" ht="16.5" hidden="1" x14ac:dyDescent="0.25">
      <c r="A13" s="1323"/>
      <c r="B13" s="1323"/>
      <c r="C13" s="298" t="s">
        <v>445</v>
      </c>
      <c r="D13" s="224" t="s">
        <v>66</v>
      </c>
      <c r="E13" s="286"/>
      <c r="F13" s="23">
        <v>0</v>
      </c>
      <c r="G13" s="1345"/>
      <c r="H13" s="1345"/>
      <c r="I13" s="1345"/>
      <c r="J13" s="1345"/>
      <c r="K13" s="1345"/>
      <c r="L13" s="1345"/>
      <c r="M13" s="1345"/>
    </row>
    <row r="14" spans="1:14" s="73" customFormat="1" ht="16.5" hidden="1" x14ac:dyDescent="0.25">
      <c r="A14" s="1323"/>
      <c r="B14" s="1323"/>
      <c r="C14" s="298" t="s">
        <v>446</v>
      </c>
      <c r="D14" s="464" t="s">
        <v>66</v>
      </c>
      <c r="E14" s="460"/>
      <c r="F14" s="23">
        <v>0</v>
      </c>
      <c r="G14" s="462"/>
      <c r="H14" s="462"/>
      <c r="I14" s="462"/>
      <c r="J14" s="462"/>
      <c r="K14" s="462"/>
      <c r="L14" s="462"/>
      <c r="M14" s="462"/>
    </row>
    <row r="15" spans="1:14" s="73" customFormat="1" ht="31.5" x14ac:dyDescent="0.25">
      <c r="A15" s="1324"/>
      <c r="B15" s="1324"/>
      <c r="C15" s="483" t="s">
        <v>1340</v>
      </c>
      <c r="D15" s="464" t="s">
        <v>66</v>
      </c>
      <c r="E15" s="460"/>
      <c r="F15" s="23">
        <v>4</v>
      </c>
      <c r="G15" s="462"/>
      <c r="H15" s="462"/>
      <c r="I15" s="462"/>
      <c r="J15" s="462"/>
      <c r="K15" s="462"/>
      <c r="L15" s="462"/>
      <c r="M15" s="462"/>
    </row>
    <row r="16" spans="1:14" s="73" customFormat="1" ht="31.5" x14ac:dyDescent="0.25">
      <c r="A16" s="1341">
        <v>1</v>
      </c>
      <c r="B16" s="167" t="s">
        <v>272</v>
      </c>
      <c r="C16" s="138" t="s">
        <v>273</v>
      </c>
      <c r="D16" s="167" t="s">
        <v>83</v>
      </c>
      <c r="E16" s="168"/>
      <c r="F16" s="247">
        <f>400*0.25*0.7</f>
        <v>70</v>
      </c>
      <c r="G16" s="17"/>
      <c r="H16" s="232"/>
      <c r="I16" s="17"/>
      <c r="J16" s="232"/>
      <c r="K16" s="18"/>
      <c r="L16" s="232"/>
      <c r="M16" s="232"/>
    </row>
    <row r="17" spans="1:13" s="73" customFormat="1" ht="16.5" x14ac:dyDescent="0.25">
      <c r="A17" s="1342"/>
      <c r="B17" s="169"/>
      <c r="C17" s="139" t="s">
        <v>67</v>
      </c>
      <c r="D17" s="169" t="s">
        <v>68</v>
      </c>
      <c r="E17" s="168">
        <v>2.06</v>
      </c>
      <c r="F17" s="168">
        <f>F16*E17</f>
        <v>144.20000000000002</v>
      </c>
      <c r="G17" s="17"/>
      <c r="H17" s="232"/>
      <c r="I17" s="17"/>
      <c r="J17" s="232">
        <f>F17*I17</f>
        <v>0</v>
      </c>
      <c r="K17" s="18"/>
      <c r="L17" s="232"/>
      <c r="M17" s="232">
        <f>H17+J17+L17</f>
        <v>0</v>
      </c>
    </row>
    <row r="18" spans="1:13" s="73" customFormat="1" ht="63" hidden="1" x14ac:dyDescent="0.25">
      <c r="A18" s="1339">
        <v>2</v>
      </c>
      <c r="B18" s="136" t="s">
        <v>31</v>
      </c>
      <c r="C18" s="170" t="s">
        <v>192</v>
      </c>
      <c r="D18" s="167" t="s">
        <v>83</v>
      </c>
      <c r="E18" s="137"/>
      <c r="F18" s="214">
        <f>0.5*0.5*1.1*  0  + 0.5*0.5*1.1*  0 + 0.5*0.5*1.3*  0</f>
        <v>0</v>
      </c>
      <c r="G18" s="17"/>
      <c r="H18" s="232"/>
      <c r="I18" s="17"/>
      <c r="J18" s="232"/>
      <c r="K18" s="18"/>
      <c r="L18" s="232"/>
      <c r="M18" s="232"/>
    </row>
    <row r="19" spans="1:13" s="73" customFormat="1" ht="16.5" hidden="1" x14ac:dyDescent="0.25">
      <c r="A19" s="1340"/>
      <c r="B19" s="134"/>
      <c r="C19" s="139" t="s">
        <v>67</v>
      </c>
      <c r="D19" s="134" t="s">
        <v>68</v>
      </c>
      <c r="E19" s="137">
        <v>3.88</v>
      </c>
      <c r="F19" s="137">
        <f>F18*E19</f>
        <v>0</v>
      </c>
      <c r="G19" s="17"/>
      <c r="H19" s="232"/>
      <c r="I19" s="17">
        <v>6</v>
      </c>
      <c r="J19" s="232">
        <f>F19*I19</f>
        <v>0</v>
      </c>
      <c r="K19" s="18"/>
      <c r="L19" s="232"/>
      <c r="M19" s="232">
        <f>H19+J19+L19</f>
        <v>0</v>
      </c>
    </row>
    <row r="20" spans="1:13" s="73" customFormat="1" ht="31.5" x14ac:dyDescent="0.25">
      <c r="A20" s="1350" t="s">
        <v>72</v>
      </c>
      <c r="B20" s="171" t="s">
        <v>60</v>
      </c>
      <c r="C20" s="172" t="s">
        <v>193</v>
      </c>
      <c r="D20" s="171" t="s">
        <v>194</v>
      </c>
      <c r="E20" s="173"/>
      <c r="F20" s="248">
        <f>400*0.25*0.25</f>
        <v>25</v>
      </c>
      <c r="G20" s="17"/>
      <c r="H20" s="232"/>
      <c r="I20" s="17"/>
      <c r="J20" s="232"/>
      <c r="K20" s="18"/>
      <c r="L20" s="232"/>
      <c r="M20" s="232"/>
    </row>
    <row r="21" spans="1:13" s="73" customFormat="1" ht="16.5" x14ac:dyDescent="0.25">
      <c r="A21" s="1351"/>
      <c r="B21" s="174"/>
      <c r="C21" s="175" t="s">
        <v>67</v>
      </c>
      <c r="D21" s="174" t="s">
        <v>68</v>
      </c>
      <c r="E21" s="173">
        <v>1.8</v>
      </c>
      <c r="F21" s="173">
        <f>F20*E21</f>
        <v>45</v>
      </c>
      <c r="G21" s="17"/>
      <c r="H21" s="232"/>
      <c r="I21" s="17"/>
      <c r="J21" s="232">
        <f>F21*I21</f>
        <v>0</v>
      </c>
      <c r="K21" s="18"/>
      <c r="L21" s="232"/>
      <c r="M21" s="232">
        <f>H21+J21+L21</f>
        <v>0</v>
      </c>
    </row>
    <row r="22" spans="1:13" s="73" customFormat="1" ht="16.5" x14ac:dyDescent="0.25">
      <c r="A22" s="1352"/>
      <c r="B22" s="174"/>
      <c r="C22" s="175" t="s">
        <v>309</v>
      </c>
      <c r="D22" s="174" t="s">
        <v>194</v>
      </c>
      <c r="E22" s="173">
        <v>1.1000000000000001</v>
      </c>
      <c r="F22" s="173">
        <f>F20*E22</f>
        <v>27.500000000000004</v>
      </c>
      <c r="G22" s="17"/>
      <c r="H22" s="232">
        <f>F22*G22</f>
        <v>0</v>
      </c>
      <c r="I22" s="17"/>
      <c r="J22" s="232"/>
      <c r="K22" s="18"/>
      <c r="L22" s="232"/>
      <c r="M22" s="232">
        <f>H22+J22+L22</f>
        <v>0</v>
      </c>
    </row>
    <row r="23" spans="1:13" s="73" customFormat="1" ht="46.5" x14ac:dyDescent="0.25">
      <c r="A23" s="1341" t="s">
        <v>94</v>
      </c>
      <c r="B23" s="167" t="s">
        <v>61</v>
      </c>
      <c r="C23" s="102" t="s">
        <v>274</v>
      </c>
      <c r="D23" s="167" t="s">
        <v>195</v>
      </c>
      <c r="E23" s="254"/>
      <c r="F23" s="247">
        <f>400</f>
        <v>400</v>
      </c>
      <c r="G23" s="17"/>
      <c r="H23" s="232"/>
      <c r="I23" s="17"/>
      <c r="J23" s="232"/>
      <c r="K23" s="18"/>
      <c r="L23" s="232"/>
      <c r="M23" s="232"/>
    </row>
    <row r="24" spans="1:13" s="73" customFormat="1" ht="16.5" x14ac:dyDescent="0.25">
      <c r="A24" s="1342"/>
      <c r="B24" s="169"/>
      <c r="C24" s="139" t="s">
        <v>67</v>
      </c>
      <c r="D24" s="169" t="s">
        <v>68</v>
      </c>
      <c r="E24" s="254">
        <v>0.105</v>
      </c>
      <c r="F24" s="168">
        <f>F23*E24</f>
        <v>42</v>
      </c>
      <c r="G24" s="17"/>
      <c r="H24" s="232"/>
      <c r="I24" s="17"/>
      <c r="J24" s="232">
        <f>F24*I24</f>
        <v>0</v>
      </c>
      <c r="K24" s="18"/>
      <c r="L24" s="232"/>
      <c r="M24" s="232">
        <f>H24+J24+L24</f>
        <v>0</v>
      </c>
    </row>
    <row r="25" spans="1:13" s="73" customFormat="1" ht="16.5" x14ac:dyDescent="0.25">
      <c r="A25" s="1342"/>
      <c r="B25" s="169"/>
      <c r="C25" s="139" t="s">
        <v>196</v>
      </c>
      <c r="D25" s="169" t="s">
        <v>21</v>
      </c>
      <c r="E25" s="254">
        <v>5.3800000000000001E-2</v>
      </c>
      <c r="F25" s="168">
        <f>F23*E25</f>
        <v>21.52</v>
      </c>
      <c r="G25" s="17"/>
      <c r="H25" s="232"/>
      <c r="I25" s="17"/>
      <c r="J25" s="232"/>
      <c r="K25" s="18"/>
      <c r="L25" s="232">
        <f>F25*K25</f>
        <v>0</v>
      </c>
      <c r="M25" s="232">
        <f>H25+J25+L25</f>
        <v>0</v>
      </c>
    </row>
    <row r="26" spans="1:13" s="73" customFormat="1" ht="30.75" x14ac:dyDescent="0.25">
      <c r="A26" s="1342"/>
      <c r="B26" s="169"/>
      <c r="C26" s="149" t="s">
        <v>275</v>
      </c>
      <c r="D26" s="169" t="s">
        <v>195</v>
      </c>
      <c r="E26" s="254">
        <v>1.01</v>
      </c>
      <c r="F26" s="168">
        <f>F23*E26</f>
        <v>404</v>
      </c>
      <c r="G26" s="17"/>
      <c r="H26" s="232">
        <f>F26*G26</f>
        <v>0</v>
      </c>
      <c r="I26" s="17"/>
      <c r="J26" s="232"/>
      <c r="K26" s="18"/>
      <c r="L26" s="232"/>
      <c r="M26" s="232">
        <f>H26+J26+L26</f>
        <v>0</v>
      </c>
    </row>
    <row r="27" spans="1:13" s="73" customFormat="1" ht="16.5" x14ac:dyDescent="0.25">
      <c r="A27" s="1353"/>
      <c r="B27" s="169"/>
      <c r="C27" s="139" t="s">
        <v>105</v>
      </c>
      <c r="D27" s="169" t="s">
        <v>21</v>
      </c>
      <c r="E27" s="254">
        <v>1.1999999999999999E-3</v>
      </c>
      <c r="F27" s="168">
        <f>F23*E27</f>
        <v>0.48</v>
      </c>
      <c r="G27" s="17"/>
      <c r="H27" s="232">
        <f>F27*G27</f>
        <v>0</v>
      </c>
      <c r="I27" s="17"/>
      <c r="J27" s="232"/>
      <c r="K27" s="18"/>
      <c r="L27" s="232"/>
      <c r="M27" s="232">
        <f>H27+J27+L27</f>
        <v>0</v>
      </c>
    </row>
    <row r="28" spans="1:13" s="73" customFormat="1" ht="31.5" x14ac:dyDescent="0.25">
      <c r="A28" s="1354" t="s">
        <v>87</v>
      </c>
      <c r="B28" s="108" t="s">
        <v>197</v>
      </c>
      <c r="C28" s="107" t="s">
        <v>198</v>
      </c>
      <c r="D28" s="108" t="s">
        <v>195</v>
      </c>
      <c r="E28" s="51"/>
      <c r="F28" s="51">
        <f>400</f>
        <v>400</v>
      </c>
      <c r="G28" s="17"/>
      <c r="H28" s="232"/>
      <c r="I28" s="17"/>
      <c r="J28" s="232"/>
      <c r="K28" s="18"/>
      <c r="L28" s="232"/>
      <c r="M28" s="232"/>
    </row>
    <row r="29" spans="1:13" s="73" customFormat="1" ht="16.5" x14ac:dyDescent="0.25">
      <c r="A29" s="1355"/>
      <c r="B29" s="104"/>
      <c r="C29" s="105" t="s">
        <v>67</v>
      </c>
      <c r="D29" s="169" t="s">
        <v>68</v>
      </c>
      <c r="E29" s="103">
        <f>11/1000</f>
        <v>1.0999999999999999E-2</v>
      </c>
      <c r="F29" s="103">
        <f>F28*E29</f>
        <v>4.3999999999999995</v>
      </c>
      <c r="G29" s="17"/>
      <c r="H29" s="232"/>
      <c r="I29" s="17"/>
      <c r="J29" s="232">
        <f>F29*I29</f>
        <v>0</v>
      </c>
      <c r="K29" s="18"/>
      <c r="L29" s="232"/>
      <c r="M29" s="232">
        <f>H29+J29+L29</f>
        <v>0</v>
      </c>
    </row>
    <row r="30" spans="1:13" s="73" customFormat="1" ht="16.5" x14ac:dyDescent="0.25">
      <c r="A30" s="1356"/>
      <c r="B30" s="176"/>
      <c r="C30" s="177" t="s">
        <v>199</v>
      </c>
      <c r="D30" s="178" t="s">
        <v>195</v>
      </c>
      <c r="E30" s="179"/>
      <c r="F30" s="179">
        <f>F28</f>
        <v>400</v>
      </c>
      <c r="G30" s="17"/>
      <c r="H30" s="232">
        <f>F30*G30</f>
        <v>0</v>
      </c>
      <c r="I30" s="17"/>
      <c r="J30" s="232"/>
      <c r="K30" s="18"/>
      <c r="L30" s="232"/>
      <c r="M30" s="232">
        <f>H30+J30+L30</f>
        <v>0</v>
      </c>
    </row>
    <row r="31" spans="1:13" s="73" customFormat="1" ht="31.5" x14ac:dyDescent="0.25">
      <c r="A31" s="1357" t="s">
        <v>89</v>
      </c>
      <c r="B31" s="180" t="s">
        <v>63</v>
      </c>
      <c r="C31" s="181" t="s">
        <v>200</v>
      </c>
      <c r="D31" s="180" t="s">
        <v>194</v>
      </c>
      <c r="E31" s="61"/>
      <c r="F31" s="249">
        <f>550*0.25*(0.7-0.25)</f>
        <v>61.874999999999993</v>
      </c>
      <c r="G31" s="17"/>
      <c r="H31" s="232"/>
      <c r="I31" s="17"/>
      <c r="J31" s="232"/>
      <c r="K31" s="18"/>
      <c r="L31" s="232"/>
      <c r="M31" s="232"/>
    </row>
    <row r="32" spans="1:13" s="73" customFormat="1" ht="16.5" x14ac:dyDescent="0.25">
      <c r="A32" s="1358"/>
      <c r="B32" s="59"/>
      <c r="C32" s="182" t="s">
        <v>67</v>
      </c>
      <c r="D32" s="59" t="s">
        <v>68</v>
      </c>
      <c r="E32" s="61">
        <v>1.21</v>
      </c>
      <c r="F32" s="61">
        <f>F31*E32</f>
        <v>74.868749999999991</v>
      </c>
      <c r="G32" s="17"/>
      <c r="H32" s="232"/>
      <c r="I32" s="17"/>
      <c r="J32" s="232">
        <f>F32*I32</f>
        <v>0</v>
      </c>
      <c r="K32" s="18"/>
      <c r="L32" s="232"/>
      <c r="M32" s="232">
        <f>H32+J32+L32</f>
        <v>0</v>
      </c>
    </row>
    <row r="33" spans="1:13" s="73" customFormat="1" ht="31.5" x14ac:dyDescent="0.25">
      <c r="A33" s="486" t="s">
        <v>82</v>
      </c>
      <c r="B33" s="59"/>
      <c r="C33" s="487" t="s">
        <v>201</v>
      </c>
      <c r="D33" s="59"/>
      <c r="E33" s="61"/>
      <c r="F33" s="61"/>
      <c r="G33" s="17"/>
      <c r="H33" s="458"/>
      <c r="I33" s="17"/>
      <c r="J33" s="458"/>
      <c r="K33" s="18"/>
      <c r="L33" s="458"/>
      <c r="M33" s="458"/>
    </row>
    <row r="34" spans="1:13" s="73" customFormat="1" ht="31.5" x14ac:dyDescent="0.25">
      <c r="A34" s="1259" t="s">
        <v>448</v>
      </c>
      <c r="B34" s="459" t="s">
        <v>31</v>
      </c>
      <c r="C34" s="468" t="s">
        <v>467</v>
      </c>
      <c r="D34" s="425" t="s">
        <v>37</v>
      </c>
      <c r="E34" s="22"/>
      <c r="F34" s="22">
        <f>0.5*0.5*1.1*F12</f>
        <v>4.95</v>
      </c>
      <c r="G34" s="8"/>
      <c r="H34" s="8"/>
      <c r="I34" s="8"/>
      <c r="J34" s="8"/>
      <c r="K34" s="8"/>
      <c r="L34" s="8"/>
      <c r="M34" s="8"/>
    </row>
    <row r="35" spans="1:13" s="73" customFormat="1" ht="16.5" x14ac:dyDescent="0.25">
      <c r="A35" s="1261"/>
      <c r="B35" s="283"/>
      <c r="C35" s="33" t="s">
        <v>33</v>
      </c>
      <c r="D35" s="143" t="s">
        <v>6</v>
      </c>
      <c r="E35" s="34">
        <v>3.88</v>
      </c>
      <c r="F35" s="36">
        <f>F34*E35</f>
        <v>19.206</v>
      </c>
      <c r="G35" s="32"/>
      <c r="H35" s="32"/>
      <c r="I35" s="32"/>
      <c r="J35" s="32">
        <f>F35*I35</f>
        <v>0</v>
      </c>
      <c r="K35" s="32"/>
      <c r="L35" s="32"/>
      <c r="M35" s="32">
        <f>H35+J35+L35</f>
        <v>0</v>
      </c>
    </row>
    <row r="36" spans="1:13" s="73" customFormat="1" ht="47.25" x14ac:dyDescent="0.25">
      <c r="A36" s="1259" t="s">
        <v>449</v>
      </c>
      <c r="B36" s="389" t="s">
        <v>91</v>
      </c>
      <c r="C36" s="280" t="s">
        <v>269</v>
      </c>
      <c r="D36" s="275" t="s">
        <v>294</v>
      </c>
      <c r="E36" s="276"/>
      <c r="F36" s="277">
        <f>F34*1.95</f>
        <v>9.6524999999999999</v>
      </c>
      <c r="G36" s="458"/>
      <c r="H36" s="458"/>
      <c r="I36" s="458"/>
      <c r="J36" s="458"/>
      <c r="K36" s="458"/>
      <c r="L36" s="458"/>
      <c r="M36" s="458"/>
    </row>
    <row r="37" spans="1:13" s="73" customFormat="1" ht="16.5" x14ac:dyDescent="0.25">
      <c r="A37" s="1261"/>
      <c r="B37" s="463"/>
      <c r="C37" s="281" t="s">
        <v>54</v>
      </c>
      <c r="D37" s="48" t="s">
        <v>6</v>
      </c>
      <c r="E37" s="49">
        <v>0.53</v>
      </c>
      <c r="F37" s="461">
        <f>F36*E37</f>
        <v>5.1158250000000001</v>
      </c>
      <c r="G37" s="458"/>
      <c r="H37" s="458"/>
      <c r="I37" s="458"/>
      <c r="J37" s="458">
        <f>F37*I37</f>
        <v>0</v>
      </c>
      <c r="K37" s="458"/>
      <c r="L37" s="458"/>
      <c r="M37" s="458">
        <f>H37+J37+L37</f>
        <v>0</v>
      </c>
    </row>
    <row r="38" spans="1:13" s="73" customFormat="1" ht="47.25" x14ac:dyDescent="0.25">
      <c r="A38" s="457" t="s">
        <v>450</v>
      </c>
      <c r="B38" s="464" t="s">
        <v>420</v>
      </c>
      <c r="C38" s="379" t="s">
        <v>499</v>
      </c>
      <c r="D38" s="464" t="s">
        <v>38</v>
      </c>
      <c r="E38" s="390"/>
      <c r="F38" s="277">
        <f>F36</f>
        <v>9.6524999999999999</v>
      </c>
      <c r="G38" s="458"/>
      <c r="H38" s="458"/>
      <c r="I38" s="458"/>
      <c r="J38" s="458"/>
      <c r="K38" s="19"/>
      <c r="L38" s="458">
        <f>F38*K38</f>
        <v>0</v>
      </c>
      <c r="M38" s="458">
        <f>H38+J38+L38</f>
        <v>0</v>
      </c>
    </row>
    <row r="39" spans="1:13" s="73" customFormat="1" ht="47.25" x14ac:dyDescent="0.25">
      <c r="A39" s="1259" t="s">
        <v>451</v>
      </c>
      <c r="B39" s="464" t="s">
        <v>35</v>
      </c>
      <c r="C39" s="456" t="s">
        <v>365</v>
      </c>
      <c r="D39" s="464" t="s">
        <v>37</v>
      </c>
      <c r="E39" s="465"/>
      <c r="F39" s="38">
        <f>0.5*0.5*0.1*(F12)</f>
        <v>0.45</v>
      </c>
      <c r="G39" s="458"/>
      <c r="H39" s="458"/>
      <c r="I39" s="458"/>
      <c r="J39" s="458"/>
      <c r="K39" s="458"/>
      <c r="L39" s="458"/>
      <c r="M39" s="458"/>
    </row>
    <row r="40" spans="1:13" s="73" customFormat="1" ht="16.5" x14ac:dyDescent="0.25">
      <c r="A40" s="1260"/>
      <c r="B40" s="463"/>
      <c r="C40" s="26" t="s">
        <v>13</v>
      </c>
      <c r="D40" s="463" t="s">
        <v>14</v>
      </c>
      <c r="E40" s="465">
        <v>3.52</v>
      </c>
      <c r="F40" s="36">
        <f>E40*F39</f>
        <v>1.5840000000000001</v>
      </c>
      <c r="G40" s="458"/>
      <c r="H40" s="458"/>
      <c r="I40" s="458"/>
      <c r="J40" s="458">
        <f>F40*I40</f>
        <v>0</v>
      </c>
      <c r="K40" s="458"/>
      <c r="L40" s="458"/>
      <c r="M40" s="458">
        <f>H40+J40+L40</f>
        <v>0</v>
      </c>
    </row>
    <row r="41" spans="1:13" s="73" customFormat="1" ht="16.5" x14ac:dyDescent="0.25">
      <c r="A41" s="1260"/>
      <c r="B41" s="463"/>
      <c r="C41" s="26" t="s">
        <v>17</v>
      </c>
      <c r="D41" s="463" t="s">
        <v>4</v>
      </c>
      <c r="E41" s="465">
        <v>1.06</v>
      </c>
      <c r="F41" s="36">
        <f>F39*E41</f>
        <v>0.47700000000000004</v>
      </c>
      <c r="G41" s="458"/>
      <c r="H41" s="458"/>
      <c r="I41" s="458"/>
      <c r="J41" s="458"/>
      <c r="K41" s="458"/>
      <c r="L41" s="458">
        <f>F41*K41</f>
        <v>0</v>
      </c>
      <c r="M41" s="458">
        <f>H41+J41+L41</f>
        <v>0</v>
      </c>
    </row>
    <row r="42" spans="1:13" s="73" customFormat="1" ht="16.5" x14ac:dyDescent="0.25">
      <c r="A42" s="1260"/>
      <c r="B42" s="463"/>
      <c r="C42" s="26" t="s">
        <v>374</v>
      </c>
      <c r="D42" s="463" t="s">
        <v>29</v>
      </c>
      <c r="E42" s="465">
        <f>0.18+0.09+0.97</f>
        <v>1.24</v>
      </c>
      <c r="F42" s="36">
        <f>E42*F39</f>
        <v>0.55800000000000005</v>
      </c>
      <c r="G42" s="458"/>
      <c r="H42" s="458">
        <f>F42*G42</f>
        <v>0</v>
      </c>
      <c r="I42" s="458"/>
      <c r="J42" s="458"/>
      <c r="K42" s="458"/>
      <c r="L42" s="458"/>
      <c r="M42" s="458">
        <f>H42+J42+L42</f>
        <v>0</v>
      </c>
    </row>
    <row r="43" spans="1:13" s="73" customFormat="1" ht="16.5" x14ac:dyDescent="0.25">
      <c r="A43" s="1261"/>
      <c r="B43" s="463"/>
      <c r="C43" s="145" t="s">
        <v>50</v>
      </c>
      <c r="D43" s="283" t="s">
        <v>4</v>
      </c>
      <c r="E43" s="465">
        <v>0.02</v>
      </c>
      <c r="F43" s="36">
        <f>F39*E43</f>
        <v>9.0000000000000011E-3</v>
      </c>
      <c r="G43" s="32"/>
      <c r="H43" s="458">
        <f>F43*G43</f>
        <v>0</v>
      </c>
      <c r="I43" s="17"/>
      <c r="J43" s="458"/>
      <c r="K43" s="18"/>
      <c r="L43" s="458"/>
      <c r="M43" s="458">
        <f>H43+J43+L43</f>
        <v>0</v>
      </c>
    </row>
    <row r="44" spans="1:13" s="73" customFormat="1" ht="31.5" x14ac:dyDescent="0.25">
      <c r="A44" s="1341" t="s">
        <v>452</v>
      </c>
      <c r="B44" s="167" t="s">
        <v>64</v>
      </c>
      <c r="C44" s="138" t="s">
        <v>447</v>
      </c>
      <c r="D44" s="167" t="s">
        <v>194</v>
      </c>
      <c r="E44" s="168"/>
      <c r="F44" s="247">
        <f>0.4*0.4*(1)*F12</f>
        <v>2.8800000000000008</v>
      </c>
      <c r="G44" s="17"/>
      <c r="H44" s="232"/>
      <c r="I44" s="17"/>
      <c r="J44" s="232"/>
      <c r="K44" s="18"/>
      <c r="L44" s="232"/>
      <c r="M44" s="232"/>
    </row>
    <row r="45" spans="1:13" s="73" customFormat="1" ht="16.5" x14ac:dyDescent="0.25">
      <c r="A45" s="1342"/>
      <c r="B45" s="169"/>
      <c r="C45" s="139" t="s">
        <v>67</v>
      </c>
      <c r="D45" s="169" t="s">
        <v>68</v>
      </c>
      <c r="E45" s="168">
        <v>1.37</v>
      </c>
      <c r="F45" s="168">
        <f>F44*E45</f>
        <v>3.9456000000000016</v>
      </c>
      <c r="G45" s="17"/>
      <c r="H45" s="232"/>
      <c r="I45" s="17"/>
      <c r="J45" s="232">
        <f>F45*I45</f>
        <v>0</v>
      </c>
      <c r="K45" s="18"/>
      <c r="L45" s="232"/>
      <c r="M45" s="232">
        <f t="shared" ref="M45:M49" si="0">H45+J45+L45</f>
        <v>0</v>
      </c>
    </row>
    <row r="46" spans="1:13" s="73" customFormat="1" ht="16.5" x14ac:dyDescent="0.25">
      <c r="A46" s="1342"/>
      <c r="B46" s="169"/>
      <c r="C46" s="139" t="s">
        <v>196</v>
      </c>
      <c r="D46" s="169" t="s">
        <v>21</v>
      </c>
      <c r="E46" s="168">
        <v>0.28299999999999997</v>
      </c>
      <c r="F46" s="168">
        <f>F44*E46</f>
        <v>0.8150400000000001</v>
      </c>
      <c r="G46" s="17"/>
      <c r="H46" s="232"/>
      <c r="I46" s="17"/>
      <c r="J46" s="232"/>
      <c r="K46" s="18"/>
      <c r="L46" s="232">
        <f>F46*K46</f>
        <v>0</v>
      </c>
      <c r="M46" s="232">
        <f t="shared" si="0"/>
        <v>0</v>
      </c>
    </row>
    <row r="47" spans="1:13" s="73" customFormat="1" ht="16.5" x14ac:dyDescent="0.25">
      <c r="A47" s="1342"/>
      <c r="B47" s="169"/>
      <c r="C47" s="139" t="s">
        <v>202</v>
      </c>
      <c r="D47" s="169" t="s">
        <v>194</v>
      </c>
      <c r="E47" s="168">
        <v>1.02</v>
      </c>
      <c r="F47" s="168">
        <f>F44*E47</f>
        <v>2.9376000000000007</v>
      </c>
      <c r="G47" s="17"/>
      <c r="H47" s="232">
        <f>F47*G47</f>
        <v>0</v>
      </c>
      <c r="I47" s="17"/>
      <c r="J47" s="232"/>
      <c r="K47" s="18"/>
      <c r="L47" s="232"/>
      <c r="M47" s="232">
        <f t="shared" si="0"/>
        <v>0</v>
      </c>
    </row>
    <row r="48" spans="1:13" s="73" customFormat="1" ht="16.5" x14ac:dyDescent="0.25">
      <c r="A48" s="1342"/>
      <c r="B48" s="14"/>
      <c r="C48" s="26" t="s">
        <v>203</v>
      </c>
      <c r="D48" s="14" t="s">
        <v>204</v>
      </c>
      <c r="E48" s="168">
        <v>1.03</v>
      </c>
      <c r="F48" s="168">
        <f>0.4*4*2*1.03*0.395/1000*(F12)</f>
        <v>2.3434560000000004E-2</v>
      </c>
      <c r="G48" s="17"/>
      <c r="H48" s="232">
        <f>F48*G48</f>
        <v>0</v>
      </c>
      <c r="I48" s="17"/>
      <c r="J48" s="232"/>
      <c r="K48" s="18"/>
      <c r="L48" s="232"/>
      <c r="M48" s="232">
        <f t="shared" si="0"/>
        <v>0</v>
      </c>
    </row>
    <row r="49" spans="1:14" s="73" customFormat="1" ht="16.5" x14ac:dyDescent="0.25">
      <c r="A49" s="1342"/>
      <c r="B49" s="183"/>
      <c r="C49" s="182" t="s">
        <v>205</v>
      </c>
      <c r="D49" s="184" t="s">
        <v>21</v>
      </c>
      <c r="E49" s="61">
        <v>0.62</v>
      </c>
      <c r="F49" s="61">
        <f>F44*E49</f>
        <v>1.7856000000000005</v>
      </c>
      <c r="G49" s="17"/>
      <c r="H49" s="232">
        <f>F49*G49</f>
        <v>0</v>
      </c>
      <c r="I49" s="232"/>
      <c r="J49" s="232"/>
      <c r="K49" s="18"/>
      <c r="L49" s="232"/>
      <c r="M49" s="232">
        <f t="shared" si="0"/>
        <v>0</v>
      </c>
    </row>
    <row r="50" spans="1:14" s="73" customFormat="1" ht="31.5" x14ac:dyDescent="0.25">
      <c r="A50" s="85"/>
      <c r="B50" s="85"/>
      <c r="C50" s="128" t="s">
        <v>187</v>
      </c>
      <c r="D50" s="185"/>
      <c r="E50" s="52"/>
      <c r="F50" s="53"/>
      <c r="G50" s="54"/>
      <c r="H50" s="86">
        <f>SUM(H10:H49)</f>
        <v>0</v>
      </c>
      <c r="I50" s="54"/>
      <c r="J50" s="86">
        <f>SUM(J10:J49)</f>
        <v>0</v>
      </c>
      <c r="K50" s="55"/>
      <c r="L50" s="86">
        <f>SUM(L10:L49)</f>
        <v>0</v>
      </c>
      <c r="M50" s="86">
        <f>SUM(M10:M49)</f>
        <v>0</v>
      </c>
      <c r="N50" s="343">
        <f>H50+J50+L50</f>
        <v>0</v>
      </c>
    </row>
    <row r="51" spans="1:14" s="73" customFormat="1" ht="63" x14ac:dyDescent="0.25">
      <c r="A51" s="14"/>
      <c r="B51" s="29"/>
      <c r="C51" s="153" t="s">
        <v>188</v>
      </c>
      <c r="D51" s="87"/>
      <c r="E51" s="56"/>
      <c r="F51" s="1416"/>
      <c r="G51" s="154"/>
      <c r="H51" s="154"/>
      <c r="I51" s="154"/>
      <c r="J51" s="154"/>
      <c r="K51" s="154"/>
      <c r="L51" s="154"/>
      <c r="M51" s="292">
        <f>H50*F51</f>
        <v>0</v>
      </c>
    </row>
    <row r="52" spans="1:14" s="73" customFormat="1" ht="16.5" x14ac:dyDescent="0.25">
      <c r="A52" s="14"/>
      <c r="B52" s="29"/>
      <c r="C52" s="314" t="s">
        <v>19</v>
      </c>
      <c r="D52" s="87"/>
      <c r="E52" s="56"/>
      <c r="F52" s="56"/>
      <c r="G52" s="154"/>
      <c r="H52" s="154"/>
      <c r="I52" s="154"/>
      <c r="J52" s="154"/>
      <c r="K52" s="154"/>
      <c r="L52" s="154"/>
      <c r="M52" s="292">
        <f>M50+M51</f>
        <v>0</v>
      </c>
    </row>
    <row r="53" spans="1:14" s="73" customFormat="1" ht="30" customHeight="1" x14ac:dyDescent="0.25">
      <c r="A53" s="9"/>
      <c r="B53" s="87"/>
      <c r="C53" s="153" t="s">
        <v>206</v>
      </c>
      <c r="D53" s="87"/>
      <c r="E53" s="56"/>
      <c r="F53" s="1417"/>
      <c r="G53" s="154"/>
      <c r="H53" s="154"/>
      <c r="I53" s="154"/>
      <c r="J53" s="154"/>
      <c r="K53" s="154"/>
      <c r="L53" s="154"/>
      <c r="M53" s="292">
        <f>M52*F53</f>
        <v>0</v>
      </c>
    </row>
    <row r="54" spans="1:14" s="73" customFormat="1" ht="16.5" x14ac:dyDescent="0.25">
      <c r="A54" s="186"/>
      <c r="B54" s="187"/>
      <c r="C54" s="188" t="s">
        <v>207</v>
      </c>
      <c r="D54" s="187"/>
      <c r="E54" s="189"/>
      <c r="F54" s="189"/>
      <c r="G54" s="190"/>
      <c r="H54" s="190"/>
      <c r="I54" s="190"/>
      <c r="J54" s="190"/>
      <c r="K54" s="190"/>
      <c r="L54" s="190"/>
      <c r="M54" s="190">
        <f>M52+M53</f>
        <v>0</v>
      </c>
    </row>
    <row r="55" spans="1:14" s="73" customFormat="1" ht="16.5" x14ac:dyDescent="0.25">
      <c r="A55" s="191"/>
      <c r="B55" s="191"/>
      <c r="C55" s="192" t="s">
        <v>208</v>
      </c>
      <c r="D55" s="193"/>
      <c r="E55" s="194"/>
      <c r="F55" s="194"/>
      <c r="G55" s="195"/>
      <c r="H55" s="237"/>
      <c r="I55" s="195"/>
      <c r="J55" s="237"/>
      <c r="K55" s="196"/>
      <c r="L55" s="237"/>
      <c r="M55" s="237"/>
    </row>
    <row r="56" spans="1:14" s="73" customFormat="1" ht="47.25" x14ac:dyDescent="0.25">
      <c r="A56" s="1349" t="s">
        <v>51</v>
      </c>
      <c r="B56" s="57" t="s">
        <v>65</v>
      </c>
      <c r="C56" s="58" t="s">
        <v>209</v>
      </c>
      <c r="D56" s="14" t="s">
        <v>66</v>
      </c>
      <c r="E56" s="234"/>
      <c r="F56" s="23">
        <f>SUM(F59:F62)</f>
        <v>22</v>
      </c>
      <c r="G56" s="232"/>
      <c r="H56" s="232"/>
      <c r="I56" s="232"/>
      <c r="J56" s="232"/>
      <c r="K56" s="232"/>
      <c r="L56" s="232"/>
      <c r="M56" s="232"/>
    </row>
    <row r="57" spans="1:14" s="73" customFormat="1" ht="16.5" x14ac:dyDescent="0.25">
      <c r="A57" s="1349"/>
      <c r="B57" s="59"/>
      <c r="C57" s="60" t="s">
        <v>67</v>
      </c>
      <c r="D57" s="59" t="s">
        <v>68</v>
      </c>
      <c r="E57" s="61">
        <v>1</v>
      </c>
      <c r="F57" s="61">
        <f>F56*E57</f>
        <v>22</v>
      </c>
      <c r="G57" s="17"/>
      <c r="H57" s="232"/>
      <c r="I57" s="17"/>
      <c r="J57" s="232">
        <f>F57*I57</f>
        <v>0</v>
      </c>
      <c r="K57" s="18"/>
      <c r="L57" s="232"/>
      <c r="M57" s="291">
        <f t="shared" ref="M57:M117" si="1">H57+J57+L57</f>
        <v>0</v>
      </c>
    </row>
    <row r="58" spans="1:14" s="73" customFormat="1" ht="16.5" x14ac:dyDescent="0.25">
      <c r="A58" s="1349"/>
      <c r="B58" s="59"/>
      <c r="C58" s="60" t="s">
        <v>5</v>
      </c>
      <c r="D58" s="59" t="s">
        <v>4</v>
      </c>
      <c r="E58" s="61">
        <v>1.1599999999999999</v>
      </c>
      <c r="F58" s="61">
        <f>F56*E58</f>
        <v>25.52</v>
      </c>
      <c r="G58" s="17"/>
      <c r="H58" s="232"/>
      <c r="I58" s="17"/>
      <c r="J58" s="232"/>
      <c r="K58" s="18"/>
      <c r="L58" s="232">
        <f>F58*K58</f>
        <v>0</v>
      </c>
      <c r="M58" s="291">
        <f t="shared" si="1"/>
        <v>0</v>
      </c>
    </row>
    <row r="59" spans="1:14" s="73" customFormat="1" ht="16.5" x14ac:dyDescent="0.25">
      <c r="A59" s="1349"/>
      <c r="B59" s="14"/>
      <c r="C59" s="485" t="s">
        <v>444</v>
      </c>
      <c r="D59" s="464" t="s">
        <v>66</v>
      </c>
      <c r="E59" s="234"/>
      <c r="F59" s="234">
        <f>F12</f>
        <v>18</v>
      </c>
      <c r="G59" s="232"/>
      <c r="H59" s="232">
        <f>F59*G59</f>
        <v>0</v>
      </c>
      <c r="I59" s="17"/>
      <c r="J59" s="232"/>
      <c r="K59" s="232"/>
      <c r="L59" s="232"/>
      <c r="M59" s="291">
        <f t="shared" si="1"/>
        <v>0</v>
      </c>
    </row>
    <row r="60" spans="1:14" s="73" customFormat="1" ht="16.5" hidden="1" x14ac:dyDescent="0.25">
      <c r="A60" s="1349"/>
      <c r="B60" s="14"/>
      <c r="C60" s="485" t="s">
        <v>445</v>
      </c>
      <c r="D60" s="464" t="s">
        <v>66</v>
      </c>
      <c r="E60" s="234"/>
      <c r="F60" s="460">
        <f t="shared" ref="F60:F62" si="2">F13</f>
        <v>0</v>
      </c>
      <c r="G60" s="232">
        <v>350</v>
      </c>
      <c r="H60" s="458">
        <f t="shared" ref="H60:H62" si="3">F60*G60</f>
        <v>0</v>
      </c>
      <c r="I60" s="17"/>
      <c r="J60" s="458"/>
      <c r="K60" s="458"/>
      <c r="L60" s="458"/>
      <c r="M60" s="458">
        <f t="shared" ref="M60:M62" si="4">H60+J60+L60</f>
        <v>0</v>
      </c>
    </row>
    <row r="61" spans="1:14" s="73" customFormat="1" ht="16.5" hidden="1" x14ac:dyDescent="0.25">
      <c r="A61" s="1349"/>
      <c r="B61" s="463"/>
      <c r="C61" s="485" t="s">
        <v>446</v>
      </c>
      <c r="D61" s="464" t="s">
        <v>66</v>
      </c>
      <c r="E61" s="460"/>
      <c r="F61" s="460">
        <f t="shared" si="2"/>
        <v>0</v>
      </c>
      <c r="G61" s="458">
        <v>800</v>
      </c>
      <c r="H61" s="458">
        <f t="shared" si="3"/>
        <v>0</v>
      </c>
      <c r="I61" s="17"/>
      <c r="J61" s="458"/>
      <c r="K61" s="458"/>
      <c r="L61" s="458"/>
      <c r="M61" s="458">
        <f t="shared" si="4"/>
        <v>0</v>
      </c>
    </row>
    <row r="62" spans="1:14" s="73" customFormat="1" ht="31.5" x14ac:dyDescent="0.25">
      <c r="A62" s="1349"/>
      <c r="B62" s="463"/>
      <c r="C62" s="62" t="s">
        <v>1340</v>
      </c>
      <c r="D62" s="464" t="s">
        <v>66</v>
      </c>
      <c r="E62" s="460"/>
      <c r="F62" s="460">
        <f t="shared" si="2"/>
        <v>4</v>
      </c>
      <c r="G62" s="458"/>
      <c r="H62" s="458">
        <f t="shared" si="3"/>
        <v>0</v>
      </c>
      <c r="I62" s="17"/>
      <c r="J62" s="458"/>
      <c r="K62" s="458"/>
      <c r="L62" s="458"/>
      <c r="M62" s="458">
        <f t="shared" si="4"/>
        <v>0</v>
      </c>
    </row>
    <row r="63" spans="1:14" s="73" customFormat="1" ht="16.5" x14ac:dyDescent="0.25">
      <c r="A63" s="1349"/>
      <c r="B63" s="14"/>
      <c r="C63" s="26" t="s">
        <v>50</v>
      </c>
      <c r="D63" s="14" t="s">
        <v>4</v>
      </c>
      <c r="E63" s="234">
        <v>0.05</v>
      </c>
      <c r="F63" s="234">
        <f>F56*E63</f>
        <v>1.1000000000000001</v>
      </c>
      <c r="G63" s="232"/>
      <c r="H63" s="232">
        <f>F63*G63</f>
        <v>0</v>
      </c>
      <c r="I63" s="17"/>
      <c r="J63" s="232"/>
      <c r="K63" s="232"/>
      <c r="L63" s="232"/>
      <c r="M63" s="291">
        <f t="shared" si="1"/>
        <v>0</v>
      </c>
    </row>
    <row r="64" spans="1:14" s="73" customFormat="1" ht="31.5" x14ac:dyDescent="0.25">
      <c r="A64" s="1322" t="s">
        <v>85</v>
      </c>
      <c r="B64" s="224" t="s">
        <v>95</v>
      </c>
      <c r="C64" s="255" t="s">
        <v>210</v>
      </c>
      <c r="D64" s="233" t="s">
        <v>96</v>
      </c>
      <c r="E64" s="235"/>
      <c r="F64" s="23">
        <f>F66+F67+F68+F69</f>
        <v>405</v>
      </c>
      <c r="G64" s="12"/>
      <c r="H64" s="8"/>
      <c r="I64" s="12"/>
      <c r="J64" s="232"/>
      <c r="K64" s="232"/>
      <c r="L64" s="232"/>
      <c r="M64" s="232"/>
    </row>
    <row r="65" spans="1:13" s="73" customFormat="1" ht="16.5" x14ac:dyDescent="0.25">
      <c r="A65" s="1323"/>
      <c r="B65" s="233"/>
      <c r="C65" s="26" t="s">
        <v>56</v>
      </c>
      <c r="D65" s="233" t="s">
        <v>20</v>
      </c>
      <c r="E65" s="235">
        <v>0.13900000000000001</v>
      </c>
      <c r="F65" s="234">
        <f>F64*E65</f>
        <v>56.295000000000002</v>
      </c>
      <c r="G65" s="232"/>
      <c r="H65" s="8"/>
      <c r="I65" s="232"/>
      <c r="J65" s="232">
        <f>F65*I65</f>
        <v>0</v>
      </c>
      <c r="K65" s="232"/>
      <c r="L65" s="232"/>
      <c r="M65" s="291">
        <f t="shared" si="1"/>
        <v>0</v>
      </c>
    </row>
    <row r="66" spans="1:13" s="73" customFormat="1" ht="16.5" x14ac:dyDescent="0.25">
      <c r="A66" s="1323"/>
      <c r="B66" s="282"/>
      <c r="C66" s="26" t="s">
        <v>1335</v>
      </c>
      <c r="D66" s="59" t="s">
        <v>41</v>
      </c>
      <c r="E66" s="284"/>
      <c r="F66" s="286">
        <v>50</v>
      </c>
      <c r="G66" s="285"/>
      <c r="H66" s="285">
        <f>F66*G66</f>
        <v>0</v>
      </c>
      <c r="I66" s="285"/>
      <c r="J66" s="285"/>
      <c r="K66" s="285"/>
      <c r="L66" s="285"/>
      <c r="M66" s="291">
        <f t="shared" si="1"/>
        <v>0</v>
      </c>
    </row>
    <row r="67" spans="1:13" s="73" customFormat="1" ht="16.5" x14ac:dyDescent="0.25">
      <c r="A67" s="1323"/>
      <c r="B67" s="233"/>
      <c r="C67" s="26" t="s">
        <v>287</v>
      </c>
      <c r="D67" s="59" t="s">
        <v>41</v>
      </c>
      <c r="E67" s="256"/>
      <c r="F67" s="61">
        <v>280</v>
      </c>
      <c r="G67" s="17"/>
      <c r="H67" s="232">
        <f>F67*G67</f>
        <v>0</v>
      </c>
      <c r="I67" s="17"/>
      <c r="J67" s="232"/>
      <c r="K67" s="18"/>
      <c r="L67" s="232"/>
      <c r="M67" s="291">
        <f t="shared" si="1"/>
        <v>0</v>
      </c>
    </row>
    <row r="68" spans="1:13" s="73" customFormat="1" ht="16.5" x14ac:dyDescent="0.25">
      <c r="A68" s="1323"/>
      <c r="B68" s="233"/>
      <c r="C68" s="26" t="s">
        <v>276</v>
      </c>
      <c r="D68" s="233" t="s">
        <v>41</v>
      </c>
      <c r="E68" s="235"/>
      <c r="F68" s="234">
        <v>75</v>
      </c>
      <c r="G68" s="232"/>
      <c r="H68" s="232">
        <f>F68*G68</f>
        <v>0</v>
      </c>
      <c r="I68" s="17"/>
      <c r="J68" s="232"/>
      <c r="K68" s="232"/>
      <c r="L68" s="232"/>
      <c r="M68" s="291">
        <f t="shared" si="1"/>
        <v>0</v>
      </c>
    </row>
    <row r="69" spans="1:13" s="73" customFormat="1" ht="16.5" hidden="1" x14ac:dyDescent="0.25">
      <c r="A69" s="1323"/>
      <c r="B69" s="233"/>
      <c r="C69" s="26" t="s">
        <v>288</v>
      </c>
      <c r="D69" s="271" t="s">
        <v>41</v>
      </c>
      <c r="E69" s="235"/>
      <c r="F69" s="234">
        <v>0</v>
      </c>
      <c r="G69" s="232">
        <v>1.72</v>
      </c>
      <c r="H69" s="272">
        <f>F69*G69</f>
        <v>0</v>
      </c>
      <c r="I69" s="17"/>
      <c r="J69" s="232"/>
      <c r="K69" s="232"/>
      <c r="L69" s="232"/>
      <c r="M69" s="291">
        <f t="shared" si="1"/>
        <v>0</v>
      </c>
    </row>
    <row r="70" spans="1:13" s="73" customFormat="1" ht="16.5" x14ac:dyDescent="0.25">
      <c r="A70" s="1323"/>
      <c r="B70" s="233"/>
      <c r="C70" s="26"/>
      <c r="D70" s="233"/>
      <c r="E70" s="235"/>
      <c r="F70" s="234"/>
      <c r="G70" s="232"/>
      <c r="H70" s="232"/>
      <c r="I70" s="17"/>
      <c r="J70" s="232"/>
      <c r="K70" s="232"/>
      <c r="L70" s="232"/>
      <c r="M70" s="291"/>
    </row>
    <row r="71" spans="1:13" s="73" customFormat="1" ht="16.5" x14ac:dyDescent="0.25">
      <c r="A71" s="1324"/>
      <c r="B71" s="233"/>
      <c r="C71" s="26" t="s">
        <v>97</v>
      </c>
      <c r="D71" s="233" t="s">
        <v>21</v>
      </c>
      <c r="E71" s="235" t="s">
        <v>211</v>
      </c>
      <c r="F71" s="1230">
        <v>3.9285000000000001</v>
      </c>
      <c r="G71" s="232"/>
      <c r="H71" s="8">
        <f>F71*G71</f>
        <v>0</v>
      </c>
      <c r="I71" s="17"/>
      <c r="J71" s="232"/>
      <c r="K71" s="232"/>
      <c r="L71" s="232"/>
      <c r="M71" s="291">
        <f>H71+J71+L71</f>
        <v>0</v>
      </c>
    </row>
    <row r="72" spans="1:13" s="73" customFormat="1" ht="16.5" x14ac:dyDescent="0.25">
      <c r="A72" s="14"/>
      <c r="B72" s="14"/>
      <c r="C72" s="26"/>
      <c r="D72" s="14"/>
      <c r="E72" s="234"/>
      <c r="F72" s="234"/>
      <c r="G72" s="232"/>
      <c r="H72" s="232"/>
      <c r="I72" s="17"/>
      <c r="J72" s="232"/>
      <c r="K72" s="232"/>
      <c r="L72" s="232"/>
      <c r="M72" s="291"/>
    </row>
    <row r="73" spans="1:13" s="73" customFormat="1" ht="31.5" hidden="1" x14ac:dyDescent="0.25">
      <c r="A73" s="1349" t="s">
        <v>69</v>
      </c>
      <c r="B73" s="9" t="s">
        <v>70</v>
      </c>
      <c r="C73" s="62" t="s">
        <v>98</v>
      </c>
      <c r="D73" s="14" t="s">
        <v>52</v>
      </c>
      <c r="E73" s="234"/>
      <c r="F73" s="23">
        <v>0</v>
      </c>
      <c r="G73" s="232"/>
      <c r="H73" s="232"/>
      <c r="I73" s="17"/>
      <c r="J73" s="232"/>
      <c r="K73" s="232"/>
      <c r="L73" s="232"/>
      <c r="M73" s="291"/>
    </row>
    <row r="74" spans="1:13" s="73" customFormat="1" ht="16.5" hidden="1" x14ac:dyDescent="0.25">
      <c r="A74" s="1349"/>
      <c r="B74" s="14"/>
      <c r="C74" s="60" t="s">
        <v>67</v>
      </c>
      <c r="D74" s="59" t="s">
        <v>68</v>
      </c>
      <c r="E74" s="61">
        <v>1.69</v>
      </c>
      <c r="F74" s="61">
        <f>F73*E74</f>
        <v>0</v>
      </c>
      <c r="G74" s="17"/>
      <c r="H74" s="232"/>
      <c r="I74" s="17">
        <v>6</v>
      </c>
      <c r="J74" s="232">
        <f>F74*I74</f>
        <v>0</v>
      </c>
      <c r="K74" s="18"/>
      <c r="L74" s="232"/>
      <c r="M74" s="291"/>
    </row>
    <row r="75" spans="1:13" s="73" customFormat="1" ht="16.5" hidden="1" x14ac:dyDescent="0.25">
      <c r="A75" s="1349"/>
      <c r="B75" s="14"/>
      <c r="C75" s="60" t="s">
        <v>5</v>
      </c>
      <c r="D75" s="59" t="s">
        <v>4</v>
      </c>
      <c r="E75" s="61">
        <v>2.3E-2</v>
      </c>
      <c r="F75" s="61">
        <f>F73*E75</f>
        <v>0</v>
      </c>
      <c r="G75" s="17"/>
      <c r="H75" s="232"/>
      <c r="I75" s="17"/>
      <c r="J75" s="232"/>
      <c r="K75" s="18">
        <v>3.2</v>
      </c>
      <c r="L75" s="232">
        <f>F75*K75</f>
        <v>0</v>
      </c>
      <c r="M75" s="291"/>
    </row>
    <row r="76" spans="1:13" s="73" customFormat="1" ht="31.5" hidden="1" x14ac:dyDescent="0.25">
      <c r="A76" s="1349"/>
      <c r="B76" s="14" t="s">
        <v>212</v>
      </c>
      <c r="C76" s="26" t="s">
        <v>98</v>
      </c>
      <c r="D76" s="14" t="s">
        <v>52</v>
      </c>
      <c r="E76" s="234">
        <v>1</v>
      </c>
      <c r="F76" s="234">
        <f>F73*E76</f>
        <v>0</v>
      </c>
      <c r="G76" s="232">
        <v>22.9</v>
      </c>
      <c r="H76" s="232">
        <f>F76*G76</f>
        <v>0</v>
      </c>
      <c r="I76" s="17"/>
      <c r="J76" s="232"/>
      <c r="K76" s="232"/>
      <c r="L76" s="232"/>
      <c r="M76" s="291"/>
    </row>
    <row r="77" spans="1:13" s="73" customFormat="1" ht="16.5" hidden="1" x14ac:dyDescent="0.25">
      <c r="A77" s="1349"/>
      <c r="B77" s="14" t="s">
        <v>213</v>
      </c>
      <c r="C77" s="26" t="s">
        <v>71</v>
      </c>
      <c r="D77" s="14" t="s">
        <v>52</v>
      </c>
      <c r="E77" s="234">
        <v>1</v>
      </c>
      <c r="F77" s="234">
        <f>F73*E77</f>
        <v>0</v>
      </c>
      <c r="G77" s="232">
        <v>13.6</v>
      </c>
      <c r="H77" s="232">
        <f>F77*G77</f>
        <v>0</v>
      </c>
      <c r="I77" s="17"/>
      <c r="J77" s="232"/>
      <c r="K77" s="232"/>
      <c r="L77" s="232"/>
      <c r="M77" s="291"/>
    </row>
    <row r="78" spans="1:13" s="73" customFormat="1" ht="16.5" hidden="1" x14ac:dyDescent="0.25">
      <c r="A78" s="1349"/>
      <c r="B78" s="14"/>
      <c r="C78" s="26" t="s">
        <v>50</v>
      </c>
      <c r="D78" s="14" t="s">
        <v>4</v>
      </c>
      <c r="E78" s="234">
        <v>1.01E-2</v>
      </c>
      <c r="F78" s="234">
        <f>F73*E78</f>
        <v>0</v>
      </c>
      <c r="G78" s="232">
        <v>3.2</v>
      </c>
      <c r="H78" s="232">
        <f>F78*G78</f>
        <v>0</v>
      </c>
      <c r="I78" s="17"/>
      <c r="J78" s="232"/>
      <c r="K78" s="232"/>
      <c r="L78" s="232"/>
      <c r="M78" s="291"/>
    </row>
    <row r="79" spans="1:13" s="73" customFormat="1" ht="26.25" x14ac:dyDescent="0.25">
      <c r="A79" s="1259" t="s">
        <v>72</v>
      </c>
      <c r="B79" s="224" t="s">
        <v>214</v>
      </c>
      <c r="C79" s="77" t="s">
        <v>453</v>
      </c>
      <c r="D79" s="14"/>
      <c r="E79" s="235"/>
      <c r="F79" s="61">
        <v>2</v>
      </c>
      <c r="G79" s="238"/>
      <c r="H79" s="92"/>
      <c r="I79" s="17"/>
      <c r="J79" s="232"/>
      <c r="K79" s="232"/>
      <c r="L79" s="232"/>
      <c r="M79" s="291"/>
    </row>
    <row r="80" spans="1:13" s="73" customFormat="1" ht="16.5" x14ac:dyDescent="0.25">
      <c r="A80" s="1260"/>
      <c r="B80" s="14"/>
      <c r="C80" s="96" t="s">
        <v>56</v>
      </c>
      <c r="D80" s="14" t="s">
        <v>20</v>
      </c>
      <c r="E80" s="235">
        <v>7.05</v>
      </c>
      <c r="F80" s="235">
        <f>F79*E80</f>
        <v>14.1</v>
      </c>
      <c r="G80" s="238"/>
      <c r="H80" s="92"/>
      <c r="I80" s="238"/>
      <c r="J80" s="92">
        <f>F80*I80</f>
        <v>0</v>
      </c>
      <c r="K80" s="238"/>
      <c r="L80" s="92"/>
      <c r="M80" s="291">
        <f t="shared" si="1"/>
        <v>0</v>
      </c>
    </row>
    <row r="81" spans="1:13" s="73" customFormat="1" ht="16.5" hidden="1" x14ac:dyDescent="0.25">
      <c r="A81" s="1260"/>
      <c r="B81" s="14"/>
      <c r="C81" s="96" t="s">
        <v>196</v>
      </c>
      <c r="D81" s="14" t="s">
        <v>215</v>
      </c>
      <c r="E81" s="235">
        <v>0</v>
      </c>
      <c r="F81" s="235">
        <f>F79*E81</f>
        <v>0</v>
      </c>
      <c r="G81" s="238"/>
      <c r="H81" s="92"/>
      <c r="I81" s="238"/>
      <c r="J81" s="92"/>
      <c r="K81" s="238">
        <v>4</v>
      </c>
      <c r="L81" s="92">
        <f>F81*K81</f>
        <v>0</v>
      </c>
      <c r="M81" s="291">
        <f t="shared" si="1"/>
        <v>0</v>
      </c>
    </row>
    <row r="82" spans="1:13" s="73" customFormat="1" ht="27" x14ac:dyDescent="0.25">
      <c r="A82" s="1260"/>
      <c r="B82" s="140"/>
      <c r="C82" s="96" t="s">
        <v>460</v>
      </c>
      <c r="D82" s="14" t="s">
        <v>80</v>
      </c>
      <c r="E82" s="235"/>
      <c r="F82" s="61">
        <v>1</v>
      </c>
      <c r="G82" s="238"/>
      <c r="H82" s="232">
        <f>F82*G82</f>
        <v>0</v>
      </c>
      <c r="I82" s="17"/>
      <c r="J82" s="232"/>
      <c r="K82" s="232"/>
      <c r="L82" s="232"/>
      <c r="M82" s="291">
        <f t="shared" si="1"/>
        <v>0</v>
      </c>
    </row>
    <row r="83" spans="1:13" s="73" customFormat="1" ht="26.25" hidden="1" x14ac:dyDescent="0.25">
      <c r="A83" s="1260"/>
      <c r="B83" s="140"/>
      <c r="C83" s="96" t="s">
        <v>454</v>
      </c>
      <c r="D83" s="282" t="s">
        <v>52</v>
      </c>
      <c r="E83" s="284"/>
      <c r="F83" s="61"/>
      <c r="G83" s="289">
        <v>27.1</v>
      </c>
      <c r="H83" s="285">
        <f>F83*G83</f>
        <v>0</v>
      </c>
      <c r="I83" s="17"/>
      <c r="J83" s="285"/>
      <c r="K83" s="285"/>
      <c r="L83" s="285"/>
      <c r="M83" s="291">
        <f t="shared" si="1"/>
        <v>0</v>
      </c>
    </row>
    <row r="84" spans="1:13" s="73" customFormat="1" ht="26.25" hidden="1" x14ac:dyDescent="0.25">
      <c r="A84" s="1260"/>
      <c r="B84" s="140"/>
      <c r="C84" s="96" t="s">
        <v>455</v>
      </c>
      <c r="D84" s="463" t="s">
        <v>52</v>
      </c>
      <c r="E84" s="235"/>
      <c r="F84" s="61"/>
      <c r="G84" s="238">
        <v>7</v>
      </c>
      <c r="H84" s="232">
        <f>F84*G84</f>
        <v>0</v>
      </c>
      <c r="I84" s="17"/>
      <c r="J84" s="232"/>
      <c r="K84" s="232"/>
      <c r="L84" s="232"/>
      <c r="M84" s="291">
        <f>H84+J84+L84</f>
        <v>0</v>
      </c>
    </row>
    <row r="85" spans="1:13" s="73" customFormat="1" ht="26.25" x14ac:dyDescent="0.25">
      <c r="A85" s="1260"/>
      <c r="B85" s="835"/>
      <c r="C85" s="96" t="s">
        <v>1337</v>
      </c>
      <c r="D85" s="835" t="s">
        <v>52</v>
      </c>
      <c r="E85" s="524"/>
      <c r="F85" s="61">
        <v>1</v>
      </c>
      <c r="G85" s="525"/>
      <c r="H85" s="828">
        <f>F85*G85</f>
        <v>0</v>
      </c>
      <c r="I85" s="17"/>
      <c r="J85" s="828"/>
      <c r="K85" s="828"/>
      <c r="L85" s="828"/>
      <c r="M85" s="828">
        <f>H85+J85+L85</f>
        <v>0</v>
      </c>
    </row>
    <row r="86" spans="1:13" s="73" customFormat="1" ht="26.25" x14ac:dyDescent="0.25">
      <c r="A86" s="1260"/>
      <c r="B86" s="14"/>
      <c r="C86" s="96" t="s">
        <v>457</v>
      </c>
      <c r="D86" s="463" t="s">
        <v>52</v>
      </c>
      <c r="E86" s="235"/>
      <c r="F86" s="61">
        <v>3</v>
      </c>
      <c r="G86" s="238"/>
      <c r="H86" s="232">
        <f t="shared" ref="H86:H91" si="5">F86*G86</f>
        <v>0</v>
      </c>
      <c r="I86" s="17"/>
      <c r="J86" s="232"/>
      <c r="K86" s="232"/>
      <c r="L86" s="232"/>
      <c r="M86" s="291">
        <f t="shared" si="1"/>
        <v>0</v>
      </c>
    </row>
    <row r="87" spans="1:13" s="73" customFormat="1" ht="26.25" hidden="1" x14ac:dyDescent="0.25">
      <c r="A87" s="1260"/>
      <c r="B87" s="14"/>
      <c r="C87" s="96" t="s">
        <v>458</v>
      </c>
      <c r="D87" s="463" t="s">
        <v>52</v>
      </c>
      <c r="E87" s="235"/>
      <c r="F87" s="61"/>
      <c r="G87" s="238"/>
      <c r="H87" s="232">
        <f t="shared" si="5"/>
        <v>0</v>
      </c>
      <c r="I87" s="17"/>
      <c r="J87" s="232"/>
      <c r="K87" s="232"/>
      <c r="L87" s="232"/>
      <c r="M87" s="291">
        <f t="shared" si="1"/>
        <v>0</v>
      </c>
    </row>
    <row r="88" spans="1:13" s="73" customFormat="1" ht="26.25" x14ac:dyDescent="0.25">
      <c r="A88" s="1260"/>
      <c r="B88" s="463"/>
      <c r="C88" s="96" t="s">
        <v>1336</v>
      </c>
      <c r="D88" s="463" t="s">
        <v>52</v>
      </c>
      <c r="E88" s="465"/>
      <c r="F88" s="61">
        <v>20</v>
      </c>
      <c r="G88" s="466"/>
      <c r="H88" s="458">
        <f t="shared" si="5"/>
        <v>0</v>
      </c>
      <c r="I88" s="17"/>
      <c r="J88" s="458"/>
      <c r="K88" s="458"/>
      <c r="L88" s="458"/>
      <c r="M88" s="458">
        <f t="shared" si="1"/>
        <v>0</v>
      </c>
    </row>
    <row r="89" spans="1:13" s="73" customFormat="1" ht="16.5" x14ac:dyDescent="0.25">
      <c r="A89" s="1260"/>
      <c r="B89" s="14"/>
      <c r="C89" s="96" t="s">
        <v>1338</v>
      </c>
      <c r="D89" s="14" t="s">
        <v>52</v>
      </c>
      <c r="E89" s="235"/>
      <c r="F89" s="61">
        <v>1</v>
      </c>
      <c r="G89" s="238"/>
      <c r="H89" s="232">
        <f t="shared" si="5"/>
        <v>0</v>
      </c>
      <c r="I89" s="17"/>
      <c r="J89" s="232"/>
      <c r="K89" s="232"/>
      <c r="L89" s="232"/>
      <c r="M89" s="291">
        <f t="shared" si="1"/>
        <v>0</v>
      </c>
    </row>
    <row r="90" spans="1:13" s="73" customFormat="1" ht="16.5" x14ac:dyDescent="0.25">
      <c r="A90" s="1260"/>
      <c r="B90" s="14"/>
      <c r="C90" s="96" t="s">
        <v>297</v>
      </c>
      <c r="D90" s="14" t="s">
        <v>52</v>
      </c>
      <c r="E90" s="235"/>
      <c r="F90" s="61">
        <v>1</v>
      </c>
      <c r="G90" s="238"/>
      <c r="H90" s="232">
        <f t="shared" si="5"/>
        <v>0</v>
      </c>
      <c r="I90" s="17"/>
      <c r="J90" s="232"/>
      <c r="K90" s="232"/>
      <c r="L90" s="232"/>
      <c r="M90" s="291">
        <f t="shared" si="1"/>
        <v>0</v>
      </c>
    </row>
    <row r="91" spans="1:13" s="73" customFormat="1" ht="27" x14ac:dyDescent="0.25">
      <c r="A91" s="1260"/>
      <c r="B91" s="14"/>
      <c r="C91" s="96" t="s">
        <v>1339</v>
      </c>
      <c r="D91" s="14" t="s">
        <v>52</v>
      </c>
      <c r="E91" s="235"/>
      <c r="F91" s="61">
        <v>1</v>
      </c>
      <c r="G91" s="238"/>
      <c r="H91" s="232">
        <f t="shared" si="5"/>
        <v>0</v>
      </c>
      <c r="I91" s="17"/>
      <c r="J91" s="232"/>
      <c r="K91" s="232"/>
      <c r="L91" s="232"/>
      <c r="M91" s="291">
        <f t="shared" si="1"/>
        <v>0</v>
      </c>
    </row>
    <row r="92" spans="1:13" s="73" customFormat="1" ht="16.5" x14ac:dyDescent="0.25">
      <c r="A92" s="1260"/>
      <c r="B92" s="14"/>
      <c r="C92" s="96" t="s">
        <v>277</v>
      </c>
      <c r="D92" s="14" t="s">
        <v>52</v>
      </c>
      <c r="E92" s="235"/>
      <c r="F92" s="61">
        <v>1</v>
      </c>
      <c r="G92" s="238"/>
      <c r="H92" s="232">
        <f>F92*G92</f>
        <v>0</v>
      </c>
      <c r="I92" s="17"/>
      <c r="J92" s="232"/>
      <c r="K92" s="232"/>
      <c r="L92" s="232"/>
      <c r="M92" s="291">
        <f>H92+J92+L92</f>
        <v>0</v>
      </c>
    </row>
    <row r="93" spans="1:13" s="73" customFormat="1" ht="16.5" x14ac:dyDescent="0.25">
      <c r="A93" s="1260"/>
      <c r="B93" s="463"/>
      <c r="C93" s="96" t="s">
        <v>459</v>
      </c>
      <c r="D93" s="463" t="s">
        <v>52</v>
      </c>
      <c r="E93" s="465"/>
      <c r="F93" s="61">
        <v>18</v>
      </c>
      <c r="G93" s="466"/>
      <c r="H93" s="458">
        <f>F93*G93</f>
        <v>0</v>
      </c>
      <c r="I93" s="17"/>
      <c r="J93" s="458"/>
      <c r="K93" s="458"/>
      <c r="L93" s="458"/>
      <c r="M93" s="458">
        <f>H93+J93+L93</f>
        <v>0</v>
      </c>
    </row>
    <row r="94" spans="1:13" s="73" customFormat="1" ht="16.5" x14ac:dyDescent="0.25">
      <c r="A94" s="1261"/>
      <c r="B94" s="402"/>
      <c r="C94" s="488" t="s">
        <v>456</v>
      </c>
      <c r="D94" s="140" t="s">
        <v>80</v>
      </c>
      <c r="E94" s="140"/>
      <c r="F94" s="140">
        <v>1</v>
      </c>
      <c r="G94" s="140"/>
      <c r="H94" s="458">
        <f>F94*G94</f>
        <v>0</v>
      </c>
      <c r="I94" s="17"/>
      <c r="J94" s="458"/>
      <c r="K94" s="458"/>
      <c r="L94" s="458"/>
      <c r="M94" s="458">
        <f>H94+J94+L94</f>
        <v>0</v>
      </c>
    </row>
    <row r="95" spans="1:13" s="73" customFormat="1" ht="47.25" hidden="1" x14ac:dyDescent="0.25">
      <c r="A95" s="1322" t="s">
        <v>94</v>
      </c>
      <c r="B95" s="278" t="s">
        <v>298</v>
      </c>
      <c r="C95" s="62" t="s">
        <v>300</v>
      </c>
      <c r="D95" s="43" t="s">
        <v>66</v>
      </c>
      <c r="E95" s="5"/>
      <c r="F95" s="23">
        <f>F97</f>
        <v>0</v>
      </c>
      <c r="G95" s="285"/>
      <c r="H95" s="8"/>
      <c r="I95" s="285"/>
      <c r="J95" s="8"/>
      <c r="K95" s="285"/>
      <c r="L95" s="8"/>
      <c r="M95" s="291"/>
    </row>
    <row r="96" spans="1:13" s="73" customFormat="1" ht="16.5" hidden="1" x14ac:dyDescent="0.25">
      <c r="A96" s="1323"/>
      <c r="B96" s="93"/>
      <c r="C96" s="299" t="s">
        <v>36</v>
      </c>
      <c r="D96" s="300" t="s">
        <v>6</v>
      </c>
      <c r="E96" s="301">
        <f>182/100</f>
        <v>1.82</v>
      </c>
      <c r="F96" s="288">
        <f>F95*E96</f>
        <v>0</v>
      </c>
      <c r="G96" s="285"/>
      <c r="H96" s="8"/>
      <c r="I96" s="285">
        <v>6</v>
      </c>
      <c r="J96" s="8">
        <f t="shared" ref="J96" si="6">F96*I96</f>
        <v>0</v>
      </c>
      <c r="K96" s="285"/>
      <c r="L96" s="8"/>
      <c r="M96" s="291">
        <f t="shared" si="1"/>
        <v>0</v>
      </c>
    </row>
    <row r="97" spans="1:13" s="73" customFormat="1" ht="45.75" hidden="1" x14ac:dyDescent="0.25">
      <c r="A97" s="1323"/>
      <c r="B97" s="93"/>
      <c r="C97" s="302" t="s">
        <v>299</v>
      </c>
      <c r="D97" s="300" t="s">
        <v>52</v>
      </c>
      <c r="E97" s="301"/>
      <c r="F97" s="293">
        <v>0</v>
      </c>
      <c r="G97" s="285">
        <v>12</v>
      </c>
      <c r="H97" s="8">
        <f t="shared" ref="H97:H98" si="7">F97*G97</f>
        <v>0</v>
      </c>
      <c r="I97" s="285"/>
      <c r="J97" s="8"/>
      <c r="K97" s="285"/>
      <c r="L97" s="8"/>
      <c r="M97" s="291">
        <f t="shared" si="1"/>
        <v>0</v>
      </c>
    </row>
    <row r="98" spans="1:13" s="73" customFormat="1" ht="16.5" hidden="1" x14ac:dyDescent="0.25">
      <c r="A98" s="1324"/>
      <c r="B98" s="43"/>
      <c r="C98" s="303" t="s">
        <v>7</v>
      </c>
      <c r="D98" s="43" t="s">
        <v>4</v>
      </c>
      <c r="E98" s="296">
        <v>0.13200000000000001</v>
      </c>
      <c r="F98" s="288">
        <f>F95*E98</f>
        <v>0</v>
      </c>
      <c r="G98" s="285">
        <v>3.2</v>
      </c>
      <c r="H98" s="8">
        <f t="shared" si="7"/>
        <v>0</v>
      </c>
      <c r="I98" s="285"/>
      <c r="J98" s="8"/>
      <c r="K98" s="285"/>
      <c r="L98" s="8"/>
      <c r="M98" s="291">
        <f t="shared" si="1"/>
        <v>0</v>
      </c>
    </row>
    <row r="99" spans="1:13" s="73" customFormat="1" ht="31.5" x14ac:dyDescent="0.25">
      <c r="A99" s="14" t="s">
        <v>87</v>
      </c>
      <c r="B99" s="14"/>
      <c r="C99" s="128" t="s">
        <v>73</v>
      </c>
      <c r="D99" s="14"/>
      <c r="E99" s="63"/>
      <c r="F99" s="63"/>
      <c r="G99" s="64"/>
      <c r="H99" s="64"/>
      <c r="I99" s="65"/>
      <c r="J99" s="64"/>
      <c r="K99" s="64"/>
      <c r="L99" s="64"/>
      <c r="M99" s="291"/>
    </row>
    <row r="100" spans="1:13" s="73" customFormat="1" ht="47.25" x14ac:dyDescent="0.25">
      <c r="A100" s="1346" t="s">
        <v>142</v>
      </c>
      <c r="B100" s="31" t="s">
        <v>75</v>
      </c>
      <c r="C100" s="37" t="s">
        <v>76</v>
      </c>
      <c r="D100" s="69" t="s">
        <v>41</v>
      </c>
      <c r="E100" s="257"/>
      <c r="F100" s="38">
        <f>F103</f>
        <v>9</v>
      </c>
      <c r="G100" s="32"/>
      <c r="H100" s="41"/>
      <c r="I100" s="41"/>
      <c r="J100" s="41"/>
      <c r="K100" s="41"/>
      <c r="L100" s="41"/>
      <c r="M100" s="291"/>
    </row>
    <row r="101" spans="1:13" s="73" customFormat="1" ht="16.5" x14ac:dyDescent="0.25">
      <c r="A101" s="1347"/>
      <c r="B101" s="236"/>
      <c r="C101" s="33" t="s">
        <v>36</v>
      </c>
      <c r="D101" s="66" t="s">
        <v>6</v>
      </c>
      <c r="E101" s="258">
        <v>0.12</v>
      </c>
      <c r="F101" s="36">
        <f>E101*F100</f>
        <v>1.08</v>
      </c>
      <c r="G101" s="32"/>
      <c r="H101" s="41"/>
      <c r="I101" s="41"/>
      <c r="J101" s="41">
        <f>F101*I101</f>
        <v>0</v>
      </c>
      <c r="K101" s="41"/>
      <c r="L101" s="41"/>
      <c r="M101" s="291">
        <f t="shared" si="1"/>
        <v>0</v>
      </c>
    </row>
    <row r="102" spans="1:13" s="73" customFormat="1" ht="16.5" x14ac:dyDescent="0.25">
      <c r="A102" s="1347"/>
      <c r="B102" s="236"/>
      <c r="C102" s="39" t="s">
        <v>5</v>
      </c>
      <c r="D102" s="66" t="s">
        <v>4</v>
      </c>
      <c r="E102" s="258">
        <v>8.9999999999999993E-3</v>
      </c>
      <c r="F102" s="67">
        <f>E102*F100</f>
        <v>8.0999999999999989E-2</v>
      </c>
      <c r="G102" s="32"/>
      <c r="H102" s="41"/>
      <c r="I102" s="41"/>
      <c r="J102" s="41"/>
      <c r="K102" s="41"/>
      <c r="L102" s="41">
        <f>F102*K102</f>
        <v>0</v>
      </c>
      <c r="M102" s="291">
        <f t="shared" si="1"/>
        <v>0</v>
      </c>
    </row>
    <row r="103" spans="1:13" s="73" customFormat="1" ht="31.5" x14ac:dyDescent="0.25">
      <c r="A103" s="1347"/>
      <c r="B103" s="68"/>
      <c r="C103" s="39" t="s">
        <v>77</v>
      </c>
      <c r="D103" s="69" t="s">
        <v>41</v>
      </c>
      <c r="E103" s="259"/>
      <c r="F103" s="36">
        <v>9</v>
      </c>
      <c r="G103" s="32"/>
      <c r="H103" s="41">
        <f t="shared" ref="H103:H104" si="8">F103*G103</f>
        <v>0</v>
      </c>
      <c r="I103" s="41"/>
      <c r="J103" s="41"/>
      <c r="K103" s="41"/>
      <c r="L103" s="41"/>
      <c r="M103" s="291">
        <f t="shared" si="1"/>
        <v>0</v>
      </c>
    </row>
    <row r="104" spans="1:13" s="73" customFormat="1" ht="16.5" x14ac:dyDescent="0.25">
      <c r="A104" s="1348"/>
      <c r="B104" s="236"/>
      <c r="C104" s="33" t="s">
        <v>7</v>
      </c>
      <c r="D104" s="66" t="s">
        <v>4</v>
      </c>
      <c r="E104" s="258">
        <v>0.14000000000000001</v>
      </c>
      <c r="F104" s="36">
        <f>E104*F100</f>
        <v>1.2600000000000002</v>
      </c>
      <c r="G104" s="32"/>
      <c r="H104" s="41">
        <f t="shared" si="8"/>
        <v>0</v>
      </c>
      <c r="I104" s="32"/>
      <c r="J104" s="41"/>
      <c r="K104" s="32"/>
      <c r="L104" s="41"/>
      <c r="M104" s="291">
        <f t="shared" si="1"/>
        <v>0</v>
      </c>
    </row>
    <row r="105" spans="1:13" s="73" customFormat="1" ht="16.5" x14ac:dyDescent="0.25">
      <c r="A105" s="287" t="s">
        <v>143</v>
      </c>
      <c r="B105" s="68"/>
      <c r="C105" s="39" t="s">
        <v>216</v>
      </c>
      <c r="D105" s="69" t="s">
        <v>52</v>
      </c>
      <c r="E105" s="259"/>
      <c r="F105" s="38">
        <v>1</v>
      </c>
      <c r="G105" s="32"/>
      <c r="H105" s="41">
        <f>F105*G105</f>
        <v>0</v>
      </c>
      <c r="I105" s="41"/>
      <c r="J105" s="41"/>
      <c r="K105" s="41"/>
      <c r="L105" s="41"/>
      <c r="M105" s="291">
        <f t="shared" si="1"/>
        <v>0</v>
      </c>
    </row>
    <row r="106" spans="1:13" s="73" customFormat="1" ht="40.5" x14ac:dyDescent="0.25">
      <c r="A106" s="1346" t="s">
        <v>144</v>
      </c>
      <c r="B106" s="31" t="s">
        <v>74</v>
      </c>
      <c r="C106" s="37" t="s">
        <v>281</v>
      </c>
      <c r="D106" s="66" t="s">
        <v>52</v>
      </c>
      <c r="E106" s="257"/>
      <c r="F106" s="38">
        <f>F109</f>
        <v>22</v>
      </c>
      <c r="G106" s="32"/>
      <c r="H106" s="41"/>
      <c r="I106" s="41"/>
      <c r="J106" s="41"/>
      <c r="K106" s="41"/>
      <c r="L106" s="41"/>
      <c r="M106" s="291"/>
    </row>
    <row r="107" spans="1:13" s="73" customFormat="1" ht="16.5" x14ac:dyDescent="0.25">
      <c r="A107" s="1347"/>
      <c r="B107" s="236"/>
      <c r="C107" s="33" t="s">
        <v>36</v>
      </c>
      <c r="D107" s="66" t="s">
        <v>6</v>
      </c>
      <c r="E107" s="258">
        <v>0.9</v>
      </c>
      <c r="F107" s="36">
        <f>E107*F106</f>
        <v>19.8</v>
      </c>
      <c r="G107" s="32"/>
      <c r="H107" s="41"/>
      <c r="I107" s="41"/>
      <c r="J107" s="41">
        <f>F107*I107</f>
        <v>0</v>
      </c>
      <c r="K107" s="41"/>
      <c r="L107" s="41"/>
      <c r="M107" s="291">
        <f t="shared" si="1"/>
        <v>0</v>
      </c>
    </row>
    <row r="108" spans="1:13" s="73" customFormat="1" ht="16.5" x14ac:dyDescent="0.25">
      <c r="A108" s="1347"/>
      <c r="B108" s="236"/>
      <c r="C108" s="39" t="s">
        <v>5</v>
      </c>
      <c r="D108" s="66" t="s">
        <v>4</v>
      </c>
      <c r="E108" s="258">
        <v>7.0000000000000007E-2</v>
      </c>
      <c r="F108" s="67">
        <f>E108*F106</f>
        <v>1.54</v>
      </c>
      <c r="G108" s="32"/>
      <c r="H108" s="41"/>
      <c r="I108" s="41"/>
      <c r="J108" s="41"/>
      <c r="K108" s="41"/>
      <c r="L108" s="41">
        <f>F108*K108</f>
        <v>0</v>
      </c>
      <c r="M108" s="291">
        <f t="shared" si="1"/>
        <v>0</v>
      </c>
    </row>
    <row r="109" spans="1:13" s="73" customFormat="1" ht="31.5" x14ac:dyDescent="0.25">
      <c r="A109" s="1347"/>
      <c r="B109" s="68"/>
      <c r="C109" s="39" t="s">
        <v>461</v>
      </c>
      <c r="D109" s="69" t="s">
        <v>52</v>
      </c>
      <c r="E109" s="259"/>
      <c r="F109" s="36">
        <v>22</v>
      </c>
      <c r="G109" s="32"/>
      <c r="H109" s="41">
        <f>F109*G109</f>
        <v>0</v>
      </c>
      <c r="I109" s="41"/>
      <c r="J109" s="41"/>
      <c r="K109" s="41"/>
      <c r="L109" s="41"/>
      <c r="M109" s="291">
        <f t="shared" si="1"/>
        <v>0</v>
      </c>
    </row>
    <row r="110" spans="1:13" s="73" customFormat="1" ht="16.5" x14ac:dyDescent="0.25">
      <c r="A110" s="1347"/>
      <c r="B110" s="68"/>
      <c r="C110" s="39" t="s">
        <v>462</v>
      </c>
      <c r="D110" s="69" t="s">
        <v>52</v>
      </c>
      <c r="E110" s="259"/>
      <c r="F110" s="36">
        <f>F106</f>
        <v>22</v>
      </c>
      <c r="G110" s="32"/>
      <c r="H110" s="41">
        <f>F110*G110</f>
        <v>0</v>
      </c>
      <c r="I110" s="41"/>
      <c r="J110" s="41"/>
      <c r="K110" s="41"/>
      <c r="L110" s="41"/>
      <c r="M110" s="458">
        <f t="shared" ref="M110" si="9">H110+J110+L110</f>
        <v>0</v>
      </c>
    </row>
    <row r="111" spans="1:13" s="73" customFormat="1" ht="16.5" x14ac:dyDescent="0.25">
      <c r="A111" s="1347"/>
      <c r="B111" s="68"/>
      <c r="C111" s="39" t="s">
        <v>463</v>
      </c>
      <c r="D111" s="69" t="s">
        <v>52</v>
      </c>
      <c r="E111" s="259"/>
      <c r="F111" s="36">
        <v>22</v>
      </c>
      <c r="G111" s="32"/>
      <c r="H111" s="41">
        <f>F111*G111</f>
        <v>0</v>
      </c>
      <c r="I111" s="41"/>
      <c r="J111" s="41"/>
      <c r="K111" s="41"/>
      <c r="L111" s="41"/>
      <c r="M111" s="458">
        <f t="shared" ref="M111" si="10">H111+J111+L111</f>
        <v>0</v>
      </c>
    </row>
    <row r="112" spans="1:13" s="73" customFormat="1" ht="16.5" x14ac:dyDescent="0.25">
      <c r="A112" s="1348"/>
      <c r="B112" s="236"/>
      <c r="C112" s="33" t="s">
        <v>7</v>
      </c>
      <c r="D112" s="66" t="s">
        <v>4</v>
      </c>
      <c r="E112" s="258">
        <v>0.14000000000000001</v>
      </c>
      <c r="F112" s="36">
        <f>E112*F106</f>
        <v>3.08</v>
      </c>
      <c r="G112" s="32"/>
      <c r="H112" s="41">
        <f>F112*G112</f>
        <v>0</v>
      </c>
      <c r="I112" s="32"/>
      <c r="J112" s="41"/>
      <c r="K112" s="32"/>
      <c r="L112" s="41"/>
      <c r="M112" s="291">
        <f t="shared" si="1"/>
        <v>0</v>
      </c>
    </row>
    <row r="113" spans="1:14" s="73" customFormat="1" ht="63" x14ac:dyDescent="0.25">
      <c r="A113" s="1346" t="s">
        <v>146</v>
      </c>
      <c r="B113" s="31" t="s">
        <v>278</v>
      </c>
      <c r="C113" s="37" t="s">
        <v>279</v>
      </c>
      <c r="D113" s="69" t="s">
        <v>41</v>
      </c>
      <c r="E113" s="257"/>
      <c r="F113" s="38">
        <f>F116</f>
        <v>25</v>
      </c>
      <c r="G113" s="32"/>
      <c r="H113" s="41"/>
      <c r="I113" s="41"/>
      <c r="J113" s="41"/>
      <c r="K113" s="41"/>
      <c r="L113" s="41"/>
      <c r="M113" s="291"/>
    </row>
    <row r="114" spans="1:14" s="73" customFormat="1" ht="16.5" x14ac:dyDescent="0.25">
      <c r="A114" s="1347"/>
      <c r="B114" s="236"/>
      <c r="C114" s="33" t="s">
        <v>36</v>
      </c>
      <c r="D114" s="66" t="s">
        <v>6</v>
      </c>
      <c r="E114" s="258">
        <v>0.26</v>
      </c>
      <c r="F114" s="36">
        <f>E114*F113</f>
        <v>6.5</v>
      </c>
      <c r="G114" s="32"/>
      <c r="H114" s="41"/>
      <c r="I114" s="41"/>
      <c r="J114" s="41">
        <f>F114*I114</f>
        <v>0</v>
      </c>
      <c r="K114" s="41"/>
      <c r="L114" s="41"/>
      <c r="M114" s="291">
        <f t="shared" si="1"/>
        <v>0</v>
      </c>
    </row>
    <row r="115" spans="1:14" s="73" customFormat="1" ht="16.5" x14ac:dyDescent="0.25">
      <c r="A115" s="1347"/>
      <c r="B115" s="236"/>
      <c r="C115" s="39" t="s">
        <v>5</v>
      </c>
      <c r="D115" s="66" t="s">
        <v>4</v>
      </c>
      <c r="E115" s="258">
        <v>1.6E-2</v>
      </c>
      <c r="F115" s="67">
        <f>E115*F113</f>
        <v>0.4</v>
      </c>
      <c r="G115" s="32"/>
      <c r="H115" s="41"/>
      <c r="I115" s="41"/>
      <c r="J115" s="41"/>
      <c r="K115" s="41"/>
      <c r="L115" s="41">
        <f>F115*K115</f>
        <v>0</v>
      </c>
      <c r="M115" s="291">
        <f t="shared" si="1"/>
        <v>0</v>
      </c>
    </row>
    <row r="116" spans="1:14" s="73" customFormat="1" ht="31.5" x14ac:dyDescent="0.25">
      <c r="A116" s="1347"/>
      <c r="B116" s="68"/>
      <c r="C116" s="39" t="s">
        <v>280</v>
      </c>
      <c r="D116" s="69" t="s">
        <v>41</v>
      </c>
      <c r="E116" s="259"/>
      <c r="F116" s="38">
        <v>25</v>
      </c>
      <c r="G116" s="32"/>
      <c r="H116" s="41">
        <f>F116*G116</f>
        <v>0</v>
      </c>
      <c r="I116" s="41"/>
      <c r="J116" s="41"/>
      <c r="K116" s="41"/>
      <c r="L116" s="41"/>
      <c r="M116" s="291">
        <f t="shared" si="1"/>
        <v>0</v>
      </c>
    </row>
    <row r="117" spans="1:14" s="73" customFormat="1" ht="16.5" x14ac:dyDescent="0.25">
      <c r="A117" s="1348"/>
      <c r="B117" s="236"/>
      <c r="C117" s="33" t="s">
        <v>7</v>
      </c>
      <c r="D117" s="66" t="s">
        <v>4</v>
      </c>
      <c r="E117" s="258">
        <v>0.35299999999999998</v>
      </c>
      <c r="F117" s="36">
        <f>E117*F113</f>
        <v>8.8249999999999993</v>
      </c>
      <c r="G117" s="32"/>
      <c r="H117" s="41">
        <f>F117*G117</f>
        <v>0</v>
      </c>
      <c r="I117" s="32"/>
      <c r="J117" s="41"/>
      <c r="K117" s="32"/>
      <c r="L117" s="41"/>
      <c r="M117" s="291">
        <f t="shared" si="1"/>
        <v>0</v>
      </c>
    </row>
    <row r="118" spans="1:14" s="73" customFormat="1" ht="31.5" x14ac:dyDescent="0.25">
      <c r="A118" s="85"/>
      <c r="B118" s="85"/>
      <c r="C118" s="128" t="s">
        <v>187</v>
      </c>
      <c r="D118" s="85"/>
      <c r="E118" s="53"/>
      <c r="F118" s="53"/>
      <c r="G118" s="86"/>
      <c r="H118" s="86">
        <f>SUM(H56:H117)</f>
        <v>0</v>
      </c>
      <c r="I118" s="86"/>
      <c r="J118" s="86">
        <f>SUM(J56:J117)</f>
        <v>0</v>
      </c>
      <c r="K118" s="86"/>
      <c r="L118" s="86">
        <f>SUM(L56:L117)</f>
        <v>0</v>
      </c>
      <c r="M118" s="86">
        <f>SUM(M56:M117)</f>
        <v>0</v>
      </c>
      <c r="N118" s="343">
        <f>H118+J118+L118</f>
        <v>0</v>
      </c>
    </row>
    <row r="119" spans="1:14" s="73" customFormat="1" ht="63" x14ac:dyDescent="0.25">
      <c r="A119" s="14"/>
      <c r="B119" s="29"/>
      <c r="C119" s="153" t="s">
        <v>188</v>
      </c>
      <c r="D119" s="87"/>
      <c r="E119" s="56"/>
      <c r="F119" s="311"/>
      <c r="G119" s="154"/>
      <c r="H119" s="154"/>
      <c r="I119" s="154"/>
      <c r="J119" s="154"/>
      <c r="K119" s="154"/>
      <c r="L119" s="154"/>
      <c r="M119" s="292">
        <f>H118*F119</f>
        <v>0</v>
      </c>
    </row>
    <row r="120" spans="1:14" s="73" customFormat="1" ht="16.5" x14ac:dyDescent="0.25">
      <c r="A120" s="14"/>
      <c r="B120" s="29"/>
      <c r="C120" s="314" t="s">
        <v>19</v>
      </c>
      <c r="D120" s="87"/>
      <c r="E120" s="56"/>
      <c r="F120" s="56"/>
      <c r="G120" s="154"/>
      <c r="H120" s="154"/>
      <c r="I120" s="154"/>
      <c r="J120" s="154"/>
      <c r="K120" s="154"/>
      <c r="L120" s="154"/>
      <c r="M120" s="154"/>
    </row>
    <row r="121" spans="1:14" s="73" customFormat="1" ht="47.25" x14ac:dyDescent="0.25">
      <c r="A121" s="14"/>
      <c r="B121" s="14"/>
      <c r="C121" s="91" t="s">
        <v>217</v>
      </c>
      <c r="D121" s="9"/>
      <c r="E121" s="234"/>
      <c r="F121" s="344"/>
      <c r="G121" s="232"/>
      <c r="H121" s="232"/>
      <c r="I121" s="232"/>
      <c r="J121" s="232"/>
      <c r="K121" s="232"/>
      <c r="L121" s="232"/>
      <c r="M121" s="232">
        <f>J118*F121</f>
        <v>0</v>
      </c>
    </row>
    <row r="122" spans="1:14" s="73" customFormat="1" ht="16.5" x14ac:dyDescent="0.25">
      <c r="A122" s="85"/>
      <c r="B122" s="85"/>
      <c r="C122" s="128" t="s">
        <v>218</v>
      </c>
      <c r="D122" s="85"/>
      <c r="E122" s="53"/>
      <c r="F122" s="53"/>
      <c r="G122" s="86"/>
      <c r="H122" s="86"/>
      <c r="I122" s="86"/>
      <c r="J122" s="86"/>
      <c r="K122" s="86"/>
      <c r="L122" s="86"/>
      <c r="M122" s="86">
        <f>M118+M119+M121</f>
        <v>0</v>
      </c>
    </row>
    <row r="123" spans="1:14" s="73" customFormat="1" ht="16.5" x14ac:dyDescent="0.25">
      <c r="A123" s="338"/>
      <c r="B123" s="339"/>
      <c r="C123" s="329" t="s">
        <v>219</v>
      </c>
      <c r="D123" s="339"/>
      <c r="E123" s="340"/>
      <c r="F123" s="341"/>
      <c r="G123" s="342"/>
      <c r="H123" s="342"/>
      <c r="I123" s="342"/>
      <c r="J123" s="342"/>
      <c r="K123" s="342"/>
      <c r="L123" s="342"/>
      <c r="M123" s="342">
        <f>M54+M122</f>
        <v>0</v>
      </c>
      <c r="N123" s="343"/>
    </row>
    <row r="124" spans="1:14" s="73" customFormat="1" ht="47.25" x14ac:dyDescent="0.25">
      <c r="A124" s="14"/>
      <c r="B124" s="14"/>
      <c r="C124" s="91" t="s">
        <v>305</v>
      </c>
      <c r="D124" s="9"/>
      <c r="E124" s="234"/>
      <c r="F124" s="1425"/>
      <c r="G124" s="232"/>
      <c r="H124" s="232"/>
      <c r="I124" s="232"/>
      <c r="J124" s="232"/>
      <c r="K124" s="232"/>
      <c r="L124" s="232"/>
      <c r="M124" s="232">
        <f>M123*F124</f>
        <v>0</v>
      </c>
    </row>
    <row r="125" spans="1:14" s="73" customFormat="1" ht="31.5" x14ac:dyDescent="0.25">
      <c r="A125" s="338"/>
      <c r="B125" s="339"/>
      <c r="C125" s="329" t="s">
        <v>1344</v>
      </c>
      <c r="D125" s="339"/>
      <c r="E125" s="340"/>
      <c r="F125" s="341"/>
      <c r="G125" s="342"/>
      <c r="H125" s="342"/>
      <c r="I125" s="342"/>
      <c r="J125" s="342" t="s">
        <v>26</v>
      </c>
      <c r="K125" s="342"/>
      <c r="L125" s="342"/>
      <c r="M125" s="1412">
        <f>M123+M124</f>
        <v>0</v>
      </c>
    </row>
    <row r="126" spans="1:14" s="73" customFormat="1" ht="31.5" x14ac:dyDescent="0.25">
      <c r="A126" s="9"/>
      <c r="B126" s="14"/>
      <c r="C126" s="13" t="s">
        <v>1</v>
      </c>
      <c r="D126" s="9"/>
      <c r="E126" s="234"/>
      <c r="F126" s="11" t="s">
        <v>57</v>
      </c>
      <c r="G126" s="232"/>
      <c r="H126" s="232"/>
      <c r="I126" s="232"/>
      <c r="J126" s="232"/>
      <c r="K126" s="232"/>
      <c r="L126" s="232"/>
      <c r="M126" s="232">
        <f>M125*F126</f>
        <v>0</v>
      </c>
    </row>
    <row r="127" spans="1:14" s="73" customFormat="1" ht="16.5" x14ac:dyDescent="0.25">
      <c r="A127" s="9"/>
      <c r="B127" s="14"/>
      <c r="C127" s="314" t="s">
        <v>19</v>
      </c>
      <c r="D127" s="9"/>
      <c r="E127" s="234"/>
      <c r="F127" s="23"/>
      <c r="G127" s="232"/>
      <c r="H127" s="232"/>
      <c r="I127" s="232"/>
      <c r="J127" s="232"/>
      <c r="K127" s="232"/>
      <c r="L127" s="232"/>
      <c r="M127" s="232">
        <f>M125+M126</f>
        <v>0</v>
      </c>
    </row>
    <row r="128" spans="1:14" s="73" customFormat="1" ht="31.5" x14ac:dyDescent="0.25">
      <c r="A128" s="321"/>
      <c r="B128" s="322"/>
      <c r="C128" s="336" t="s">
        <v>303</v>
      </c>
      <c r="D128" s="323"/>
      <c r="E128" s="324"/>
      <c r="F128" s="337">
        <v>0.02</v>
      </c>
      <c r="G128" s="306"/>
      <c r="H128" s="306"/>
      <c r="I128" s="306"/>
      <c r="J128" s="345"/>
      <c r="K128" s="306"/>
      <c r="L128" s="306"/>
      <c r="M128" s="306">
        <f>J118*F128</f>
        <v>0</v>
      </c>
    </row>
    <row r="129" spans="1:13" s="73" customFormat="1" ht="16.5" x14ac:dyDescent="0.25">
      <c r="A129" s="321"/>
      <c r="B129" s="322"/>
      <c r="C129" s="314" t="s">
        <v>19</v>
      </c>
      <c r="D129" s="323"/>
      <c r="E129" s="324"/>
      <c r="F129" s="335"/>
      <c r="G129" s="306"/>
      <c r="H129" s="306"/>
      <c r="I129" s="306"/>
      <c r="J129" s="314"/>
      <c r="K129" s="306"/>
      <c r="L129" s="306"/>
      <c r="M129" s="306">
        <f>M127+M128</f>
        <v>0</v>
      </c>
    </row>
    <row r="130" spans="1:13" s="73" customFormat="1" ht="16.5" x14ac:dyDescent="0.25">
      <c r="A130" s="9"/>
      <c r="B130" s="14"/>
      <c r="C130" s="13"/>
      <c r="D130" s="9"/>
      <c r="E130" s="234"/>
      <c r="F130" s="11" t="s">
        <v>58</v>
      </c>
      <c r="G130" s="232"/>
      <c r="H130" s="232"/>
      <c r="I130" s="232"/>
      <c r="J130" s="232"/>
      <c r="K130" s="232"/>
      <c r="L130" s="232"/>
      <c r="M130" s="232">
        <f>M129*F130</f>
        <v>0</v>
      </c>
    </row>
    <row r="131" spans="1:13" s="73" customFormat="1" ht="31.5" x14ac:dyDescent="0.25">
      <c r="A131" s="338"/>
      <c r="B131" s="339"/>
      <c r="C131" s="329" t="s">
        <v>1344</v>
      </c>
      <c r="D131" s="339"/>
      <c r="E131" s="340"/>
      <c r="F131" s="341"/>
      <c r="G131" s="342"/>
      <c r="H131" s="342"/>
      <c r="I131" s="342"/>
      <c r="J131" s="342"/>
      <c r="K131" s="342"/>
      <c r="L131" s="342"/>
      <c r="M131" s="1412">
        <f>M129+M130</f>
        <v>0</v>
      </c>
    </row>
    <row r="132" spans="1:13" s="73" customFormat="1" ht="16.5" x14ac:dyDescent="0.25">
      <c r="A132" s="226"/>
      <c r="B132" s="226"/>
      <c r="C132" s="227"/>
      <c r="D132" s="226"/>
      <c r="E132" s="228"/>
      <c r="F132" s="250"/>
      <c r="G132" s="229"/>
      <c r="H132" s="229"/>
      <c r="I132" s="229"/>
      <c r="J132" s="229"/>
      <c r="K132" s="229"/>
      <c r="L132" s="229"/>
      <c r="M132" s="230"/>
    </row>
    <row r="133" spans="1:13" s="73" customFormat="1" ht="16.5" x14ac:dyDescent="0.25">
      <c r="A133" s="97"/>
      <c r="B133" s="97"/>
      <c r="C133" s="197"/>
      <c r="D133" s="74"/>
      <c r="E133" s="156"/>
      <c r="F133" s="156"/>
      <c r="G133" s="88"/>
      <c r="H133" s="88"/>
      <c r="I133" s="88"/>
      <c r="J133" s="88"/>
      <c r="K133" s="88"/>
      <c r="L133" s="88"/>
      <c r="M133" s="88"/>
    </row>
    <row r="134" spans="1:13" s="73" customFormat="1" ht="16.5" x14ac:dyDescent="0.25">
      <c r="A134" s="97"/>
      <c r="B134" s="97"/>
      <c r="C134" s="115"/>
      <c r="D134" s="74"/>
      <c r="E134" s="156"/>
      <c r="F134" s="156"/>
      <c r="G134" s="88"/>
      <c r="H134" s="88"/>
      <c r="I134" s="88"/>
      <c r="J134" s="88"/>
      <c r="K134" s="88"/>
      <c r="L134" s="88"/>
      <c r="M134" s="88"/>
    </row>
  </sheetData>
  <mergeCells count="40">
    <mergeCell ref="A113:A117"/>
    <mergeCell ref="A95:A98"/>
    <mergeCell ref="A79:A94"/>
    <mergeCell ref="L11:L13"/>
    <mergeCell ref="A56:A63"/>
    <mergeCell ref="A64:A71"/>
    <mergeCell ref="A73:A78"/>
    <mergeCell ref="A106:A112"/>
    <mergeCell ref="A100:A104"/>
    <mergeCell ref="A20:A22"/>
    <mergeCell ref="A23:A27"/>
    <mergeCell ref="A28:A30"/>
    <mergeCell ref="A31:A32"/>
    <mergeCell ref="A44:A49"/>
    <mergeCell ref="A34:A35"/>
    <mergeCell ref="A11:A15"/>
    <mergeCell ref="M11:M13"/>
    <mergeCell ref="G11:G13"/>
    <mergeCell ref="H11:H13"/>
    <mergeCell ref="I11:I13"/>
    <mergeCell ref="J11:J13"/>
    <mergeCell ref="K11:K13"/>
    <mergeCell ref="B11:B15"/>
    <mergeCell ref="A36:A37"/>
    <mergeCell ref="A39:A43"/>
    <mergeCell ref="A18:A19"/>
    <mergeCell ref="A16:A17"/>
    <mergeCell ref="A1:M1"/>
    <mergeCell ref="A2:M2"/>
    <mergeCell ref="A3:M3"/>
    <mergeCell ref="A4:M4"/>
    <mergeCell ref="A5:A6"/>
    <mergeCell ref="B5:B6"/>
    <mergeCell ref="C5:C6"/>
    <mergeCell ref="D5:D6"/>
    <mergeCell ref="G5:H5"/>
    <mergeCell ref="I5:J5"/>
    <mergeCell ref="K5:L5"/>
    <mergeCell ref="M5:M6"/>
    <mergeCell ref="E5:F5"/>
  </mergeCells>
  <conditionalFormatting sqref="G34:M34">
    <cfRule type="cellIs" dxfId="1" priority="2" stopIfTrue="1" operator="equal">
      <formula>8223.307275</formula>
    </cfRule>
  </conditionalFormatting>
  <conditionalFormatting sqref="C43:D43">
    <cfRule type="cellIs" dxfId="0" priority="1" stopIfTrue="1" operator="equal">
      <formula>8223.307275</formula>
    </cfRule>
  </conditionalFormatting>
  <pageMargins left="0.70866141732283472" right="0.27" top="0.26" bottom="0.18" header="0.22" footer="0.15"/>
  <pageSetup paperSize="9" orientation="landscape" horizontalDpi="1200" verticalDpi="1200" r:id="rId1"/>
  <headerFooter>
    <oddHeader>&amp;R&amp;P--&amp;N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91"/>
  <sheetViews>
    <sheetView zoomScale="110" zoomScaleNormal="110" workbookViewId="0">
      <pane xSplit="3" ySplit="7" topLeftCell="D81" activePane="bottomRight" state="frozen"/>
      <selection pane="topRight" activeCell="D1" sqref="D1"/>
      <selection pane="bottomLeft" activeCell="A8" sqref="A8"/>
      <selection pane="bottomRight" activeCell="I86" sqref="I86"/>
    </sheetView>
  </sheetViews>
  <sheetFormatPr defaultRowHeight="15" x14ac:dyDescent="0.25"/>
  <cols>
    <col min="1" max="1" width="5.85546875" customWidth="1"/>
    <col min="3" max="3" width="32.7109375" customWidth="1"/>
    <col min="4" max="4" width="11.28515625" customWidth="1"/>
    <col min="8" max="8" width="10.85546875" customWidth="1"/>
    <col min="9" max="9" width="8.28515625" customWidth="1"/>
    <col min="11" max="11" width="7" customWidth="1"/>
    <col min="13" max="13" width="11.140625" customWidth="1"/>
    <col min="14" max="14" width="34.28515625" hidden="1" customWidth="1"/>
    <col min="15" max="15" width="32.85546875" hidden="1" customWidth="1"/>
  </cols>
  <sheetData>
    <row r="1" spans="1:14" s="198" customFormat="1" ht="26.25" customHeight="1" x14ac:dyDescent="0.25">
      <c r="A1" s="1292" t="str">
        <f>krebsiti!A2</f>
        <v>borjomis municipalitetis daba waRverSi kulturis saxlis mimdebared skveris mowyobis samuSaoebi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426"/>
    </row>
    <row r="2" spans="1:14" s="198" customFormat="1" ht="15.75" customHeight="1" x14ac:dyDescent="0.25">
      <c r="A2" s="1293" t="s">
        <v>128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</row>
    <row r="3" spans="1:14" s="198" customFormat="1" ht="18.75" customHeight="1" x14ac:dyDescent="0.25">
      <c r="A3" s="1292" t="s">
        <v>343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1292"/>
    </row>
    <row r="4" spans="1:14" s="198" customFormat="1" ht="21" customHeight="1" x14ac:dyDescent="0.25">
      <c r="A4" s="1292" t="s">
        <v>1347</v>
      </c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</row>
    <row r="5" spans="1:14" s="76" customFormat="1" ht="38.25" customHeight="1" x14ac:dyDescent="0.3">
      <c r="A5" s="1294" t="s">
        <v>0</v>
      </c>
      <c r="B5" s="1295" t="s">
        <v>546</v>
      </c>
      <c r="C5" s="1296" t="s">
        <v>547</v>
      </c>
      <c r="D5" s="1295" t="s">
        <v>548</v>
      </c>
      <c r="E5" s="1298" t="s">
        <v>549</v>
      </c>
      <c r="F5" s="1298"/>
      <c r="G5" s="1289" t="s">
        <v>550</v>
      </c>
      <c r="H5" s="1289"/>
      <c r="I5" s="1289" t="s">
        <v>551</v>
      </c>
      <c r="J5" s="1289"/>
      <c r="K5" s="1290" t="s">
        <v>25</v>
      </c>
      <c r="L5" s="1291"/>
      <c r="M5" s="1289" t="s">
        <v>552</v>
      </c>
      <c r="N5" s="240"/>
    </row>
    <row r="6" spans="1:14" s="76" customFormat="1" ht="31.5" x14ac:dyDescent="0.3">
      <c r="A6" s="1294"/>
      <c r="B6" s="1295"/>
      <c r="C6" s="1297"/>
      <c r="D6" s="1295"/>
      <c r="E6" s="515" t="s">
        <v>12</v>
      </c>
      <c r="F6" s="515" t="s">
        <v>3</v>
      </c>
      <c r="G6" s="515" t="s">
        <v>12</v>
      </c>
      <c r="H6" s="515" t="s">
        <v>3</v>
      </c>
      <c r="I6" s="515" t="s">
        <v>12</v>
      </c>
      <c r="J6" s="515" t="s">
        <v>3</v>
      </c>
      <c r="K6" s="515" t="s">
        <v>12</v>
      </c>
      <c r="L6" s="515" t="s">
        <v>3</v>
      </c>
      <c r="M6" s="1289"/>
      <c r="N6" s="240"/>
    </row>
    <row r="7" spans="1:14" s="73" customFormat="1" ht="16.5" x14ac:dyDescent="0.3">
      <c r="A7" s="519" t="s">
        <v>93</v>
      </c>
      <c r="B7" s="519" t="s">
        <v>72</v>
      </c>
      <c r="C7" s="519" t="s">
        <v>94</v>
      </c>
      <c r="D7" s="519" t="s">
        <v>87</v>
      </c>
      <c r="E7" s="519" t="s">
        <v>89</v>
      </c>
      <c r="F7" s="519" t="s">
        <v>90</v>
      </c>
      <c r="G7" s="519" t="s">
        <v>82</v>
      </c>
      <c r="H7" s="519" t="s">
        <v>40</v>
      </c>
      <c r="I7" s="519" t="s">
        <v>46</v>
      </c>
      <c r="J7" s="519" t="s">
        <v>48</v>
      </c>
      <c r="K7" s="519" t="s">
        <v>553</v>
      </c>
      <c r="L7" s="519" t="s">
        <v>53</v>
      </c>
      <c r="M7" s="519" t="s">
        <v>554</v>
      </c>
      <c r="N7" s="241"/>
    </row>
    <row r="8" spans="1:14" ht="94.5" x14ac:dyDescent="0.25">
      <c r="A8" s="263"/>
      <c r="B8" s="264"/>
      <c r="C8" s="265" t="s">
        <v>352</v>
      </c>
      <c r="D8" s="263"/>
      <c r="E8" s="266"/>
      <c r="F8" s="267"/>
      <c r="G8" s="396"/>
      <c r="H8" s="396"/>
      <c r="I8" s="396"/>
      <c r="J8" s="396"/>
      <c r="K8" s="396"/>
      <c r="L8" s="396"/>
      <c r="M8" s="396"/>
    </row>
    <row r="9" spans="1:14" ht="31.5" x14ac:dyDescent="0.25">
      <c r="A9" s="1368">
        <v>1</v>
      </c>
      <c r="B9" s="1370"/>
      <c r="C9" s="268" t="s">
        <v>464</v>
      </c>
      <c r="D9" s="1368" t="s">
        <v>41</v>
      </c>
      <c r="E9" s="1372"/>
      <c r="F9" s="269">
        <v>30</v>
      </c>
      <c r="G9" s="396"/>
      <c r="H9" s="396"/>
      <c r="I9" s="396"/>
      <c r="J9" s="396"/>
      <c r="K9" s="396"/>
      <c r="L9" s="396"/>
      <c r="M9" s="396"/>
      <c r="N9" s="427" t="s">
        <v>341</v>
      </c>
    </row>
    <row r="10" spans="1:14" ht="15.75" x14ac:dyDescent="0.25">
      <c r="A10" s="1369"/>
      <c r="B10" s="1371"/>
      <c r="C10" s="151"/>
      <c r="D10" s="1369"/>
      <c r="E10" s="1373"/>
      <c r="F10" s="270"/>
      <c r="G10" s="396"/>
      <c r="H10" s="396"/>
      <c r="I10" s="396"/>
      <c r="J10" s="396"/>
      <c r="K10" s="396"/>
      <c r="L10" s="396"/>
      <c r="M10" s="396"/>
    </row>
    <row r="11" spans="1:14" ht="47.25" x14ac:dyDescent="0.25">
      <c r="A11" s="1366">
        <v>1</v>
      </c>
      <c r="B11" s="224" t="s">
        <v>59</v>
      </c>
      <c r="C11" s="62" t="s">
        <v>111</v>
      </c>
      <c r="D11" s="224" t="s">
        <v>32</v>
      </c>
      <c r="E11" s="10"/>
      <c r="F11" s="23">
        <f>F9*0.7*1</f>
        <v>21</v>
      </c>
      <c r="G11" s="12"/>
      <c r="H11" s="396"/>
      <c r="I11" s="12"/>
      <c r="J11" s="396"/>
      <c r="K11" s="12"/>
      <c r="L11" s="396"/>
      <c r="M11" s="396"/>
    </row>
    <row r="12" spans="1:14" ht="15.75" x14ac:dyDescent="0.25">
      <c r="A12" s="1367"/>
      <c r="B12" s="224"/>
      <c r="C12" s="26" t="s">
        <v>13</v>
      </c>
      <c r="D12" s="398" t="s">
        <v>14</v>
      </c>
      <c r="E12" s="400">
        <v>2.06</v>
      </c>
      <c r="F12" s="397">
        <f>E12*F11</f>
        <v>43.26</v>
      </c>
      <c r="G12" s="396"/>
      <c r="H12" s="396"/>
      <c r="I12" s="396"/>
      <c r="J12" s="396">
        <f>F12*I12</f>
        <v>0</v>
      </c>
      <c r="K12" s="396"/>
      <c r="L12" s="396"/>
      <c r="M12" s="396">
        <f>H12+J12+L12</f>
        <v>0</v>
      </c>
    </row>
    <row r="13" spans="1:14" ht="47.25" hidden="1" x14ac:dyDescent="0.25">
      <c r="A13" s="1359" t="s">
        <v>72</v>
      </c>
      <c r="B13" s="83" t="s">
        <v>91</v>
      </c>
      <c r="C13" s="126" t="s">
        <v>269</v>
      </c>
      <c r="D13" s="224" t="s">
        <v>38</v>
      </c>
      <c r="E13" s="418"/>
      <c r="F13" s="84">
        <f>0*1.95</f>
        <v>0</v>
      </c>
      <c r="G13" s="19"/>
      <c r="H13" s="396"/>
      <c r="I13" s="19"/>
      <c r="J13" s="396"/>
      <c r="K13" s="19"/>
      <c r="L13" s="396"/>
      <c r="M13" s="396"/>
    </row>
    <row r="14" spans="1:14" ht="15.75" hidden="1" x14ac:dyDescent="0.25">
      <c r="A14" s="1360"/>
      <c r="B14" s="47"/>
      <c r="C14" s="44" t="s">
        <v>56</v>
      </c>
      <c r="D14" s="45" t="s">
        <v>6</v>
      </c>
      <c r="E14" s="418">
        <v>0.53</v>
      </c>
      <c r="F14" s="46">
        <f>F13*E14</f>
        <v>0</v>
      </c>
      <c r="G14" s="19"/>
      <c r="H14" s="396"/>
      <c r="I14" s="19">
        <v>6</v>
      </c>
      <c r="J14" s="396">
        <f>F14*I14</f>
        <v>0</v>
      </c>
      <c r="K14" s="19"/>
      <c r="L14" s="396"/>
      <c r="M14" s="396">
        <f>H14+J14+L14</f>
        <v>0</v>
      </c>
    </row>
    <row r="15" spans="1:14" ht="15.75" hidden="1" x14ac:dyDescent="0.25">
      <c r="A15" s="1361"/>
      <c r="B15" s="398" t="s">
        <v>137</v>
      </c>
      <c r="C15" s="127" t="s">
        <v>270</v>
      </c>
      <c r="D15" s="224" t="s">
        <v>38</v>
      </c>
      <c r="E15" s="418"/>
      <c r="F15" s="84">
        <f>F13</f>
        <v>0</v>
      </c>
      <c r="G15" s="19"/>
      <c r="H15" s="396"/>
      <c r="I15" s="19"/>
      <c r="J15" s="396"/>
      <c r="K15" s="19">
        <v>6.44</v>
      </c>
      <c r="L15" s="396">
        <f>F15*K15</f>
        <v>0</v>
      </c>
      <c r="M15" s="396">
        <f>H15+J15+L15</f>
        <v>0</v>
      </c>
    </row>
    <row r="16" spans="1:14" ht="47.25" x14ac:dyDescent="0.25">
      <c r="A16" s="1354" t="s">
        <v>94</v>
      </c>
      <c r="B16" s="224" t="s">
        <v>112</v>
      </c>
      <c r="C16" s="100" t="s">
        <v>113</v>
      </c>
      <c r="D16" s="224" t="s">
        <v>32</v>
      </c>
      <c r="E16" s="10"/>
      <c r="F16" s="23">
        <f>F9*0.7*0.3</f>
        <v>6.3</v>
      </c>
      <c r="G16" s="101"/>
      <c r="H16" s="396"/>
      <c r="I16" s="32"/>
      <c r="J16" s="396"/>
      <c r="K16" s="32"/>
      <c r="L16" s="396"/>
      <c r="M16" s="396"/>
    </row>
    <row r="17" spans="1:13" ht="15.75" x14ac:dyDescent="0.25">
      <c r="A17" s="1355"/>
      <c r="B17" s="398"/>
      <c r="C17" s="26" t="s">
        <v>13</v>
      </c>
      <c r="D17" s="398" t="s">
        <v>6</v>
      </c>
      <c r="E17" s="400">
        <f>18/10</f>
        <v>1.8</v>
      </c>
      <c r="F17" s="397">
        <f>E17*F16</f>
        <v>11.34</v>
      </c>
      <c r="G17" s="396"/>
      <c r="H17" s="396"/>
      <c r="I17" s="396"/>
      <c r="J17" s="396">
        <f>F17*I17</f>
        <v>0</v>
      </c>
      <c r="K17" s="396"/>
      <c r="L17" s="396"/>
      <c r="M17" s="396">
        <f>H17+J17+L17</f>
        <v>0</v>
      </c>
    </row>
    <row r="18" spans="1:13" ht="15.75" x14ac:dyDescent="0.25">
      <c r="A18" s="1355"/>
      <c r="B18" s="398"/>
      <c r="C18" s="26" t="s">
        <v>114</v>
      </c>
      <c r="D18" s="398" t="s">
        <v>29</v>
      </c>
      <c r="E18" s="400">
        <v>1.1000000000000001</v>
      </c>
      <c r="F18" s="397">
        <f>F16*E18</f>
        <v>6.9300000000000006</v>
      </c>
      <c r="G18" s="396"/>
      <c r="H18" s="396">
        <f>F18*G18</f>
        <v>0</v>
      </c>
      <c r="I18" s="99"/>
      <c r="J18" s="396"/>
      <c r="K18" s="396"/>
      <c r="L18" s="396"/>
      <c r="M18" s="396">
        <f>H18+J18+L18</f>
        <v>0</v>
      </c>
    </row>
    <row r="19" spans="1:13" ht="47.25" x14ac:dyDescent="0.25">
      <c r="A19" s="1365" t="s">
        <v>87</v>
      </c>
      <c r="B19" s="224" t="s">
        <v>123</v>
      </c>
      <c r="C19" s="62" t="s">
        <v>465</v>
      </c>
      <c r="D19" s="224" t="s">
        <v>41</v>
      </c>
      <c r="E19" s="10"/>
      <c r="F19" s="23">
        <f>F23</f>
        <v>30</v>
      </c>
      <c r="G19" s="12"/>
      <c r="H19" s="396"/>
      <c r="I19" s="12"/>
      <c r="J19" s="396"/>
      <c r="K19" s="12"/>
      <c r="L19" s="396"/>
      <c r="M19" s="396"/>
    </row>
    <row r="20" spans="1:13" ht="15.75" x14ac:dyDescent="0.25">
      <c r="A20" s="1365"/>
      <c r="B20" s="398"/>
      <c r="C20" s="26" t="s">
        <v>100</v>
      </c>
      <c r="D20" s="398" t="s">
        <v>68</v>
      </c>
      <c r="E20" s="400">
        <v>9.5899999999999999E-2</v>
      </c>
      <c r="F20" s="397">
        <f>F19*E20</f>
        <v>2.8769999999999998</v>
      </c>
      <c r="G20" s="396"/>
      <c r="H20" s="396"/>
      <c r="I20" s="396"/>
      <c r="J20" s="396">
        <f>F20*I20</f>
        <v>0</v>
      </c>
      <c r="K20" s="396"/>
      <c r="L20" s="396"/>
      <c r="M20" s="396">
        <f>H20+J20+L20</f>
        <v>0</v>
      </c>
    </row>
    <row r="21" spans="1:13" ht="15.75" x14ac:dyDescent="0.25">
      <c r="A21" s="1365"/>
      <c r="B21" s="398"/>
      <c r="C21" s="26" t="s">
        <v>101</v>
      </c>
      <c r="D21" s="398" t="s">
        <v>21</v>
      </c>
      <c r="E21" s="400">
        <v>4.5199999999999997E-2</v>
      </c>
      <c r="F21" s="397">
        <f>F19*E21</f>
        <v>1.3559999999999999</v>
      </c>
      <c r="G21" s="396"/>
      <c r="H21" s="396"/>
      <c r="I21" s="396"/>
      <c r="J21" s="396"/>
      <c r="K21" s="396"/>
      <c r="L21" s="396">
        <f>F21*K21</f>
        <v>0</v>
      </c>
      <c r="M21" s="396">
        <f>H21+J21+L21</f>
        <v>0</v>
      </c>
    </row>
    <row r="22" spans="1:13" ht="30.75" hidden="1" x14ac:dyDescent="0.25">
      <c r="A22" s="1365"/>
      <c r="B22" s="398"/>
      <c r="C22" s="26" t="s">
        <v>220</v>
      </c>
      <c r="D22" s="398" t="s">
        <v>102</v>
      </c>
      <c r="E22" s="400">
        <v>1.01</v>
      </c>
      <c r="F22" s="397">
        <v>0</v>
      </c>
      <c r="G22" s="396">
        <v>1.5</v>
      </c>
      <c r="H22" s="396">
        <f>F22*G22</f>
        <v>0</v>
      </c>
      <c r="I22" s="396"/>
      <c r="J22" s="396"/>
      <c r="K22" s="396"/>
      <c r="L22" s="396"/>
      <c r="M22" s="396">
        <f>H22+J22+L22</f>
        <v>0</v>
      </c>
    </row>
    <row r="23" spans="1:13" ht="30.75" x14ac:dyDescent="0.25">
      <c r="A23" s="1365"/>
      <c r="B23" s="398"/>
      <c r="C23" s="26" t="s">
        <v>356</v>
      </c>
      <c r="D23" s="398" t="s">
        <v>102</v>
      </c>
      <c r="E23" s="400">
        <v>1.01</v>
      </c>
      <c r="F23" s="397">
        <v>30</v>
      </c>
      <c r="G23" s="396"/>
      <c r="H23" s="396">
        <f>F23*G23</f>
        <v>0</v>
      </c>
      <c r="I23" s="396"/>
      <c r="J23" s="396"/>
      <c r="K23" s="396"/>
      <c r="L23" s="396"/>
      <c r="M23" s="396">
        <f>H23+J23+L23</f>
        <v>0</v>
      </c>
    </row>
    <row r="24" spans="1:13" ht="15.75" x14ac:dyDescent="0.25">
      <c r="A24" s="1365"/>
      <c r="B24" s="398"/>
      <c r="C24" s="26" t="s">
        <v>97</v>
      </c>
      <c r="D24" s="398" t="s">
        <v>21</v>
      </c>
      <c r="E24" s="400">
        <v>5.9999999999999995E-4</v>
      </c>
      <c r="F24" s="397">
        <f>F19*E24</f>
        <v>1.7999999999999999E-2</v>
      </c>
      <c r="G24" s="396"/>
      <c r="H24" s="396">
        <f>F24*G24</f>
        <v>0</v>
      </c>
      <c r="I24" s="396"/>
      <c r="J24" s="396"/>
      <c r="K24" s="396"/>
      <c r="L24" s="396"/>
      <c r="M24" s="396">
        <f>H24+J24+L24</f>
        <v>0</v>
      </c>
    </row>
    <row r="25" spans="1:13" ht="31.5" x14ac:dyDescent="0.25">
      <c r="A25" s="1262" t="s">
        <v>89</v>
      </c>
      <c r="B25" s="31" t="s">
        <v>338</v>
      </c>
      <c r="C25" s="37" t="s">
        <v>339</v>
      </c>
      <c r="D25" s="31" t="s">
        <v>37</v>
      </c>
      <c r="E25" s="34"/>
      <c r="F25" s="23">
        <f>F9*0.7*(1-0.3)</f>
        <v>14.7</v>
      </c>
      <c r="G25" s="32"/>
      <c r="H25" s="32"/>
      <c r="I25" s="32"/>
      <c r="J25" s="32"/>
      <c r="K25" s="32"/>
      <c r="L25" s="32"/>
      <c r="M25" s="32"/>
    </row>
    <row r="26" spans="1:13" ht="15.75" x14ac:dyDescent="0.25">
      <c r="A26" s="1264"/>
      <c r="B26" s="283"/>
      <c r="C26" s="33" t="s">
        <v>33</v>
      </c>
      <c r="D26" s="143" t="s">
        <v>6</v>
      </c>
      <c r="E26" s="34">
        <v>1.21</v>
      </c>
      <c r="F26" s="397">
        <f>F25*E26</f>
        <v>17.786999999999999</v>
      </c>
      <c r="G26" s="32"/>
      <c r="H26" s="32"/>
      <c r="I26" s="32"/>
      <c r="J26" s="32">
        <f t="shared" ref="J26" si="0">F26*I26</f>
        <v>0</v>
      </c>
      <c r="K26" s="32"/>
      <c r="L26" s="32"/>
      <c r="M26" s="32">
        <f t="shared" ref="M26" si="1">H26+J26+L26</f>
        <v>0</v>
      </c>
    </row>
    <row r="27" spans="1:13" ht="31.5" hidden="1" x14ac:dyDescent="0.25">
      <c r="A27" s="1365" t="s">
        <v>89</v>
      </c>
      <c r="B27" s="224" t="s">
        <v>116</v>
      </c>
      <c r="C27" s="102" t="s">
        <v>117</v>
      </c>
      <c r="D27" s="224" t="s">
        <v>32</v>
      </c>
      <c r="E27" s="262"/>
      <c r="F27" s="23">
        <f>0*0.7*(1-0.3)</f>
        <v>0</v>
      </c>
      <c r="G27" s="101"/>
      <c r="H27" s="396"/>
      <c r="I27" s="101"/>
      <c r="J27" s="396"/>
      <c r="K27" s="101"/>
      <c r="L27" s="396"/>
      <c r="M27" s="396"/>
    </row>
    <row r="28" spans="1:13" ht="15.75" hidden="1" x14ac:dyDescent="0.25">
      <c r="A28" s="1365"/>
      <c r="B28" s="398"/>
      <c r="C28" s="26" t="s">
        <v>13</v>
      </c>
      <c r="D28" s="398" t="s">
        <v>6</v>
      </c>
      <c r="E28" s="400">
        <f>17.8/10</f>
        <v>1.78</v>
      </c>
      <c r="F28" s="397">
        <f>E28*F27</f>
        <v>0</v>
      </c>
      <c r="G28" s="32"/>
      <c r="H28" s="396"/>
      <c r="I28" s="32">
        <v>6</v>
      </c>
      <c r="J28" s="396">
        <f>F28*I28</f>
        <v>0</v>
      </c>
      <c r="K28" s="32"/>
      <c r="L28" s="396"/>
      <c r="M28" s="396">
        <f>H28+J28+L28</f>
        <v>0</v>
      </c>
    </row>
    <row r="29" spans="1:13" ht="15.75" hidden="1" x14ac:dyDescent="0.25">
      <c r="A29" s="1365"/>
      <c r="B29" s="398"/>
      <c r="C29" s="26" t="s">
        <v>30</v>
      </c>
      <c r="D29" s="398" t="s">
        <v>29</v>
      </c>
      <c r="E29" s="400">
        <v>1.1000000000000001</v>
      </c>
      <c r="F29" s="397">
        <f>E29*F27</f>
        <v>0</v>
      </c>
      <c r="G29" s="32">
        <v>18.600000000000001</v>
      </c>
      <c r="H29" s="396">
        <f>F29*G29</f>
        <v>0</v>
      </c>
      <c r="I29" s="32"/>
      <c r="J29" s="396"/>
      <c r="K29" s="32"/>
      <c r="L29" s="396"/>
      <c r="M29" s="396">
        <f>H29+J29+L29</f>
        <v>0</v>
      </c>
    </row>
    <row r="30" spans="1:13" ht="47.25" x14ac:dyDescent="0.25">
      <c r="A30" s="489" t="s">
        <v>82</v>
      </c>
      <c r="B30" s="83" t="s">
        <v>91</v>
      </c>
      <c r="C30" s="126" t="s">
        <v>269</v>
      </c>
      <c r="D30" s="224" t="s">
        <v>38</v>
      </c>
      <c r="E30" s="418"/>
      <c r="F30" s="84">
        <f>(F11-F25)*1.95</f>
        <v>12.285000000000002</v>
      </c>
      <c r="G30" s="19"/>
      <c r="H30" s="396"/>
      <c r="I30" s="19"/>
      <c r="J30" s="396"/>
      <c r="K30" s="19"/>
      <c r="L30" s="396"/>
      <c r="M30" s="396"/>
    </row>
    <row r="31" spans="1:13" ht="15.75" x14ac:dyDescent="0.25">
      <c r="A31" s="490"/>
      <c r="B31" s="47"/>
      <c r="C31" s="44" t="s">
        <v>56</v>
      </c>
      <c r="D31" s="45" t="s">
        <v>6</v>
      </c>
      <c r="E31" s="418">
        <v>0.53</v>
      </c>
      <c r="F31" s="46">
        <f>F30*E31</f>
        <v>6.5110500000000018</v>
      </c>
      <c r="G31" s="19"/>
      <c r="H31" s="396"/>
      <c r="I31" s="19"/>
      <c r="J31" s="396">
        <f>F31*I31</f>
        <v>0</v>
      </c>
      <c r="K31" s="19"/>
      <c r="L31" s="396"/>
      <c r="M31" s="396">
        <f>H31+J31+L31</f>
        <v>0</v>
      </c>
    </row>
    <row r="32" spans="1:13" ht="47.25" x14ac:dyDescent="0.25">
      <c r="A32" s="491"/>
      <c r="B32" s="464" t="s">
        <v>420</v>
      </c>
      <c r="C32" s="379" t="s">
        <v>499</v>
      </c>
      <c r="D32" s="464" t="s">
        <v>38</v>
      </c>
      <c r="E32" s="390"/>
      <c r="F32" s="277">
        <f>F30</f>
        <v>12.285000000000002</v>
      </c>
      <c r="G32" s="458"/>
      <c r="H32" s="458"/>
      <c r="I32" s="458"/>
      <c r="J32" s="458"/>
      <c r="K32" s="19"/>
      <c r="L32" s="458">
        <f>F32*K32</f>
        <v>0</v>
      </c>
      <c r="M32" s="458">
        <f>H32+J32+L32</f>
        <v>0</v>
      </c>
    </row>
    <row r="33" spans="1:13" ht="31.5" x14ac:dyDescent="0.25">
      <c r="A33" s="1349" t="s">
        <v>40</v>
      </c>
      <c r="B33" s="224" t="s">
        <v>104</v>
      </c>
      <c r="C33" s="62" t="s">
        <v>115</v>
      </c>
      <c r="D33" s="224" t="s">
        <v>66</v>
      </c>
      <c r="E33" s="10"/>
      <c r="F33" s="23">
        <f>F36+F37</f>
        <v>2</v>
      </c>
      <c r="G33" s="12"/>
      <c r="H33" s="8"/>
      <c r="I33" s="12"/>
      <c r="J33" s="8"/>
      <c r="K33" s="12"/>
      <c r="L33" s="8"/>
      <c r="M33" s="8"/>
    </row>
    <row r="34" spans="1:13" ht="15.75" x14ac:dyDescent="0.25">
      <c r="A34" s="1349"/>
      <c r="B34" s="398"/>
      <c r="C34" s="26" t="s">
        <v>100</v>
      </c>
      <c r="D34" s="398" t="s">
        <v>68</v>
      </c>
      <c r="E34" s="400">
        <v>1.51</v>
      </c>
      <c r="F34" s="397">
        <f>F33*E34</f>
        <v>3.02</v>
      </c>
      <c r="G34" s="396"/>
      <c r="H34" s="8"/>
      <c r="I34" s="396"/>
      <c r="J34" s="396">
        <f>F34*I34</f>
        <v>0</v>
      </c>
      <c r="K34" s="396"/>
      <c r="L34" s="8"/>
      <c r="M34" s="396">
        <f>H34+J34+L34</f>
        <v>0</v>
      </c>
    </row>
    <row r="35" spans="1:13" ht="15.75" x14ac:dyDescent="0.25">
      <c r="A35" s="1349"/>
      <c r="B35" s="398"/>
      <c r="C35" s="26" t="s">
        <v>103</v>
      </c>
      <c r="D35" s="398" t="s">
        <v>21</v>
      </c>
      <c r="E35" s="400">
        <v>0.13</v>
      </c>
      <c r="F35" s="397">
        <f>F33*E35</f>
        <v>0.26</v>
      </c>
      <c r="G35" s="396"/>
      <c r="H35" s="8"/>
      <c r="I35" s="396"/>
      <c r="J35" s="8"/>
      <c r="K35" s="396"/>
      <c r="L35" s="396">
        <f>F35*K35</f>
        <v>0</v>
      </c>
      <c r="M35" s="396">
        <f>H35+J35+L35</f>
        <v>0</v>
      </c>
    </row>
    <row r="36" spans="1:13" ht="15.75" hidden="1" x14ac:dyDescent="0.25">
      <c r="A36" s="1349"/>
      <c r="B36" s="398"/>
      <c r="C36" s="26" t="s">
        <v>221</v>
      </c>
      <c r="D36" s="398" t="s">
        <v>66</v>
      </c>
      <c r="E36" s="400">
        <v>1</v>
      </c>
      <c r="F36" s="397">
        <v>0</v>
      </c>
      <c r="G36" s="396">
        <v>7.5</v>
      </c>
      <c r="H36" s="396">
        <f>F36*G36</f>
        <v>0</v>
      </c>
      <c r="I36" s="396"/>
      <c r="J36" s="8"/>
      <c r="K36" s="396"/>
      <c r="L36" s="8"/>
      <c r="M36" s="396">
        <f>H36+J36+L36</f>
        <v>0</v>
      </c>
    </row>
    <row r="37" spans="1:13" ht="15.75" x14ac:dyDescent="0.25">
      <c r="A37" s="1349"/>
      <c r="B37" s="398"/>
      <c r="C37" s="26" t="s">
        <v>342</v>
      </c>
      <c r="D37" s="398" t="s">
        <v>66</v>
      </c>
      <c r="E37" s="400">
        <v>1</v>
      </c>
      <c r="F37" s="397">
        <v>2</v>
      </c>
      <c r="G37" s="396"/>
      <c r="H37" s="396">
        <f>F37*G37</f>
        <v>0</v>
      </c>
      <c r="I37" s="396"/>
      <c r="J37" s="8"/>
      <c r="K37" s="396"/>
      <c r="L37" s="8"/>
      <c r="M37" s="396">
        <f>H37+J37+L37</f>
        <v>0</v>
      </c>
    </row>
    <row r="38" spans="1:13" ht="15.75" x14ac:dyDescent="0.25">
      <c r="A38" s="1349"/>
      <c r="B38" s="398"/>
      <c r="C38" s="26" t="s">
        <v>97</v>
      </c>
      <c r="D38" s="398" t="s">
        <v>21</v>
      </c>
      <c r="E38" s="400">
        <v>7.0000000000000007E-2</v>
      </c>
      <c r="F38" s="397">
        <f>F33*E38</f>
        <v>0.14000000000000001</v>
      </c>
      <c r="G38" s="396"/>
      <c r="H38" s="396">
        <f>F38*G38</f>
        <v>0</v>
      </c>
      <c r="I38" s="396"/>
      <c r="J38" s="8"/>
      <c r="K38" s="396"/>
      <c r="L38" s="8"/>
      <c r="M38" s="396">
        <f>H38+J38+L38</f>
        <v>0</v>
      </c>
    </row>
    <row r="39" spans="1:13" ht="31.5" x14ac:dyDescent="0.25">
      <c r="A39" s="1322" t="s">
        <v>46</v>
      </c>
      <c r="B39" s="224" t="s">
        <v>106</v>
      </c>
      <c r="C39" s="62" t="s">
        <v>107</v>
      </c>
      <c r="D39" s="398" t="s">
        <v>108</v>
      </c>
      <c r="E39" s="400"/>
      <c r="F39" s="23">
        <f>F9/100</f>
        <v>0.3</v>
      </c>
      <c r="G39" s="396"/>
      <c r="H39" s="396"/>
      <c r="I39" s="396"/>
      <c r="J39" s="396"/>
      <c r="K39" s="396"/>
      <c r="L39" s="396"/>
      <c r="M39" s="396"/>
    </row>
    <row r="40" spans="1:13" ht="15.75" x14ac:dyDescent="0.25">
      <c r="A40" s="1323"/>
      <c r="B40" s="398"/>
      <c r="C40" s="26" t="s">
        <v>100</v>
      </c>
      <c r="D40" s="398" t="s">
        <v>68</v>
      </c>
      <c r="E40" s="400">
        <v>5.16</v>
      </c>
      <c r="F40" s="397">
        <f>F39*E40</f>
        <v>1.548</v>
      </c>
      <c r="G40" s="396"/>
      <c r="H40" s="396"/>
      <c r="I40" s="396"/>
      <c r="J40" s="396">
        <f>F40*I40</f>
        <v>0</v>
      </c>
      <c r="K40" s="396"/>
      <c r="L40" s="396"/>
      <c r="M40" s="396">
        <f>H40+J40+L40</f>
        <v>0</v>
      </c>
    </row>
    <row r="41" spans="1:13" ht="15.75" x14ac:dyDescent="0.25">
      <c r="A41" s="1323"/>
      <c r="B41" s="398"/>
      <c r="C41" s="26" t="s">
        <v>109</v>
      </c>
      <c r="D41" s="398" t="s">
        <v>37</v>
      </c>
      <c r="E41" s="400">
        <v>1</v>
      </c>
      <c r="F41" s="397">
        <f>F39*E41</f>
        <v>0.3</v>
      </c>
      <c r="G41" s="396"/>
      <c r="H41" s="396">
        <f>F41*G41</f>
        <v>0</v>
      </c>
      <c r="I41" s="396"/>
      <c r="J41" s="396"/>
      <c r="K41" s="396"/>
      <c r="L41" s="396"/>
      <c r="M41" s="396">
        <f>H41+J41+L41</f>
        <v>0</v>
      </c>
    </row>
    <row r="42" spans="1:13" ht="15.75" x14ac:dyDescent="0.25">
      <c r="A42" s="1324"/>
      <c r="B42" s="398"/>
      <c r="C42" s="26" t="s">
        <v>50</v>
      </c>
      <c r="D42" s="398" t="s">
        <v>4</v>
      </c>
      <c r="E42" s="400">
        <v>0.11</v>
      </c>
      <c r="F42" s="397">
        <f>F39*E42</f>
        <v>3.3000000000000002E-2</v>
      </c>
      <c r="G42" s="396"/>
      <c r="H42" s="396"/>
      <c r="I42" s="396"/>
      <c r="J42" s="396"/>
      <c r="K42" s="396"/>
      <c r="L42" s="396"/>
      <c r="M42" s="396"/>
    </row>
    <row r="43" spans="1:13" ht="47.25" x14ac:dyDescent="0.25">
      <c r="A43" s="1354" t="s">
        <v>48</v>
      </c>
      <c r="B43" s="108" t="s">
        <v>119</v>
      </c>
      <c r="C43" s="62" t="s">
        <v>222</v>
      </c>
      <c r="D43" s="108" t="s">
        <v>22</v>
      </c>
      <c r="E43" s="260"/>
      <c r="F43" s="23">
        <v>3</v>
      </c>
      <c r="G43" s="101"/>
      <c r="H43" s="396"/>
      <c r="I43" s="32"/>
      <c r="J43" s="396"/>
      <c r="K43" s="32"/>
      <c r="L43" s="396"/>
      <c r="M43" s="396"/>
    </row>
    <row r="44" spans="1:13" ht="15.75" x14ac:dyDescent="0.25">
      <c r="A44" s="1355"/>
      <c r="B44" s="399"/>
      <c r="C44" s="26" t="s">
        <v>36</v>
      </c>
      <c r="D44" s="398" t="s">
        <v>6</v>
      </c>
      <c r="E44" s="400">
        <v>3.15</v>
      </c>
      <c r="F44" s="397">
        <f>F43*E44</f>
        <v>9.4499999999999993</v>
      </c>
      <c r="G44" s="32"/>
      <c r="H44" s="396"/>
      <c r="I44" s="32"/>
      <c r="J44" s="396">
        <f>F44*I44</f>
        <v>0</v>
      </c>
      <c r="K44" s="32"/>
      <c r="L44" s="396"/>
      <c r="M44" s="396">
        <f>H44+J44+L44</f>
        <v>0</v>
      </c>
    </row>
    <row r="45" spans="1:13" ht="15.75" x14ac:dyDescent="0.25">
      <c r="A45" s="1355"/>
      <c r="B45" s="399"/>
      <c r="C45" s="105" t="s">
        <v>5</v>
      </c>
      <c r="D45" s="399" t="s">
        <v>4</v>
      </c>
      <c r="E45" s="261">
        <v>0.84</v>
      </c>
      <c r="F45" s="103">
        <f>F43*E45</f>
        <v>2.52</v>
      </c>
      <c r="G45" s="32"/>
      <c r="H45" s="396"/>
      <c r="I45" s="32"/>
      <c r="J45" s="396"/>
      <c r="K45" s="32"/>
      <c r="L45" s="396">
        <f>F45*K45</f>
        <v>0</v>
      </c>
      <c r="M45" s="396">
        <f>H45+J45+L45</f>
        <v>0</v>
      </c>
    </row>
    <row r="46" spans="1:13" ht="15.75" x14ac:dyDescent="0.25">
      <c r="A46" s="1355"/>
      <c r="B46" s="399"/>
      <c r="C46" s="105" t="s">
        <v>120</v>
      </c>
      <c r="D46" s="399" t="s">
        <v>110</v>
      </c>
      <c r="E46" s="261">
        <v>20</v>
      </c>
      <c r="F46" s="109">
        <f>E46*F43</f>
        <v>60</v>
      </c>
      <c r="G46" s="32"/>
      <c r="H46" s="396">
        <f>F46*G46</f>
        <v>0</v>
      </c>
      <c r="I46" s="32"/>
      <c r="J46" s="396"/>
      <c r="K46" s="32"/>
      <c r="L46" s="396"/>
      <c r="M46" s="396">
        <f>H46+J46+L46</f>
        <v>0</v>
      </c>
    </row>
    <row r="47" spans="1:13" ht="15.75" x14ac:dyDescent="0.25">
      <c r="A47" s="1356"/>
      <c r="B47" s="399"/>
      <c r="C47" s="105" t="s">
        <v>7</v>
      </c>
      <c r="D47" s="399" t="s">
        <v>4</v>
      </c>
      <c r="E47" s="261">
        <v>0.47</v>
      </c>
      <c r="F47" s="103">
        <f>F43*E47</f>
        <v>1.41</v>
      </c>
      <c r="G47" s="32"/>
      <c r="H47" s="396">
        <f>F47*G47</f>
        <v>0</v>
      </c>
      <c r="I47" s="32"/>
      <c r="J47" s="396"/>
      <c r="K47" s="32"/>
      <c r="L47" s="396"/>
      <c r="M47" s="396">
        <f>H47+J47+L47</f>
        <v>0</v>
      </c>
    </row>
    <row r="48" spans="1:13" ht="31.5" x14ac:dyDescent="0.25">
      <c r="A48" s="121">
        <v>1</v>
      </c>
      <c r="B48" s="119"/>
      <c r="C48" s="120" t="s">
        <v>340</v>
      </c>
      <c r="D48" s="121" t="s">
        <v>41</v>
      </c>
      <c r="E48" s="279"/>
      <c r="F48" s="122">
        <v>40</v>
      </c>
      <c r="G48" s="106"/>
      <c r="H48" s="396"/>
      <c r="I48" s="32"/>
      <c r="J48" s="396"/>
      <c r="K48" s="32"/>
      <c r="L48" s="396"/>
      <c r="M48" s="396"/>
    </row>
    <row r="49" spans="1:13" ht="31.5" x14ac:dyDescent="0.25">
      <c r="A49" s="1354">
        <v>1</v>
      </c>
      <c r="B49" s="399" t="s">
        <v>59</v>
      </c>
      <c r="C49" s="107" t="s">
        <v>121</v>
      </c>
      <c r="D49" s="108" t="s">
        <v>32</v>
      </c>
      <c r="E49" s="245"/>
      <c r="F49" s="23">
        <f>F48*0.7*1</f>
        <v>28</v>
      </c>
      <c r="G49" s="106"/>
      <c r="H49" s="396"/>
      <c r="I49" s="106"/>
      <c r="J49" s="396"/>
      <c r="K49" s="106"/>
      <c r="L49" s="396"/>
      <c r="M49" s="396"/>
    </row>
    <row r="50" spans="1:13" ht="15.75" x14ac:dyDescent="0.25">
      <c r="A50" s="1356"/>
      <c r="B50" s="110"/>
      <c r="C50" s="105" t="s">
        <v>36</v>
      </c>
      <c r="D50" s="399" t="s">
        <v>29</v>
      </c>
      <c r="E50" s="245">
        <v>2.06</v>
      </c>
      <c r="F50" s="109">
        <f>E50*F49</f>
        <v>57.68</v>
      </c>
      <c r="G50" s="40"/>
      <c r="H50" s="396"/>
      <c r="I50" s="40"/>
      <c r="J50" s="396">
        <f>F50*I50</f>
        <v>0</v>
      </c>
      <c r="K50" s="32"/>
      <c r="L50" s="396"/>
      <c r="M50" s="396">
        <f t="shared" ref="M50:M76" si="2">H50+J50+L50</f>
        <v>0</v>
      </c>
    </row>
    <row r="51" spans="1:13" ht="47.25" hidden="1" x14ac:dyDescent="0.25">
      <c r="A51" s="1359" t="s">
        <v>72</v>
      </c>
      <c r="B51" s="83" t="s">
        <v>91</v>
      </c>
      <c r="C51" s="126" t="s">
        <v>269</v>
      </c>
      <c r="D51" s="224" t="s">
        <v>38</v>
      </c>
      <c r="E51" s="418"/>
      <c r="F51" s="84">
        <f>0*1.95</f>
        <v>0</v>
      </c>
      <c r="G51" s="19"/>
      <c r="H51" s="396"/>
      <c r="I51" s="19"/>
      <c r="J51" s="396"/>
      <c r="K51" s="19"/>
      <c r="L51" s="396"/>
      <c r="M51" s="396"/>
    </row>
    <row r="52" spans="1:13" ht="15.75" hidden="1" x14ac:dyDescent="0.25">
      <c r="A52" s="1360"/>
      <c r="B52" s="47"/>
      <c r="C52" s="44" t="s">
        <v>56</v>
      </c>
      <c r="D52" s="45" t="s">
        <v>6</v>
      </c>
      <c r="E52" s="418">
        <v>0.53</v>
      </c>
      <c r="F52" s="46">
        <f>F51*E52</f>
        <v>0</v>
      </c>
      <c r="G52" s="19"/>
      <c r="H52" s="396"/>
      <c r="I52" s="19">
        <v>6</v>
      </c>
      <c r="J52" s="396">
        <f>F52*I52</f>
        <v>0</v>
      </c>
      <c r="K52" s="19"/>
      <c r="L52" s="396"/>
      <c r="M52" s="396">
        <f>H52+J52+L52</f>
        <v>0</v>
      </c>
    </row>
    <row r="53" spans="1:13" ht="15.75" hidden="1" x14ac:dyDescent="0.25">
      <c r="A53" s="1361"/>
      <c r="B53" s="398" t="s">
        <v>137</v>
      </c>
      <c r="C53" s="127" t="s">
        <v>270</v>
      </c>
      <c r="D53" s="224" t="s">
        <v>38</v>
      </c>
      <c r="E53" s="418"/>
      <c r="F53" s="84">
        <f>F51</f>
        <v>0</v>
      </c>
      <c r="G53" s="19"/>
      <c r="H53" s="396"/>
      <c r="I53" s="19"/>
      <c r="J53" s="396"/>
      <c r="K53" s="19">
        <v>6.44</v>
      </c>
      <c r="L53" s="396">
        <f>F53*K53</f>
        <v>0</v>
      </c>
      <c r="M53" s="396">
        <f>H53+J53+L53</f>
        <v>0</v>
      </c>
    </row>
    <row r="54" spans="1:13" ht="31.5" x14ac:dyDescent="0.25">
      <c r="A54" s="1365" t="s">
        <v>94</v>
      </c>
      <c r="B54" s="398" t="s">
        <v>112</v>
      </c>
      <c r="C54" s="100" t="s">
        <v>122</v>
      </c>
      <c r="D54" s="224" t="s">
        <v>32</v>
      </c>
      <c r="E54" s="10"/>
      <c r="F54" s="23">
        <f>0.7*0.3*F48-3.14*0.05*0.05*F48</f>
        <v>8.0860000000000003</v>
      </c>
      <c r="G54" s="40"/>
      <c r="H54" s="396"/>
      <c r="I54" s="40"/>
      <c r="J54" s="396"/>
      <c r="K54" s="32"/>
      <c r="L54" s="396"/>
      <c r="M54" s="396"/>
    </row>
    <row r="55" spans="1:13" ht="15.75" x14ac:dyDescent="0.25">
      <c r="A55" s="1365"/>
      <c r="B55" s="398"/>
      <c r="C55" s="26" t="s">
        <v>13</v>
      </c>
      <c r="D55" s="398" t="s">
        <v>6</v>
      </c>
      <c r="E55" s="400">
        <f>18/10</f>
        <v>1.8</v>
      </c>
      <c r="F55" s="397">
        <f>E55*F54</f>
        <v>14.5548</v>
      </c>
      <c r="G55" s="40"/>
      <c r="H55" s="396"/>
      <c r="I55" s="40"/>
      <c r="J55" s="396">
        <f>F55*I55</f>
        <v>0</v>
      </c>
      <c r="K55" s="32"/>
      <c r="L55" s="396"/>
      <c r="M55" s="396">
        <f t="shared" si="2"/>
        <v>0</v>
      </c>
    </row>
    <row r="56" spans="1:13" ht="15.75" x14ac:dyDescent="0.25">
      <c r="A56" s="1365"/>
      <c r="B56" s="398"/>
      <c r="C56" s="26" t="s">
        <v>114</v>
      </c>
      <c r="D56" s="398" t="s">
        <v>29</v>
      </c>
      <c r="E56" s="400">
        <v>1.1499999999999999</v>
      </c>
      <c r="F56" s="397">
        <f>F54*E56</f>
        <v>9.2988999999999997</v>
      </c>
      <c r="G56" s="40"/>
      <c r="H56" s="396">
        <f t="shared" ref="H56:H76" si="3">F56*G56</f>
        <v>0</v>
      </c>
      <c r="I56" s="40"/>
      <c r="J56" s="396"/>
      <c r="K56" s="32"/>
      <c r="L56" s="396"/>
      <c r="M56" s="396">
        <f t="shared" si="2"/>
        <v>0</v>
      </c>
    </row>
    <row r="57" spans="1:13" ht="31.5" x14ac:dyDescent="0.25">
      <c r="A57" s="1354" t="s">
        <v>87</v>
      </c>
      <c r="B57" s="224" t="s">
        <v>123</v>
      </c>
      <c r="C57" s="100" t="s">
        <v>282</v>
      </c>
      <c r="D57" s="108" t="s">
        <v>41</v>
      </c>
      <c r="E57" s="260"/>
      <c r="F57" s="23">
        <f>F48</f>
        <v>40</v>
      </c>
      <c r="G57" s="101"/>
      <c r="H57" s="396"/>
      <c r="I57" s="32"/>
      <c r="J57" s="396"/>
      <c r="K57" s="32"/>
      <c r="L57" s="396"/>
      <c r="M57" s="396"/>
    </row>
    <row r="58" spans="1:13" ht="15.75" x14ac:dyDescent="0.25">
      <c r="A58" s="1355"/>
      <c r="B58" s="399"/>
      <c r="C58" s="26" t="s">
        <v>36</v>
      </c>
      <c r="D58" s="398" t="s">
        <v>6</v>
      </c>
      <c r="E58" s="261">
        <f>95.9*0.001</f>
        <v>9.5900000000000013E-2</v>
      </c>
      <c r="F58" s="103">
        <f>F57*E58</f>
        <v>3.8360000000000003</v>
      </c>
      <c r="G58" s="32"/>
      <c r="H58" s="396"/>
      <c r="I58" s="32"/>
      <c r="J58" s="396">
        <f>F58*I58</f>
        <v>0</v>
      </c>
      <c r="K58" s="32"/>
      <c r="L58" s="396"/>
      <c r="M58" s="396">
        <f t="shared" si="2"/>
        <v>0</v>
      </c>
    </row>
    <row r="59" spans="1:13" ht="15.75" x14ac:dyDescent="0.25">
      <c r="A59" s="1355"/>
      <c r="B59" s="399"/>
      <c r="C59" s="105" t="s">
        <v>5</v>
      </c>
      <c r="D59" s="399" t="s">
        <v>4</v>
      </c>
      <c r="E59" s="261">
        <f>45.2/1000</f>
        <v>4.5200000000000004E-2</v>
      </c>
      <c r="F59" s="103">
        <f>F57*E59</f>
        <v>1.8080000000000003</v>
      </c>
      <c r="G59" s="111"/>
      <c r="H59" s="396"/>
      <c r="I59" s="111"/>
      <c r="J59" s="396"/>
      <c r="K59" s="111"/>
      <c r="L59" s="396">
        <f>F59*K59</f>
        <v>0</v>
      </c>
      <c r="M59" s="396">
        <f t="shared" si="2"/>
        <v>0</v>
      </c>
    </row>
    <row r="60" spans="1:13" ht="15.75" x14ac:dyDescent="0.25">
      <c r="A60" s="1355"/>
      <c r="B60" s="399"/>
      <c r="C60" s="105" t="s">
        <v>283</v>
      </c>
      <c r="D60" s="399" t="str">
        <f>D57</f>
        <v>g/m</v>
      </c>
      <c r="E60" s="261">
        <f>1010*0.001</f>
        <v>1.01</v>
      </c>
      <c r="F60" s="103">
        <f>F57*E60</f>
        <v>40.4</v>
      </c>
      <c r="G60" s="32"/>
      <c r="H60" s="396">
        <f t="shared" si="3"/>
        <v>0</v>
      </c>
      <c r="I60" s="32"/>
      <c r="J60" s="396"/>
      <c r="K60" s="32"/>
      <c r="L60" s="396"/>
      <c r="M60" s="396">
        <f t="shared" si="2"/>
        <v>0</v>
      </c>
    </row>
    <row r="61" spans="1:13" ht="15.75" x14ac:dyDescent="0.25">
      <c r="A61" s="1355"/>
      <c r="B61" s="399"/>
      <c r="C61" s="80" t="s">
        <v>284</v>
      </c>
      <c r="D61" s="48" t="s">
        <v>52</v>
      </c>
      <c r="E61" s="261"/>
      <c r="F61" s="103">
        <v>6</v>
      </c>
      <c r="G61" s="32"/>
      <c r="H61" s="396">
        <f t="shared" si="3"/>
        <v>0</v>
      </c>
      <c r="I61" s="32"/>
      <c r="J61" s="396"/>
      <c r="K61" s="32"/>
      <c r="L61" s="396"/>
      <c r="M61" s="396">
        <f t="shared" si="2"/>
        <v>0</v>
      </c>
    </row>
    <row r="62" spans="1:13" ht="15.75" x14ac:dyDescent="0.25">
      <c r="A62" s="1356"/>
      <c r="B62" s="399"/>
      <c r="C62" s="105" t="s">
        <v>7</v>
      </c>
      <c r="D62" s="399" t="s">
        <v>4</v>
      </c>
      <c r="E62" s="261">
        <f>0.6*0.001</f>
        <v>5.9999999999999995E-4</v>
      </c>
      <c r="F62" s="103">
        <f>F57*E62</f>
        <v>2.3999999999999997E-2</v>
      </c>
      <c r="G62" s="32"/>
      <c r="H62" s="396">
        <f t="shared" si="3"/>
        <v>0</v>
      </c>
      <c r="I62" s="32"/>
      <c r="J62" s="396"/>
      <c r="K62" s="32"/>
      <c r="L62" s="396"/>
      <c r="M62" s="396">
        <f t="shared" si="2"/>
        <v>0</v>
      </c>
    </row>
    <row r="63" spans="1:13" ht="31.5" hidden="1" x14ac:dyDescent="0.25">
      <c r="A63" s="1365" t="s">
        <v>89</v>
      </c>
      <c r="B63" s="112" t="s">
        <v>124</v>
      </c>
      <c r="C63" s="102" t="s">
        <v>117</v>
      </c>
      <c r="D63" s="224" t="s">
        <v>32</v>
      </c>
      <c r="E63" s="262"/>
      <c r="F63" s="23">
        <f>0*0.7*(1-0.3)</f>
        <v>0</v>
      </c>
      <c r="G63" s="40"/>
      <c r="H63" s="396"/>
      <c r="I63" s="40"/>
      <c r="J63" s="396"/>
      <c r="K63" s="32"/>
      <c r="L63" s="396"/>
      <c r="M63" s="396"/>
    </row>
    <row r="64" spans="1:13" ht="15.75" hidden="1" x14ac:dyDescent="0.25">
      <c r="A64" s="1365"/>
      <c r="B64" s="398"/>
      <c r="C64" s="26" t="s">
        <v>13</v>
      </c>
      <c r="D64" s="398" t="s">
        <v>6</v>
      </c>
      <c r="E64" s="400">
        <f>17.8/10</f>
        <v>1.78</v>
      </c>
      <c r="F64" s="397">
        <f>E64*F63</f>
        <v>0</v>
      </c>
      <c r="G64" s="40"/>
      <c r="H64" s="396"/>
      <c r="I64" s="40">
        <v>6</v>
      </c>
      <c r="J64" s="396">
        <f>F64*I64</f>
        <v>0</v>
      </c>
      <c r="K64" s="32"/>
      <c r="L64" s="396"/>
      <c r="M64" s="396">
        <f t="shared" si="2"/>
        <v>0</v>
      </c>
    </row>
    <row r="65" spans="1:13" ht="15.75" hidden="1" x14ac:dyDescent="0.25">
      <c r="A65" s="1365"/>
      <c r="B65" s="398"/>
      <c r="C65" s="26" t="s">
        <v>30</v>
      </c>
      <c r="D65" s="398" t="s">
        <v>29</v>
      </c>
      <c r="E65" s="400">
        <v>1.1000000000000001</v>
      </c>
      <c r="F65" s="397">
        <f>E65*F63</f>
        <v>0</v>
      </c>
      <c r="G65" s="40">
        <v>18.600000000000001</v>
      </c>
      <c r="H65" s="396">
        <f t="shared" si="3"/>
        <v>0</v>
      </c>
      <c r="I65" s="40"/>
      <c r="J65" s="396"/>
      <c r="K65" s="32"/>
      <c r="L65" s="396"/>
      <c r="M65" s="396">
        <f t="shared" si="2"/>
        <v>0</v>
      </c>
    </row>
    <row r="66" spans="1:13" ht="15.75" x14ac:dyDescent="0.25">
      <c r="A66" s="1262" t="s">
        <v>90</v>
      </c>
      <c r="B66" s="31" t="s">
        <v>338</v>
      </c>
      <c r="C66" s="37" t="s">
        <v>339</v>
      </c>
      <c r="D66" s="31" t="s">
        <v>37</v>
      </c>
      <c r="E66" s="34"/>
      <c r="F66" s="23">
        <f>F48*0.7*(1-0.3)</f>
        <v>19.599999999999998</v>
      </c>
      <c r="G66" s="32"/>
      <c r="H66" s="32"/>
      <c r="I66" s="32"/>
      <c r="J66" s="32"/>
      <c r="K66" s="32"/>
      <c r="L66" s="32"/>
      <c r="M66" s="32"/>
    </row>
    <row r="67" spans="1:13" ht="15.75" x14ac:dyDescent="0.25">
      <c r="A67" s="1264"/>
      <c r="B67" s="283"/>
      <c r="C67" s="33" t="s">
        <v>33</v>
      </c>
      <c r="D67" s="143" t="s">
        <v>6</v>
      </c>
      <c r="E67" s="34">
        <v>1.21</v>
      </c>
      <c r="F67" s="397">
        <f>F66*E67</f>
        <v>23.715999999999998</v>
      </c>
      <c r="G67" s="32"/>
      <c r="H67" s="32"/>
      <c r="I67" s="32"/>
      <c r="J67" s="32">
        <f t="shared" ref="J67" si="4">F67*I67</f>
        <v>0</v>
      </c>
      <c r="K67" s="32"/>
      <c r="L67" s="32"/>
      <c r="M67" s="32">
        <f t="shared" ref="M67" si="5">H67+J67+L67</f>
        <v>0</v>
      </c>
    </row>
    <row r="68" spans="1:13" ht="47.25" x14ac:dyDescent="0.25">
      <c r="A68" s="1359" t="s">
        <v>82</v>
      </c>
      <c r="B68" s="83" t="s">
        <v>91</v>
      </c>
      <c r="C68" s="126" t="s">
        <v>269</v>
      </c>
      <c r="D68" s="224" t="s">
        <v>38</v>
      </c>
      <c r="E68" s="418"/>
      <c r="F68" s="84">
        <f>(F49-F66)*1.95</f>
        <v>16.380000000000003</v>
      </c>
      <c r="G68" s="19"/>
      <c r="H68" s="396"/>
      <c r="I68" s="19"/>
      <c r="J68" s="396"/>
      <c r="K68" s="19"/>
      <c r="L68" s="396"/>
      <c r="M68" s="396"/>
    </row>
    <row r="69" spans="1:13" ht="15.75" x14ac:dyDescent="0.25">
      <c r="A69" s="1360"/>
      <c r="B69" s="47"/>
      <c r="C69" s="44" t="s">
        <v>56</v>
      </c>
      <c r="D69" s="45" t="s">
        <v>6</v>
      </c>
      <c r="E69" s="418">
        <v>0.53</v>
      </c>
      <c r="F69" s="46">
        <f>F68*E69</f>
        <v>8.6814000000000018</v>
      </c>
      <c r="G69" s="19"/>
      <c r="H69" s="396"/>
      <c r="I69" s="19"/>
      <c r="J69" s="396">
        <f>F69*I69</f>
        <v>0</v>
      </c>
      <c r="K69" s="19"/>
      <c r="L69" s="396"/>
      <c r="M69" s="396">
        <f>H69+J69+L69</f>
        <v>0</v>
      </c>
    </row>
    <row r="70" spans="1:13" ht="47.25" x14ac:dyDescent="0.25">
      <c r="A70" s="1361"/>
      <c r="B70" s="464" t="s">
        <v>420</v>
      </c>
      <c r="C70" s="379" t="s">
        <v>499</v>
      </c>
      <c r="D70" s="464" t="s">
        <v>38</v>
      </c>
      <c r="E70" s="390"/>
      <c r="F70" s="277">
        <f>F68</f>
        <v>16.380000000000003</v>
      </c>
      <c r="G70" s="458"/>
      <c r="H70" s="458"/>
      <c r="I70" s="458"/>
      <c r="J70" s="458"/>
      <c r="K70" s="19"/>
      <c r="L70" s="458">
        <f>F70*K70</f>
        <v>0</v>
      </c>
      <c r="M70" s="458">
        <f>H70+J70+L70</f>
        <v>0</v>
      </c>
    </row>
    <row r="71" spans="1:13" ht="63" x14ac:dyDescent="0.25">
      <c r="A71" s="1362" t="s">
        <v>40</v>
      </c>
      <c r="B71" s="112" t="s">
        <v>125</v>
      </c>
      <c r="C71" s="102" t="s">
        <v>285</v>
      </c>
      <c r="D71" s="112" t="s">
        <v>126</v>
      </c>
      <c r="E71" s="262"/>
      <c r="F71" s="23">
        <v>2</v>
      </c>
      <c r="G71" s="113"/>
      <c r="H71" s="396"/>
      <c r="I71" s="113"/>
      <c r="J71" s="396"/>
      <c r="K71" s="113"/>
      <c r="L71" s="396"/>
      <c r="M71" s="396"/>
    </row>
    <row r="72" spans="1:13" ht="15.75" x14ac:dyDescent="0.25">
      <c r="A72" s="1363"/>
      <c r="B72" s="114"/>
      <c r="C72" s="26" t="s">
        <v>13</v>
      </c>
      <c r="D72" s="398" t="s">
        <v>6</v>
      </c>
      <c r="E72" s="400">
        <v>17</v>
      </c>
      <c r="F72" s="397">
        <f>F71*E72</f>
        <v>34</v>
      </c>
      <c r="G72" s="396"/>
      <c r="H72" s="396"/>
      <c r="I72" s="396"/>
      <c r="J72" s="396">
        <f>F72*I72</f>
        <v>0</v>
      </c>
      <c r="K72" s="396"/>
      <c r="L72" s="396"/>
      <c r="M72" s="396">
        <f t="shared" si="2"/>
        <v>0</v>
      </c>
    </row>
    <row r="73" spans="1:13" ht="15.75" x14ac:dyDescent="0.25">
      <c r="A73" s="1363"/>
      <c r="B73" s="398"/>
      <c r="C73" s="26" t="s">
        <v>127</v>
      </c>
      <c r="D73" s="398" t="s">
        <v>11</v>
      </c>
      <c r="E73" s="400">
        <v>0.05</v>
      </c>
      <c r="F73" s="397">
        <f>F71*E73</f>
        <v>0.1</v>
      </c>
      <c r="G73" s="32"/>
      <c r="H73" s="396">
        <f t="shared" si="3"/>
        <v>0</v>
      </c>
      <c r="I73" s="32"/>
      <c r="J73" s="396"/>
      <c r="K73" s="32"/>
      <c r="L73" s="396"/>
      <c r="M73" s="396">
        <f t="shared" si="2"/>
        <v>0</v>
      </c>
    </row>
    <row r="74" spans="1:13" ht="15.75" x14ac:dyDescent="0.25">
      <c r="A74" s="1363"/>
      <c r="B74" s="398"/>
      <c r="C74" s="26" t="s">
        <v>30</v>
      </c>
      <c r="D74" s="398" t="s">
        <v>29</v>
      </c>
      <c r="E74" s="400">
        <v>0.2</v>
      </c>
      <c r="F74" s="397">
        <f>F71*E74</f>
        <v>0.4</v>
      </c>
      <c r="G74" s="32"/>
      <c r="H74" s="396">
        <f t="shared" si="3"/>
        <v>0</v>
      </c>
      <c r="I74" s="32"/>
      <c r="J74" s="396"/>
      <c r="K74" s="32"/>
      <c r="L74" s="396"/>
      <c r="M74" s="396">
        <f t="shared" si="2"/>
        <v>0</v>
      </c>
    </row>
    <row r="75" spans="1:13" ht="15.75" x14ac:dyDescent="0.25">
      <c r="A75" s="1363"/>
      <c r="B75" s="114"/>
      <c r="C75" s="26" t="s">
        <v>118</v>
      </c>
      <c r="D75" s="398" t="s">
        <v>2</v>
      </c>
      <c r="E75" s="400">
        <v>7.8</v>
      </c>
      <c r="F75" s="397">
        <f>F71*E75</f>
        <v>15.6</v>
      </c>
      <c r="G75" s="396"/>
      <c r="H75" s="396">
        <f t="shared" si="3"/>
        <v>0</v>
      </c>
      <c r="I75" s="396"/>
      <c r="J75" s="396"/>
      <c r="K75" s="32"/>
      <c r="L75" s="396"/>
      <c r="M75" s="396">
        <f t="shared" si="2"/>
        <v>0</v>
      </c>
    </row>
    <row r="76" spans="1:13" ht="15.75" x14ac:dyDescent="0.25">
      <c r="A76" s="1364"/>
      <c r="B76" s="114"/>
      <c r="C76" s="26" t="s">
        <v>50</v>
      </c>
      <c r="D76" s="398" t="s">
        <v>4</v>
      </c>
      <c r="E76" s="400">
        <v>1.08</v>
      </c>
      <c r="F76" s="397">
        <f>F71*E76</f>
        <v>2.16</v>
      </c>
      <c r="G76" s="396"/>
      <c r="H76" s="396">
        <f t="shared" si="3"/>
        <v>0</v>
      </c>
      <c r="I76" s="396"/>
      <c r="J76" s="396"/>
      <c r="K76" s="32"/>
      <c r="L76" s="396"/>
      <c r="M76" s="396">
        <f t="shared" si="2"/>
        <v>0</v>
      </c>
    </row>
    <row r="77" spans="1:13" ht="31.5" x14ac:dyDescent="0.25">
      <c r="A77" s="339"/>
      <c r="B77" s="339"/>
      <c r="C77" s="329" t="s">
        <v>1363</v>
      </c>
      <c r="D77" s="339"/>
      <c r="E77" s="340"/>
      <c r="F77" s="341"/>
      <c r="G77" s="342"/>
      <c r="H77" s="342">
        <f>SUM(H8:H76)</f>
        <v>0</v>
      </c>
      <c r="I77" s="342"/>
      <c r="J77" s="342">
        <f>SUM(J8:J76)</f>
        <v>0</v>
      </c>
      <c r="K77" s="342"/>
      <c r="L77" s="342">
        <f>SUM(L8:L76)</f>
        <v>0</v>
      </c>
      <c r="M77" s="342">
        <f>SUM(M8:M76)</f>
        <v>0</v>
      </c>
    </row>
    <row r="78" spans="1:13" ht="47.25" x14ac:dyDescent="0.25">
      <c r="A78" s="294"/>
      <c r="B78" s="308"/>
      <c r="C78" s="309" t="s">
        <v>306</v>
      </c>
      <c r="D78" s="308"/>
      <c r="E78" s="310"/>
      <c r="F78" s="1416"/>
      <c r="G78" s="312"/>
      <c r="H78" s="312"/>
      <c r="I78" s="312"/>
      <c r="J78" s="312"/>
      <c r="K78" s="312"/>
      <c r="L78" s="312"/>
      <c r="M78" s="313">
        <f>H77*F78</f>
        <v>0</v>
      </c>
    </row>
    <row r="79" spans="1:13" ht="15.75" x14ac:dyDescent="0.25">
      <c r="A79" s="294"/>
      <c r="B79" s="308"/>
      <c r="C79" s="314" t="s">
        <v>19</v>
      </c>
      <c r="D79" s="308"/>
      <c r="E79" s="310"/>
      <c r="F79" s="315"/>
      <c r="G79" s="312"/>
      <c r="H79" s="312"/>
      <c r="I79" s="312"/>
      <c r="J79" s="312"/>
      <c r="K79" s="312"/>
      <c r="L79" s="312"/>
      <c r="M79" s="313">
        <f>M77+M78</f>
        <v>0</v>
      </c>
    </row>
    <row r="80" spans="1:13" ht="15.75" x14ac:dyDescent="0.25">
      <c r="A80" s="316"/>
      <c r="B80" s="317"/>
      <c r="C80" s="318" t="s">
        <v>302</v>
      </c>
      <c r="D80" s="319"/>
      <c r="E80" s="320"/>
      <c r="F80" s="1417"/>
      <c r="G80" s="305"/>
      <c r="H80" s="305"/>
      <c r="I80" s="305"/>
      <c r="J80" s="305"/>
      <c r="K80" s="305"/>
      <c r="L80" s="305"/>
      <c r="M80" s="305">
        <f>M79*F80</f>
        <v>0</v>
      </c>
    </row>
    <row r="81" spans="1:13" ht="15.75" x14ac:dyDescent="0.25">
      <c r="A81" s="321"/>
      <c r="B81" s="322"/>
      <c r="C81" s="314" t="s">
        <v>19</v>
      </c>
      <c r="D81" s="323"/>
      <c r="E81" s="324"/>
      <c r="F81" s="325"/>
      <c r="G81" s="306"/>
      <c r="H81" s="306"/>
      <c r="I81" s="306"/>
      <c r="J81" s="306"/>
      <c r="K81" s="306"/>
      <c r="L81" s="306"/>
      <c r="M81" s="306">
        <f>M79+M80</f>
        <v>0</v>
      </c>
    </row>
    <row r="82" spans="1:13" ht="15.75" x14ac:dyDescent="0.25">
      <c r="A82" s="321"/>
      <c r="B82" s="322"/>
      <c r="C82" s="326" t="s">
        <v>78</v>
      </c>
      <c r="D82" s="323"/>
      <c r="E82" s="324"/>
      <c r="F82" s="1418"/>
      <c r="G82" s="306"/>
      <c r="H82" s="306"/>
      <c r="I82" s="306"/>
      <c r="J82" s="306"/>
      <c r="K82" s="306"/>
      <c r="L82" s="306"/>
      <c r="M82" s="306">
        <f>M81*F82</f>
        <v>0</v>
      </c>
    </row>
    <row r="83" spans="1:13" ht="31.5" x14ac:dyDescent="0.25">
      <c r="A83" s="327"/>
      <c r="B83" s="328"/>
      <c r="C83" s="329" t="s">
        <v>1348</v>
      </c>
      <c r="D83" s="330"/>
      <c r="E83" s="331"/>
      <c r="F83" s="332"/>
      <c r="G83" s="333"/>
      <c r="H83" s="333"/>
      <c r="I83" s="333"/>
      <c r="J83" s="333"/>
      <c r="K83" s="333"/>
      <c r="L83" s="333"/>
      <c r="M83" s="1412">
        <f>M81+M82</f>
        <v>0</v>
      </c>
    </row>
    <row r="84" spans="1:13" ht="31.5" x14ac:dyDescent="0.25">
      <c r="A84" s="321"/>
      <c r="B84" s="322"/>
      <c r="C84" s="326" t="s">
        <v>1</v>
      </c>
      <c r="D84" s="323"/>
      <c r="E84" s="324"/>
      <c r="F84" s="334" t="s">
        <v>57</v>
      </c>
      <c r="G84" s="306"/>
      <c r="H84" s="306"/>
      <c r="I84" s="306"/>
      <c r="J84" s="306"/>
      <c r="K84" s="306"/>
      <c r="L84" s="306"/>
      <c r="M84" s="306">
        <f>M83*F84</f>
        <v>0</v>
      </c>
    </row>
    <row r="85" spans="1:13" ht="15.75" x14ac:dyDescent="0.25">
      <c r="A85" s="321"/>
      <c r="B85" s="322"/>
      <c r="C85" s="314" t="s">
        <v>19</v>
      </c>
      <c r="D85" s="323"/>
      <c r="E85" s="324"/>
      <c r="F85" s="335"/>
      <c r="G85" s="306"/>
      <c r="H85" s="306"/>
      <c r="I85" s="306"/>
      <c r="J85" s="306"/>
      <c r="K85" s="306"/>
      <c r="L85" s="306"/>
      <c r="M85" s="306">
        <f>M83+M84</f>
        <v>0</v>
      </c>
    </row>
    <row r="86" spans="1:13" ht="31.5" x14ac:dyDescent="0.25">
      <c r="A86" s="321"/>
      <c r="B86" s="322"/>
      <c r="C86" s="336" t="s">
        <v>303</v>
      </c>
      <c r="D86" s="323"/>
      <c r="E86" s="324"/>
      <c r="F86" s="337">
        <v>0.02</v>
      </c>
      <c r="G86" s="306"/>
      <c r="H86" s="306"/>
      <c r="I86" s="306"/>
      <c r="J86" s="306"/>
      <c r="K86" s="306"/>
      <c r="L86" s="306"/>
      <c r="M86" s="306">
        <f>J77*F86</f>
        <v>0</v>
      </c>
    </row>
    <row r="87" spans="1:13" ht="15.75" x14ac:dyDescent="0.25">
      <c r="A87" s="321"/>
      <c r="B87" s="322"/>
      <c r="C87" s="314" t="s">
        <v>19</v>
      </c>
      <c r="D87" s="323"/>
      <c r="E87" s="324"/>
      <c r="F87" s="335"/>
      <c r="G87" s="306"/>
      <c r="H87" s="306"/>
      <c r="I87" s="306"/>
      <c r="J87" s="306"/>
      <c r="K87" s="306"/>
      <c r="L87" s="306"/>
      <c r="M87" s="306">
        <f>M85+M86</f>
        <v>0</v>
      </c>
    </row>
    <row r="88" spans="1:13" ht="26.25" customHeight="1" x14ac:dyDescent="0.25">
      <c r="A88" s="321"/>
      <c r="B88" s="322"/>
      <c r="C88" s="326" t="s">
        <v>304</v>
      </c>
      <c r="D88" s="323"/>
      <c r="E88" s="324"/>
      <c r="F88" s="334" t="s">
        <v>58</v>
      </c>
      <c r="G88" s="306"/>
      <c r="H88" s="306"/>
      <c r="I88" s="306"/>
      <c r="J88" s="306"/>
      <c r="K88" s="306"/>
      <c r="L88" s="306"/>
      <c r="M88" s="306">
        <f>M87*F88</f>
        <v>0</v>
      </c>
    </row>
    <row r="89" spans="1:13" ht="31.5" x14ac:dyDescent="0.25">
      <c r="A89" s="338"/>
      <c r="B89" s="339"/>
      <c r="C89" s="329" t="s">
        <v>1349</v>
      </c>
      <c r="D89" s="339"/>
      <c r="E89" s="340"/>
      <c r="F89" s="341"/>
      <c r="G89" s="342"/>
      <c r="H89" s="342"/>
      <c r="I89" s="342"/>
      <c r="J89" s="342"/>
      <c r="K89" s="342"/>
      <c r="L89" s="342"/>
      <c r="M89" s="342">
        <f>M87+M88</f>
        <v>0</v>
      </c>
    </row>
    <row r="91" spans="1:13" ht="15.75" x14ac:dyDescent="0.25">
      <c r="C91" s="116"/>
    </row>
  </sheetData>
  <mergeCells count="34">
    <mergeCell ref="A19:A24"/>
    <mergeCell ref="A25:A26"/>
    <mergeCell ref="A11:A12"/>
    <mergeCell ref="M5:M6"/>
    <mergeCell ref="A9:A10"/>
    <mergeCell ref="B9:B10"/>
    <mergeCell ref="D9:D10"/>
    <mergeCell ref="E9:E10"/>
    <mergeCell ref="K5:L5"/>
    <mergeCell ref="E5:F5"/>
    <mergeCell ref="A27:A29"/>
    <mergeCell ref="A33:A38"/>
    <mergeCell ref="A39:A42"/>
    <mergeCell ref="A43:A47"/>
    <mergeCell ref="A1:M1"/>
    <mergeCell ref="A2:M2"/>
    <mergeCell ref="A4:M4"/>
    <mergeCell ref="A3:M3"/>
    <mergeCell ref="A5:A6"/>
    <mergeCell ref="B5:B6"/>
    <mergeCell ref="C5:C6"/>
    <mergeCell ref="D5:D6"/>
    <mergeCell ref="G5:H5"/>
    <mergeCell ref="I5:J5"/>
    <mergeCell ref="A13:A15"/>
    <mergeCell ref="A16:A18"/>
    <mergeCell ref="A66:A67"/>
    <mergeCell ref="A68:A70"/>
    <mergeCell ref="A71:A76"/>
    <mergeCell ref="A49:A50"/>
    <mergeCell ref="A51:A53"/>
    <mergeCell ref="A54:A56"/>
    <mergeCell ref="A57:A62"/>
    <mergeCell ref="A63:A65"/>
  </mergeCells>
  <pageMargins left="0.70866141732283472" right="0.35" top="0.38" bottom="0.39" header="0.31496062992125984" footer="0.31496062992125984"/>
  <pageSetup paperSize="9" orientation="landscape" horizontalDpi="1200" verticalDpi="1200" r:id="rId1"/>
  <headerFooter>
    <oddHeader>&amp;R&amp;P--&amp;N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9"/>
  <sheetViews>
    <sheetView topLeftCell="B1" zoomScale="110" zoomScaleNormal="110" workbookViewId="0">
      <pane xSplit="2" ySplit="7" topLeftCell="D52" activePane="bottomRight" state="frozen"/>
      <selection activeCell="B1" sqref="B1"/>
      <selection pane="topRight" activeCell="D1" sqref="D1"/>
      <selection pane="bottomLeft" activeCell="B8" sqref="B8"/>
      <selection pane="bottomRight" activeCell="G52" sqref="G52"/>
    </sheetView>
  </sheetViews>
  <sheetFormatPr defaultRowHeight="15" x14ac:dyDescent="0.25"/>
  <cols>
    <col min="1" max="1" width="5.5703125" customWidth="1"/>
    <col min="3" max="3" width="30.7109375" customWidth="1"/>
    <col min="4" max="4" width="7.28515625" customWidth="1"/>
    <col min="5" max="5" width="9.140625" customWidth="1"/>
    <col min="6" max="6" width="7.85546875" customWidth="1"/>
    <col min="7" max="7" width="13.85546875" customWidth="1"/>
    <col min="8" max="8" width="11.42578125" customWidth="1"/>
    <col min="9" max="9" width="7.85546875" customWidth="1"/>
    <col min="11" max="11" width="7.42578125" customWidth="1"/>
    <col min="13" max="13" width="12.85546875" customWidth="1"/>
    <col min="14" max="14" width="18.85546875" hidden="1" customWidth="1"/>
    <col min="15" max="15" width="23.42578125" customWidth="1"/>
    <col min="16" max="17" width="23.28515625" customWidth="1"/>
  </cols>
  <sheetData>
    <row r="1" spans="1:14" s="76" customFormat="1" ht="30.75" customHeight="1" x14ac:dyDescent="0.25">
      <c r="A1" s="1292" t="str">
        <f>krebsiti!A2</f>
        <v>borjomis municipalitetis daba waRverSi kulturis saxlis mimdebared skveris mowyobis samuSaoebi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419"/>
    </row>
    <row r="2" spans="1:14" s="76" customFormat="1" ht="21.75" customHeight="1" x14ac:dyDescent="0.25">
      <c r="A2" s="1293" t="s">
        <v>128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</row>
    <row r="3" spans="1:14" s="76" customFormat="1" ht="16.5" x14ac:dyDescent="0.25">
      <c r="A3" s="1374" t="s">
        <v>79</v>
      </c>
      <c r="B3" s="1374"/>
      <c r="C3" s="1374"/>
      <c r="D3" s="1374"/>
      <c r="E3" s="1374"/>
      <c r="F3" s="1374"/>
      <c r="G3" s="1374"/>
      <c r="H3" s="1374"/>
      <c r="I3" s="1374"/>
      <c r="J3" s="1374"/>
      <c r="K3" s="1374"/>
      <c r="L3" s="1374"/>
      <c r="M3" s="1374"/>
    </row>
    <row r="4" spans="1:14" s="76" customFormat="1" ht="27" customHeight="1" x14ac:dyDescent="0.25">
      <c r="A4" s="1374" t="s">
        <v>1362</v>
      </c>
      <c r="B4" s="1374"/>
      <c r="C4" s="1374"/>
      <c r="D4" s="1374"/>
      <c r="E4" s="1374"/>
      <c r="F4" s="1374"/>
      <c r="G4" s="1374"/>
      <c r="H4" s="1374"/>
      <c r="I4" s="1374"/>
      <c r="J4" s="1374"/>
      <c r="K4" s="1374"/>
      <c r="L4" s="1374"/>
      <c r="M4" s="1374"/>
    </row>
    <row r="5" spans="1:14" s="76" customFormat="1" ht="38.25" customHeight="1" x14ac:dyDescent="0.3">
      <c r="A5" s="1294" t="s">
        <v>0</v>
      </c>
      <c r="B5" s="1295" t="s">
        <v>546</v>
      </c>
      <c r="C5" s="1296" t="s">
        <v>547</v>
      </c>
      <c r="D5" s="1295" t="s">
        <v>548</v>
      </c>
      <c r="E5" s="1298" t="s">
        <v>549</v>
      </c>
      <c r="F5" s="1298"/>
      <c r="G5" s="1289" t="s">
        <v>550</v>
      </c>
      <c r="H5" s="1289"/>
      <c r="I5" s="1289" t="s">
        <v>551</v>
      </c>
      <c r="J5" s="1289"/>
      <c r="K5" s="1290" t="s">
        <v>25</v>
      </c>
      <c r="L5" s="1291"/>
      <c r="M5" s="1289" t="s">
        <v>552</v>
      </c>
      <c r="N5" s="240"/>
    </row>
    <row r="6" spans="1:14" s="76" customFormat="1" ht="31.5" x14ac:dyDescent="0.3">
      <c r="A6" s="1294"/>
      <c r="B6" s="1295"/>
      <c r="C6" s="1297"/>
      <c r="D6" s="1295"/>
      <c r="E6" s="515" t="s">
        <v>12</v>
      </c>
      <c r="F6" s="515" t="s">
        <v>3</v>
      </c>
      <c r="G6" s="515" t="s">
        <v>12</v>
      </c>
      <c r="H6" s="515" t="s">
        <v>3</v>
      </c>
      <c r="I6" s="515" t="s">
        <v>12</v>
      </c>
      <c r="J6" s="515" t="s">
        <v>3</v>
      </c>
      <c r="K6" s="515" t="s">
        <v>12</v>
      </c>
      <c r="L6" s="515" t="s">
        <v>3</v>
      </c>
      <c r="M6" s="1289"/>
      <c r="N6" s="240"/>
    </row>
    <row r="7" spans="1:14" s="73" customFormat="1" ht="16.5" x14ac:dyDescent="0.3">
      <c r="A7" s="519" t="s">
        <v>93</v>
      </c>
      <c r="B7" s="519" t="s">
        <v>72</v>
      </c>
      <c r="C7" s="519" t="s">
        <v>94</v>
      </c>
      <c r="D7" s="519" t="s">
        <v>87</v>
      </c>
      <c r="E7" s="519" t="s">
        <v>89</v>
      </c>
      <c r="F7" s="519" t="s">
        <v>90</v>
      </c>
      <c r="G7" s="519" t="s">
        <v>82</v>
      </c>
      <c r="H7" s="519" t="s">
        <v>40</v>
      </c>
      <c r="I7" s="519" t="s">
        <v>46</v>
      </c>
      <c r="J7" s="519" t="s">
        <v>48</v>
      </c>
      <c r="K7" s="519" t="s">
        <v>553</v>
      </c>
      <c r="L7" s="519" t="s">
        <v>53</v>
      </c>
      <c r="M7" s="519" t="s">
        <v>554</v>
      </c>
      <c r="N7" s="241"/>
    </row>
    <row r="8" spans="1:14" s="76" customFormat="1" ht="47.25" x14ac:dyDescent="0.25">
      <c r="A8" s="14" t="s">
        <v>93</v>
      </c>
      <c r="B8" s="14" t="s">
        <v>18</v>
      </c>
      <c r="C8" s="58" t="s">
        <v>223</v>
      </c>
      <c r="D8" s="25" t="s">
        <v>224</v>
      </c>
      <c r="E8" s="15"/>
      <c r="F8" s="15">
        <v>1</v>
      </c>
      <c r="G8" s="16"/>
      <c r="H8" s="16">
        <f>F8*G8</f>
        <v>0</v>
      </c>
      <c r="I8" s="16"/>
      <c r="J8" s="16">
        <f>F8*I8</f>
        <v>0</v>
      </c>
      <c r="K8" s="16"/>
      <c r="L8" s="16">
        <f>F8*K8</f>
        <v>0</v>
      </c>
      <c r="M8" s="16">
        <f>H8+J8+L8</f>
        <v>0</v>
      </c>
    </row>
    <row r="9" spans="1:14" s="76" customFormat="1" ht="47.25" x14ac:dyDescent="0.25">
      <c r="A9" s="14" t="s">
        <v>72</v>
      </c>
      <c r="B9" s="14" t="s">
        <v>18</v>
      </c>
      <c r="C9" s="58" t="s">
        <v>427</v>
      </c>
      <c r="D9" s="25" t="s">
        <v>52</v>
      </c>
      <c r="E9" s="15"/>
      <c r="F9" s="15">
        <v>8</v>
      </c>
      <c r="G9" s="16"/>
      <c r="H9" s="16">
        <f>F9*G9</f>
        <v>0</v>
      </c>
      <c r="I9" s="16"/>
      <c r="J9" s="16">
        <f>F9*I9</f>
        <v>0</v>
      </c>
      <c r="K9" s="16"/>
      <c r="L9" s="16"/>
      <c r="M9" s="16">
        <f>H9+J9+L9</f>
        <v>0</v>
      </c>
    </row>
    <row r="10" spans="1:14" s="76" customFormat="1" ht="15.75" x14ac:dyDescent="0.25">
      <c r="A10" s="14" t="s">
        <v>94</v>
      </c>
      <c r="B10" s="14" t="s">
        <v>18</v>
      </c>
      <c r="C10" s="58" t="s">
        <v>225</v>
      </c>
      <c r="D10" s="25" t="s">
        <v>52</v>
      </c>
      <c r="E10" s="15"/>
      <c r="F10" s="15">
        <v>12</v>
      </c>
      <c r="G10" s="16"/>
      <c r="H10" s="16">
        <f>F10*G10</f>
        <v>0</v>
      </c>
      <c r="I10" s="16"/>
      <c r="J10" s="16">
        <f>F10*I10</f>
        <v>0</v>
      </c>
      <c r="K10" s="16"/>
      <c r="L10" s="16"/>
      <c r="M10" s="16">
        <f>H10+J10+L10</f>
        <v>0</v>
      </c>
    </row>
    <row r="11" spans="1:14" s="76" customFormat="1" ht="15.75" x14ac:dyDescent="0.25">
      <c r="A11" s="14" t="s">
        <v>87</v>
      </c>
      <c r="B11" s="14" t="s">
        <v>18</v>
      </c>
      <c r="C11" s="58" t="s">
        <v>226</v>
      </c>
      <c r="D11" s="25" t="s">
        <v>52</v>
      </c>
      <c r="E11" s="15"/>
      <c r="F11" s="15">
        <v>1</v>
      </c>
      <c r="G11" s="16"/>
      <c r="H11" s="16">
        <f>F11*G11</f>
        <v>0</v>
      </c>
      <c r="I11" s="16"/>
      <c r="J11" s="16">
        <f>F11*I11</f>
        <v>0</v>
      </c>
      <c r="K11" s="16"/>
      <c r="L11" s="16"/>
      <c r="M11" s="16">
        <f>H11+J11+L11</f>
        <v>0</v>
      </c>
    </row>
    <row r="12" spans="1:14" s="76" customFormat="1" ht="31.5" hidden="1" x14ac:dyDescent="0.25">
      <c r="A12" s="14" t="s">
        <v>89</v>
      </c>
      <c r="B12" s="449" t="s">
        <v>18</v>
      </c>
      <c r="C12" s="58" t="s">
        <v>428</v>
      </c>
      <c r="D12" s="25" t="s">
        <v>52</v>
      </c>
      <c r="E12" s="15"/>
      <c r="F12" s="15">
        <v>0</v>
      </c>
      <c r="G12" s="16">
        <v>2500</v>
      </c>
      <c r="H12" s="445">
        <f>F12*G12</f>
        <v>0</v>
      </c>
      <c r="I12" s="16">
        <v>100</v>
      </c>
      <c r="J12" s="16">
        <f>F12*I12</f>
        <v>0</v>
      </c>
      <c r="K12" s="16"/>
      <c r="L12" s="16"/>
      <c r="M12" s="445">
        <f>H12+J12+L12</f>
        <v>0</v>
      </c>
    </row>
    <row r="13" spans="1:14" s="76" customFormat="1" ht="31.5" x14ac:dyDescent="0.25">
      <c r="A13" s="14" t="s">
        <v>89</v>
      </c>
      <c r="B13" s="14"/>
      <c r="C13" s="128" t="s">
        <v>227</v>
      </c>
      <c r="D13" s="25"/>
      <c r="E13" s="15"/>
      <c r="F13" s="15"/>
      <c r="G13" s="16"/>
      <c r="H13" s="16"/>
      <c r="I13" s="16"/>
      <c r="J13" s="16"/>
      <c r="K13" s="16"/>
      <c r="L13" s="16"/>
      <c r="M13" s="16"/>
    </row>
    <row r="14" spans="1:14" s="76" customFormat="1" ht="63" hidden="1" x14ac:dyDescent="0.25">
      <c r="A14" s="219"/>
      <c r="B14" s="219"/>
      <c r="C14" s="26" t="s">
        <v>289</v>
      </c>
      <c r="D14" s="27" t="s">
        <v>52</v>
      </c>
      <c r="E14" s="222"/>
      <c r="F14" s="222"/>
      <c r="G14" s="32">
        <f>5300/1.18+0.727</f>
        <v>4492.2524237288135</v>
      </c>
      <c r="H14" s="273">
        <f t="shared" ref="H14:H19" si="0">F14*G14</f>
        <v>0</v>
      </c>
      <c r="I14" s="221">
        <v>275</v>
      </c>
      <c r="J14" s="221">
        <f t="shared" ref="J14:J19" si="1">F14*I14</f>
        <v>0</v>
      </c>
      <c r="K14" s="221"/>
      <c r="L14" s="221"/>
      <c r="M14" s="221">
        <f t="shared" ref="M14:M19" si="2">H14+J14+L14</f>
        <v>0</v>
      </c>
      <c r="N14" s="88"/>
    </row>
    <row r="15" spans="1:14" s="76" customFormat="1" ht="31.5" hidden="1" x14ac:dyDescent="0.25">
      <c r="A15" s="219"/>
      <c r="B15" s="219"/>
      <c r="C15" s="26" t="s">
        <v>291</v>
      </c>
      <c r="D15" s="27" t="s">
        <v>52</v>
      </c>
      <c r="E15" s="222"/>
      <c r="F15" s="222"/>
      <c r="G15" s="32">
        <f>700/1.18</f>
        <v>593.22033898305085</v>
      </c>
      <c r="H15" s="273">
        <f t="shared" si="0"/>
        <v>0</v>
      </c>
      <c r="I15" s="221">
        <v>50</v>
      </c>
      <c r="J15" s="221">
        <f t="shared" si="1"/>
        <v>0</v>
      </c>
      <c r="K15" s="221"/>
      <c r="L15" s="221"/>
      <c r="M15" s="221">
        <f t="shared" si="2"/>
        <v>0</v>
      </c>
    </row>
    <row r="16" spans="1:14" s="76" customFormat="1" ht="15.75" hidden="1" x14ac:dyDescent="0.25">
      <c r="A16" s="219"/>
      <c r="B16" s="219"/>
      <c r="C16" s="26" t="s">
        <v>290</v>
      </c>
      <c r="D16" s="27" t="s">
        <v>52</v>
      </c>
      <c r="E16" s="222"/>
      <c r="F16" s="222"/>
      <c r="G16" s="32">
        <f>500/1.18</f>
        <v>423.72881355932208</v>
      </c>
      <c r="H16" s="273">
        <f t="shared" si="0"/>
        <v>0</v>
      </c>
      <c r="I16" s="221">
        <v>50</v>
      </c>
      <c r="J16" s="221">
        <f t="shared" si="1"/>
        <v>0</v>
      </c>
      <c r="K16" s="221"/>
      <c r="L16" s="221"/>
      <c r="M16" s="221">
        <f t="shared" si="2"/>
        <v>0</v>
      </c>
    </row>
    <row r="17" spans="1:14" s="76" customFormat="1" ht="31.5" hidden="1" x14ac:dyDescent="0.25">
      <c r="A17" s="219"/>
      <c r="B17" s="219"/>
      <c r="C17" s="26" t="s">
        <v>292</v>
      </c>
      <c r="D17" s="27" t="s">
        <v>52</v>
      </c>
      <c r="E17" s="222"/>
      <c r="F17" s="222"/>
      <c r="G17" s="32">
        <f>1030/1.18</f>
        <v>872.88135593220341</v>
      </c>
      <c r="H17" s="273">
        <f t="shared" si="0"/>
        <v>0</v>
      </c>
      <c r="I17" s="221">
        <v>100</v>
      </c>
      <c r="J17" s="221">
        <f t="shared" si="1"/>
        <v>0</v>
      </c>
      <c r="K17" s="221"/>
      <c r="L17" s="221"/>
      <c r="M17" s="221">
        <f t="shared" si="2"/>
        <v>0</v>
      </c>
    </row>
    <row r="18" spans="1:14" s="76" customFormat="1" ht="94.5" x14ac:dyDescent="0.25">
      <c r="A18" s="835"/>
      <c r="B18" s="835"/>
      <c r="C18" s="62" t="s">
        <v>1350</v>
      </c>
      <c r="D18" s="27" t="s">
        <v>80</v>
      </c>
      <c r="E18" s="831"/>
      <c r="F18" s="831">
        <v>1</v>
      </c>
      <c r="G18" s="1068"/>
      <c r="H18" s="828"/>
      <c r="I18" s="828"/>
      <c r="J18" s="828">
        <f t="shared" si="1"/>
        <v>0</v>
      </c>
      <c r="K18" s="828"/>
      <c r="L18" s="828"/>
      <c r="M18" s="828">
        <f t="shared" si="2"/>
        <v>0</v>
      </c>
    </row>
    <row r="19" spans="1:14" s="76" customFormat="1" ht="47.25" hidden="1" x14ac:dyDescent="0.25">
      <c r="A19" s="14"/>
      <c r="B19" s="14"/>
      <c r="C19" s="26" t="s">
        <v>293</v>
      </c>
      <c r="D19" s="27" t="s">
        <v>52</v>
      </c>
      <c r="E19" s="15"/>
      <c r="F19" s="15"/>
      <c r="G19" s="32">
        <f>500/1.18</f>
        <v>423.72881355932208</v>
      </c>
      <c r="H19" s="273">
        <f t="shared" si="0"/>
        <v>0</v>
      </c>
      <c r="I19" s="16">
        <v>50</v>
      </c>
      <c r="J19" s="273">
        <f t="shared" si="1"/>
        <v>0</v>
      </c>
      <c r="K19" s="16"/>
      <c r="L19" s="16"/>
      <c r="M19" s="273">
        <f t="shared" si="2"/>
        <v>0</v>
      </c>
    </row>
    <row r="20" spans="1:14" s="76" customFormat="1" ht="15.75" x14ac:dyDescent="0.25">
      <c r="A20" s="14"/>
      <c r="B20" s="14"/>
      <c r="C20" s="58"/>
      <c r="D20" s="25"/>
      <c r="E20" s="15"/>
      <c r="F20" s="15"/>
      <c r="G20" s="16"/>
      <c r="H20" s="16"/>
      <c r="I20" s="16"/>
      <c r="J20" s="16"/>
      <c r="K20" s="16"/>
      <c r="L20" s="16"/>
      <c r="M20" s="16"/>
    </row>
    <row r="21" spans="1:14" s="76" customFormat="1" ht="15.75" hidden="1" x14ac:dyDescent="0.25">
      <c r="A21" s="199" t="s">
        <v>94</v>
      </c>
      <c r="B21" s="14"/>
      <c r="C21" s="128" t="s">
        <v>228</v>
      </c>
      <c r="D21" s="200"/>
      <c r="E21" s="201"/>
      <c r="F21" s="202"/>
      <c r="G21" s="32"/>
      <c r="H21" s="41"/>
      <c r="I21" s="41"/>
      <c r="J21" s="203"/>
      <c r="K21" s="203"/>
      <c r="L21" s="203"/>
      <c r="M21" s="203"/>
    </row>
    <row r="22" spans="1:14" s="76" customFormat="1" ht="94.5" hidden="1" x14ac:dyDescent="0.25">
      <c r="A22" s="1376" t="s">
        <v>93</v>
      </c>
      <c r="B22" s="1322" t="s">
        <v>229</v>
      </c>
      <c r="C22" s="24" t="s">
        <v>230</v>
      </c>
      <c r="D22" s="1322" t="s">
        <v>52</v>
      </c>
      <c r="E22" s="1378"/>
      <c r="F22" s="1380"/>
      <c r="G22" s="32">
        <v>1000</v>
      </c>
      <c r="H22" s="41">
        <f t="shared" ref="H22:H40" si="3">F22*G22</f>
        <v>0</v>
      </c>
      <c r="I22" s="41">
        <v>150</v>
      </c>
      <c r="J22" s="203">
        <f t="shared" ref="J22:J40" si="4">F22*I22</f>
        <v>0</v>
      </c>
      <c r="K22" s="203"/>
      <c r="L22" s="203">
        <f t="shared" ref="L22:L40" si="5">F22*K22</f>
        <v>0</v>
      </c>
      <c r="M22" s="203">
        <f t="shared" ref="M22:M40" si="6">H22+J22+L22</f>
        <v>0</v>
      </c>
      <c r="N22" s="1375"/>
    </row>
    <row r="23" spans="1:14" s="76" customFormat="1" ht="78.75" hidden="1" x14ac:dyDescent="0.25">
      <c r="A23" s="1377"/>
      <c r="B23" s="1324"/>
      <c r="C23" s="204" t="s">
        <v>231</v>
      </c>
      <c r="D23" s="1324"/>
      <c r="E23" s="1379"/>
      <c r="F23" s="1381"/>
      <c r="G23" s="32"/>
      <c r="H23" s="41"/>
      <c r="I23" s="41"/>
      <c r="J23" s="203"/>
      <c r="K23" s="203"/>
      <c r="L23" s="203"/>
      <c r="M23" s="203"/>
      <c r="N23" s="1375"/>
    </row>
    <row r="24" spans="1:14" s="76" customFormat="1" ht="110.25" hidden="1" x14ac:dyDescent="0.25">
      <c r="A24" s="1376" t="s">
        <v>72</v>
      </c>
      <c r="B24" s="1322" t="s">
        <v>229</v>
      </c>
      <c r="C24" s="24" t="s">
        <v>232</v>
      </c>
      <c r="D24" s="1322" t="s">
        <v>52</v>
      </c>
      <c r="E24" s="1378"/>
      <c r="F24" s="1380"/>
      <c r="G24" s="32">
        <v>1600</v>
      </c>
      <c r="H24" s="41">
        <f t="shared" si="3"/>
        <v>0</v>
      </c>
      <c r="I24" s="41">
        <v>100</v>
      </c>
      <c r="J24" s="203">
        <f t="shared" si="4"/>
        <v>0</v>
      </c>
      <c r="K24" s="203"/>
      <c r="L24" s="203">
        <f t="shared" si="5"/>
        <v>0</v>
      </c>
      <c r="M24" s="203">
        <f t="shared" si="6"/>
        <v>0</v>
      </c>
      <c r="N24" s="1375"/>
    </row>
    <row r="25" spans="1:14" s="76" customFormat="1" ht="78.75" hidden="1" x14ac:dyDescent="0.25">
      <c r="A25" s="1377"/>
      <c r="B25" s="1324"/>
      <c r="C25" s="204" t="s">
        <v>233</v>
      </c>
      <c r="D25" s="1324"/>
      <c r="E25" s="1379"/>
      <c r="F25" s="1381"/>
      <c r="G25" s="32"/>
      <c r="H25" s="41"/>
      <c r="I25" s="41"/>
      <c r="J25" s="203"/>
      <c r="K25" s="203"/>
      <c r="L25" s="203"/>
      <c r="M25" s="203"/>
      <c r="N25" s="1375"/>
    </row>
    <row r="26" spans="1:14" s="76" customFormat="1" ht="110.25" hidden="1" x14ac:dyDescent="0.25">
      <c r="A26" s="1376" t="s">
        <v>94</v>
      </c>
      <c r="B26" s="1322" t="s">
        <v>229</v>
      </c>
      <c r="C26" s="205" t="s">
        <v>234</v>
      </c>
      <c r="D26" s="1322" t="s">
        <v>52</v>
      </c>
      <c r="E26" s="1378"/>
      <c r="F26" s="1380"/>
      <c r="G26" s="32">
        <v>1600</v>
      </c>
      <c r="H26" s="41">
        <f t="shared" si="3"/>
        <v>0</v>
      </c>
      <c r="I26" s="41">
        <v>100</v>
      </c>
      <c r="J26" s="203">
        <f t="shared" si="4"/>
        <v>0</v>
      </c>
      <c r="K26" s="203"/>
      <c r="L26" s="203">
        <f t="shared" si="5"/>
        <v>0</v>
      </c>
      <c r="M26" s="203">
        <f t="shared" si="6"/>
        <v>0</v>
      </c>
      <c r="N26" s="1375"/>
    </row>
    <row r="27" spans="1:14" s="76" customFormat="1" ht="78.75" hidden="1" x14ac:dyDescent="0.25">
      <c r="A27" s="1377"/>
      <c r="B27" s="1324"/>
      <c r="C27" s="204" t="s">
        <v>235</v>
      </c>
      <c r="D27" s="1324"/>
      <c r="E27" s="1379"/>
      <c r="F27" s="1381"/>
      <c r="G27" s="32"/>
      <c r="H27" s="41"/>
      <c r="I27" s="41"/>
      <c r="J27" s="203"/>
      <c r="K27" s="203"/>
      <c r="L27" s="203"/>
      <c r="M27" s="203"/>
      <c r="N27" s="1375"/>
    </row>
    <row r="28" spans="1:14" s="76" customFormat="1" ht="110.25" hidden="1" x14ac:dyDescent="0.25">
      <c r="A28" s="1376" t="s">
        <v>87</v>
      </c>
      <c r="B28" s="1322" t="s">
        <v>229</v>
      </c>
      <c r="C28" s="205" t="s">
        <v>236</v>
      </c>
      <c r="D28" s="1322" t="s">
        <v>52</v>
      </c>
      <c r="E28" s="1378"/>
      <c r="F28" s="1380"/>
      <c r="G28" s="32">
        <v>1400</v>
      </c>
      <c r="H28" s="41">
        <f t="shared" si="3"/>
        <v>0</v>
      </c>
      <c r="I28" s="41">
        <v>100</v>
      </c>
      <c r="J28" s="203">
        <f t="shared" si="4"/>
        <v>0</v>
      </c>
      <c r="K28" s="203"/>
      <c r="L28" s="203">
        <f t="shared" si="5"/>
        <v>0</v>
      </c>
      <c r="M28" s="203">
        <f t="shared" si="6"/>
        <v>0</v>
      </c>
      <c r="N28" s="1375"/>
    </row>
    <row r="29" spans="1:14" s="76" customFormat="1" ht="78.75" hidden="1" x14ac:dyDescent="0.25">
      <c r="A29" s="1377"/>
      <c r="B29" s="1324"/>
      <c r="C29" s="204" t="s">
        <v>237</v>
      </c>
      <c r="D29" s="1324"/>
      <c r="E29" s="1379"/>
      <c r="F29" s="1381"/>
      <c r="G29" s="32"/>
      <c r="H29" s="41"/>
      <c r="I29" s="41"/>
      <c r="J29" s="203"/>
      <c r="K29" s="203"/>
      <c r="L29" s="203"/>
      <c r="M29" s="203"/>
      <c r="N29" s="1375"/>
    </row>
    <row r="30" spans="1:14" s="76" customFormat="1" ht="110.25" hidden="1" x14ac:dyDescent="0.25">
      <c r="A30" s="1376" t="s">
        <v>89</v>
      </c>
      <c r="B30" s="1322" t="s">
        <v>229</v>
      </c>
      <c r="C30" s="205" t="s">
        <v>238</v>
      </c>
      <c r="D30" s="1322" t="s">
        <v>52</v>
      </c>
      <c r="E30" s="1378"/>
      <c r="F30" s="1380"/>
      <c r="G30" s="32">
        <v>1350</v>
      </c>
      <c r="H30" s="41">
        <f t="shared" si="3"/>
        <v>0</v>
      </c>
      <c r="I30" s="41">
        <v>100</v>
      </c>
      <c r="J30" s="203">
        <f t="shared" si="4"/>
        <v>0</v>
      </c>
      <c r="K30" s="203"/>
      <c r="L30" s="203">
        <f t="shared" si="5"/>
        <v>0</v>
      </c>
      <c r="M30" s="203">
        <f t="shared" si="6"/>
        <v>0</v>
      </c>
      <c r="N30" s="1375"/>
    </row>
    <row r="31" spans="1:14" s="76" customFormat="1" ht="78.75" hidden="1" x14ac:dyDescent="0.25">
      <c r="A31" s="1377"/>
      <c r="B31" s="1324"/>
      <c r="C31" s="204" t="s">
        <v>239</v>
      </c>
      <c r="D31" s="1324"/>
      <c r="E31" s="1379"/>
      <c r="F31" s="1381"/>
      <c r="G31" s="32"/>
      <c r="H31" s="41"/>
      <c r="I31" s="41"/>
      <c r="J31" s="203"/>
      <c r="K31" s="203"/>
      <c r="L31" s="203"/>
      <c r="M31" s="203"/>
      <c r="N31" s="1375"/>
    </row>
    <row r="32" spans="1:14" s="76" customFormat="1" ht="94.5" hidden="1" x14ac:dyDescent="0.25">
      <c r="A32" s="1376" t="s">
        <v>90</v>
      </c>
      <c r="B32" s="1322" t="s">
        <v>229</v>
      </c>
      <c r="C32" s="205" t="s">
        <v>240</v>
      </c>
      <c r="D32" s="1322" t="s">
        <v>52</v>
      </c>
      <c r="E32" s="1378"/>
      <c r="F32" s="1380"/>
      <c r="G32" s="32">
        <v>1000</v>
      </c>
      <c r="H32" s="41">
        <f t="shared" si="3"/>
        <v>0</v>
      </c>
      <c r="I32" s="41">
        <v>100</v>
      </c>
      <c r="J32" s="203">
        <f t="shared" si="4"/>
        <v>0</v>
      </c>
      <c r="K32" s="203"/>
      <c r="L32" s="203">
        <f t="shared" si="5"/>
        <v>0</v>
      </c>
      <c r="M32" s="203">
        <f t="shared" si="6"/>
        <v>0</v>
      </c>
      <c r="N32" s="1375"/>
    </row>
    <row r="33" spans="1:14" s="76" customFormat="1" ht="78.75" hidden="1" x14ac:dyDescent="0.25">
      <c r="A33" s="1377"/>
      <c r="B33" s="1324"/>
      <c r="C33" s="204" t="s">
        <v>241</v>
      </c>
      <c r="D33" s="1324"/>
      <c r="E33" s="1379"/>
      <c r="F33" s="1381"/>
      <c r="G33" s="32"/>
      <c r="H33" s="41"/>
      <c r="I33" s="41"/>
      <c r="J33" s="203"/>
      <c r="K33" s="203"/>
      <c r="L33" s="203"/>
      <c r="M33" s="203"/>
      <c r="N33" s="1375"/>
    </row>
    <row r="34" spans="1:14" s="76" customFormat="1" ht="110.25" hidden="1" x14ac:dyDescent="0.25">
      <c r="A34" s="1376" t="s">
        <v>82</v>
      </c>
      <c r="B34" s="1322" t="s">
        <v>229</v>
      </c>
      <c r="C34" s="24" t="s">
        <v>242</v>
      </c>
      <c r="D34" s="1322" t="s">
        <v>52</v>
      </c>
      <c r="E34" s="1378"/>
      <c r="F34" s="1380"/>
      <c r="G34" s="32">
        <v>400</v>
      </c>
      <c r="H34" s="41">
        <f t="shared" si="3"/>
        <v>0</v>
      </c>
      <c r="I34" s="41">
        <v>100</v>
      </c>
      <c r="J34" s="203">
        <f t="shared" si="4"/>
        <v>0</v>
      </c>
      <c r="K34" s="203"/>
      <c r="L34" s="203">
        <f t="shared" si="5"/>
        <v>0</v>
      </c>
      <c r="M34" s="203">
        <f t="shared" si="6"/>
        <v>0</v>
      </c>
      <c r="N34" s="1375"/>
    </row>
    <row r="35" spans="1:14" s="76" customFormat="1" ht="78.75" hidden="1" x14ac:dyDescent="0.25">
      <c r="A35" s="1377"/>
      <c r="B35" s="1324"/>
      <c r="C35" s="204" t="s">
        <v>243</v>
      </c>
      <c r="D35" s="1324"/>
      <c r="E35" s="1379"/>
      <c r="F35" s="1381"/>
      <c r="G35" s="32"/>
      <c r="H35" s="41"/>
      <c r="I35" s="41"/>
      <c r="J35" s="203"/>
      <c r="K35" s="203"/>
      <c r="L35" s="203"/>
      <c r="M35" s="203"/>
      <c r="N35" s="1375"/>
    </row>
    <row r="36" spans="1:14" s="76" customFormat="1" ht="94.5" hidden="1" x14ac:dyDescent="0.25">
      <c r="A36" s="1376" t="s">
        <v>40</v>
      </c>
      <c r="B36" s="1322" t="s">
        <v>229</v>
      </c>
      <c r="C36" s="206" t="s">
        <v>244</v>
      </c>
      <c r="D36" s="1322" t="s">
        <v>52</v>
      </c>
      <c r="E36" s="1378"/>
      <c r="F36" s="1380"/>
      <c r="G36" s="32">
        <v>1850</v>
      </c>
      <c r="H36" s="41">
        <f t="shared" si="3"/>
        <v>0</v>
      </c>
      <c r="I36" s="41">
        <v>100</v>
      </c>
      <c r="J36" s="203">
        <f t="shared" si="4"/>
        <v>0</v>
      </c>
      <c r="K36" s="203"/>
      <c r="L36" s="203">
        <f t="shared" si="5"/>
        <v>0</v>
      </c>
      <c r="M36" s="203">
        <f t="shared" si="6"/>
        <v>0</v>
      </c>
      <c r="N36" s="1375"/>
    </row>
    <row r="37" spans="1:14" s="76" customFormat="1" ht="78.75" hidden="1" x14ac:dyDescent="0.25">
      <c r="A37" s="1377"/>
      <c r="B37" s="1324"/>
      <c r="C37" s="207" t="s">
        <v>245</v>
      </c>
      <c r="D37" s="1324"/>
      <c r="E37" s="1379"/>
      <c r="F37" s="1381"/>
      <c r="G37" s="32"/>
      <c r="H37" s="41"/>
      <c r="I37" s="41"/>
      <c r="J37" s="203"/>
      <c r="K37" s="203"/>
      <c r="L37" s="203"/>
      <c r="M37" s="203"/>
      <c r="N37" s="1375"/>
    </row>
    <row r="38" spans="1:14" s="76" customFormat="1" ht="110.25" hidden="1" x14ac:dyDescent="0.25">
      <c r="A38" s="1376" t="s">
        <v>46</v>
      </c>
      <c r="B38" s="1322" t="s">
        <v>229</v>
      </c>
      <c r="C38" s="206" t="s">
        <v>246</v>
      </c>
      <c r="D38" s="1322" t="s">
        <v>52</v>
      </c>
      <c r="E38" s="1378"/>
      <c r="F38" s="1380"/>
      <c r="G38" s="32">
        <v>900</v>
      </c>
      <c r="H38" s="41">
        <f t="shared" si="3"/>
        <v>0</v>
      </c>
      <c r="I38" s="41">
        <v>100</v>
      </c>
      <c r="J38" s="203">
        <f t="shared" si="4"/>
        <v>0</v>
      </c>
      <c r="K38" s="203"/>
      <c r="L38" s="203">
        <f t="shared" si="5"/>
        <v>0</v>
      </c>
      <c r="M38" s="203">
        <f t="shared" si="6"/>
        <v>0</v>
      </c>
      <c r="N38" s="1375"/>
    </row>
    <row r="39" spans="1:14" s="76" customFormat="1" ht="78.75" hidden="1" x14ac:dyDescent="0.25">
      <c r="A39" s="1377"/>
      <c r="B39" s="1324"/>
      <c r="C39" s="207" t="s">
        <v>247</v>
      </c>
      <c r="D39" s="1324"/>
      <c r="E39" s="1379"/>
      <c r="F39" s="1381"/>
      <c r="G39" s="32"/>
      <c r="H39" s="41"/>
      <c r="I39" s="41"/>
      <c r="J39" s="203"/>
      <c r="K39" s="203"/>
      <c r="L39" s="203"/>
      <c r="M39" s="203"/>
      <c r="N39" s="1375"/>
    </row>
    <row r="40" spans="1:14" s="76" customFormat="1" ht="110.25" hidden="1" x14ac:dyDescent="0.25">
      <c r="A40" s="1376" t="s">
        <v>48</v>
      </c>
      <c r="B40" s="1322" t="s">
        <v>229</v>
      </c>
      <c r="C40" s="206" t="s">
        <v>248</v>
      </c>
      <c r="D40" s="1322" t="s">
        <v>52</v>
      </c>
      <c r="E40" s="1378"/>
      <c r="F40" s="1380"/>
      <c r="G40" s="32">
        <v>950</v>
      </c>
      <c r="H40" s="41">
        <f t="shared" si="3"/>
        <v>0</v>
      </c>
      <c r="I40" s="41">
        <v>100</v>
      </c>
      <c r="J40" s="203">
        <f t="shared" si="4"/>
        <v>0</v>
      </c>
      <c r="K40" s="203"/>
      <c r="L40" s="203">
        <f t="shared" si="5"/>
        <v>0</v>
      </c>
      <c r="M40" s="203">
        <f t="shared" si="6"/>
        <v>0</v>
      </c>
      <c r="N40" s="1375"/>
    </row>
    <row r="41" spans="1:14" s="76" customFormat="1" ht="78.75" hidden="1" x14ac:dyDescent="0.25">
      <c r="A41" s="1377"/>
      <c r="B41" s="1324"/>
      <c r="C41" s="207" t="s">
        <v>249</v>
      </c>
      <c r="D41" s="1324"/>
      <c r="E41" s="1379"/>
      <c r="F41" s="1381"/>
      <c r="G41" s="32"/>
      <c r="H41" s="41"/>
      <c r="I41" s="41"/>
      <c r="J41" s="203"/>
      <c r="K41" s="203"/>
      <c r="L41" s="203"/>
      <c r="M41" s="203"/>
      <c r="N41" s="1375"/>
    </row>
    <row r="42" spans="1:14" s="76" customFormat="1" ht="15.75" hidden="1" x14ac:dyDescent="0.25">
      <c r="A42" s="14"/>
      <c r="B42" s="14"/>
      <c r="C42" s="58"/>
      <c r="D42" s="25"/>
      <c r="E42" s="15"/>
      <c r="F42" s="15"/>
      <c r="G42" s="16"/>
      <c r="H42" s="16"/>
      <c r="I42" s="16"/>
      <c r="J42" s="16"/>
      <c r="K42" s="16"/>
      <c r="L42" s="16"/>
      <c r="M42" s="16"/>
    </row>
    <row r="43" spans="1:14" s="76" customFormat="1" ht="27" customHeight="1" x14ac:dyDescent="0.25">
      <c r="A43" s="14" t="s">
        <v>90</v>
      </c>
      <c r="B43" s="622"/>
      <c r="C43" s="62" t="s">
        <v>1369</v>
      </c>
      <c r="D43" s="25" t="s">
        <v>1370</v>
      </c>
      <c r="E43" s="15"/>
      <c r="F43" s="15">
        <v>1</v>
      </c>
      <c r="G43" s="16"/>
      <c r="H43" s="1083">
        <f t="shared" ref="H43" si="7">F43*G43</f>
        <v>0</v>
      </c>
      <c r="I43" s="1083"/>
      <c r="J43" s="16"/>
      <c r="K43" s="16"/>
      <c r="L43" s="16"/>
      <c r="M43" s="1083">
        <f t="shared" ref="M43" si="8">H43+J43+L43</f>
        <v>0</v>
      </c>
    </row>
    <row r="44" spans="1:14" s="76" customFormat="1" ht="31.5" x14ac:dyDescent="0.25">
      <c r="A44" s="338"/>
      <c r="B44" s="339"/>
      <c r="C44" s="329" t="s">
        <v>1361</v>
      </c>
      <c r="D44" s="339"/>
      <c r="E44" s="340"/>
      <c r="F44" s="341"/>
      <c r="G44" s="342"/>
      <c r="H44" s="342">
        <f>SUM(H8:H43)</f>
        <v>0</v>
      </c>
      <c r="I44" s="342"/>
      <c r="J44" s="342">
        <f>SUM(J8:J43)</f>
        <v>0</v>
      </c>
      <c r="K44" s="342"/>
      <c r="L44" s="342">
        <f>SUM(L9:L43)</f>
        <v>0</v>
      </c>
      <c r="M44" s="342">
        <f>SUM(M9:M43)</f>
        <v>0</v>
      </c>
      <c r="N44" s="88">
        <f>H44+J44+L44</f>
        <v>0</v>
      </c>
    </row>
    <row r="45" spans="1:14" s="76" customFormat="1" ht="40.5" x14ac:dyDescent="0.25">
      <c r="A45" s="308"/>
      <c r="B45" s="308"/>
      <c r="C45" s="360" t="s">
        <v>306</v>
      </c>
      <c r="D45" s="308"/>
      <c r="E45" s="310"/>
      <c r="F45" s="1416"/>
      <c r="G45" s="312"/>
      <c r="H45" s="312"/>
      <c r="I45" s="312"/>
      <c r="J45" s="312"/>
      <c r="K45" s="312"/>
      <c r="L45" s="312"/>
      <c r="M45" s="312">
        <f>H44*F45</f>
        <v>0</v>
      </c>
    </row>
    <row r="46" spans="1:14" s="76" customFormat="1" ht="15.75" x14ac:dyDescent="0.25">
      <c r="A46" s="22"/>
      <c r="B46" s="231"/>
      <c r="C46" s="314" t="s">
        <v>19</v>
      </c>
      <c r="D46" s="231"/>
      <c r="E46" s="22"/>
      <c r="F46" s="22"/>
      <c r="G46" s="22"/>
      <c r="H46" s="350"/>
      <c r="I46" s="350"/>
      <c r="J46" s="350"/>
      <c r="K46" s="350"/>
      <c r="L46" s="350"/>
      <c r="M46" s="350"/>
    </row>
    <row r="47" spans="1:14" s="76" customFormat="1" ht="49.5" x14ac:dyDescent="0.25">
      <c r="A47" s="290"/>
      <c r="B47" s="2"/>
      <c r="C47" s="359" t="s">
        <v>307</v>
      </c>
      <c r="D47" s="2"/>
      <c r="E47" s="290"/>
      <c r="F47" s="1425"/>
      <c r="G47" s="290"/>
      <c r="H47" s="290"/>
      <c r="I47" s="290"/>
      <c r="J47" s="223"/>
      <c r="K47" s="223"/>
      <c r="L47" s="223"/>
      <c r="M47" s="223">
        <f>J44*F47</f>
        <v>0</v>
      </c>
    </row>
    <row r="48" spans="1:14" s="76" customFormat="1" ht="15.75" x14ac:dyDescent="0.25">
      <c r="A48" s="290"/>
      <c r="B48" s="2"/>
      <c r="C48" s="314" t="s">
        <v>19</v>
      </c>
      <c r="D48" s="2"/>
      <c r="E48" s="290"/>
      <c r="F48" s="72"/>
      <c r="G48" s="290"/>
      <c r="H48" s="290"/>
      <c r="I48" s="290"/>
      <c r="J48" s="223"/>
      <c r="K48" s="223"/>
      <c r="L48" s="223"/>
      <c r="M48" s="223">
        <f>M44+M45+M47</f>
        <v>0</v>
      </c>
    </row>
    <row r="49" spans="1:13" s="76" customFormat="1" ht="66" x14ac:dyDescent="0.25">
      <c r="A49" s="290"/>
      <c r="B49" s="2"/>
      <c r="C49" s="359" t="s">
        <v>308</v>
      </c>
      <c r="D49" s="2"/>
      <c r="E49" s="290"/>
      <c r="F49" s="1425"/>
      <c r="G49" s="290"/>
      <c r="H49" s="290"/>
      <c r="I49" s="290"/>
      <c r="J49" s="223"/>
      <c r="K49" s="223"/>
      <c r="L49" s="223"/>
      <c r="M49" s="223">
        <f>(M48-H44)*F49</f>
        <v>0</v>
      </c>
    </row>
    <row r="50" spans="1:13" s="76" customFormat="1" ht="33" x14ac:dyDescent="0.25">
      <c r="A50" s="351"/>
      <c r="B50" s="352"/>
      <c r="C50" s="349" t="s">
        <v>1360</v>
      </c>
      <c r="D50" s="352"/>
      <c r="E50" s="351"/>
      <c r="F50" s="244"/>
      <c r="G50" s="351"/>
      <c r="H50" s="351"/>
      <c r="I50" s="351"/>
      <c r="J50" s="353"/>
      <c r="K50" s="353"/>
      <c r="L50" s="353"/>
      <c r="M50" s="342">
        <f>M48+M49</f>
        <v>0</v>
      </c>
    </row>
    <row r="51" spans="1:13" s="76" customFormat="1" ht="31.5" x14ac:dyDescent="0.25">
      <c r="A51" s="321"/>
      <c r="B51" s="322"/>
      <c r="C51" s="326" t="s">
        <v>1</v>
      </c>
      <c r="D51" s="323"/>
      <c r="E51" s="324"/>
      <c r="F51" s="334" t="s">
        <v>57</v>
      </c>
      <c r="G51" s="306"/>
      <c r="H51" s="306"/>
      <c r="I51" s="306"/>
      <c r="J51" s="306"/>
      <c r="K51" s="306"/>
      <c r="L51" s="306"/>
      <c r="M51" s="306">
        <f>M50*F51</f>
        <v>0</v>
      </c>
    </row>
    <row r="52" spans="1:13" s="76" customFormat="1" ht="15.75" x14ac:dyDescent="0.25">
      <c r="A52" s="321"/>
      <c r="B52" s="322"/>
      <c r="C52" s="314" t="s">
        <v>19</v>
      </c>
      <c r="D52" s="323"/>
      <c r="E52" s="324"/>
      <c r="F52" s="335"/>
      <c r="G52" s="306"/>
      <c r="H52" s="306"/>
      <c r="I52" s="306"/>
      <c r="J52" s="306"/>
      <c r="K52" s="306"/>
      <c r="L52" s="306"/>
      <c r="M52" s="306">
        <f>M50+M51</f>
        <v>0</v>
      </c>
    </row>
    <row r="53" spans="1:13" s="76" customFormat="1" ht="31.5" x14ac:dyDescent="0.25">
      <c r="A53" s="321"/>
      <c r="B53" s="322"/>
      <c r="C53" s="336" t="s">
        <v>303</v>
      </c>
      <c r="D53" s="323"/>
      <c r="E53" s="324"/>
      <c r="F53" s="337">
        <v>0.02</v>
      </c>
      <c r="G53" s="306"/>
      <c r="H53" s="306"/>
      <c r="I53" s="306"/>
      <c r="J53" s="306"/>
      <c r="K53" s="306"/>
      <c r="L53" s="306"/>
      <c r="M53" s="306">
        <f>J44*F53</f>
        <v>0</v>
      </c>
    </row>
    <row r="54" spans="1:13" s="76" customFormat="1" ht="15.75" x14ac:dyDescent="0.25">
      <c r="A54" s="321"/>
      <c r="B54" s="322"/>
      <c r="C54" s="314" t="s">
        <v>19</v>
      </c>
      <c r="D54" s="323"/>
      <c r="E54" s="324"/>
      <c r="F54" s="335"/>
      <c r="G54" s="306"/>
      <c r="H54" s="306"/>
      <c r="I54" s="306"/>
      <c r="J54" s="306"/>
      <c r="K54" s="306"/>
      <c r="L54" s="306"/>
      <c r="M54" s="306">
        <f>M52+M53</f>
        <v>0</v>
      </c>
    </row>
    <row r="55" spans="1:13" s="76" customFormat="1" ht="26.25" customHeight="1" x14ac:dyDescent="0.25">
      <c r="A55" s="321"/>
      <c r="B55" s="322"/>
      <c r="C55" s="326" t="s">
        <v>304</v>
      </c>
      <c r="D55" s="323"/>
      <c r="E55" s="324"/>
      <c r="F55" s="334" t="s">
        <v>58</v>
      </c>
      <c r="G55" s="306"/>
      <c r="H55" s="306"/>
      <c r="I55" s="306"/>
      <c r="J55" s="306"/>
      <c r="K55" s="306"/>
      <c r="L55" s="306"/>
      <c r="M55" s="306">
        <f>M54*F55</f>
        <v>0</v>
      </c>
    </row>
    <row r="56" spans="1:13" s="76" customFormat="1" ht="31.5" x14ac:dyDescent="0.25">
      <c r="A56" s="338"/>
      <c r="B56" s="339"/>
      <c r="C56" s="329" t="s">
        <v>1432</v>
      </c>
      <c r="D56" s="339"/>
      <c r="E56" s="340"/>
      <c r="F56" s="341"/>
      <c r="G56" s="342"/>
      <c r="H56" s="342"/>
      <c r="I56" s="342"/>
      <c r="J56" s="342"/>
      <c r="K56" s="342"/>
      <c r="L56" s="342"/>
      <c r="M56" s="342">
        <f>M54+M55</f>
        <v>0</v>
      </c>
    </row>
    <row r="57" spans="1:13" s="76" customFormat="1" ht="15.75" x14ac:dyDescent="0.25">
      <c r="A57" s="89"/>
      <c r="B57" s="89"/>
      <c r="C57" s="159"/>
      <c r="D57" s="89"/>
      <c r="E57" s="160"/>
      <c r="F57" s="160"/>
      <c r="G57" s="90"/>
      <c r="H57" s="90"/>
      <c r="I57" s="90"/>
      <c r="J57" s="90"/>
      <c r="K57" s="90"/>
      <c r="L57" s="90"/>
      <c r="M57" s="90"/>
    </row>
    <row r="58" spans="1:13" s="76" customFormat="1" ht="15.75" x14ac:dyDescent="0.25">
      <c r="A58" s="89"/>
      <c r="B58" s="97"/>
      <c r="C58" s="197"/>
      <c r="D58" s="74"/>
      <c r="E58" s="156"/>
      <c r="F58" s="156"/>
      <c r="G58" s="88"/>
      <c r="H58" s="88"/>
      <c r="I58" s="98"/>
      <c r="J58" s="98"/>
      <c r="K58" s="98"/>
      <c r="L58" s="98"/>
      <c r="M58" s="98"/>
    </row>
    <row r="59" spans="1:13" s="76" customFormat="1" ht="15.75" x14ac:dyDescent="0.25">
      <c r="A59" s="89"/>
      <c r="B59" s="97"/>
      <c r="C59" s="208"/>
      <c r="D59" s="209"/>
      <c r="E59" s="210"/>
      <c r="F59" s="160"/>
      <c r="G59" s="90"/>
      <c r="H59" s="90"/>
      <c r="I59" s="90"/>
      <c r="J59" s="90"/>
      <c r="K59" s="90"/>
      <c r="L59" s="90"/>
      <c r="M59" s="90"/>
    </row>
  </sheetData>
  <mergeCells count="73">
    <mergeCell ref="N40:N41"/>
    <mergeCell ref="A38:A39"/>
    <mergeCell ref="B38:B39"/>
    <mergeCell ref="D38:D39"/>
    <mergeCell ref="E38:E39"/>
    <mergeCell ref="F38:F39"/>
    <mergeCell ref="N38:N39"/>
    <mergeCell ref="A40:A41"/>
    <mergeCell ref="B40:B41"/>
    <mergeCell ref="D40:D41"/>
    <mergeCell ref="E40:E41"/>
    <mergeCell ref="F40:F41"/>
    <mergeCell ref="N36:N37"/>
    <mergeCell ref="A34:A35"/>
    <mergeCell ref="B34:B35"/>
    <mergeCell ref="D34:D35"/>
    <mergeCell ref="E34:E35"/>
    <mergeCell ref="F34:F35"/>
    <mergeCell ref="N34:N35"/>
    <mergeCell ref="A36:A37"/>
    <mergeCell ref="B36:B37"/>
    <mergeCell ref="D36:D37"/>
    <mergeCell ref="E36:E37"/>
    <mergeCell ref="F36:F37"/>
    <mergeCell ref="N32:N33"/>
    <mergeCell ref="A30:A31"/>
    <mergeCell ref="B30:B31"/>
    <mergeCell ref="D30:D31"/>
    <mergeCell ref="E30:E31"/>
    <mergeCell ref="F30:F31"/>
    <mergeCell ref="N30:N31"/>
    <mergeCell ref="A32:A33"/>
    <mergeCell ref="B32:B33"/>
    <mergeCell ref="D32:D33"/>
    <mergeCell ref="E32:E33"/>
    <mergeCell ref="F32:F33"/>
    <mergeCell ref="N28:N29"/>
    <mergeCell ref="A26:A27"/>
    <mergeCell ref="B26:B27"/>
    <mergeCell ref="D26:D27"/>
    <mergeCell ref="E26:E27"/>
    <mergeCell ref="F26:F27"/>
    <mergeCell ref="N26:N27"/>
    <mergeCell ref="A28:A29"/>
    <mergeCell ref="B28:B29"/>
    <mergeCell ref="D28:D29"/>
    <mergeCell ref="E28:E29"/>
    <mergeCell ref="F28:F29"/>
    <mergeCell ref="N22:N23"/>
    <mergeCell ref="A24:A25"/>
    <mergeCell ref="B24:B25"/>
    <mergeCell ref="D24:D25"/>
    <mergeCell ref="E24:E25"/>
    <mergeCell ref="F24:F25"/>
    <mergeCell ref="N24:N25"/>
    <mergeCell ref="A22:A23"/>
    <mergeCell ref="B22:B23"/>
    <mergeCell ref="D22:D23"/>
    <mergeCell ref="E22:E23"/>
    <mergeCell ref="F22:F23"/>
    <mergeCell ref="A1:M1"/>
    <mergeCell ref="A2:M2"/>
    <mergeCell ref="A4:M4"/>
    <mergeCell ref="A3:M3"/>
    <mergeCell ref="A5:A6"/>
    <mergeCell ref="B5:B6"/>
    <mergeCell ref="C5:C6"/>
    <mergeCell ref="D5:D6"/>
    <mergeCell ref="G5:H5"/>
    <mergeCell ref="I5:J5"/>
    <mergeCell ref="K5:L5"/>
    <mergeCell ref="M5:M6"/>
    <mergeCell ref="E5:F5"/>
  </mergeCells>
  <pageMargins left="0.70866141732283472" right="0.35" top="0.39" bottom="0.45" header="0.31496062992125984" footer="0.31496062992125984"/>
  <pageSetup paperSize="9" orientation="landscape" horizontalDpi="1200" verticalDpi="1200" r:id="rId1"/>
  <headerFooter>
    <oddHeader>&amp;R&amp;P--&amp;N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48"/>
  <sheetViews>
    <sheetView zoomScale="120" zoomScaleNormal="120" workbookViewId="0">
      <pane xSplit="3" ySplit="7" topLeftCell="D145" activePane="bottomRight" state="frozen"/>
      <selection pane="topRight" activeCell="D1" sqref="D1"/>
      <selection pane="bottomLeft" activeCell="A8" sqref="A8"/>
      <selection pane="bottomRight" activeCell="M148" sqref="M148"/>
    </sheetView>
  </sheetViews>
  <sheetFormatPr defaultRowHeight="15" x14ac:dyDescent="0.25"/>
  <cols>
    <col min="1" max="1" width="5.85546875" style="790" customWidth="1"/>
    <col min="2" max="2" width="8.85546875" style="790"/>
    <col min="3" max="3" width="34.7109375" style="791" customWidth="1"/>
    <col min="4" max="4" width="6.140625" style="790" customWidth="1"/>
    <col min="5" max="5" width="11.42578125" style="805" customWidth="1"/>
    <col min="6" max="6" width="11.42578125" style="806" customWidth="1"/>
    <col min="7" max="7" width="9.28515625" style="808" customWidth="1"/>
    <col min="8" max="8" width="13.42578125" style="808" customWidth="1"/>
    <col min="9" max="9" width="9.28515625" style="808" customWidth="1"/>
    <col min="10" max="10" width="12.42578125" style="808" customWidth="1"/>
    <col min="11" max="11" width="9.28515625" style="808" customWidth="1"/>
    <col min="12" max="12" width="11.85546875" style="808" customWidth="1"/>
    <col min="13" max="13" width="12.5703125" style="808" customWidth="1"/>
    <col min="14" max="14" width="22.7109375" style="815" hidden="1" customWidth="1"/>
    <col min="15" max="17" width="0" hidden="1" customWidth="1"/>
  </cols>
  <sheetData>
    <row r="1" spans="1:14" ht="30.75" customHeight="1" x14ac:dyDescent="0.25">
      <c r="A1" s="1292" t="str">
        <f>krebsiti!A2</f>
        <v>borjomis municipalitetis daba waRverSi kulturis saxlis mimdebared skveris mowyobis samuSaoebi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</row>
    <row r="2" spans="1:14" ht="21" customHeight="1" x14ac:dyDescent="0.25">
      <c r="A2" s="1293" t="s">
        <v>861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</row>
    <row r="3" spans="1:14" ht="19.5" customHeight="1" x14ac:dyDescent="0.25">
      <c r="A3" s="1292" t="s">
        <v>24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1292"/>
    </row>
    <row r="4" spans="1:14" ht="24" customHeight="1" x14ac:dyDescent="0.25">
      <c r="A4" s="1292" t="s">
        <v>1356</v>
      </c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</row>
    <row r="5" spans="1:14" ht="34.15" customHeight="1" x14ac:dyDescent="0.25">
      <c r="A5" s="1258" t="s">
        <v>0</v>
      </c>
      <c r="B5" s="1349" t="s">
        <v>546</v>
      </c>
      <c r="C5" s="1296" t="s">
        <v>547</v>
      </c>
      <c r="D5" s="1349" t="s">
        <v>548</v>
      </c>
      <c r="E5" s="1298" t="s">
        <v>549</v>
      </c>
      <c r="F5" s="1298"/>
      <c r="G5" s="1289" t="s">
        <v>550</v>
      </c>
      <c r="H5" s="1289"/>
      <c r="I5" s="1289" t="s">
        <v>551</v>
      </c>
      <c r="J5" s="1289"/>
      <c r="K5" s="1290" t="s">
        <v>25</v>
      </c>
      <c r="L5" s="1291"/>
      <c r="M5" s="1289" t="s">
        <v>552</v>
      </c>
    </row>
    <row r="6" spans="1:14" ht="47.25" x14ac:dyDescent="0.25">
      <c r="A6" s="1258"/>
      <c r="B6" s="1349"/>
      <c r="C6" s="1297"/>
      <c r="D6" s="1349"/>
      <c r="E6" s="524" t="s">
        <v>12</v>
      </c>
      <c r="F6" s="750" t="s">
        <v>3</v>
      </c>
      <c r="G6" s="748" t="s">
        <v>12</v>
      </c>
      <c r="H6" s="748" t="s">
        <v>3</v>
      </c>
      <c r="I6" s="748" t="s">
        <v>12</v>
      </c>
      <c r="J6" s="748" t="s">
        <v>3</v>
      </c>
      <c r="K6" s="748" t="s">
        <v>12</v>
      </c>
      <c r="L6" s="748" t="s">
        <v>3</v>
      </c>
      <c r="M6" s="1289"/>
    </row>
    <row r="7" spans="1:14" ht="15.75" x14ac:dyDescent="0.25">
      <c r="A7" s="747" t="s">
        <v>93</v>
      </c>
      <c r="B7" s="745" t="s">
        <v>72</v>
      </c>
      <c r="C7" s="749" t="s">
        <v>94</v>
      </c>
      <c r="D7" s="745" t="s">
        <v>87</v>
      </c>
      <c r="E7" s="524" t="s">
        <v>89</v>
      </c>
      <c r="F7" s="750" t="s">
        <v>90</v>
      </c>
      <c r="G7" s="748" t="s">
        <v>82</v>
      </c>
      <c r="H7" s="748" t="s">
        <v>40</v>
      </c>
      <c r="I7" s="748" t="s">
        <v>46</v>
      </c>
      <c r="J7" s="748" t="s">
        <v>48</v>
      </c>
      <c r="K7" s="748" t="s">
        <v>553</v>
      </c>
      <c r="L7" s="748" t="s">
        <v>53</v>
      </c>
      <c r="M7" s="748" t="s">
        <v>554</v>
      </c>
    </row>
    <row r="8" spans="1:14" s="73" customFormat="1" ht="47.25" x14ac:dyDescent="0.25">
      <c r="A8" s="774"/>
      <c r="B8" s="775"/>
      <c r="C8" s="776" t="s">
        <v>754</v>
      </c>
      <c r="D8" s="777"/>
      <c r="E8" s="1029"/>
      <c r="F8" s="1413"/>
      <c r="G8" s="748"/>
      <c r="H8" s="748"/>
      <c r="I8" s="748"/>
      <c r="J8" s="748"/>
      <c r="K8" s="748"/>
      <c r="L8" s="748"/>
      <c r="M8" s="748"/>
      <c r="N8" s="816"/>
    </row>
    <row r="9" spans="1:14" s="905" customFormat="1" ht="31.5" x14ac:dyDescent="0.25">
      <c r="A9" s="903" t="s">
        <v>863</v>
      </c>
      <c r="B9" s="903"/>
      <c r="C9" s="904" t="s">
        <v>24</v>
      </c>
      <c r="D9" s="903"/>
      <c r="E9" s="1429"/>
      <c r="F9" s="1413"/>
      <c r="G9" s="223"/>
      <c r="H9" s="223"/>
      <c r="I9" s="223"/>
      <c r="J9" s="223"/>
      <c r="K9" s="223"/>
      <c r="L9" s="223"/>
      <c r="M9" s="223"/>
    </row>
    <row r="10" spans="1:14" s="73" customFormat="1" ht="16.5" x14ac:dyDescent="0.25">
      <c r="A10" s="773"/>
      <c r="B10" s="85"/>
      <c r="C10" s="746" t="s">
        <v>798</v>
      </c>
      <c r="D10" s="675"/>
      <c r="E10" s="1029"/>
      <c r="F10" s="1413"/>
      <c r="G10" s="748"/>
      <c r="H10" s="748"/>
      <c r="I10" s="748"/>
      <c r="J10" s="748"/>
      <c r="K10" s="748"/>
      <c r="L10" s="748"/>
      <c r="M10" s="748"/>
      <c r="N10" s="816"/>
    </row>
    <row r="11" spans="1:14" s="73" customFormat="1" ht="47.25" hidden="1" x14ac:dyDescent="0.25">
      <c r="A11" s="1382" t="s">
        <v>93</v>
      </c>
      <c r="B11" s="733" t="s">
        <v>796</v>
      </c>
      <c r="C11" s="632" t="s">
        <v>755</v>
      </c>
      <c r="D11" s="87" t="s">
        <v>47</v>
      </c>
      <c r="E11" s="1139">
        <f>(4.7+0.2+0.5+2.1+0.5+0.2)*2*3.3-0.8*2.2*2</f>
        <v>50.599999999999987</v>
      </c>
      <c r="F11" s="11"/>
      <c r="G11" s="748"/>
      <c r="H11" s="748"/>
      <c r="I11" s="748"/>
      <c r="J11" s="748"/>
      <c r="K11" s="748"/>
      <c r="L11" s="748"/>
      <c r="M11" s="748"/>
      <c r="N11" s="816"/>
    </row>
    <row r="12" spans="1:14" s="73" customFormat="1" ht="27" hidden="1" x14ac:dyDescent="0.25">
      <c r="A12" s="1383"/>
      <c r="B12" s="700"/>
      <c r="C12" s="303" t="s">
        <v>54</v>
      </c>
      <c r="D12" s="43" t="s">
        <v>6</v>
      </c>
      <c r="E12" s="5">
        <v>0.186</v>
      </c>
      <c r="F12" s="744">
        <f>F11*E12</f>
        <v>0</v>
      </c>
      <c r="G12" s="223"/>
      <c r="H12" s="223"/>
      <c r="I12" s="223">
        <v>6</v>
      </c>
      <c r="J12" s="223">
        <f>F12*I12</f>
        <v>0</v>
      </c>
      <c r="K12" s="223"/>
      <c r="L12" s="223"/>
      <c r="M12" s="223">
        <f>H12+J12+L12</f>
        <v>0</v>
      </c>
      <c r="N12" s="816"/>
    </row>
    <row r="13" spans="1:14" s="73" customFormat="1" ht="16.5" hidden="1" x14ac:dyDescent="0.25">
      <c r="A13" s="1384"/>
      <c r="B13" s="700"/>
      <c r="C13" s="766" t="s">
        <v>5</v>
      </c>
      <c r="D13" s="767" t="s">
        <v>4</v>
      </c>
      <c r="E13" s="5">
        <v>1.6000000000000001E-3</v>
      </c>
      <c r="F13" s="744">
        <f>F11*E13</f>
        <v>0</v>
      </c>
      <c r="G13" s="223"/>
      <c r="H13" s="223"/>
      <c r="I13" s="223"/>
      <c r="J13" s="223"/>
      <c r="K13" s="223">
        <v>4</v>
      </c>
      <c r="L13" s="223">
        <f>F13*K13</f>
        <v>0</v>
      </c>
      <c r="M13" s="223">
        <f>H13+J13+L13</f>
        <v>0</v>
      </c>
      <c r="N13" s="816"/>
    </row>
    <row r="14" spans="1:14" s="73" customFormat="1" ht="47.25" x14ac:dyDescent="0.25">
      <c r="A14" s="1382" t="s">
        <v>72</v>
      </c>
      <c r="B14" s="700" t="s">
        <v>769</v>
      </c>
      <c r="C14" s="632" t="s">
        <v>757</v>
      </c>
      <c r="D14" s="87" t="s">
        <v>47</v>
      </c>
      <c r="E14" s="10"/>
      <c r="F14" s="23">
        <f>0.8*2.2*2</f>
        <v>3.5200000000000005</v>
      </c>
      <c r="G14" s="748"/>
      <c r="H14" s="748"/>
      <c r="I14" s="748"/>
      <c r="J14" s="748"/>
      <c r="K14" s="748"/>
      <c r="L14" s="748"/>
      <c r="M14" s="748"/>
      <c r="N14" s="816"/>
    </row>
    <row r="15" spans="1:14" s="73" customFormat="1" ht="27" x14ac:dyDescent="0.25">
      <c r="A15" s="1383"/>
      <c r="B15" s="700"/>
      <c r="C15" s="303" t="s">
        <v>54</v>
      </c>
      <c r="D15" s="43" t="s">
        <v>6</v>
      </c>
      <c r="E15" s="5">
        <f>0.0887</f>
        <v>8.8700000000000001E-2</v>
      </c>
      <c r="F15" s="744">
        <f>F14*E15</f>
        <v>0.31222400000000006</v>
      </c>
      <c r="G15" s="223"/>
      <c r="H15" s="223"/>
      <c r="I15" s="223"/>
      <c r="J15" s="223">
        <f>F15*I15</f>
        <v>0</v>
      </c>
      <c r="K15" s="223"/>
      <c r="L15" s="223"/>
      <c r="M15" s="223">
        <f>H15+J15+L15</f>
        <v>0</v>
      </c>
      <c r="N15" s="816"/>
    </row>
    <row r="16" spans="1:14" s="73" customFormat="1" ht="16.5" x14ac:dyDescent="0.25">
      <c r="A16" s="1384"/>
      <c r="B16" s="700"/>
      <c r="C16" s="766" t="s">
        <v>5</v>
      </c>
      <c r="D16" s="767" t="s">
        <v>4</v>
      </c>
      <c r="E16" s="5">
        <f>0.00984</f>
        <v>9.8399999999999998E-3</v>
      </c>
      <c r="F16" s="744">
        <f>F14*E16</f>
        <v>3.4636800000000002E-2</v>
      </c>
      <c r="G16" s="223"/>
      <c r="H16" s="223"/>
      <c r="I16" s="223"/>
      <c r="J16" s="223"/>
      <c r="K16" s="223"/>
      <c r="L16" s="223">
        <f>F16*K16</f>
        <v>0</v>
      </c>
      <c r="M16" s="223">
        <f>H16+J16+L16</f>
        <v>0</v>
      </c>
      <c r="N16" s="816"/>
    </row>
    <row r="17" spans="1:14" s="73" customFormat="1" ht="47.25" x14ac:dyDescent="0.25">
      <c r="A17" s="1382" t="s">
        <v>94</v>
      </c>
      <c r="B17" s="700" t="s">
        <v>768</v>
      </c>
      <c r="C17" s="632" t="s">
        <v>758</v>
      </c>
      <c r="D17" s="87" t="s">
        <v>47</v>
      </c>
      <c r="E17" s="10"/>
      <c r="F17" s="10">
        <f>1.2*0.4*2</f>
        <v>0.96</v>
      </c>
      <c r="G17" s="748"/>
      <c r="H17" s="748"/>
      <c r="I17" s="748"/>
      <c r="J17" s="748"/>
      <c r="K17" s="748"/>
      <c r="L17" s="748"/>
      <c r="M17" s="748"/>
      <c r="N17" s="816"/>
    </row>
    <row r="18" spans="1:14" s="73" customFormat="1" ht="27" x14ac:dyDescent="0.25">
      <c r="A18" s="1383"/>
      <c r="B18" s="700"/>
      <c r="C18" s="303" t="s">
        <v>54</v>
      </c>
      <c r="D18" s="43" t="s">
        <v>6</v>
      </c>
      <c r="E18" s="5">
        <f>0.17</f>
        <v>0.17</v>
      </c>
      <c r="F18" s="744">
        <f>F17*E18</f>
        <v>0.16320000000000001</v>
      </c>
      <c r="G18" s="223"/>
      <c r="H18" s="223"/>
      <c r="I18" s="223"/>
      <c r="J18" s="223">
        <f>F18*I18</f>
        <v>0</v>
      </c>
      <c r="K18" s="223"/>
      <c r="L18" s="223"/>
      <c r="M18" s="223">
        <f>H18+J18+L18</f>
        <v>0</v>
      </c>
      <c r="N18" s="816"/>
    </row>
    <row r="19" spans="1:14" s="73" customFormat="1" ht="22.5" customHeight="1" x14ac:dyDescent="0.25">
      <c r="A19" s="1384"/>
      <c r="B19" s="700"/>
      <c r="C19" s="766" t="s">
        <v>5</v>
      </c>
      <c r="D19" s="767" t="s">
        <v>4</v>
      </c>
      <c r="E19" s="5">
        <f>0.00984</f>
        <v>9.8399999999999998E-3</v>
      </c>
      <c r="F19" s="744">
        <f>F17*E19</f>
        <v>9.4463999999999989E-3</v>
      </c>
      <c r="G19" s="223"/>
      <c r="H19" s="223"/>
      <c r="I19" s="223"/>
      <c r="J19" s="223"/>
      <c r="K19" s="223"/>
      <c r="L19" s="223">
        <f>F19*K19</f>
        <v>0</v>
      </c>
      <c r="M19" s="223">
        <f>H19+J19+L19</f>
        <v>0</v>
      </c>
      <c r="N19" s="816"/>
    </row>
    <row r="20" spans="1:14" s="73" customFormat="1" ht="47.25" x14ac:dyDescent="0.25">
      <c r="A20" s="1382" t="s">
        <v>87</v>
      </c>
      <c r="B20" s="700" t="s">
        <v>132</v>
      </c>
      <c r="C20" s="632" t="s">
        <v>756</v>
      </c>
      <c r="D20" s="87" t="s">
        <v>47</v>
      </c>
      <c r="E20" s="10"/>
      <c r="F20" s="23">
        <f>2.1*1.55*2</f>
        <v>6.5100000000000007</v>
      </c>
      <c r="G20" s="748"/>
      <c r="H20" s="748"/>
      <c r="I20" s="748"/>
      <c r="J20" s="748"/>
      <c r="K20" s="748"/>
      <c r="L20" s="748"/>
      <c r="M20" s="748"/>
      <c r="N20" s="816"/>
    </row>
    <row r="21" spans="1:14" s="73" customFormat="1" ht="27" x14ac:dyDescent="0.25">
      <c r="A21" s="1383"/>
      <c r="B21" s="700"/>
      <c r="C21" s="303" t="s">
        <v>54</v>
      </c>
      <c r="D21" s="43" t="s">
        <v>6</v>
      </c>
      <c r="E21" s="5">
        <v>0.32300000000000001</v>
      </c>
      <c r="F21" s="744">
        <f>F20*E21</f>
        <v>2.1027300000000002</v>
      </c>
      <c r="G21" s="223"/>
      <c r="H21" s="223"/>
      <c r="I21" s="223"/>
      <c r="J21" s="223">
        <f>F21*I21</f>
        <v>0</v>
      </c>
      <c r="K21" s="223"/>
      <c r="L21" s="223"/>
      <c r="M21" s="223">
        <f>H21+J21+L21</f>
        <v>0</v>
      </c>
      <c r="N21" s="816"/>
    </row>
    <row r="22" spans="1:14" s="73" customFormat="1" ht="16.5" x14ac:dyDescent="0.25">
      <c r="A22" s="1384"/>
      <c r="B22" s="700"/>
      <c r="C22" s="766" t="s">
        <v>5</v>
      </c>
      <c r="D22" s="767" t="s">
        <v>4</v>
      </c>
      <c r="E22" s="5">
        <v>2.1499999999999998E-2</v>
      </c>
      <c r="F22" s="744">
        <f>F20*E22</f>
        <v>0.13996500000000001</v>
      </c>
      <c r="G22" s="223"/>
      <c r="H22" s="223"/>
      <c r="I22" s="223"/>
      <c r="J22" s="223"/>
      <c r="K22" s="223"/>
      <c r="L22" s="223">
        <f>F22*K22</f>
        <v>0</v>
      </c>
      <c r="M22" s="223">
        <f>H22+J22+L22</f>
        <v>0</v>
      </c>
      <c r="N22" s="816"/>
    </row>
    <row r="23" spans="1:14" s="73" customFormat="1" ht="31.5" x14ac:dyDescent="0.25">
      <c r="A23" s="1382" t="s">
        <v>89</v>
      </c>
      <c r="B23" s="700" t="s">
        <v>770</v>
      </c>
      <c r="C23" s="632" t="s">
        <v>759</v>
      </c>
      <c r="D23" s="87" t="s">
        <v>47</v>
      </c>
      <c r="E23" s="10"/>
      <c r="F23" s="23">
        <f>2.1*1.55*2</f>
        <v>6.5100000000000007</v>
      </c>
      <c r="G23" s="748"/>
      <c r="H23" s="748"/>
      <c r="I23" s="748"/>
      <c r="J23" s="748"/>
      <c r="K23" s="748"/>
      <c r="L23" s="748"/>
      <c r="M23" s="748"/>
      <c r="N23" s="816"/>
    </row>
    <row r="24" spans="1:14" s="73" customFormat="1" ht="27" x14ac:dyDescent="0.25">
      <c r="A24" s="1383"/>
      <c r="B24" s="700"/>
      <c r="C24" s="303" t="s">
        <v>54</v>
      </c>
      <c r="D24" s="43" t="s">
        <v>6</v>
      </c>
      <c r="E24" s="5">
        <f>0.238+0.0284</f>
        <v>0.26639999999999997</v>
      </c>
      <c r="F24" s="744">
        <f>F23*E24</f>
        <v>1.734264</v>
      </c>
      <c r="G24" s="223"/>
      <c r="H24" s="223"/>
      <c r="I24" s="223"/>
      <c r="J24" s="223">
        <f>F24*I24</f>
        <v>0</v>
      </c>
      <c r="K24" s="223"/>
      <c r="L24" s="223"/>
      <c r="M24" s="223">
        <f>H24+J24+L24</f>
        <v>0</v>
      </c>
      <c r="N24" s="816"/>
    </row>
    <row r="25" spans="1:14" s="73" customFormat="1" ht="16.5" x14ac:dyDescent="0.25">
      <c r="A25" s="1384"/>
      <c r="B25" s="700"/>
      <c r="C25" s="766" t="s">
        <v>5</v>
      </c>
      <c r="D25" s="767" t="s">
        <v>4</v>
      </c>
      <c r="E25" s="5">
        <f>0.0392+0.0078</f>
        <v>4.7E-2</v>
      </c>
      <c r="F25" s="744">
        <f>F23*E25</f>
        <v>0.30597000000000002</v>
      </c>
      <c r="G25" s="223"/>
      <c r="H25" s="223"/>
      <c r="I25" s="223"/>
      <c r="J25" s="223"/>
      <c r="K25" s="223"/>
      <c r="L25" s="223">
        <f>F25*K25</f>
        <v>0</v>
      </c>
      <c r="M25" s="223">
        <f>H25+J25+L25</f>
        <v>0</v>
      </c>
      <c r="N25" s="816"/>
    </row>
    <row r="26" spans="1:14" s="73" customFormat="1" ht="47.25" hidden="1" x14ac:dyDescent="0.25">
      <c r="A26" s="1382" t="s">
        <v>90</v>
      </c>
      <c r="B26" s="700" t="s">
        <v>816</v>
      </c>
      <c r="C26" s="632" t="s">
        <v>1379</v>
      </c>
      <c r="D26" s="87" t="s">
        <v>47</v>
      </c>
      <c r="E26" s="1139">
        <f>(1.5+2.1)*2*2.5*2-0.8*2.1*2</f>
        <v>32.64</v>
      </c>
      <c r="F26" s="11"/>
      <c r="G26" s="748"/>
      <c r="H26" s="748"/>
      <c r="I26" s="748"/>
      <c r="J26" s="748"/>
      <c r="K26" s="748"/>
      <c r="L26" s="748"/>
      <c r="M26" s="748"/>
      <c r="N26" s="816"/>
    </row>
    <row r="27" spans="1:14" s="73" customFormat="1" ht="27" hidden="1" x14ac:dyDescent="0.25">
      <c r="A27" s="1383"/>
      <c r="B27" s="742"/>
      <c r="C27" s="768" t="s">
        <v>56</v>
      </c>
      <c r="D27" s="697" t="s">
        <v>6</v>
      </c>
      <c r="E27" s="694">
        <v>0.56000000000000005</v>
      </c>
      <c r="F27" s="46">
        <f>F26*E27</f>
        <v>0</v>
      </c>
      <c r="G27" s="19"/>
      <c r="H27" s="223"/>
      <c r="I27" s="19">
        <v>6</v>
      </c>
      <c r="J27" s="223">
        <f t="shared" ref="J27" si="0">F27*I27</f>
        <v>0</v>
      </c>
      <c r="K27" s="19"/>
      <c r="L27" s="223"/>
      <c r="M27" s="223">
        <f t="shared" ref="M27" si="1">H27+J27+L27</f>
        <v>0</v>
      </c>
      <c r="N27" s="816"/>
    </row>
    <row r="28" spans="1:14" s="73" customFormat="1" ht="16.5" hidden="1" x14ac:dyDescent="0.25">
      <c r="A28" s="1384"/>
      <c r="B28" s="484"/>
      <c r="C28" s="632"/>
      <c r="D28" s="87"/>
      <c r="E28" s="10"/>
      <c r="F28" s="23"/>
      <c r="G28" s="748"/>
      <c r="H28" s="748"/>
      <c r="I28" s="748"/>
      <c r="J28" s="748"/>
      <c r="K28" s="748"/>
      <c r="L28" s="748"/>
      <c r="M28" s="748"/>
      <c r="N28" s="816"/>
    </row>
    <row r="29" spans="1:14" s="73" customFormat="1" ht="63" hidden="1" x14ac:dyDescent="0.25">
      <c r="A29" s="765" t="s">
        <v>82</v>
      </c>
      <c r="B29" s="700" t="s">
        <v>817</v>
      </c>
      <c r="C29" s="632" t="s">
        <v>797</v>
      </c>
      <c r="D29" s="87" t="s">
        <v>47</v>
      </c>
      <c r="E29" s="1139">
        <f>E26</f>
        <v>32.64</v>
      </c>
      <c r="F29" s="11"/>
      <c r="G29" s="748"/>
      <c r="H29" s="748"/>
      <c r="I29" s="748"/>
      <c r="J29" s="748"/>
      <c r="K29" s="748"/>
      <c r="L29" s="748"/>
      <c r="M29" s="748"/>
      <c r="N29" s="816"/>
    </row>
    <row r="30" spans="1:14" s="73" customFormat="1" ht="27" hidden="1" x14ac:dyDescent="0.25">
      <c r="A30" s="765"/>
      <c r="B30" s="742"/>
      <c r="C30" s="24" t="s">
        <v>36</v>
      </c>
      <c r="D30" s="742" t="s">
        <v>6</v>
      </c>
      <c r="E30" s="701">
        <v>0.186</v>
      </c>
      <c r="F30" s="711">
        <f>F29*E30</f>
        <v>0</v>
      </c>
      <c r="G30" s="223"/>
      <c r="H30" s="223"/>
      <c r="I30" s="223">
        <v>6</v>
      </c>
      <c r="J30" s="223">
        <f>F30*I30</f>
        <v>0</v>
      </c>
      <c r="K30" s="223"/>
      <c r="L30" s="223"/>
      <c r="M30" s="223">
        <f>H30+J30+L30</f>
        <v>0</v>
      </c>
      <c r="N30" s="816"/>
    </row>
    <row r="31" spans="1:14" s="73" customFormat="1" ht="16.5" hidden="1" x14ac:dyDescent="0.25">
      <c r="A31" s="765"/>
      <c r="B31" s="742"/>
      <c r="C31" s="24" t="s">
        <v>5</v>
      </c>
      <c r="D31" s="742" t="s">
        <v>4</v>
      </c>
      <c r="E31" s="701">
        <v>1.6000000000000001E-3</v>
      </c>
      <c r="F31" s="711">
        <f>F29*E31</f>
        <v>0</v>
      </c>
      <c r="G31" s="223"/>
      <c r="H31" s="223"/>
      <c r="I31" s="223"/>
      <c r="J31" s="223"/>
      <c r="K31" s="223">
        <v>4</v>
      </c>
      <c r="L31" s="223">
        <f>F31*K31</f>
        <v>0</v>
      </c>
      <c r="M31" s="223">
        <f>H31+J31+L31</f>
        <v>0</v>
      </c>
      <c r="N31" s="816"/>
    </row>
    <row r="32" spans="1:14" s="73" customFormat="1" ht="47.25" x14ac:dyDescent="0.25">
      <c r="A32" s="1382" t="s">
        <v>40</v>
      </c>
      <c r="B32" s="700" t="s">
        <v>818</v>
      </c>
      <c r="C32" s="632" t="s">
        <v>764</v>
      </c>
      <c r="D32" s="87" t="s">
        <v>47</v>
      </c>
      <c r="E32" s="10"/>
      <c r="F32" s="23">
        <f>2.1*1.55*2</f>
        <v>6.5100000000000007</v>
      </c>
      <c r="G32" s="748"/>
      <c r="H32" s="748"/>
      <c r="I32" s="748"/>
      <c r="J32" s="748"/>
      <c r="K32" s="748"/>
      <c r="L32" s="748"/>
      <c r="M32" s="748"/>
      <c r="N32" s="816"/>
    </row>
    <row r="33" spans="1:14" s="73" customFormat="1" ht="27" x14ac:dyDescent="0.25">
      <c r="A33" s="1383"/>
      <c r="B33" s="700"/>
      <c r="C33" s="303" t="s">
        <v>54</v>
      </c>
      <c r="D33" s="43" t="s">
        <v>6</v>
      </c>
      <c r="E33" s="687">
        <v>0.57999999999999996</v>
      </c>
      <c r="F33" s="711">
        <f>F32*E33</f>
        <v>3.7758000000000003</v>
      </c>
      <c r="G33" s="223"/>
      <c r="H33" s="223"/>
      <c r="I33" s="223"/>
      <c r="J33" s="223">
        <f>F33*I33</f>
        <v>0</v>
      </c>
      <c r="K33" s="223"/>
      <c r="L33" s="223"/>
      <c r="M33" s="223">
        <f>H33+J33+L33</f>
        <v>0</v>
      </c>
      <c r="N33" s="816"/>
    </row>
    <row r="34" spans="1:14" s="73" customFormat="1" ht="16.5" x14ac:dyDescent="0.25">
      <c r="A34" s="1383"/>
      <c r="B34" s="700"/>
      <c r="C34" s="766" t="s">
        <v>5</v>
      </c>
      <c r="D34" s="767" t="s">
        <v>4</v>
      </c>
      <c r="E34" s="687">
        <v>3.0499999999999999E-2</v>
      </c>
      <c r="F34" s="711">
        <f>F32*E34</f>
        <v>0.19855500000000001</v>
      </c>
      <c r="G34" s="223"/>
      <c r="H34" s="223"/>
      <c r="I34" s="223"/>
      <c r="J34" s="223"/>
      <c r="K34" s="223"/>
      <c r="L34" s="223">
        <f>F34*K34</f>
        <v>0</v>
      </c>
      <c r="M34" s="223">
        <f>H34+J34+L34</f>
        <v>0</v>
      </c>
      <c r="N34" s="816"/>
    </row>
    <row r="35" spans="1:14" s="73" customFormat="1" ht="16.5" x14ac:dyDescent="0.25">
      <c r="A35" s="1384"/>
      <c r="B35" s="700"/>
      <c r="C35" s="766" t="s">
        <v>50</v>
      </c>
      <c r="D35" s="767" t="s">
        <v>4</v>
      </c>
      <c r="E35" s="687">
        <v>9.8500000000000004E-2</v>
      </c>
      <c r="F35" s="711">
        <f>F32*E35</f>
        <v>0.64123500000000011</v>
      </c>
      <c r="G35" s="223"/>
      <c r="H35" s="223">
        <f>F35*G35</f>
        <v>0</v>
      </c>
      <c r="I35" s="223"/>
      <c r="J35" s="223"/>
      <c r="K35" s="223"/>
      <c r="L35" s="223"/>
      <c r="M35" s="223">
        <f>H35+J35+L35</f>
        <v>0</v>
      </c>
      <c r="N35" s="816"/>
    </row>
    <row r="36" spans="1:14" s="73" customFormat="1" ht="63" x14ac:dyDescent="0.25">
      <c r="A36" s="1382" t="s">
        <v>46</v>
      </c>
      <c r="B36" s="484" t="s">
        <v>18</v>
      </c>
      <c r="C36" s="632" t="s">
        <v>760</v>
      </c>
      <c r="D36" s="87"/>
      <c r="E36" s="10"/>
      <c r="F36" s="23"/>
      <c r="G36" s="748"/>
      <c r="H36" s="748"/>
      <c r="I36" s="748"/>
      <c r="J36" s="748"/>
      <c r="K36" s="748"/>
      <c r="L36" s="748"/>
      <c r="M36" s="748"/>
      <c r="N36" s="816"/>
    </row>
    <row r="37" spans="1:14" s="73" customFormat="1" ht="16.5" x14ac:dyDescent="0.25">
      <c r="A37" s="1383"/>
      <c r="B37" s="484"/>
      <c r="C37" s="632" t="s">
        <v>761</v>
      </c>
      <c r="D37" s="87" t="s">
        <v>52</v>
      </c>
      <c r="E37" s="10"/>
      <c r="F37" s="23">
        <v>2</v>
      </c>
      <c r="G37" s="748"/>
      <c r="H37" s="748"/>
      <c r="I37" s="748"/>
      <c r="J37" s="748">
        <f>F37*I37</f>
        <v>0</v>
      </c>
      <c r="K37" s="748"/>
      <c r="L37" s="748"/>
      <c r="M37" s="223">
        <f t="shared" ref="M37" si="2">H37+J37+L37</f>
        <v>0</v>
      </c>
      <c r="N37" s="816"/>
    </row>
    <row r="38" spans="1:14" s="73" customFormat="1" ht="16.5" x14ac:dyDescent="0.25">
      <c r="A38" s="1383"/>
      <c r="B38" s="484"/>
      <c r="C38" s="632" t="s">
        <v>762</v>
      </c>
      <c r="D38" s="87" t="s">
        <v>52</v>
      </c>
      <c r="E38" s="10"/>
      <c r="F38" s="23">
        <v>2</v>
      </c>
      <c r="G38" s="748"/>
      <c r="H38" s="748"/>
      <c r="I38" s="748"/>
      <c r="J38" s="748">
        <f t="shared" ref="J38:J39" si="3">F38*I38</f>
        <v>0</v>
      </c>
      <c r="K38" s="748"/>
      <c r="L38" s="748"/>
      <c r="M38" s="223">
        <f t="shared" ref="M38:M39" si="4">H38+J38+L38</f>
        <v>0</v>
      </c>
      <c r="N38" s="816"/>
    </row>
    <row r="39" spans="1:14" s="73" customFormat="1" ht="16.5" x14ac:dyDescent="0.25">
      <c r="A39" s="1384"/>
      <c r="B39" s="484"/>
      <c r="C39" s="632" t="s">
        <v>763</v>
      </c>
      <c r="D39" s="87" t="s">
        <v>52</v>
      </c>
      <c r="E39" s="10"/>
      <c r="F39" s="23">
        <v>2</v>
      </c>
      <c r="G39" s="748"/>
      <c r="H39" s="748"/>
      <c r="I39" s="748"/>
      <c r="J39" s="748">
        <f t="shared" si="3"/>
        <v>0</v>
      </c>
      <c r="K39" s="748"/>
      <c r="L39" s="748"/>
      <c r="M39" s="223">
        <f t="shared" si="4"/>
        <v>0</v>
      </c>
      <c r="N39" s="816"/>
    </row>
    <row r="40" spans="1:14" s="73" customFormat="1" ht="16.5" x14ac:dyDescent="0.25">
      <c r="A40" s="368"/>
      <c r="B40" s="484"/>
      <c r="C40" s="632"/>
      <c r="D40" s="87"/>
      <c r="E40" s="10"/>
      <c r="F40" s="23"/>
      <c r="G40" s="748"/>
      <c r="H40" s="748"/>
      <c r="I40" s="748"/>
      <c r="J40" s="748"/>
      <c r="K40" s="748"/>
      <c r="L40" s="748"/>
      <c r="M40" s="748"/>
      <c r="N40" s="816"/>
    </row>
    <row r="41" spans="1:14" s="73" customFormat="1" ht="63" x14ac:dyDescent="0.25">
      <c r="A41" s="1385" t="s">
        <v>698</v>
      </c>
      <c r="B41" s="695" t="s">
        <v>793</v>
      </c>
      <c r="C41" s="531" t="s">
        <v>794</v>
      </c>
      <c r="D41" s="700" t="s">
        <v>37</v>
      </c>
      <c r="E41" s="5"/>
      <c r="F41" s="792">
        <f>F11*0.03+F14*0.1+F17*0.1+F20*0.03+F23*0.03+F26*0.03+F29*0.03+F32*0.1+1</f>
        <v>2.4896000000000003</v>
      </c>
      <c r="G41" s="223"/>
      <c r="H41" s="223"/>
      <c r="I41" s="223"/>
      <c r="J41" s="223"/>
      <c r="K41" s="223"/>
      <c r="L41" s="223"/>
      <c r="M41" s="223"/>
      <c r="N41" s="816"/>
    </row>
    <row r="42" spans="1:14" s="73" customFormat="1" ht="27" x14ac:dyDescent="0.25">
      <c r="A42" s="1385"/>
      <c r="B42" s="700"/>
      <c r="C42" s="768" t="s">
        <v>54</v>
      </c>
      <c r="D42" s="697" t="s">
        <v>6</v>
      </c>
      <c r="E42" s="793">
        <v>1.85</v>
      </c>
      <c r="F42" s="46">
        <f>F41*E42</f>
        <v>4.605760000000001</v>
      </c>
      <c r="G42" s="19"/>
      <c r="H42" s="223"/>
      <c r="I42" s="19"/>
      <c r="J42" s="223">
        <f t="shared" ref="J42" si="5">F42*I42</f>
        <v>0</v>
      </c>
      <c r="K42" s="223"/>
      <c r="L42" s="223"/>
      <c r="M42" s="223">
        <f t="shared" ref="M42" si="6">H42+J42+L42</f>
        <v>0</v>
      </c>
      <c r="N42" s="816"/>
    </row>
    <row r="43" spans="1:14" s="73" customFormat="1" ht="47.25" x14ac:dyDescent="0.25">
      <c r="A43" s="1385"/>
      <c r="B43" s="695"/>
      <c r="C43" s="772" t="s">
        <v>55</v>
      </c>
      <c r="D43" s="700" t="s">
        <v>38</v>
      </c>
      <c r="E43" s="793"/>
      <c r="F43" s="84">
        <f>F11*0.03*2.4+F14*0.1*0.65+F17*0.1*0.65+F20*0.03*2.4+F23*0.03*2.4+F26*0.03*2.4+F29*0.03*2.4+F32*0.1*0.6+0.5</f>
        <v>2.11924</v>
      </c>
      <c r="G43" s="19"/>
      <c r="H43" s="223"/>
      <c r="I43" s="19"/>
      <c r="J43" s="223"/>
      <c r="K43" s="19"/>
      <c r="L43" s="223"/>
      <c r="M43" s="223"/>
      <c r="N43" s="816"/>
    </row>
    <row r="44" spans="1:14" s="73" customFormat="1" ht="27" x14ac:dyDescent="0.25">
      <c r="A44" s="1385"/>
      <c r="B44" s="695"/>
      <c r="C44" s="768" t="s">
        <v>56</v>
      </c>
      <c r="D44" s="697" t="s">
        <v>6</v>
      </c>
      <c r="E44" s="793">
        <v>0.53</v>
      </c>
      <c r="F44" s="46">
        <f>F43*E44</f>
        <v>1.1231972000000001</v>
      </c>
      <c r="G44" s="19"/>
      <c r="H44" s="223"/>
      <c r="I44" s="19"/>
      <c r="J44" s="223">
        <f t="shared" ref="J44" si="7">F44*I44</f>
        <v>0</v>
      </c>
      <c r="K44" s="19"/>
      <c r="L44" s="223"/>
      <c r="M44" s="223">
        <f t="shared" ref="M44:M45" si="8">H44+J44+L44</f>
        <v>0</v>
      </c>
      <c r="N44" s="816"/>
    </row>
    <row r="45" spans="1:14" s="73" customFormat="1" ht="31.5" x14ac:dyDescent="0.25">
      <c r="A45" s="1385"/>
      <c r="B45" s="700" t="s">
        <v>795</v>
      </c>
      <c r="C45" s="758" t="s">
        <v>822</v>
      </c>
      <c r="D45" s="700" t="s">
        <v>38</v>
      </c>
      <c r="E45" s="793"/>
      <c r="F45" s="84">
        <f>F43</f>
        <v>2.11924</v>
      </c>
      <c r="G45" s="19"/>
      <c r="H45" s="223"/>
      <c r="I45" s="19"/>
      <c r="J45" s="223"/>
      <c r="K45" s="19"/>
      <c r="L45" s="223">
        <f t="shared" ref="L45" si="9">F45*K45</f>
        <v>0</v>
      </c>
      <c r="M45" s="223">
        <f t="shared" si="8"/>
        <v>0</v>
      </c>
      <c r="N45" s="816"/>
    </row>
    <row r="46" spans="1:14" s="73" customFormat="1" ht="16.5" x14ac:dyDescent="0.25">
      <c r="A46" s="368"/>
      <c r="B46" s="484"/>
      <c r="C46" s="632"/>
      <c r="D46" s="87"/>
      <c r="E46" s="10"/>
      <c r="F46" s="23"/>
      <c r="G46" s="748"/>
      <c r="H46" s="748"/>
      <c r="I46" s="748"/>
      <c r="J46" s="748"/>
      <c r="K46" s="748"/>
      <c r="L46" s="748"/>
      <c r="M46" s="748"/>
      <c r="N46" s="816"/>
    </row>
    <row r="47" spans="1:14" s="73" customFormat="1" ht="31.5" x14ac:dyDescent="0.25">
      <c r="A47" s="674"/>
      <c r="B47" s="85"/>
      <c r="C47" s="781" t="s">
        <v>825</v>
      </c>
      <c r="D47" s="675"/>
      <c r="E47" s="1029"/>
      <c r="F47" s="1413"/>
      <c r="G47" s="748"/>
      <c r="H47" s="748"/>
      <c r="I47" s="748"/>
      <c r="J47" s="748"/>
      <c r="K47" s="748"/>
      <c r="L47" s="748"/>
      <c r="M47" s="748"/>
      <c r="N47" s="816"/>
    </row>
    <row r="48" spans="1:14" s="73" customFormat="1" ht="47.25" x14ac:dyDescent="0.25">
      <c r="A48" s="1382" t="s">
        <v>93</v>
      </c>
      <c r="B48" s="278" t="s">
        <v>771</v>
      </c>
      <c r="C48" s="698" t="s">
        <v>772</v>
      </c>
      <c r="D48" s="278" t="s">
        <v>47</v>
      </c>
      <c r="E48" s="794"/>
      <c r="F48" s="72">
        <f>2.1*1.55*2</f>
        <v>6.5100000000000007</v>
      </c>
      <c r="G48" s="682"/>
      <c r="H48" s="223"/>
      <c r="I48" s="682"/>
      <c r="J48" s="223"/>
      <c r="K48" s="682"/>
      <c r="L48" s="223"/>
      <c r="M48" s="223"/>
      <c r="N48" s="816"/>
    </row>
    <row r="49" spans="1:14" s="73" customFormat="1" ht="27" x14ac:dyDescent="0.25">
      <c r="A49" s="1383"/>
      <c r="B49" s="278"/>
      <c r="C49" s="696" t="s">
        <v>56</v>
      </c>
      <c r="D49" s="43" t="s">
        <v>6</v>
      </c>
      <c r="E49" s="793">
        <f>0.188+0.0034*2</f>
        <v>0.1948</v>
      </c>
      <c r="F49" s="751">
        <f>F48*E49</f>
        <v>1.2681480000000001</v>
      </c>
      <c r="G49" s="682"/>
      <c r="H49" s="223"/>
      <c r="I49" s="699"/>
      <c r="J49" s="223">
        <f>F49*I49</f>
        <v>0</v>
      </c>
      <c r="K49" s="682"/>
      <c r="L49" s="223"/>
      <c r="M49" s="223">
        <f>H49+J49+L49</f>
        <v>0</v>
      </c>
      <c r="N49" s="816"/>
    </row>
    <row r="50" spans="1:14" s="73" customFormat="1" ht="16.5" x14ac:dyDescent="0.25">
      <c r="A50" s="1383"/>
      <c r="B50" s="278"/>
      <c r="C50" s="696" t="s">
        <v>657</v>
      </c>
      <c r="D50" s="43" t="s">
        <v>4</v>
      </c>
      <c r="E50" s="793">
        <f>0.0095+0.0023*2</f>
        <v>1.41E-2</v>
      </c>
      <c r="F50" s="751">
        <f>F48*E50</f>
        <v>9.1791000000000011E-2</v>
      </c>
      <c r="G50" s="682"/>
      <c r="H50" s="223"/>
      <c r="I50" s="682"/>
      <c r="J50" s="223"/>
      <c r="K50" s="682"/>
      <c r="L50" s="223">
        <f>F50*K50</f>
        <v>0</v>
      </c>
      <c r="M50" s="223">
        <f>H50+J50+L50</f>
        <v>0</v>
      </c>
      <c r="N50" s="816"/>
    </row>
    <row r="51" spans="1:14" s="73" customFormat="1" ht="16.5" x14ac:dyDescent="0.25">
      <c r="A51" s="1383"/>
      <c r="B51" s="278"/>
      <c r="C51" s="703" t="s">
        <v>88</v>
      </c>
      <c r="D51" s="43" t="s">
        <v>37</v>
      </c>
      <c r="E51" s="5">
        <f>0.0204+0.0051*2</f>
        <v>3.0600000000000002E-2</v>
      </c>
      <c r="F51" s="751">
        <f>F48*E51</f>
        <v>0.19920600000000002</v>
      </c>
      <c r="G51" s="682"/>
      <c r="H51" s="223">
        <f>F51*G51</f>
        <v>0</v>
      </c>
      <c r="I51" s="682"/>
      <c r="J51" s="223"/>
      <c r="K51" s="682"/>
      <c r="L51" s="223"/>
      <c r="M51" s="223">
        <f>H51+J51+L51</f>
        <v>0</v>
      </c>
      <c r="N51" s="816"/>
    </row>
    <row r="52" spans="1:14" s="73" customFormat="1" ht="16.5" x14ac:dyDescent="0.25">
      <c r="A52" s="1384"/>
      <c r="B52" s="278"/>
      <c r="C52" s="704" t="s">
        <v>50</v>
      </c>
      <c r="D52" s="43" t="s">
        <v>4</v>
      </c>
      <c r="E52" s="5">
        <f>0.0636</f>
        <v>6.3600000000000004E-2</v>
      </c>
      <c r="F52" s="751">
        <f>F48*E52</f>
        <v>0.41403600000000007</v>
      </c>
      <c r="G52" s="682"/>
      <c r="H52" s="223">
        <f>F52*G52</f>
        <v>0</v>
      </c>
      <c r="I52" s="682"/>
      <c r="J52" s="223"/>
      <c r="K52" s="682"/>
      <c r="L52" s="223"/>
      <c r="M52" s="223">
        <f>H52+J52+L52</f>
        <v>0</v>
      </c>
      <c r="N52" s="816"/>
    </row>
    <row r="53" spans="1:14" s="73" customFormat="1" ht="47.25" x14ac:dyDescent="0.25">
      <c r="A53" s="1283" t="s">
        <v>72</v>
      </c>
      <c r="B53" s="492" t="s">
        <v>826</v>
      </c>
      <c r="C53" s="468" t="s">
        <v>1380</v>
      </c>
      <c r="D53" s="294" t="s">
        <v>47</v>
      </c>
      <c r="E53" s="524"/>
      <c r="F53" s="22">
        <f>F57+F58</f>
        <v>0.96</v>
      </c>
      <c r="G53" s="8"/>
      <c r="H53" s="8"/>
      <c r="I53" s="8"/>
      <c r="J53" s="8"/>
      <c r="K53" s="8"/>
      <c r="L53" s="8"/>
      <c r="M53" s="8"/>
      <c r="N53" s="816"/>
    </row>
    <row r="54" spans="1:14" s="73" customFormat="1" ht="27" x14ac:dyDescent="0.25">
      <c r="A54" s="1285"/>
      <c r="B54" s="492"/>
      <c r="C54" s="295" t="s">
        <v>36</v>
      </c>
      <c r="D54" s="841" t="s">
        <v>6</v>
      </c>
      <c r="E54" s="551">
        <v>2.72</v>
      </c>
      <c r="F54" s="293">
        <f>F53*E54</f>
        <v>2.6112000000000002</v>
      </c>
      <c r="G54" s="8"/>
      <c r="H54" s="8"/>
      <c r="I54" s="8"/>
      <c r="J54" s="8">
        <f>F54*I54</f>
        <v>0</v>
      </c>
      <c r="K54" s="8"/>
      <c r="L54" s="8"/>
      <c r="M54" s="8">
        <f t="shared" ref="M54:M58" si="10">H54+J54+L54</f>
        <v>0</v>
      </c>
      <c r="N54" s="816"/>
    </row>
    <row r="55" spans="1:14" s="73" customFormat="1" ht="31.5" x14ac:dyDescent="0.25">
      <c r="A55" s="1285"/>
      <c r="B55" s="492" t="s">
        <v>86</v>
      </c>
      <c r="C55" s="295" t="s">
        <v>827</v>
      </c>
      <c r="D55" s="841" t="s">
        <v>43</v>
      </c>
      <c r="E55" s="551">
        <v>2.4E-2</v>
      </c>
      <c r="F55" s="293">
        <f>F53*E55</f>
        <v>2.3039999999999998E-2</v>
      </c>
      <c r="G55" s="8"/>
      <c r="H55" s="8"/>
      <c r="I55" s="8"/>
      <c r="J55" s="8"/>
      <c r="K55" s="8"/>
      <c r="L55" s="8">
        <f>F55*K55</f>
        <v>0</v>
      </c>
      <c r="M55" s="8">
        <f t="shared" si="10"/>
        <v>0</v>
      </c>
      <c r="N55" s="816"/>
    </row>
    <row r="56" spans="1:14" s="73" customFormat="1" ht="31.5" x14ac:dyDescent="0.25">
      <c r="A56" s="1285"/>
      <c r="B56" s="492" t="s">
        <v>828</v>
      </c>
      <c r="C56" s="295" t="s">
        <v>829</v>
      </c>
      <c r="D56" s="841" t="s">
        <v>43</v>
      </c>
      <c r="E56" s="551">
        <v>0.628</v>
      </c>
      <c r="F56" s="293">
        <f>F53*E56</f>
        <v>0.60287999999999997</v>
      </c>
      <c r="G56" s="8"/>
      <c r="H56" s="8"/>
      <c r="I56" s="8"/>
      <c r="J56" s="8"/>
      <c r="K56" s="8"/>
      <c r="L56" s="8">
        <f>F56*K56</f>
        <v>0</v>
      </c>
      <c r="M56" s="8">
        <f t="shared" si="10"/>
        <v>0</v>
      </c>
      <c r="N56" s="816"/>
    </row>
    <row r="57" spans="1:14" s="73" customFormat="1" ht="13.5" hidden="1" x14ac:dyDescent="0.25">
      <c r="A57" s="1285"/>
      <c r="B57" s="492"/>
      <c r="C57" s="295" t="s">
        <v>830</v>
      </c>
      <c r="D57" s="841" t="s">
        <v>47</v>
      </c>
      <c r="E57" s="1151">
        <f>0.8*2.2*2</f>
        <v>3.5200000000000005</v>
      </c>
      <c r="F57" s="1138"/>
      <c r="G57" s="8">
        <v>207</v>
      </c>
      <c r="H57" s="8">
        <f>F57*G57</f>
        <v>0</v>
      </c>
      <c r="I57" s="8"/>
      <c r="J57" s="8"/>
      <c r="K57" s="8"/>
      <c r="L57" s="8"/>
      <c r="M57" s="8">
        <f t="shared" si="10"/>
        <v>0</v>
      </c>
      <c r="N57" s="816"/>
    </row>
    <row r="58" spans="1:14" s="73" customFormat="1" ht="63" x14ac:dyDescent="0.25">
      <c r="A58" s="1284"/>
      <c r="B58" s="492"/>
      <c r="C58" s="295" t="s">
        <v>831</v>
      </c>
      <c r="D58" s="841" t="s">
        <v>47</v>
      </c>
      <c r="E58" s="551"/>
      <c r="F58" s="22">
        <f>1.2*0.4*2</f>
        <v>0.96</v>
      </c>
      <c r="G58" s="8"/>
      <c r="H58" s="8">
        <f>F58*G58</f>
        <v>0</v>
      </c>
      <c r="I58" s="8"/>
      <c r="J58" s="8"/>
      <c r="K58" s="8"/>
      <c r="L58" s="8"/>
      <c r="M58" s="8">
        <f t="shared" si="10"/>
        <v>0</v>
      </c>
      <c r="N58" s="816"/>
    </row>
    <row r="59" spans="1:14" s="73" customFormat="1" ht="47.25" x14ac:dyDescent="0.25">
      <c r="A59" s="1254" t="s">
        <v>311</v>
      </c>
      <c r="B59" s="601" t="s">
        <v>1374</v>
      </c>
      <c r="C59" s="1043" t="s">
        <v>1375</v>
      </c>
      <c r="D59" s="601" t="s">
        <v>27</v>
      </c>
      <c r="E59" s="874"/>
      <c r="F59" s="23">
        <f>F63</f>
        <v>3.5200000000000005</v>
      </c>
      <c r="G59" s="8"/>
      <c r="H59" s="8"/>
      <c r="I59" s="8"/>
      <c r="J59" s="8"/>
      <c r="K59" s="8"/>
      <c r="L59" s="8"/>
      <c r="M59" s="8"/>
      <c r="N59" s="816"/>
    </row>
    <row r="60" spans="1:14" s="73" customFormat="1" ht="27" x14ac:dyDescent="0.25">
      <c r="A60" s="1255"/>
      <c r="B60" s="93"/>
      <c r="C60" s="771" t="s">
        <v>36</v>
      </c>
      <c r="D60" s="93" t="s">
        <v>802</v>
      </c>
      <c r="E60" s="1140">
        <f>111*0.01</f>
        <v>1.1100000000000001</v>
      </c>
      <c r="F60" s="1093">
        <f>F59*E60</f>
        <v>3.9072000000000009</v>
      </c>
      <c r="G60" s="8"/>
      <c r="H60" s="8"/>
      <c r="I60" s="8"/>
      <c r="J60" s="8">
        <f>F60*I60</f>
        <v>0</v>
      </c>
      <c r="K60" s="8"/>
      <c r="L60" s="8"/>
      <c r="M60" s="8">
        <f t="shared" ref="M60:M65" si="11">H60+J60+L60</f>
        <v>0</v>
      </c>
      <c r="N60" s="816"/>
    </row>
    <row r="61" spans="1:14" s="73" customFormat="1" ht="31.5" x14ac:dyDescent="0.25">
      <c r="A61" s="1255"/>
      <c r="B61" s="93" t="s">
        <v>42</v>
      </c>
      <c r="C61" s="771" t="s">
        <v>1376</v>
      </c>
      <c r="D61" s="93" t="s">
        <v>43</v>
      </c>
      <c r="E61" s="1140">
        <f>15.1*0.01</f>
        <v>0.151</v>
      </c>
      <c r="F61" s="1093">
        <f>E61*F59</f>
        <v>0.5315200000000001</v>
      </c>
      <c r="G61" s="8"/>
      <c r="H61" s="8"/>
      <c r="I61" s="8"/>
      <c r="J61" s="8"/>
      <c r="K61" s="8"/>
      <c r="L61" s="8">
        <f>F61*K61</f>
        <v>0</v>
      </c>
      <c r="M61" s="8">
        <f t="shared" si="11"/>
        <v>0</v>
      </c>
      <c r="N61" s="816"/>
    </row>
    <row r="62" spans="1:14" s="73" customFormat="1" ht="16.5" x14ac:dyDescent="0.25">
      <c r="A62" s="1255"/>
      <c r="B62" s="622"/>
      <c r="C62" s="299" t="s">
        <v>5</v>
      </c>
      <c r="D62" s="622" t="s">
        <v>4</v>
      </c>
      <c r="E62" s="1140">
        <f>51.6*0.01</f>
        <v>0.51600000000000001</v>
      </c>
      <c r="F62" s="288">
        <f>F59*E62</f>
        <v>1.8163200000000004</v>
      </c>
      <c r="G62" s="8"/>
      <c r="H62" s="8"/>
      <c r="I62" s="8"/>
      <c r="J62" s="8"/>
      <c r="K62" s="8"/>
      <c r="L62" s="8">
        <f>F62*K62</f>
        <v>0</v>
      </c>
      <c r="M62" s="8">
        <f t="shared" si="11"/>
        <v>0</v>
      </c>
      <c r="N62" s="816"/>
    </row>
    <row r="63" spans="1:14" s="73" customFormat="1" ht="31.5" x14ac:dyDescent="0.25">
      <c r="A63" s="1255"/>
      <c r="B63" s="93"/>
      <c r="C63" s="771" t="s">
        <v>751</v>
      </c>
      <c r="D63" s="93" t="s">
        <v>576</v>
      </c>
      <c r="E63" s="1140">
        <v>1</v>
      </c>
      <c r="F63" s="1093">
        <f>0.8*2.2*2</f>
        <v>3.5200000000000005</v>
      </c>
      <c r="G63" s="8"/>
      <c r="H63" s="8">
        <f>F63*G63</f>
        <v>0</v>
      </c>
      <c r="I63" s="8"/>
      <c r="J63" s="8"/>
      <c r="K63" s="8"/>
      <c r="L63" s="8"/>
      <c r="M63" s="8">
        <f t="shared" si="11"/>
        <v>0</v>
      </c>
      <c r="N63" s="816"/>
    </row>
    <row r="64" spans="1:14" s="73" customFormat="1" ht="16.5" x14ac:dyDescent="0.25">
      <c r="A64" s="1255"/>
      <c r="B64" s="93"/>
      <c r="C64" s="771" t="s">
        <v>1377</v>
      </c>
      <c r="D64" s="93" t="s">
        <v>81</v>
      </c>
      <c r="E64" s="1140">
        <f>6*0.01</f>
        <v>0.06</v>
      </c>
      <c r="F64" s="1093">
        <f>E64*F59</f>
        <v>0.21120000000000003</v>
      </c>
      <c r="G64" s="8"/>
      <c r="H64" s="8">
        <f>F64*G64</f>
        <v>0</v>
      </c>
      <c r="I64" s="8"/>
      <c r="J64" s="8"/>
      <c r="K64" s="8"/>
      <c r="L64" s="8"/>
      <c r="M64" s="8">
        <f t="shared" si="11"/>
        <v>0</v>
      </c>
      <c r="N64" s="816"/>
    </row>
    <row r="65" spans="1:14" s="73" customFormat="1" ht="16.5" x14ac:dyDescent="0.25">
      <c r="A65" s="1256"/>
      <c r="B65" s="93"/>
      <c r="C65" s="771" t="s">
        <v>7</v>
      </c>
      <c r="D65" s="93" t="s">
        <v>4</v>
      </c>
      <c r="E65" s="1140">
        <f>5.4*0.01</f>
        <v>5.4000000000000006E-2</v>
      </c>
      <c r="F65" s="1093">
        <f>E65*F59</f>
        <v>0.19008000000000005</v>
      </c>
      <c r="G65" s="8"/>
      <c r="H65" s="8">
        <f>F65*G65</f>
        <v>0</v>
      </c>
      <c r="I65" s="8"/>
      <c r="J65" s="8"/>
      <c r="K65" s="8"/>
      <c r="L65" s="8"/>
      <c r="M65" s="8">
        <f t="shared" si="11"/>
        <v>0</v>
      </c>
      <c r="N65" s="816"/>
    </row>
    <row r="66" spans="1:14" s="73" customFormat="1" ht="63" x14ac:dyDescent="0.25">
      <c r="A66" s="1257" t="s">
        <v>661</v>
      </c>
      <c r="B66" s="667" t="s">
        <v>23</v>
      </c>
      <c r="C66" s="1141" t="s">
        <v>1378</v>
      </c>
      <c r="D66" s="1104" t="s">
        <v>47</v>
      </c>
      <c r="E66" s="799"/>
      <c r="F66" s="1142">
        <f>F59*2</f>
        <v>7.0400000000000009</v>
      </c>
      <c r="G66" s="8"/>
      <c r="H66" s="8"/>
      <c r="I66" s="8"/>
      <c r="J66" s="8"/>
      <c r="K66" s="8"/>
      <c r="L66" s="8"/>
      <c r="M66" s="8"/>
      <c r="N66" s="816"/>
    </row>
    <row r="67" spans="1:14" s="73" customFormat="1" ht="27" x14ac:dyDescent="0.25">
      <c r="A67" s="1257"/>
      <c r="B67" s="1143"/>
      <c r="C67" s="722" t="s">
        <v>36</v>
      </c>
      <c r="D67" s="723" t="s">
        <v>6</v>
      </c>
      <c r="E67" s="1144">
        <f>68*0.01</f>
        <v>0.68</v>
      </c>
      <c r="F67" s="1145">
        <f>F66*E67</f>
        <v>4.7872000000000012</v>
      </c>
      <c r="G67" s="1146"/>
      <c r="H67" s="1146"/>
      <c r="I67" s="1146"/>
      <c r="J67" s="1146">
        <f>F67*I67</f>
        <v>0</v>
      </c>
      <c r="K67" s="1146"/>
      <c r="L67" s="1146"/>
      <c r="M67" s="8">
        <f t="shared" ref="M67:M70" si="12">H67+J67+L67</f>
        <v>0</v>
      </c>
      <c r="N67" s="816"/>
    </row>
    <row r="68" spans="1:14" s="73" customFormat="1" ht="16.5" x14ac:dyDescent="0.25">
      <c r="A68" s="1257"/>
      <c r="B68" s="717"/>
      <c r="C68" s="725" t="s">
        <v>5</v>
      </c>
      <c r="D68" s="719" t="s">
        <v>4</v>
      </c>
      <c r="E68" s="1147">
        <f>0.03*0.01</f>
        <v>2.9999999999999997E-4</v>
      </c>
      <c r="F68" s="1147">
        <f>F66*E68</f>
        <v>2.1120000000000002E-3</v>
      </c>
      <c r="G68" s="1146"/>
      <c r="H68" s="1146"/>
      <c r="I68" s="1146"/>
      <c r="J68" s="1146"/>
      <c r="K68" s="1146"/>
      <c r="L68" s="1146">
        <f>F68*K68</f>
        <v>0</v>
      </c>
      <c r="M68" s="8">
        <f t="shared" si="12"/>
        <v>0</v>
      </c>
      <c r="N68" s="816"/>
    </row>
    <row r="69" spans="1:14" s="73" customFormat="1" ht="16.5" x14ac:dyDescent="0.25">
      <c r="A69" s="1257"/>
      <c r="B69" s="717"/>
      <c r="C69" s="725" t="s">
        <v>49</v>
      </c>
      <c r="D69" s="1148" t="s">
        <v>81</v>
      </c>
      <c r="E69" s="1149">
        <v>0.35</v>
      </c>
      <c r="F69" s="1149">
        <f>E69*F66</f>
        <v>2.464</v>
      </c>
      <c r="G69" s="1146"/>
      <c r="H69" s="1146">
        <f>F69*G69</f>
        <v>0</v>
      </c>
      <c r="I69" s="1146"/>
      <c r="J69" s="1146"/>
      <c r="K69" s="1146"/>
      <c r="L69" s="1146"/>
      <c r="M69" s="8">
        <f t="shared" si="12"/>
        <v>0</v>
      </c>
      <c r="N69" s="816"/>
    </row>
    <row r="70" spans="1:14" s="73" customFormat="1" ht="16.5" x14ac:dyDescent="0.25">
      <c r="A70" s="1257"/>
      <c r="B70" s="717"/>
      <c r="C70" s="725" t="s">
        <v>310</v>
      </c>
      <c r="D70" s="1148" t="s">
        <v>81</v>
      </c>
      <c r="E70" s="1149">
        <v>2.7E-2</v>
      </c>
      <c r="F70" s="1149">
        <f>E70*F66</f>
        <v>0.19008000000000003</v>
      </c>
      <c r="G70" s="1146"/>
      <c r="H70" s="1146">
        <f>F70*G70</f>
        <v>0</v>
      </c>
      <c r="I70" s="1146"/>
      <c r="J70" s="1146"/>
      <c r="K70" s="1146"/>
      <c r="L70" s="1146"/>
      <c r="M70" s="8">
        <f t="shared" si="12"/>
        <v>0</v>
      </c>
      <c r="N70" s="816"/>
    </row>
    <row r="71" spans="1:14" s="73" customFormat="1" ht="16.5" x14ac:dyDescent="0.25">
      <c r="A71" s="1257"/>
      <c r="B71" s="717"/>
      <c r="C71" s="725" t="s">
        <v>7</v>
      </c>
      <c r="D71" s="719" t="s">
        <v>4</v>
      </c>
      <c r="E71" s="1147">
        <v>1.9E-3</v>
      </c>
      <c r="F71" s="1147">
        <f>F66*E71</f>
        <v>1.3376000000000002E-2</v>
      </c>
      <c r="G71" s="1146"/>
      <c r="H71" s="1146">
        <f>F71*G71</f>
        <v>0</v>
      </c>
      <c r="I71" s="1146"/>
      <c r="J71" s="1146"/>
      <c r="K71" s="1146"/>
      <c r="L71" s="1146"/>
      <c r="M71" s="8"/>
      <c r="N71" s="816"/>
    </row>
    <row r="72" spans="1:14" s="73" customFormat="1" ht="47.25" x14ac:dyDescent="0.25">
      <c r="A72" s="1386" t="s">
        <v>94</v>
      </c>
      <c r="B72" s="733" t="s">
        <v>789</v>
      </c>
      <c r="C72" s="758" t="s">
        <v>792</v>
      </c>
      <c r="D72" s="278" t="s">
        <v>41</v>
      </c>
      <c r="E72" s="5"/>
      <c r="F72" s="72">
        <f>(0.8+2.2*2)*2*2+(1.2+0.4)*2*2*2</f>
        <v>33.6</v>
      </c>
      <c r="G72" s="223"/>
      <c r="H72" s="223"/>
      <c r="I72" s="223"/>
      <c r="J72" s="223"/>
      <c r="K72" s="223"/>
      <c r="L72" s="223"/>
      <c r="M72" s="223"/>
      <c r="N72" s="816"/>
    </row>
    <row r="73" spans="1:14" s="73" customFormat="1" ht="16.5" x14ac:dyDescent="0.25">
      <c r="A73" s="1387"/>
      <c r="B73" s="733"/>
      <c r="C73" s="734" t="s">
        <v>494</v>
      </c>
      <c r="D73" s="735" t="s">
        <v>14</v>
      </c>
      <c r="E73" s="795">
        <v>0.49</v>
      </c>
      <c r="F73" s="796">
        <f>E73*F72</f>
        <v>16.463999999999999</v>
      </c>
      <c r="G73" s="223"/>
      <c r="H73" s="223"/>
      <c r="I73" s="223"/>
      <c r="J73" s="223">
        <f>F73*I73</f>
        <v>0</v>
      </c>
      <c r="K73" s="223"/>
      <c r="L73" s="223"/>
      <c r="M73" s="223">
        <f>H73+J73+L73</f>
        <v>0</v>
      </c>
      <c r="N73" s="816"/>
    </row>
    <row r="74" spans="1:14" s="73" customFormat="1" ht="16.5" x14ac:dyDescent="0.25">
      <c r="A74" s="1387"/>
      <c r="B74" s="733" t="s">
        <v>790</v>
      </c>
      <c r="C74" s="734" t="s">
        <v>791</v>
      </c>
      <c r="D74" s="735" t="s">
        <v>15</v>
      </c>
      <c r="E74" s="795">
        <v>0</v>
      </c>
      <c r="F74" s="796">
        <f>E74*F72</f>
        <v>0</v>
      </c>
      <c r="G74" s="223"/>
      <c r="H74" s="223"/>
      <c r="I74" s="223"/>
      <c r="J74" s="223"/>
      <c r="K74" s="223"/>
      <c r="L74" s="223">
        <f>F74*K74</f>
        <v>0</v>
      </c>
      <c r="M74" s="223">
        <f>H74+J74+L74</f>
        <v>0</v>
      </c>
      <c r="N74" s="816"/>
    </row>
    <row r="75" spans="1:14" s="73" customFormat="1" ht="16.5" x14ac:dyDescent="0.25">
      <c r="A75" s="1387"/>
      <c r="B75" s="733"/>
      <c r="C75" s="734" t="s">
        <v>5</v>
      </c>
      <c r="D75" s="735" t="s">
        <v>4</v>
      </c>
      <c r="E75" s="795">
        <v>1.7999999999999999E-2</v>
      </c>
      <c r="F75" s="796">
        <f>E75*F72</f>
        <v>0.6048</v>
      </c>
      <c r="G75" s="223"/>
      <c r="H75" s="223"/>
      <c r="I75" s="223"/>
      <c r="J75" s="223"/>
      <c r="K75" s="223"/>
      <c r="L75" s="223">
        <f>F75*K75</f>
        <v>0</v>
      </c>
      <c r="M75" s="223">
        <f>H75+J75+L75</f>
        <v>0</v>
      </c>
      <c r="N75" s="816"/>
    </row>
    <row r="76" spans="1:14" s="73" customFormat="1" ht="31.5" x14ac:dyDescent="0.25">
      <c r="A76" s="1388"/>
      <c r="B76" s="733"/>
      <c r="C76" s="734" t="s">
        <v>823</v>
      </c>
      <c r="D76" s="735" t="s">
        <v>29</v>
      </c>
      <c r="E76" s="795">
        <v>1.06E-2</v>
      </c>
      <c r="F76" s="796">
        <f>E76*F72</f>
        <v>0.35616000000000003</v>
      </c>
      <c r="G76" s="223"/>
      <c r="H76" s="223">
        <f>F76*G76</f>
        <v>0</v>
      </c>
      <c r="I76" s="223"/>
      <c r="J76" s="223"/>
      <c r="K76" s="223"/>
      <c r="L76" s="223"/>
      <c r="M76" s="223">
        <f>H76+J76+L76</f>
        <v>0</v>
      </c>
      <c r="N76" s="816"/>
    </row>
    <row r="77" spans="1:14" s="73" customFormat="1" ht="47.25" hidden="1" x14ac:dyDescent="0.25">
      <c r="A77" s="1382" t="s">
        <v>87</v>
      </c>
      <c r="B77" s="733" t="s">
        <v>788</v>
      </c>
      <c r="C77" s="632" t="s">
        <v>765</v>
      </c>
      <c r="D77" s="87" t="s">
        <v>47</v>
      </c>
      <c r="E77" s="1139">
        <f>(1.5+2.1)*2*2.5*2-0.8*2.2*2</f>
        <v>32.479999999999997</v>
      </c>
      <c r="F77" s="11"/>
      <c r="G77" s="748"/>
      <c r="H77" s="748"/>
      <c r="I77" s="748"/>
      <c r="J77" s="748"/>
      <c r="K77" s="748"/>
      <c r="L77" s="748"/>
      <c r="M77" s="748"/>
      <c r="N77" s="816"/>
    </row>
    <row r="78" spans="1:14" s="73" customFormat="1" ht="16.5" hidden="1" x14ac:dyDescent="0.25">
      <c r="A78" s="1383"/>
      <c r="B78" s="733"/>
      <c r="C78" s="734" t="s">
        <v>494</v>
      </c>
      <c r="D78" s="735" t="s">
        <v>14</v>
      </c>
      <c r="E78" s="795"/>
      <c r="F78" s="796">
        <f>E78*F77</f>
        <v>0</v>
      </c>
      <c r="G78" s="223"/>
      <c r="H78" s="223"/>
      <c r="I78" s="223">
        <v>7.8</v>
      </c>
      <c r="J78" s="223">
        <f>F78*I78</f>
        <v>0</v>
      </c>
      <c r="K78" s="223"/>
      <c r="L78" s="223"/>
      <c r="M78" s="223">
        <f t="shared" ref="M78:M83" si="13">H78+J78+L78</f>
        <v>0</v>
      </c>
      <c r="N78" s="816"/>
    </row>
    <row r="79" spans="1:14" s="73" customFormat="1" ht="16.5" hidden="1" x14ac:dyDescent="0.25">
      <c r="A79" s="1383"/>
      <c r="B79" s="733" t="s">
        <v>715</v>
      </c>
      <c r="C79" s="734" t="s">
        <v>785</v>
      </c>
      <c r="D79" s="735" t="s">
        <v>15</v>
      </c>
      <c r="E79" s="795"/>
      <c r="F79" s="796">
        <f>E79*F77</f>
        <v>0</v>
      </c>
      <c r="G79" s="223"/>
      <c r="H79" s="223"/>
      <c r="I79" s="223"/>
      <c r="J79" s="223"/>
      <c r="K79" s="223">
        <v>8.89</v>
      </c>
      <c r="L79" s="223">
        <f>F79*K79</f>
        <v>0</v>
      </c>
      <c r="M79" s="223">
        <f t="shared" si="13"/>
        <v>0</v>
      </c>
      <c r="N79" s="816"/>
    </row>
    <row r="80" spans="1:14" s="73" customFormat="1" ht="16.5" hidden="1" x14ac:dyDescent="0.25">
      <c r="A80" s="1383"/>
      <c r="B80" s="733"/>
      <c r="C80" s="734" t="s">
        <v>5</v>
      </c>
      <c r="D80" s="735" t="s">
        <v>4</v>
      </c>
      <c r="E80" s="795"/>
      <c r="F80" s="796">
        <f>E80*F77</f>
        <v>0</v>
      </c>
      <c r="G80" s="223"/>
      <c r="H80" s="223"/>
      <c r="I80" s="223"/>
      <c r="J80" s="223"/>
      <c r="K80" s="223">
        <v>4</v>
      </c>
      <c r="L80" s="223">
        <f>F80*K80</f>
        <v>0</v>
      </c>
      <c r="M80" s="223">
        <f t="shared" si="13"/>
        <v>0</v>
      </c>
      <c r="N80" s="816"/>
    </row>
    <row r="81" spans="1:14" s="73" customFormat="1" ht="16.5" hidden="1" x14ac:dyDescent="0.25">
      <c r="A81" s="1383"/>
      <c r="B81" s="733"/>
      <c r="C81" s="734" t="s">
        <v>786</v>
      </c>
      <c r="D81" s="735" t="s">
        <v>29</v>
      </c>
      <c r="E81" s="795"/>
      <c r="F81" s="796">
        <f>E81*F77</f>
        <v>0</v>
      </c>
      <c r="G81" s="223">
        <v>88</v>
      </c>
      <c r="H81" s="223">
        <f>F81*G81</f>
        <v>0</v>
      </c>
      <c r="I81" s="223"/>
      <c r="J81" s="223"/>
      <c r="K81" s="223"/>
      <c r="L81" s="223"/>
      <c r="M81" s="223">
        <f t="shared" si="13"/>
        <v>0</v>
      </c>
      <c r="N81" s="816"/>
    </row>
    <row r="82" spans="1:14" s="73" customFormat="1" ht="13.5" hidden="1" customHeight="1" x14ac:dyDescent="0.25">
      <c r="A82" s="1383"/>
      <c r="B82" s="700"/>
      <c r="C82" s="303" t="s">
        <v>787</v>
      </c>
      <c r="D82" s="43" t="s">
        <v>47</v>
      </c>
      <c r="E82" s="5"/>
      <c r="F82" s="46"/>
      <c r="G82" s="223"/>
      <c r="H82" s="223"/>
      <c r="I82" s="223"/>
      <c r="J82" s="223"/>
      <c r="K82" s="223"/>
      <c r="L82" s="223"/>
      <c r="M82" s="223">
        <f t="shared" si="13"/>
        <v>0</v>
      </c>
      <c r="N82" s="816"/>
    </row>
    <row r="83" spans="1:14" s="73" customFormat="1" ht="18" hidden="1" customHeight="1" x14ac:dyDescent="0.25">
      <c r="A83" s="1384"/>
      <c r="B83" s="700"/>
      <c r="C83" s="303" t="s">
        <v>7</v>
      </c>
      <c r="D83" s="43" t="s">
        <v>4</v>
      </c>
      <c r="E83" s="5"/>
      <c r="F83" s="46"/>
      <c r="G83" s="223"/>
      <c r="H83" s="223"/>
      <c r="I83" s="223"/>
      <c r="J83" s="223"/>
      <c r="K83" s="223"/>
      <c r="L83" s="223"/>
      <c r="M83" s="223">
        <f t="shared" si="13"/>
        <v>0</v>
      </c>
      <c r="N83" s="816"/>
    </row>
    <row r="84" spans="1:14" s="73" customFormat="1" ht="31.5" x14ac:dyDescent="0.25">
      <c r="A84" s="1382" t="s">
        <v>89</v>
      </c>
      <c r="B84" s="700" t="s">
        <v>777</v>
      </c>
      <c r="C84" s="632" t="s">
        <v>766</v>
      </c>
      <c r="D84" s="87" t="s">
        <v>47</v>
      </c>
      <c r="E84" s="10"/>
      <c r="F84" s="23">
        <f>2.1*1.55*2</f>
        <v>6.5100000000000007</v>
      </c>
      <c r="G84" s="748"/>
      <c r="H84" s="748"/>
      <c r="I84" s="748"/>
      <c r="J84" s="748"/>
      <c r="K84" s="748"/>
      <c r="L84" s="748"/>
      <c r="M84" s="748"/>
      <c r="N84" s="816"/>
    </row>
    <row r="85" spans="1:14" s="73" customFormat="1" ht="27" x14ac:dyDescent="0.25">
      <c r="A85" s="1383"/>
      <c r="B85" s="700"/>
      <c r="C85" s="24" t="s">
        <v>36</v>
      </c>
      <c r="D85" s="742" t="s">
        <v>6</v>
      </c>
      <c r="E85" s="2">
        <v>1.08</v>
      </c>
      <c r="F85" s="744">
        <f>F84*E85</f>
        <v>7.030800000000001</v>
      </c>
      <c r="G85" s="223"/>
      <c r="H85" s="223"/>
      <c r="I85" s="223"/>
      <c r="J85" s="223">
        <f>F85*I85</f>
        <v>0</v>
      </c>
      <c r="K85" s="223"/>
      <c r="L85" s="223"/>
      <c r="M85" s="223">
        <f t="shared" ref="M85:M90" si="14">H85+J85+L85</f>
        <v>0</v>
      </c>
      <c r="N85" s="816"/>
    </row>
    <row r="86" spans="1:14" s="73" customFormat="1" ht="27" x14ac:dyDescent="0.25">
      <c r="A86" s="1383"/>
      <c r="B86" s="700"/>
      <c r="C86" s="205" t="s">
        <v>5</v>
      </c>
      <c r="D86" s="742" t="s">
        <v>43</v>
      </c>
      <c r="E86" s="2">
        <v>4.5199999999999997E-2</v>
      </c>
      <c r="F86" s="744">
        <f>F84*E86</f>
        <v>0.29425200000000001</v>
      </c>
      <c r="G86" s="223"/>
      <c r="H86" s="223"/>
      <c r="I86" s="223"/>
      <c r="J86" s="223"/>
      <c r="K86" s="223"/>
      <c r="L86" s="223">
        <f>F86*K86</f>
        <v>0</v>
      </c>
      <c r="M86" s="223">
        <f t="shared" si="14"/>
        <v>0</v>
      </c>
      <c r="N86" s="816"/>
    </row>
    <row r="87" spans="1:14" s="73" customFormat="1" ht="16.5" x14ac:dyDescent="0.25">
      <c r="A87" s="1383"/>
      <c r="B87" s="700"/>
      <c r="C87" s="24" t="s">
        <v>824</v>
      </c>
      <c r="D87" s="742" t="s">
        <v>47</v>
      </c>
      <c r="E87" s="2">
        <v>1.05</v>
      </c>
      <c r="F87" s="744">
        <f>F84*E87</f>
        <v>6.8355000000000006</v>
      </c>
      <c r="G87" s="223"/>
      <c r="H87" s="223">
        <f>F87*G87</f>
        <v>0</v>
      </c>
      <c r="I87" s="223"/>
      <c r="J87" s="223"/>
      <c r="K87" s="223"/>
      <c r="L87" s="223"/>
      <c r="M87" s="223">
        <f t="shared" si="14"/>
        <v>0</v>
      </c>
      <c r="N87" s="816"/>
    </row>
    <row r="88" spans="1:14" s="73" customFormat="1" ht="16.5" x14ac:dyDescent="0.25">
      <c r="A88" s="1383"/>
      <c r="B88" s="700"/>
      <c r="C88" s="24" t="s">
        <v>775</v>
      </c>
      <c r="D88" s="742" t="s">
        <v>2</v>
      </c>
      <c r="E88" s="2">
        <v>5</v>
      </c>
      <c r="F88" s="744">
        <f>F84*E88</f>
        <v>32.550000000000004</v>
      </c>
      <c r="G88" s="223"/>
      <c r="H88" s="223">
        <f>F88*G88</f>
        <v>0</v>
      </c>
      <c r="I88" s="223"/>
      <c r="J88" s="223"/>
      <c r="K88" s="223"/>
      <c r="L88" s="223"/>
      <c r="M88" s="223">
        <f t="shared" si="14"/>
        <v>0</v>
      </c>
      <c r="N88" s="816"/>
    </row>
    <row r="89" spans="1:14" s="73" customFormat="1" ht="16.5" x14ac:dyDescent="0.25">
      <c r="A89" s="1383"/>
      <c r="B89" s="700"/>
      <c r="C89" s="769" t="s">
        <v>776</v>
      </c>
      <c r="D89" s="770" t="s">
        <v>81</v>
      </c>
      <c r="E89" s="797">
        <v>0.3</v>
      </c>
      <c r="F89" s="798">
        <f>F84*E89</f>
        <v>1.9530000000000001</v>
      </c>
      <c r="G89" s="305"/>
      <c r="H89" s="223">
        <f>F89*G89</f>
        <v>0</v>
      </c>
      <c r="I89" s="305"/>
      <c r="J89" s="223"/>
      <c r="K89" s="305"/>
      <c r="L89" s="223"/>
      <c r="M89" s="223">
        <f t="shared" si="14"/>
        <v>0</v>
      </c>
      <c r="N89" s="816"/>
    </row>
    <row r="90" spans="1:14" s="73" customFormat="1" ht="16.5" x14ac:dyDescent="0.25">
      <c r="A90" s="1384"/>
      <c r="B90" s="700"/>
      <c r="C90" s="24" t="s">
        <v>7</v>
      </c>
      <c r="D90" s="742" t="s">
        <v>4</v>
      </c>
      <c r="E90" s="2">
        <v>4.6600000000000003E-2</v>
      </c>
      <c r="F90" s="744">
        <f>F84*E90</f>
        <v>0.30336600000000002</v>
      </c>
      <c r="G90" s="223"/>
      <c r="H90" s="223">
        <f>F90*G90</f>
        <v>0</v>
      </c>
      <c r="I90" s="223"/>
      <c r="J90" s="223"/>
      <c r="K90" s="223"/>
      <c r="L90" s="223"/>
      <c r="M90" s="223">
        <f t="shared" si="14"/>
        <v>0</v>
      </c>
      <c r="N90" s="816"/>
    </row>
    <row r="91" spans="1:14" s="73" customFormat="1" ht="31.5" x14ac:dyDescent="0.25">
      <c r="A91" s="1382" t="s">
        <v>90</v>
      </c>
      <c r="B91" s="700" t="s">
        <v>773</v>
      </c>
      <c r="C91" s="531" t="s">
        <v>774</v>
      </c>
      <c r="D91" s="700" t="s">
        <v>41</v>
      </c>
      <c r="E91" s="2"/>
      <c r="F91" s="72">
        <f>(1.55+2.1)*2*2</f>
        <v>14.600000000000001</v>
      </c>
      <c r="G91" s="223"/>
      <c r="H91" s="223"/>
      <c r="I91" s="223"/>
      <c r="J91" s="223"/>
      <c r="K91" s="223"/>
      <c r="L91" s="223"/>
      <c r="M91" s="223"/>
      <c r="N91" s="816"/>
    </row>
    <row r="92" spans="1:14" s="73" customFormat="1" ht="27" x14ac:dyDescent="0.25">
      <c r="A92" s="1383"/>
      <c r="B92" s="700"/>
      <c r="C92" s="768" t="s">
        <v>54</v>
      </c>
      <c r="D92" s="697" t="s">
        <v>6</v>
      </c>
      <c r="E92" s="793">
        <v>0.26900000000000002</v>
      </c>
      <c r="F92" s="744">
        <f>F91*E92</f>
        <v>3.9274000000000004</v>
      </c>
      <c r="G92" s="223"/>
      <c r="H92" s="223"/>
      <c r="I92" s="223"/>
      <c r="J92" s="223">
        <f>F92*I92</f>
        <v>0</v>
      </c>
      <c r="K92" s="223"/>
      <c r="L92" s="223"/>
      <c r="M92" s="223">
        <f>H92+J92+L92</f>
        <v>0</v>
      </c>
      <c r="N92" s="816"/>
    </row>
    <row r="93" spans="1:14" s="73" customFormat="1" ht="16.5" x14ac:dyDescent="0.25">
      <c r="A93" s="1383"/>
      <c r="B93" s="700"/>
      <c r="C93" s="768" t="s">
        <v>657</v>
      </c>
      <c r="D93" s="43" t="s">
        <v>4</v>
      </c>
      <c r="E93" s="793">
        <v>1.1599999999999999E-2</v>
      </c>
      <c r="F93" s="744">
        <f>F91*E93</f>
        <v>0.16936000000000001</v>
      </c>
      <c r="G93" s="223"/>
      <c r="H93" s="223"/>
      <c r="I93" s="223"/>
      <c r="J93" s="223"/>
      <c r="K93" s="223"/>
      <c r="L93" s="223">
        <f>F93*K93</f>
        <v>0</v>
      </c>
      <c r="M93" s="223">
        <f>H93+J93+L93</f>
        <v>0</v>
      </c>
      <c r="N93" s="816"/>
    </row>
    <row r="94" spans="1:14" s="73" customFormat="1" ht="16.5" x14ac:dyDescent="0.25">
      <c r="A94" s="1383"/>
      <c r="B94" s="700"/>
      <c r="C94" s="768" t="s">
        <v>824</v>
      </c>
      <c r="D94" s="43" t="s">
        <v>47</v>
      </c>
      <c r="E94" s="793">
        <v>0.157</v>
      </c>
      <c r="F94" s="744">
        <f>F91*E94</f>
        <v>2.2922000000000002</v>
      </c>
      <c r="G94" s="223"/>
      <c r="H94" s="223">
        <f>F94*G94</f>
        <v>0</v>
      </c>
      <c r="I94" s="223"/>
      <c r="J94" s="223"/>
      <c r="K94" s="223"/>
      <c r="L94" s="223"/>
      <c r="M94" s="223">
        <f>H94+J94+L94</f>
        <v>0</v>
      </c>
      <c r="N94" s="816"/>
    </row>
    <row r="95" spans="1:14" s="73" customFormat="1" ht="16.5" x14ac:dyDescent="0.25">
      <c r="A95" s="1384"/>
      <c r="B95" s="700"/>
      <c r="C95" s="24" t="s">
        <v>88</v>
      </c>
      <c r="D95" s="43" t="s">
        <v>37</v>
      </c>
      <c r="E95" s="793">
        <v>1.8E-3</v>
      </c>
      <c r="F95" s="744">
        <f>F91*E95</f>
        <v>2.6280000000000001E-2</v>
      </c>
      <c r="G95" s="223"/>
      <c r="H95" s="223">
        <f>F95*G95</f>
        <v>0</v>
      </c>
      <c r="I95" s="223"/>
      <c r="J95" s="223"/>
      <c r="K95" s="223"/>
      <c r="L95" s="223"/>
      <c r="M95" s="223">
        <f>H95+J95+L95</f>
        <v>0</v>
      </c>
      <c r="N95" s="816"/>
    </row>
    <row r="96" spans="1:14" s="73" customFormat="1" ht="31.5" hidden="1" x14ac:dyDescent="0.25">
      <c r="A96" s="1250" t="s">
        <v>82</v>
      </c>
      <c r="B96" s="700" t="s">
        <v>778</v>
      </c>
      <c r="C96" s="632" t="s">
        <v>767</v>
      </c>
      <c r="D96" s="700" t="s">
        <v>47</v>
      </c>
      <c r="E96" s="1150">
        <f>(1.5+2.1)*2*2.5*2-0.8*2.2*2+(0.8+2.2*2)*2*1*0.2+(1.2+0.4)*2*2*1*0.2</f>
        <v>35.839999999999996</v>
      </c>
      <c r="F96" s="11"/>
      <c r="G96" s="223"/>
      <c r="H96" s="223"/>
      <c r="I96" s="223"/>
      <c r="J96" s="223"/>
      <c r="K96" s="223"/>
      <c r="L96" s="223"/>
      <c r="M96" s="223"/>
      <c r="N96" s="816"/>
    </row>
    <row r="97" spans="1:14" s="73" customFormat="1" ht="27" hidden="1" x14ac:dyDescent="0.25">
      <c r="A97" s="1266"/>
      <c r="B97" s="700"/>
      <c r="C97" s="24" t="s">
        <v>36</v>
      </c>
      <c r="D97" s="742" t="s">
        <v>6</v>
      </c>
      <c r="E97" s="2">
        <v>2.19</v>
      </c>
      <c r="F97" s="744">
        <f>F96*E97</f>
        <v>0</v>
      </c>
      <c r="G97" s="223"/>
      <c r="H97" s="223"/>
      <c r="I97" s="223">
        <v>7.8</v>
      </c>
      <c r="J97" s="223">
        <f>F97*I97</f>
        <v>0</v>
      </c>
      <c r="K97" s="223"/>
      <c r="L97" s="223"/>
      <c r="M97" s="223">
        <f t="shared" ref="M97:M102" si="15">H97+J97+L97</f>
        <v>0</v>
      </c>
      <c r="N97" s="816"/>
    </row>
    <row r="98" spans="1:14" s="73" customFormat="1" ht="27" hidden="1" x14ac:dyDescent="0.25">
      <c r="A98" s="1266"/>
      <c r="B98" s="700"/>
      <c r="C98" s="24" t="s">
        <v>5</v>
      </c>
      <c r="D98" s="742" t="s">
        <v>43</v>
      </c>
      <c r="E98" s="2">
        <v>0.02</v>
      </c>
      <c r="F98" s="744">
        <f>F96*E98</f>
        <v>0</v>
      </c>
      <c r="G98" s="223"/>
      <c r="H98" s="223"/>
      <c r="I98" s="223"/>
      <c r="J98" s="223"/>
      <c r="K98" s="223">
        <v>4</v>
      </c>
      <c r="L98" s="223">
        <f>F98*K98</f>
        <v>0</v>
      </c>
      <c r="M98" s="223">
        <f t="shared" si="15"/>
        <v>0</v>
      </c>
      <c r="N98" s="816"/>
    </row>
    <row r="99" spans="1:14" s="73" customFormat="1" ht="16.5" hidden="1" x14ac:dyDescent="0.25">
      <c r="A99" s="1266"/>
      <c r="B99" s="700"/>
      <c r="C99" s="24" t="s">
        <v>779</v>
      </c>
      <c r="D99" s="742" t="s">
        <v>47</v>
      </c>
      <c r="E99" s="2">
        <v>1.05</v>
      </c>
      <c r="F99" s="744">
        <f>F96*E99</f>
        <v>0</v>
      </c>
      <c r="G99" s="223">
        <v>25</v>
      </c>
      <c r="H99" s="223">
        <f>F99*G99</f>
        <v>0</v>
      </c>
      <c r="I99" s="223"/>
      <c r="J99" s="223"/>
      <c r="K99" s="223"/>
      <c r="L99" s="223"/>
      <c r="M99" s="223">
        <f t="shared" si="15"/>
        <v>0</v>
      </c>
      <c r="N99" s="816"/>
    </row>
    <row r="100" spans="1:14" s="73" customFormat="1" ht="16.5" hidden="1" x14ac:dyDescent="0.25">
      <c r="A100" s="1266"/>
      <c r="B100" s="700"/>
      <c r="C100" s="24" t="s">
        <v>775</v>
      </c>
      <c r="D100" s="742" t="s">
        <v>2</v>
      </c>
      <c r="E100" s="2">
        <v>5</v>
      </c>
      <c r="F100" s="744">
        <f>F96*E100</f>
        <v>0</v>
      </c>
      <c r="G100" s="223">
        <v>1.17</v>
      </c>
      <c r="H100" s="223">
        <f>F100*G100</f>
        <v>0</v>
      </c>
      <c r="I100" s="223"/>
      <c r="J100" s="223"/>
      <c r="K100" s="223"/>
      <c r="L100" s="223"/>
      <c r="M100" s="223">
        <f t="shared" si="15"/>
        <v>0</v>
      </c>
      <c r="N100" s="816"/>
    </row>
    <row r="101" spans="1:14" s="73" customFormat="1" ht="16.5" hidden="1" x14ac:dyDescent="0.25">
      <c r="A101" s="1266"/>
      <c r="B101" s="700"/>
      <c r="C101" s="771" t="s">
        <v>776</v>
      </c>
      <c r="D101" s="93" t="s">
        <v>81</v>
      </c>
      <c r="E101" s="296">
        <v>0.3</v>
      </c>
      <c r="F101" s="799">
        <f>F96*E101</f>
        <v>0</v>
      </c>
      <c r="G101" s="223">
        <v>4</v>
      </c>
      <c r="H101" s="223">
        <f>F101*G101</f>
        <v>0</v>
      </c>
      <c r="I101" s="223"/>
      <c r="J101" s="223"/>
      <c r="K101" s="223"/>
      <c r="L101" s="223"/>
      <c r="M101" s="223">
        <f t="shared" si="15"/>
        <v>0</v>
      </c>
      <c r="N101" s="816"/>
    </row>
    <row r="102" spans="1:14" s="73" customFormat="1" ht="16.5" hidden="1" x14ac:dyDescent="0.25">
      <c r="A102" s="1251"/>
      <c r="B102" s="700"/>
      <c r="C102" s="24" t="s">
        <v>7</v>
      </c>
      <c r="D102" s="742" t="s">
        <v>4</v>
      </c>
      <c r="E102" s="2">
        <v>7.0000000000000001E-3</v>
      </c>
      <c r="F102" s="744">
        <f>F96*E102</f>
        <v>0</v>
      </c>
      <c r="G102" s="223">
        <v>3.2</v>
      </c>
      <c r="H102" s="223">
        <f>F102*G102</f>
        <v>0</v>
      </c>
      <c r="I102" s="223"/>
      <c r="J102" s="223"/>
      <c r="K102" s="223"/>
      <c r="L102" s="223"/>
      <c r="M102" s="223">
        <f t="shared" si="15"/>
        <v>0</v>
      </c>
      <c r="N102" s="816"/>
    </row>
    <row r="103" spans="1:14" s="73" customFormat="1" ht="40.5" x14ac:dyDescent="0.25">
      <c r="A103" s="1250" t="s">
        <v>40</v>
      </c>
      <c r="B103" s="700" t="s">
        <v>780</v>
      </c>
      <c r="C103" s="531" t="s">
        <v>781</v>
      </c>
      <c r="D103" s="742" t="s">
        <v>47</v>
      </c>
      <c r="E103" s="2"/>
      <c r="F103" s="792">
        <f>2.1*1.55*2</f>
        <v>6.5100000000000007</v>
      </c>
      <c r="G103" s="223"/>
      <c r="H103" s="223"/>
      <c r="I103" s="223"/>
      <c r="J103" s="223"/>
      <c r="K103" s="223"/>
      <c r="L103" s="223"/>
      <c r="M103" s="223"/>
      <c r="N103" s="816"/>
    </row>
    <row r="104" spans="1:14" s="73" customFormat="1" ht="16.5" x14ac:dyDescent="0.25">
      <c r="A104" s="1266"/>
      <c r="B104" s="700"/>
      <c r="C104" s="734" t="s">
        <v>494</v>
      </c>
      <c r="D104" s="735" t="s">
        <v>14</v>
      </c>
      <c r="E104" s="795">
        <f>(261+82.9)*0.01</f>
        <v>3.4390000000000001</v>
      </c>
      <c r="F104" s="796">
        <f>E104*F103</f>
        <v>22.387890000000002</v>
      </c>
      <c r="G104" s="223"/>
      <c r="H104" s="223"/>
      <c r="I104" s="223"/>
      <c r="J104" s="223">
        <f>F104*I104</f>
        <v>0</v>
      </c>
      <c r="K104" s="223"/>
      <c r="L104" s="223"/>
      <c r="M104" s="223">
        <f>H104+J104+L104</f>
        <v>0</v>
      </c>
      <c r="N104" s="816"/>
    </row>
    <row r="105" spans="1:14" s="73" customFormat="1" ht="16.5" x14ac:dyDescent="0.25">
      <c r="A105" s="1266"/>
      <c r="B105" s="700"/>
      <c r="C105" s="768" t="s">
        <v>657</v>
      </c>
      <c r="D105" s="735" t="s">
        <v>4</v>
      </c>
      <c r="E105" s="795">
        <f>(3.5+0.39)*0.01</f>
        <v>3.8900000000000004E-2</v>
      </c>
      <c r="F105" s="796">
        <f>E105*F103</f>
        <v>0.25323900000000005</v>
      </c>
      <c r="G105" s="223"/>
      <c r="H105" s="223"/>
      <c r="I105" s="223"/>
      <c r="J105" s="223"/>
      <c r="K105" s="223"/>
      <c r="L105" s="223">
        <f>F105*K105</f>
        <v>0</v>
      </c>
      <c r="M105" s="223">
        <f>H105+J105+L105</f>
        <v>0</v>
      </c>
      <c r="N105" s="816"/>
    </row>
    <row r="106" spans="1:14" s="73" customFormat="1" ht="16.5" x14ac:dyDescent="0.25">
      <c r="A106" s="1266"/>
      <c r="B106" s="700"/>
      <c r="C106" s="734" t="s">
        <v>782</v>
      </c>
      <c r="D106" s="735" t="s">
        <v>62</v>
      </c>
      <c r="E106" s="795">
        <v>6.6</v>
      </c>
      <c r="F106" s="796">
        <f>E106*F103</f>
        <v>42.966000000000001</v>
      </c>
      <c r="G106" s="223"/>
      <c r="H106" s="223">
        <f>F106*G106</f>
        <v>0</v>
      </c>
      <c r="I106" s="223"/>
      <c r="J106" s="223"/>
      <c r="K106" s="223"/>
      <c r="L106" s="223"/>
      <c r="M106" s="223">
        <f>H106+J106+L106</f>
        <v>0</v>
      </c>
      <c r="N106" s="816"/>
    </row>
    <row r="107" spans="1:14" s="73" customFormat="1" ht="16.5" x14ac:dyDescent="0.25">
      <c r="A107" s="1266"/>
      <c r="B107" s="700"/>
      <c r="C107" s="734" t="s">
        <v>783</v>
      </c>
      <c r="D107" s="735" t="s">
        <v>81</v>
      </c>
      <c r="E107" s="795">
        <v>0.06</v>
      </c>
      <c r="F107" s="796">
        <f>E107*F103</f>
        <v>0.3906</v>
      </c>
      <c r="G107" s="223"/>
      <c r="H107" s="223">
        <f>F107*G107</f>
        <v>0</v>
      </c>
      <c r="I107" s="223"/>
      <c r="J107" s="223"/>
      <c r="K107" s="223"/>
      <c r="L107" s="223"/>
      <c r="M107" s="223">
        <f>H107+J107+L107</f>
        <v>0</v>
      </c>
      <c r="N107" s="816"/>
    </row>
    <row r="108" spans="1:14" s="73" customFormat="1" ht="16.5" x14ac:dyDescent="0.25">
      <c r="A108" s="1251"/>
      <c r="B108" s="700"/>
      <c r="C108" s="734" t="s">
        <v>784</v>
      </c>
      <c r="D108" s="735" t="s">
        <v>576</v>
      </c>
      <c r="E108" s="795">
        <v>1.03</v>
      </c>
      <c r="F108" s="796">
        <f>E108*F103</f>
        <v>6.7053000000000011</v>
      </c>
      <c r="G108" s="223"/>
      <c r="H108" s="223">
        <f>F108*G108</f>
        <v>0</v>
      </c>
      <c r="I108" s="223"/>
      <c r="J108" s="223"/>
      <c r="K108" s="223"/>
      <c r="L108" s="223"/>
      <c r="M108" s="223">
        <f>H108+J108+L108</f>
        <v>0</v>
      </c>
      <c r="N108" s="816"/>
    </row>
    <row r="109" spans="1:14" s="73" customFormat="1" ht="47.25" hidden="1" x14ac:dyDescent="0.25">
      <c r="A109" s="1389" t="s">
        <v>46</v>
      </c>
      <c r="B109" s="733" t="s">
        <v>799</v>
      </c>
      <c r="C109" s="758" t="s">
        <v>813</v>
      </c>
      <c r="D109" s="278" t="s">
        <v>576</v>
      </c>
      <c r="E109" s="1150">
        <f>(4.7+0.2+0.5+2.1+0.5+0.2)*2*3.3-0.8*2.2*2</f>
        <v>50.599999999999987</v>
      </c>
      <c r="F109" s="11"/>
      <c r="G109" s="223"/>
      <c r="H109" s="223"/>
      <c r="I109" s="223"/>
      <c r="J109" s="223"/>
      <c r="K109" s="223"/>
      <c r="L109" s="223"/>
      <c r="M109" s="223"/>
      <c r="N109" s="816"/>
    </row>
    <row r="110" spans="1:14" s="73" customFormat="1" ht="16.5" hidden="1" x14ac:dyDescent="0.25">
      <c r="A110" s="1389"/>
      <c r="B110" s="733"/>
      <c r="C110" s="734" t="s">
        <v>494</v>
      </c>
      <c r="D110" s="735" t="s">
        <v>14</v>
      </c>
      <c r="E110" s="795">
        <v>0.93</v>
      </c>
      <c r="F110" s="796">
        <f>E110*F109</f>
        <v>0</v>
      </c>
      <c r="G110" s="223"/>
      <c r="H110" s="223"/>
      <c r="I110" s="223">
        <v>7.8</v>
      </c>
      <c r="J110" s="223">
        <f>F110*I110</f>
        <v>0</v>
      </c>
      <c r="K110" s="223"/>
      <c r="L110" s="223"/>
      <c r="M110" s="223">
        <f>H110+J110+L110</f>
        <v>0</v>
      </c>
      <c r="N110" s="816"/>
    </row>
    <row r="111" spans="1:14" s="73" customFormat="1" ht="16.5" hidden="1" x14ac:dyDescent="0.25">
      <c r="A111" s="1389"/>
      <c r="B111" s="733" t="s">
        <v>715</v>
      </c>
      <c r="C111" s="734" t="s">
        <v>800</v>
      </c>
      <c r="D111" s="735" t="s">
        <v>15</v>
      </c>
      <c r="E111" s="795">
        <v>2.4E-2</v>
      </c>
      <c r="F111" s="796">
        <f>E111*F109</f>
        <v>0</v>
      </c>
      <c r="G111" s="223"/>
      <c r="H111" s="223"/>
      <c r="I111" s="223"/>
      <c r="J111" s="223"/>
      <c r="K111" s="223">
        <v>8.89</v>
      </c>
      <c r="L111" s="223">
        <f>F111*K111</f>
        <v>0</v>
      </c>
      <c r="M111" s="223">
        <f>H111+J111+L111</f>
        <v>0</v>
      </c>
      <c r="N111" s="816"/>
    </row>
    <row r="112" spans="1:14" s="73" customFormat="1" ht="16.5" hidden="1" x14ac:dyDescent="0.25">
      <c r="A112" s="1389"/>
      <c r="B112" s="733"/>
      <c r="C112" s="734" t="s">
        <v>5</v>
      </c>
      <c r="D112" s="735" t="s">
        <v>4</v>
      </c>
      <c r="E112" s="795">
        <v>2.5999999999999999E-2</v>
      </c>
      <c r="F112" s="796">
        <f>E112*F109</f>
        <v>0</v>
      </c>
      <c r="G112" s="223"/>
      <c r="H112" s="223"/>
      <c r="I112" s="223"/>
      <c r="J112" s="223"/>
      <c r="K112" s="223">
        <v>4</v>
      </c>
      <c r="L112" s="223">
        <f>F112*K112</f>
        <v>0</v>
      </c>
      <c r="M112" s="223">
        <f>H112+J112+L112</f>
        <v>0</v>
      </c>
      <c r="N112" s="816"/>
    </row>
    <row r="113" spans="1:14" s="73" customFormat="1" ht="16.5" hidden="1" x14ac:dyDescent="0.25">
      <c r="A113" s="1389"/>
      <c r="B113" s="733"/>
      <c r="C113" s="734" t="s">
        <v>786</v>
      </c>
      <c r="D113" s="735" t="s">
        <v>29</v>
      </c>
      <c r="E113" s="795"/>
      <c r="F113" s="796">
        <f>E113*F109</f>
        <v>0</v>
      </c>
      <c r="G113" s="223">
        <v>88</v>
      </c>
      <c r="H113" s="223">
        <f>F113*G113</f>
        <v>0</v>
      </c>
      <c r="I113" s="223"/>
      <c r="J113" s="223"/>
      <c r="K113" s="223"/>
      <c r="L113" s="223"/>
      <c r="M113" s="223">
        <f>H113+J113+L113</f>
        <v>0</v>
      </c>
      <c r="N113" s="816"/>
    </row>
    <row r="114" spans="1:14" s="73" customFormat="1" ht="47.25" hidden="1" x14ac:dyDescent="0.25">
      <c r="A114" s="1250" t="s">
        <v>48</v>
      </c>
      <c r="B114" s="278" t="s">
        <v>801</v>
      </c>
      <c r="C114" s="758" t="s">
        <v>814</v>
      </c>
      <c r="D114" s="278" t="s">
        <v>27</v>
      </c>
      <c r="E114" s="1152">
        <f>(4.7+0.2+0.5+2.1+0.5+0.2)*2*3.3-0.8*2.2*2+(0.8+2.2*2)*2*1*0.2+(1.2+0.4)*2*2*1*0.2</f>
        <v>53.959999999999987</v>
      </c>
      <c r="F114" s="11"/>
      <c r="G114" s="223"/>
      <c r="H114" s="223"/>
      <c r="I114" s="223"/>
      <c r="J114" s="223"/>
      <c r="K114" s="223"/>
      <c r="L114" s="223"/>
      <c r="M114" s="223"/>
      <c r="N114" s="816"/>
    </row>
    <row r="115" spans="1:14" s="73" customFormat="1" ht="27" hidden="1" x14ac:dyDescent="0.25">
      <c r="A115" s="1266"/>
      <c r="B115" s="782"/>
      <c r="C115" s="783" t="s">
        <v>36</v>
      </c>
      <c r="D115" s="784" t="s">
        <v>802</v>
      </c>
      <c r="E115" s="800">
        <f>231*0.01</f>
        <v>2.31</v>
      </c>
      <c r="F115" s="801">
        <f>F114*E115</f>
        <v>0</v>
      </c>
      <c r="G115" s="223"/>
      <c r="H115" s="223"/>
      <c r="I115" s="223">
        <v>7.8</v>
      </c>
      <c r="J115" s="223">
        <f>F115*I115</f>
        <v>0</v>
      </c>
      <c r="K115" s="223"/>
      <c r="L115" s="223"/>
      <c r="M115" s="223">
        <f t="shared" ref="M115:M120" si="16">H115+J115+L115</f>
        <v>0</v>
      </c>
      <c r="N115" s="816"/>
    </row>
    <row r="116" spans="1:14" s="73" customFormat="1" ht="16.5" hidden="1" x14ac:dyDescent="0.25">
      <c r="A116" s="1266"/>
      <c r="B116" s="707"/>
      <c r="C116" s="755" t="s">
        <v>5</v>
      </c>
      <c r="D116" s="43" t="s">
        <v>4</v>
      </c>
      <c r="E116" s="802">
        <f>3.27*0.01</f>
        <v>3.27E-2</v>
      </c>
      <c r="F116" s="799">
        <f>F114*E116</f>
        <v>0</v>
      </c>
      <c r="G116" s="223"/>
      <c r="H116" s="223"/>
      <c r="I116" s="223"/>
      <c r="J116" s="223"/>
      <c r="K116" s="223">
        <v>4</v>
      </c>
      <c r="L116" s="223">
        <f>F116*K116</f>
        <v>0</v>
      </c>
      <c r="M116" s="223">
        <f t="shared" si="16"/>
        <v>0</v>
      </c>
      <c r="N116" s="816"/>
    </row>
    <row r="117" spans="1:14" s="73" customFormat="1" ht="63" hidden="1" x14ac:dyDescent="0.25">
      <c r="A117" s="1266"/>
      <c r="B117" s="782" t="s">
        <v>803</v>
      </c>
      <c r="C117" s="783" t="s">
        <v>804</v>
      </c>
      <c r="D117" s="782" t="s">
        <v>27</v>
      </c>
      <c r="E117" s="800">
        <v>1.05</v>
      </c>
      <c r="F117" s="803">
        <f>E117*F114</f>
        <v>0</v>
      </c>
      <c r="G117" s="223">
        <v>6.5</v>
      </c>
      <c r="H117" s="223">
        <f>F117*G117</f>
        <v>0</v>
      </c>
      <c r="I117" s="223"/>
      <c r="J117" s="223"/>
      <c r="K117" s="223"/>
      <c r="L117" s="223"/>
      <c r="M117" s="223">
        <f t="shared" si="16"/>
        <v>0</v>
      </c>
      <c r="N117" s="816"/>
    </row>
    <row r="118" spans="1:14" s="73" customFormat="1" ht="16.5" hidden="1" x14ac:dyDescent="0.25">
      <c r="A118" s="1266"/>
      <c r="B118" s="782" t="s">
        <v>805</v>
      </c>
      <c r="C118" s="785" t="s">
        <v>806</v>
      </c>
      <c r="D118" s="784" t="s">
        <v>47</v>
      </c>
      <c r="E118" s="804">
        <v>1.03</v>
      </c>
      <c r="F118" s="803">
        <f>F114*E118</f>
        <v>0</v>
      </c>
      <c r="G118" s="223">
        <v>3.8</v>
      </c>
      <c r="H118" s="223">
        <f>F118*G118</f>
        <v>0</v>
      </c>
      <c r="I118" s="223"/>
      <c r="J118" s="223"/>
      <c r="K118" s="223"/>
      <c r="L118" s="223"/>
      <c r="M118" s="223">
        <f t="shared" si="16"/>
        <v>0</v>
      </c>
      <c r="N118" s="816"/>
    </row>
    <row r="119" spans="1:14" s="73" customFormat="1" ht="16.5" hidden="1" x14ac:dyDescent="0.25">
      <c r="A119" s="1266"/>
      <c r="B119" s="782"/>
      <c r="C119" s="785" t="s">
        <v>775</v>
      </c>
      <c r="D119" s="784" t="s">
        <v>2</v>
      </c>
      <c r="E119" s="804">
        <v>5</v>
      </c>
      <c r="F119" s="803">
        <f>F114*E119</f>
        <v>0</v>
      </c>
      <c r="G119" s="223">
        <v>1.17</v>
      </c>
      <c r="H119" s="223">
        <f>F119*G119</f>
        <v>0</v>
      </c>
      <c r="I119" s="223"/>
      <c r="J119" s="223"/>
      <c r="K119" s="223"/>
      <c r="L119" s="223"/>
      <c r="M119" s="223">
        <f t="shared" si="16"/>
        <v>0</v>
      </c>
      <c r="N119" s="816"/>
    </row>
    <row r="120" spans="1:14" s="73" customFormat="1" ht="16.5" hidden="1" x14ac:dyDescent="0.25">
      <c r="A120" s="1251"/>
      <c r="B120" s="707"/>
      <c r="C120" s="755" t="s">
        <v>7</v>
      </c>
      <c r="D120" s="43" t="s">
        <v>4</v>
      </c>
      <c r="E120" s="802">
        <f>4.03/100</f>
        <v>4.0300000000000002E-2</v>
      </c>
      <c r="F120" s="751">
        <f>E120*F114</f>
        <v>0</v>
      </c>
      <c r="G120" s="223">
        <v>4</v>
      </c>
      <c r="H120" s="223">
        <f>F120*G120</f>
        <v>0</v>
      </c>
      <c r="I120" s="223"/>
      <c r="J120" s="223"/>
      <c r="K120" s="223"/>
      <c r="L120" s="223"/>
      <c r="M120" s="223">
        <f t="shared" si="16"/>
        <v>0</v>
      </c>
      <c r="N120" s="816"/>
    </row>
    <row r="121" spans="1:14" s="73" customFormat="1" ht="52.5" customHeight="1" x14ac:dyDescent="0.25">
      <c r="A121" s="1389" t="s">
        <v>553</v>
      </c>
      <c r="B121" s="733" t="s">
        <v>807</v>
      </c>
      <c r="C121" s="758" t="s">
        <v>808</v>
      </c>
      <c r="D121" s="278" t="s">
        <v>27</v>
      </c>
      <c r="E121" s="5"/>
      <c r="F121" s="72">
        <f>(4.7+0.2+0.5+2.1+0.5+0.2)*2*3.3-0.8*2.2*2+(0.8+2.2*2)*2*1*0.2+(1.2+0.4)*2*2*1*0.2</f>
        <v>53.959999999999987</v>
      </c>
      <c r="G121" s="223"/>
      <c r="H121" s="223"/>
      <c r="I121" s="223"/>
      <c r="J121" s="223"/>
      <c r="K121" s="223"/>
      <c r="L121" s="223"/>
      <c r="M121" s="223"/>
      <c r="N121" s="816"/>
    </row>
    <row r="122" spans="1:14" s="73" customFormat="1" ht="16.5" x14ac:dyDescent="0.25">
      <c r="A122" s="1389"/>
      <c r="B122" s="733"/>
      <c r="C122" s="734" t="s">
        <v>494</v>
      </c>
      <c r="D122" s="735" t="s">
        <v>14</v>
      </c>
      <c r="E122" s="795">
        <v>0.65800000000000003</v>
      </c>
      <c r="F122" s="796">
        <f>E122*F121</f>
        <v>35.505679999999991</v>
      </c>
      <c r="G122" s="223"/>
      <c r="H122" s="223"/>
      <c r="I122" s="223"/>
      <c r="J122" s="223">
        <f>F122*I122</f>
        <v>0</v>
      </c>
      <c r="K122" s="223"/>
      <c r="L122" s="223"/>
      <c r="M122" s="223">
        <f t="shared" ref="M122:M128" si="17">H122+J122+L122</f>
        <v>0</v>
      </c>
      <c r="N122" s="816"/>
    </row>
    <row r="123" spans="1:14" s="73" customFormat="1" ht="16.5" x14ac:dyDescent="0.25">
      <c r="A123" s="1389"/>
      <c r="B123" s="733"/>
      <c r="C123" s="734" t="s">
        <v>5</v>
      </c>
      <c r="D123" s="735" t="s">
        <v>4</v>
      </c>
      <c r="E123" s="795">
        <v>0.01</v>
      </c>
      <c r="F123" s="796">
        <f>E123*F121</f>
        <v>0.53959999999999986</v>
      </c>
      <c r="G123" s="223"/>
      <c r="H123" s="223"/>
      <c r="I123" s="223"/>
      <c r="J123" s="223"/>
      <c r="K123" s="223"/>
      <c r="L123" s="223">
        <f>F123*K123</f>
        <v>0</v>
      </c>
      <c r="M123" s="223">
        <f t="shared" si="17"/>
        <v>0</v>
      </c>
      <c r="N123" s="816"/>
    </row>
    <row r="124" spans="1:14" s="73" customFormat="1" ht="16.5" x14ac:dyDescent="0.25">
      <c r="A124" s="1389"/>
      <c r="B124" s="733"/>
      <c r="C124" s="734" t="s">
        <v>809</v>
      </c>
      <c r="D124" s="735" t="s">
        <v>2</v>
      </c>
      <c r="E124" s="795">
        <v>0.5</v>
      </c>
      <c r="F124" s="796">
        <f>F121*E124</f>
        <v>26.979999999999993</v>
      </c>
      <c r="G124" s="223"/>
      <c r="H124" s="223">
        <f>F124*G124</f>
        <v>0</v>
      </c>
      <c r="I124" s="223"/>
      <c r="J124" s="223"/>
      <c r="K124" s="223"/>
      <c r="L124" s="223"/>
      <c r="M124" s="223">
        <f t="shared" si="17"/>
        <v>0</v>
      </c>
      <c r="N124" s="816"/>
    </row>
    <row r="125" spans="1:14" s="73" customFormat="1" ht="16.5" x14ac:dyDescent="0.25">
      <c r="A125" s="1389"/>
      <c r="B125" s="733"/>
      <c r="C125" s="734" t="s">
        <v>810</v>
      </c>
      <c r="D125" s="735" t="s">
        <v>47</v>
      </c>
      <c r="E125" s="795">
        <v>0.05</v>
      </c>
      <c r="F125" s="796">
        <f>F121*E125</f>
        <v>2.6979999999999995</v>
      </c>
      <c r="G125" s="223"/>
      <c r="H125" s="223">
        <f>F125*G125</f>
        <v>0</v>
      </c>
      <c r="I125" s="223"/>
      <c r="J125" s="223"/>
      <c r="K125" s="223"/>
      <c r="L125" s="223"/>
      <c r="M125" s="223">
        <f t="shared" si="17"/>
        <v>0</v>
      </c>
      <c r="N125" s="816"/>
    </row>
    <row r="126" spans="1:14" s="73" customFormat="1" ht="16.5" x14ac:dyDescent="0.25">
      <c r="A126" s="1389"/>
      <c r="B126" s="733"/>
      <c r="C126" s="734" t="s">
        <v>811</v>
      </c>
      <c r="D126" s="735" t="s">
        <v>2</v>
      </c>
      <c r="E126" s="795">
        <v>0.15</v>
      </c>
      <c r="F126" s="796">
        <f>F121*E126</f>
        <v>8.0939999999999976</v>
      </c>
      <c r="G126" s="223"/>
      <c r="H126" s="223">
        <f>F126*G126</f>
        <v>0</v>
      </c>
      <c r="I126" s="223"/>
      <c r="J126" s="223"/>
      <c r="K126" s="223"/>
      <c r="L126" s="223"/>
      <c r="M126" s="223">
        <f t="shared" si="17"/>
        <v>0</v>
      </c>
      <c r="N126" s="816"/>
    </row>
    <row r="127" spans="1:14" s="73" customFormat="1" ht="16.5" x14ac:dyDescent="0.25">
      <c r="A127" s="1389"/>
      <c r="B127" s="733"/>
      <c r="C127" s="734" t="s">
        <v>812</v>
      </c>
      <c r="D127" s="735" t="s">
        <v>81</v>
      </c>
      <c r="E127" s="795">
        <v>0.45</v>
      </c>
      <c r="F127" s="796">
        <f>E127*F121</f>
        <v>24.281999999999993</v>
      </c>
      <c r="G127" s="223"/>
      <c r="H127" s="223">
        <f>F127*G127</f>
        <v>0</v>
      </c>
      <c r="I127" s="223"/>
      <c r="J127" s="223"/>
      <c r="K127" s="223"/>
      <c r="L127" s="223"/>
      <c r="M127" s="223">
        <f t="shared" si="17"/>
        <v>0</v>
      </c>
      <c r="N127" s="816"/>
    </row>
    <row r="128" spans="1:14" s="73" customFormat="1" ht="16.5" x14ac:dyDescent="0.25">
      <c r="A128" s="1389"/>
      <c r="B128" s="733"/>
      <c r="C128" s="734" t="s">
        <v>7</v>
      </c>
      <c r="D128" s="735" t="s">
        <v>4</v>
      </c>
      <c r="E128" s="795">
        <v>1.2999999999999999E-3</v>
      </c>
      <c r="F128" s="796">
        <f>E128*F121</f>
        <v>7.0147999999999974E-2</v>
      </c>
      <c r="G128" s="223"/>
      <c r="H128" s="223">
        <f>F128*G128</f>
        <v>0</v>
      </c>
      <c r="I128" s="223"/>
      <c r="J128" s="223"/>
      <c r="K128" s="223"/>
      <c r="L128" s="223"/>
      <c r="M128" s="223">
        <f t="shared" si="17"/>
        <v>0</v>
      </c>
      <c r="N128" s="816"/>
    </row>
    <row r="129" spans="1:14" s="73" customFormat="1" ht="16.5" x14ac:dyDescent="0.25">
      <c r="A129" s="368"/>
      <c r="B129" s="484"/>
      <c r="C129" s="632"/>
      <c r="D129" s="87"/>
      <c r="E129" s="10"/>
      <c r="F129" s="23"/>
      <c r="G129" s="748"/>
      <c r="H129" s="748"/>
      <c r="I129" s="748"/>
      <c r="J129" s="748"/>
      <c r="K129" s="748"/>
      <c r="L129" s="748"/>
      <c r="M129" s="748"/>
      <c r="N129" s="816"/>
    </row>
    <row r="130" spans="1:14" s="79" customFormat="1" ht="108" customHeight="1" x14ac:dyDescent="0.25">
      <c r="A130" s="1258" t="s">
        <v>698</v>
      </c>
      <c r="B130" s="225" t="s">
        <v>136</v>
      </c>
      <c r="C130" s="62" t="s">
        <v>271</v>
      </c>
      <c r="D130" s="484" t="s">
        <v>11</v>
      </c>
      <c r="E130" s="524"/>
      <c r="F130" s="23">
        <v>5</v>
      </c>
      <c r="G130" s="748"/>
      <c r="H130" s="748"/>
      <c r="I130" s="748"/>
      <c r="J130" s="748"/>
      <c r="K130" s="748"/>
      <c r="L130" s="748"/>
      <c r="M130" s="748"/>
      <c r="N130" s="817"/>
    </row>
    <row r="131" spans="1:14" s="79" customFormat="1" ht="27" x14ac:dyDescent="0.25">
      <c r="A131" s="1258"/>
      <c r="B131" s="484"/>
      <c r="C131" s="125" t="s">
        <v>54</v>
      </c>
      <c r="D131" s="45" t="s">
        <v>6</v>
      </c>
      <c r="E131" s="418">
        <v>0.6</v>
      </c>
      <c r="F131" s="46">
        <f>F130*E131</f>
        <v>3</v>
      </c>
      <c r="G131" s="19"/>
      <c r="H131" s="748"/>
      <c r="I131" s="19"/>
      <c r="J131" s="748">
        <f>F131*I131</f>
        <v>0</v>
      </c>
      <c r="K131" s="748"/>
      <c r="L131" s="748"/>
      <c r="M131" s="748">
        <f>H131+J131+L131</f>
        <v>0</v>
      </c>
      <c r="N131" s="817"/>
    </row>
    <row r="132" spans="1:14" s="79" customFormat="1" ht="47.25" x14ac:dyDescent="0.25">
      <c r="A132" s="1258"/>
      <c r="B132" s="83" t="s">
        <v>91</v>
      </c>
      <c r="C132" s="126" t="s">
        <v>55</v>
      </c>
      <c r="D132" s="484" t="s">
        <v>38</v>
      </c>
      <c r="E132" s="418"/>
      <c r="F132" s="84">
        <f>F130*1.65</f>
        <v>8.25</v>
      </c>
      <c r="G132" s="19"/>
      <c r="H132" s="748"/>
      <c r="I132" s="19"/>
      <c r="J132" s="748"/>
      <c r="K132" s="19"/>
      <c r="L132" s="748"/>
      <c r="M132" s="748"/>
      <c r="N132" s="817"/>
    </row>
    <row r="133" spans="1:14" s="79" customFormat="1" ht="27" x14ac:dyDescent="0.25">
      <c r="A133" s="1258"/>
      <c r="B133" s="362"/>
      <c r="C133" s="44" t="s">
        <v>56</v>
      </c>
      <c r="D133" s="45" t="s">
        <v>6</v>
      </c>
      <c r="E133" s="418">
        <v>0.53</v>
      </c>
      <c r="F133" s="46">
        <f>F132*E133</f>
        <v>4.3725000000000005</v>
      </c>
      <c r="G133" s="19"/>
      <c r="H133" s="748"/>
      <c r="I133" s="19"/>
      <c r="J133" s="748">
        <f>F133*I133</f>
        <v>0</v>
      </c>
      <c r="K133" s="19"/>
      <c r="L133" s="748"/>
      <c r="M133" s="748">
        <f>H133+J133+L133</f>
        <v>0</v>
      </c>
      <c r="N133" s="817"/>
    </row>
    <row r="134" spans="1:14" s="79" customFormat="1" ht="31.5" x14ac:dyDescent="0.25">
      <c r="A134" s="1258"/>
      <c r="B134" s="484" t="s">
        <v>137</v>
      </c>
      <c r="C134" s="127" t="s">
        <v>822</v>
      </c>
      <c r="D134" s="484" t="s">
        <v>38</v>
      </c>
      <c r="E134" s="418"/>
      <c r="F134" s="84">
        <f>F132</f>
        <v>8.25</v>
      </c>
      <c r="G134" s="19"/>
      <c r="H134" s="748"/>
      <c r="I134" s="19"/>
      <c r="J134" s="748"/>
      <c r="K134" s="18"/>
      <c r="L134" s="748">
        <f>F134*K134</f>
        <v>0</v>
      </c>
      <c r="M134" s="748">
        <f>H134+J134+L134</f>
        <v>0</v>
      </c>
      <c r="N134" s="818">
        <f>SUM(M130:M134)</f>
        <v>0</v>
      </c>
    </row>
    <row r="135" spans="1:14" x14ac:dyDescent="0.25">
      <c r="A135" s="809"/>
      <c r="B135" s="809"/>
      <c r="C135" s="810"/>
      <c r="D135" s="809"/>
      <c r="E135" s="811"/>
      <c r="F135" s="812"/>
      <c r="G135" s="813"/>
      <c r="H135" s="813"/>
      <c r="I135" s="813"/>
      <c r="J135" s="813"/>
      <c r="K135" s="813"/>
      <c r="L135" s="813"/>
      <c r="M135" s="813"/>
    </row>
    <row r="136" spans="1:14" s="73" customFormat="1" ht="31.5" x14ac:dyDescent="0.25">
      <c r="A136" s="370"/>
      <c r="B136" s="339"/>
      <c r="C136" s="329" t="s">
        <v>1358</v>
      </c>
      <c r="D136" s="339"/>
      <c r="E136" s="340"/>
      <c r="F136" s="341"/>
      <c r="G136" s="342"/>
      <c r="H136" s="342">
        <f>SUM(H8:H135)</f>
        <v>0</v>
      </c>
      <c r="I136" s="342"/>
      <c r="J136" s="342">
        <f>SUM(J8:J135)</f>
        <v>0</v>
      </c>
      <c r="K136" s="342"/>
      <c r="L136" s="342">
        <f>SUM(L8:L135)</f>
        <v>0</v>
      </c>
      <c r="M136" s="342">
        <f>SUM(M8:M135)</f>
        <v>0</v>
      </c>
      <c r="N136" s="814">
        <f>H136+J136+L136</f>
        <v>0</v>
      </c>
    </row>
    <row r="137" spans="1:14" s="73" customFormat="1" ht="31.5" x14ac:dyDescent="0.25">
      <c r="A137" s="371"/>
      <c r="B137" s="308"/>
      <c r="C137" s="309" t="s">
        <v>301</v>
      </c>
      <c r="D137" s="308"/>
      <c r="E137" s="310"/>
      <c r="F137" s="1416"/>
      <c r="G137" s="312"/>
      <c r="H137" s="312"/>
      <c r="I137" s="312"/>
      <c r="J137" s="312"/>
      <c r="K137" s="312"/>
      <c r="L137" s="312"/>
      <c r="M137" s="313">
        <f>H136*F137</f>
        <v>0</v>
      </c>
      <c r="N137" s="816"/>
    </row>
    <row r="138" spans="1:14" s="73" customFormat="1" ht="16.5" x14ac:dyDescent="0.25">
      <c r="A138" s="371"/>
      <c r="B138" s="308"/>
      <c r="C138" s="314" t="s">
        <v>19</v>
      </c>
      <c r="D138" s="308"/>
      <c r="E138" s="310"/>
      <c r="F138" s="315"/>
      <c r="G138" s="312"/>
      <c r="H138" s="312"/>
      <c r="I138" s="312"/>
      <c r="J138" s="312"/>
      <c r="K138" s="312"/>
      <c r="L138" s="312"/>
      <c r="M138" s="313">
        <f>M136+M137</f>
        <v>0</v>
      </c>
      <c r="N138" s="816"/>
    </row>
    <row r="139" spans="1:14" s="73" customFormat="1" ht="20.25" customHeight="1" x14ac:dyDescent="0.25">
      <c r="A139" s="372"/>
      <c r="B139" s="317"/>
      <c r="C139" s="318" t="s">
        <v>302</v>
      </c>
      <c r="D139" s="319"/>
      <c r="E139" s="320"/>
      <c r="F139" s="1417"/>
      <c r="G139" s="305"/>
      <c r="H139" s="305"/>
      <c r="I139" s="305"/>
      <c r="J139" s="305"/>
      <c r="K139" s="305"/>
      <c r="L139" s="305"/>
      <c r="M139" s="305">
        <f>M138*F139</f>
        <v>0</v>
      </c>
      <c r="N139" s="816"/>
    </row>
    <row r="140" spans="1:14" s="155" customFormat="1" ht="16.5" x14ac:dyDescent="0.25">
      <c r="A140" s="373"/>
      <c r="B140" s="322"/>
      <c r="C140" s="314" t="s">
        <v>19</v>
      </c>
      <c r="D140" s="323"/>
      <c r="E140" s="324"/>
      <c r="F140" s="325"/>
      <c r="G140" s="306"/>
      <c r="H140" s="306"/>
      <c r="I140" s="306"/>
      <c r="J140" s="306"/>
      <c r="K140" s="306"/>
      <c r="L140" s="306"/>
      <c r="M140" s="306">
        <f>M138+M139</f>
        <v>0</v>
      </c>
      <c r="N140" s="819"/>
    </row>
    <row r="141" spans="1:14" s="73" customFormat="1" ht="22.5" customHeight="1" x14ac:dyDescent="0.25">
      <c r="A141" s="373"/>
      <c r="B141" s="322"/>
      <c r="C141" s="326" t="s">
        <v>78</v>
      </c>
      <c r="D141" s="323"/>
      <c r="E141" s="324"/>
      <c r="F141" s="1418"/>
      <c r="G141" s="306"/>
      <c r="H141" s="306"/>
      <c r="I141" s="306"/>
      <c r="J141" s="306"/>
      <c r="K141" s="306"/>
      <c r="L141" s="306"/>
      <c r="M141" s="306">
        <f>M140*F141</f>
        <v>0</v>
      </c>
      <c r="N141" s="816"/>
    </row>
    <row r="142" spans="1:14" s="155" customFormat="1" ht="31.5" x14ac:dyDescent="0.25">
      <c r="A142" s="374"/>
      <c r="B142" s="328"/>
      <c r="C142" s="329" t="s">
        <v>1359</v>
      </c>
      <c r="D142" s="330"/>
      <c r="E142" s="331"/>
      <c r="F142" s="332"/>
      <c r="G142" s="333"/>
      <c r="H142" s="333"/>
      <c r="I142" s="333"/>
      <c r="J142" s="333"/>
      <c r="K142" s="333"/>
      <c r="L142" s="333"/>
      <c r="M142" s="1412">
        <f>M140+M141</f>
        <v>0</v>
      </c>
      <c r="N142" s="819"/>
    </row>
    <row r="143" spans="1:14" s="73" customFormat="1" ht="31.5" x14ac:dyDescent="0.25">
      <c r="A143" s="373"/>
      <c r="B143" s="322"/>
      <c r="C143" s="326" t="s">
        <v>1</v>
      </c>
      <c r="D143" s="323"/>
      <c r="E143" s="324"/>
      <c r="F143" s="334" t="s">
        <v>57</v>
      </c>
      <c r="G143" s="306"/>
      <c r="H143" s="306"/>
      <c r="I143" s="306"/>
      <c r="J143" s="306"/>
      <c r="K143" s="306"/>
      <c r="L143" s="306"/>
      <c r="M143" s="306">
        <f>M142*F143</f>
        <v>0</v>
      </c>
      <c r="N143" s="816"/>
    </row>
    <row r="144" spans="1:14" s="73" customFormat="1" ht="16.5" x14ac:dyDescent="0.25">
      <c r="A144" s="373"/>
      <c r="B144" s="322"/>
      <c r="C144" s="346" t="s">
        <v>19</v>
      </c>
      <c r="D144" s="323"/>
      <c r="E144" s="324"/>
      <c r="F144" s="335"/>
      <c r="G144" s="306"/>
      <c r="H144" s="306"/>
      <c r="I144" s="306"/>
      <c r="J144" s="306"/>
      <c r="K144" s="306"/>
      <c r="L144" s="306"/>
      <c r="M144" s="306">
        <f>M142+M143</f>
        <v>0</v>
      </c>
      <c r="N144" s="816"/>
    </row>
    <row r="145" spans="1:14" s="73" customFormat="1" ht="31.5" x14ac:dyDescent="0.25">
      <c r="A145" s="373"/>
      <c r="B145" s="322"/>
      <c r="C145" s="347" t="s">
        <v>303</v>
      </c>
      <c r="D145" s="323"/>
      <c r="E145" s="324"/>
      <c r="F145" s="337">
        <v>0.02</v>
      </c>
      <c r="G145" s="306"/>
      <c r="H145" s="306"/>
      <c r="I145" s="306"/>
      <c r="J145" s="306"/>
      <c r="K145" s="306"/>
      <c r="L145" s="306"/>
      <c r="M145" s="306">
        <f>J136*F145</f>
        <v>0</v>
      </c>
      <c r="N145" s="816"/>
    </row>
    <row r="146" spans="1:14" s="73" customFormat="1" ht="16.5" x14ac:dyDescent="0.25">
      <c r="A146" s="373"/>
      <c r="B146" s="322"/>
      <c r="C146" s="346" t="s">
        <v>19</v>
      </c>
      <c r="D146" s="323"/>
      <c r="E146" s="324"/>
      <c r="F146" s="335"/>
      <c r="G146" s="306"/>
      <c r="H146" s="306"/>
      <c r="I146" s="306"/>
      <c r="J146" s="306"/>
      <c r="K146" s="306"/>
      <c r="L146" s="306"/>
      <c r="M146" s="306">
        <f>M144+M145</f>
        <v>0</v>
      </c>
      <c r="N146" s="816"/>
    </row>
    <row r="147" spans="1:14" s="73" customFormat="1" ht="20.25" customHeight="1" x14ac:dyDescent="0.25">
      <c r="A147" s="373"/>
      <c r="B147" s="322"/>
      <c r="C147" s="348" t="s">
        <v>304</v>
      </c>
      <c r="D147" s="323"/>
      <c r="E147" s="324"/>
      <c r="F147" s="334" t="s">
        <v>58</v>
      </c>
      <c r="G147" s="306"/>
      <c r="H147" s="306"/>
      <c r="I147" s="306"/>
      <c r="J147" s="306"/>
      <c r="K147" s="306"/>
      <c r="L147" s="306"/>
      <c r="M147" s="306">
        <f>M146*F147</f>
        <v>0</v>
      </c>
      <c r="N147" s="816"/>
    </row>
    <row r="148" spans="1:14" s="73" customFormat="1" ht="31.5" x14ac:dyDescent="0.25">
      <c r="A148" s="370"/>
      <c r="B148" s="339"/>
      <c r="C148" s="329" t="s">
        <v>1359</v>
      </c>
      <c r="D148" s="339"/>
      <c r="E148" s="340"/>
      <c r="F148" s="341"/>
      <c r="G148" s="342"/>
      <c r="H148" s="342"/>
      <c r="I148" s="342"/>
      <c r="J148" s="342"/>
      <c r="K148" s="342"/>
      <c r="L148" s="342"/>
      <c r="M148" s="342">
        <f>M146+M147</f>
        <v>0</v>
      </c>
      <c r="N148" s="816"/>
    </row>
  </sheetData>
  <mergeCells count="36">
    <mergeCell ref="A130:A134"/>
    <mergeCell ref="A41:A45"/>
    <mergeCell ref="A48:A52"/>
    <mergeCell ref="A72:A76"/>
    <mergeCell ref="A77:A83"/>
    <mergeCell ref="A84:A90"/>
    <mergeCell ref="A91:A95"/>
    <mergeCell ref="A53:A58"/>
    <mergeCell ref="A96:A102"/>
    <mergeCell ref="A103:A108"/>
    <mergeCell ref="A109:A113"/>
    <mergeCell ref="A114:A120"/>
    <mergeCell ref="A121:A128"/>
    <mergeCell ref="A59:A65"/>
    <mergeCell ref="A66:A71"/>
    <mergeCell ref="A36:A39"/>
    <mergeCell ref="I5:J5"/>
    <mergeCell ref="K5:L5"/>
    <mergeCell ref="M5:M6"/>
    <mergeCell ref="A11:A13"/>
    <mergeCell ref="A14:A16"/>
    <mergeCell ref="A17:A19"/>
    <mergeCell ref="A20:A22"/>
    <mergeCell ref="A23:A25"/>
    <mergeCell ref="A26:A28"/>
    <mergeCell ref="A32:A35"/>
    <mergeCell ref="A1:M1"/>
    <mergeCell ref="A2:M2"/>
    <mergeCell ref="A3:M3"/>
    <mergeCell ref="A4:M4"/>
    <mergeCell ref="A5:A6"/>
    <mergeCell ref="B5:B6"/>
    <mergeCell ref="C5:C6"/>
    <mergeCell ref="D5:D6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79"/>
  <sheetViews>
    <sheetView zoomScale="120" zoomScaleNormal="120" workbookViewId="0">
      <pane xSplit="3" ySplit="9" topLeftCell="D172" activePane="bottomRight" state="frozen"/>
      <selection pane="topRight" activeCell="D1" sqref="D1"/>
      <selection pane="bottomLeft" activeCell="A10" sqref="A10"/>
      <selection pane="bottomRight" activeCell="A177" sqref="A177:L177"/>
    </sheetView>
  </sheetViews>
  <sheetFormatPr defaultColWidth="9.140625" defaultRowHeight="15" x14ac:dyDescent="0.25"/>
  <cols>
    <col min="1" max="1" width="7" style="902" customWidth="1"/>
    <col min="2" max="2" width="9.140625" style="902" customWidth="1"/>
    <col min="3" max="3" width="33.42578125" style="902" customWidth="1"/>
    <col min="4" max="4" width="7.5703125" style="902" customWidth="1"/>
    <col min="5" max="13" width="10.140625" style="902" customWidth="1"/>
    <col min="14" max="17" width="0" style="902" hidden="1" customWidth="1"/>
    <col min="18" max="16384" width="9.140625" style="902"/>
  </cols>
  <sheetData>
    <row r="1" spans="1:13" ht="27" customHeight="1" x14ac:dyDescent="0.25">
      <c r="A1" s="1292" t="str">
        <f>krebsiti!A2</f>
        <v>borjomis municipalitetis daba waRverSi kulturis saxlis mimdebared skveris mowyobis samuSaoebi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</row>
    <row r="2" spans="1:13" ht="21" x14ac:dyDescent="0.25">
      <c r="A2" s="1293" t="s">
        <v>861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</row>
    <row r="3" spans="1:13" ht="15.75" customHeight="1" x14ac:dyDescent="0.25">
      <c r="A3" s="1292" t="s">
        <v>862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1292"/>
    </row>
    <row r="4" spans="1:13" ht="3.75" hidden="1" customHeight="1" x14ac:dyDescent="0.25">
      <c r="A4" s="788"/>
      <c r="B4" s="789"/>
      <c r="C4" s="116"/>
      <c r="D4" s="789"/>
      <c r="E4" s="786"/>
      <c r="F4" s="211"/>
      <c r="G4" s="807"/>
      <c r="H4" s="807"/>
      <c r="I4" s="807"/>
      <c r="J4" s="807"/>
      <c r="K4" s="807"/>
      <c r="L4" s="807"/>
      <c r="M4" s="807"/>
    </row>
    <row r="5" spans="1:13" ht="15.75" x14ac:dyDescent="0.25">
      <c r="A5" s="1292" t="s">
        <v>1357</v>
      </c>
      <c r="B5" s="1292"/>
      <c r="C5" s="1292"/>
      <c r="D5" s="1292"/>
      <c r="E5" s="1292"/>
      <c r="F5" s="1292"/>
      <c r="G5" s="1292"/>
      <c r="H5" s="1292"/>
      <c r="I5" s="1292"/>
      <c r="J5" s="1292"/>
      <c r="K5" s="1292"/>
      <c r="L5" s="1292"/>
      <c r="M5" s="1292"/>
    </row>
    <row r="6" spans="1:13" ht="7.5" hidden="1" customHeight="1" x14ac:dyDescent="0.25">
      <c r="A6" s="375"/>
      <c r="B6" s="74"/>
      <c r="C6" s="116"/>
      <c r="D6" s="74"/>
      <c r="E6" s="787"/>
      <c r="F6" s="829"/>
      <c r="G6" s="75"/>
      <c r="H6" s="75"/>
      <c r="I6" s="75"/>
      <c r="J6" s="75"/>
      <c r="K6" s="75"/>
      <c r="L6" s="75"/>
      <c r="M6" s="75"/>
    </row>
    <row r="7" spans="1:13" ht="33" customHeight="1" x14ac:dyDescent="0.25">
      <c r="A7" s="1258" t="s">
        <v>0</v>
      </c>
      <c r="B7" s="1349" t="s">
        <v>546</v>
      </c>
      <c r="C7" s="1296" t="s">
        <v>547</v>
      </c>
      <c r="D7" s="1349" t="s">
        <v>548</v>
      </c>
      <c r="E7" s="1298" t="s">
        <v>549</v>
      </c>
      <c r="F7" s="1298"/>
      <c r="G7" s="1289" t="s">
        <v>550</v>
      </c>
      <c r="H7" s="1289"/>
      <c r="I7" s="1289" t="s">
        <v>551</v>
      </c>
      <c r="J7" s="1289"/>
      <c r="K7" s="1290" t="s">
        <v>25</v>
      </c>
      <c r="L7" s="1291"/>
      <c r="M7" s="1289" t="s">
        <v>552</v>
      </c>
    </row>
    <row r="8" spans="1:13" ht="31.5" x14ac:dyDescent="0.25">
      <c r="A8" s="1258"/>
      <c r="B8" s="1349"/>
      <c r="C8" s="1297"/>
      <c r="D8" s="1349"/>
      <c r="E8" s="524" t="s">
        <v>12</v>
      </c>
      <c r="F8" s="831" t="s">
        <v>3</v>
      </c>
      <c r="G8" s="828" t="s">
        <v>12</v>
      </c>
      <c r="H8" s="828" t="s">
        <v>3</v>
      </c>
      <c r="I8" s="828" t="s">
        <v>12</v>
      </c>
      <c r="J8" s="828" t="s">
        <v>3</v>
      </c>
      <c r="K8" s="828" t="s">
        <v>12</v>
      </c>
      <c r="L8" s="828" t="s">
        <v>3</v>
      </c>
      <c r="M8" s="1289"/>
    </row>
    <row r="9" spans="1:13" ht="15.75" x14ac:dyDescent="0.25">
      <c r="A9" s="821" t="s">
        <v>93</v>
      </c>
      <c r="B9" s="835" t="s">
        <v>72</v>
      </c>
      <c r="C9" s="830" t="s">
        <v>94</v>
      </c>
      <c r="D9" s="835" t="s">
        <v>87</v>
      </c>
      <c r="E9" s="524" t="s">
        <v>89</v>
      </c>
      <c r="F9" s="831" t="s">
        <v>90</v>
      </c>
      <c r="G9" s="828" t="s">
        <v>82</v>
      </c>
      <c r="H9" s="828" t="s">
        <v>40</v>
      </c>
      <c r="I9" s="828" t="s">
        <v>46</v>
      </c>
      <c r="J9" s="828" t="s">
        <v>48</v>
      </c>
      <c r="K9" s="828" t="s">
        <v>553</v>
      </c>
      <c r="L9" s="828" t="s">
        <v>53</v>
      </c>
      <c r="M9" s="828" t="s">
        <v>554</v>
      </c>
    </row>
    <row r="10" spans="1:13" ht="47.25" x14ac:dyDescent="0.25">
      <c r="A10" s="774"/>
      <c r="B10" s="775"/>
      <c r="C10" s="776" t="s">
        <v>754</v>
      </c>
      <c r="D10" s="1430"/>
      <c r="E10" s="1029"/>
      <c r="F10" s="1413"/>
      <c r="G10" s="828"/>
      <c r="H10" s="828"/>
      <c r="I10" s="828"/>
      <c r="J10" s="828"/>
      <c r="K10" s="828"/>
      <c r="L10" s="828"/>
      <c r="M10" s="828"/>
    </row>
    <row r="11" spans="1:13" s="905" customFormat="1" ht="27" x14ac:dyDescent="0.25">
      <c r="A11" s="903" t="s">
        <v>996</v>
      </c>
      <c r="B11" s="903"/>
      <c r="C11" s="904" t="s">
        <v>864</v>
      </c>
      <c r="D11" s="1431"/>
      <c r="E11" s="1429"/>
      <c r="F11" s="1413"/>
      <c r="G11" s="223"/>
      <c r="H11" s="223"/>
      <c r="I11" s="223"/>
      <c r="J11" s="223"/>
      <c r="K11" s="223"/>
      <c r="L11" s="223"/>
      <c r="M11" s="223"/>
    </row>
    <row r="12" spans="1:13" s="905" customFormat="1" ht="31.5" hidden="1" x14ac:dyDescent="0.25">
      <c r="A12" s="834" t="s">
        <v>93</v>
      </c>
      <c r="B12" s="835" t="s">
        <v>214</v>
      </c>
      <c r="C12" s="582" t="s">
        <v>865</v>
      </c>
      <c r="D12" s="484" t="s">
        <v>66</v>
      </c>
      <c r="E12" s="10"/>
      <c r="F12" s="23">
        <f>F15+F28+F35+F44</f>
        <v>0</v>
      </c>
      <c r="G12" s="828"/>
      <c r="H12" s="223"/>
      <c r="I12" s="828"/>
      <c r="J12" s="8"/>
      <c r="K12" s="828"/>
      <c r="L12" s="223"/>
      <c r="M12" s="223"/>
    </row>
    <row r="13" spans="1:13" s="905" customFormat="1" ht="15.75" hidden="1" x14ac:dyDescent="0.25">
      <c r="A13" s="906"/>
      <c r="B13" s="835"/>
      <c r="C13" s="26" t="s">
        <v>56</v>
      </c>
      <c r="D13" s="835" t="s">
        <v>20</v>
      </c>
      <c r="E13" s="524">
        <v>7.05</v>
      </c>
      <c r="F13" s="831">
        <f>F12*E13</f>
        <v>0</v>
      </c>
      <c r="G13" s="828"/>
      <c r="H13" s="223"/>
      <c r="I13" s="828">
        <v>6</v>
      </c>
      <c r="J13" s="8">
        <f t="shared" ref="J13" si="0">F13*I13</f>
        <v>0</v>
      </c>
      <c r="K13" s="828"/>
      <c r="L13" s="223"/>
      <c r="M13" s="223">
        <f t="shared" ref="M13:M48" si="1">H13+J13+L13</f>
        <v>0</v>
      </c>
    </row>
    <row r="14" spans="1:13" s="905" customFormat="1" ht="27" hidden="1" x14ac:dyDescent="0.25">
      <c r="A14" s="906"/>
      <c r="B14" s="835"/>
      <c r="C14" s="26" t="s">
        <v>196</v>
      </c>
      <c r="D14" s="835" t="s">
        <v>215</v>
      </c>
      <c r="E14" s="524">
        <v>0</v>
      </c>
      <c r="F14" s="831">
        <f>F12*E14</f>
        <v>0</v>
      </c>
      <c r="G14" s="828"/>
      <c r="H14" s="223"/>
      <c r="I14" s="828"/>
      <c r="J14" s="8"/>
      <c r="K14" s="828">
        <v>3.2</v>
      </c>
      <c r="L14" s="223">
        <f t="shared" ref="L14" si="2">F14*K14</f>
        <v>0</v>
      </c>
      <c r="M14" s="223">
        <f t="shared" si="1"/>
        <v>0</v>
      </c>
    </row>
    <row r="15" spans="1:13" s="905" customFormat="1" ht="94.5" hidden="1" x14ac:dyDescent="0.25">
      <c r="A15" s="907" t="s">
        <v>51</v>
      </c>
      <c r="B15" s="43" t="s">
        <v>866</v>
      </c>
      <c r="C15" s="531" t="s">
        <v>867</v>
      </c>
      <c r="D15" s="43" t="s">
        <v>80</v>
      </c>
      <c r="E15" s="5"/>
      <c r="F15" s="878"/>
      <c r="G15" s="828">
        <v>339</v>
      </c>
      <c r="H15" s="223">
        <f t="shared" ref="H15:H48" si="3">F15*G15</f>
        <v>0</v>
      </c>
      <c r="I15" s="682"/>
      <c r="J15" s="223"/>
      <c r="K15" s="682"/>
      <c r="L15" s="223"/>
      <c r="M15" s="223">
        <f t="shared" si="1"/>
        <v>0</v>
      </c>
    </row>
    <row r="16" spans="1:13" s="905" customFormat="1" ht="47.25" hidden="1" x14ac:dyDescent="0.25">
      <c r="A16" s="907"/>
      <c r="B16" s="43"/>
      <c r="C16" s="24" t="s">
        <v>868</v>
      </c>
      <c r="D16" s="834" t="s">
        <v>22</v>
      </c>
      <c r="E16" s="5"/>
      <c r="F16" s="840"/>
      <c r="G16" s="828">
        <v>300</v>
      </c>
      <c r="H16" s="223">
        <f t="shared" si="3"/>
        <v>0</v>
      </c>
      <c r="I16" s="682"/>
      <c r="J16" s="223"/>
      <c r="K16" s="682"/>
      <c r="L16" s="223"/>
      <c r="M16" s="223">
        <f t="shared" si="1"/>
        <v>0</v>
      </c>
    </row>
    <row r="17" spans="1:13" s="905" customFormat="1" ht="47.25" hidden="1" x14ac:dyDescent="0.25">
      <c r="A17" s="907"/>
      <c r="B17" s="43"/>
      <c r="C17" s="24" t="s">
        <v>869</v>
      </c>
      <c r="D17" s="834" t="s">
        <v>22</v>
      </c>
      <c r="E17" s="5"/>
      <c r="F17" s="840"/>
      <c r="G17" s="828">
        <v>300</v>
      </c>
      <c r="H17" s="223">
        <f t="shared" si="3"/>
        <v>0</v>
      </c>
      <c r="I17" s="682"/>
      <c r="J17" s="223"/>
      <c r="K17" s="682"/>
      <c r="L17" s="223"/>
      <c r="M17" s="223">
        <f t="shared" si="1"/>
        <v>0</v>
      </c>
    </row>
    <row r="18" spans="1:13" s="905" customFormat="1" ht="47.25" hidden="1" x14ac:dyDescent="0.25">
      <c r="A18" s="907"/>
      <c r="B18" s="43" t="s">
        <v>870</v>
      </c>
      <c r="C18" s="24" t="s">
        <v>871</v>
      </c>
      <c r="D18" s="834" t="s">
        <v>22</v>
      </c>
      <c r="E18" s="5"/>
      <c r="F18" s="840"/>
      <c r="G18" s="828">
        <v>340</v>
      </c>
      <c r="H18" s="223">
        <f t="shared" si="3"/>
        <v>0</v>
      </c>
      <c r="I18" s="682"/>
      <c r="J18" s="223"/>
      <c r="K18" s="682"/>
      <c r="L18" s="223"/>
      <c r="M18" s="223">
        <f t="shared" si="1"/>
        <v>0</v>
      </c>
    </row>
    <row r="19" spans="1:13" s="905" customFormat="1" ht="63" hidden="1" x14ac:dyDescent="0.25">
      <c r="A19" s="907"/>
      <c r="B19" s="43"/>
      <c r="C19" s="24" t="s">
        <v>872</v>
      </c>
      <c r="D19" s="834" t="s">
        <v>22</v>
      </c>
      <c r="E19" s="5"/>
      <c r="F19" s="840"/>
      <c r="G19" s="828">
        <v>381</v>
      </c>
      <c r="H19" s="223">
        <f t="shared" si="3"/>
        <v>0</v>
      </c>
      <c r="I19" s="682"/>
      <c r="J19" s="223"/>
      <c r="K19" s="682"/>
      <c r="L19" s="223"/>
      <c r="M19" s="223">
        <f t="shared" si="1"/>
        <v>0</v>
      </c>
    </row>
    <row r="20" spans="1:13" s="905" customFormat="1" ht="47.25" hidden="1" x14ac:dyDescent="0.25">
      <c r="A20" s="907"/>
      <c r="B20" s="43"/>
      <c r="C20" s="24" t="s">
        <v>873</v>
      </c>
      <c r="D20" s="834" t="s">
        <v>22</v>
      </c>
      <c r="E20" s="5"/>
      <c r="F20" s="840"/>
      <c r="G20" s="828">
        <v>212</v>
      </c>
      <c r="H20" s="223">
        <f t="shared" si="3"/>
        <v>0</v>
      </c>
      <c r="I20" s="682"/>
      <c r="J20" s="223"/>
      <c r="K20" s="682"/>
      <c r="L20" s="223"/>
      <c r="M20" s="223">
        <f t="shared" si="1"/>
        <v>0</v>
      </c>
    </row>
    <row r="21" spans="1:13" s="905" customFormat="1" ht="47.25" hidden="1" x14ac:dyDescent="0.25">
      <c r="A21" s="907"/>
      <c r="B21" s="43"/>
      <c r="C21" s="24" t="s">
        <v>874</v>
      </c>
      <c r="D21" s="834" t="s">
        <v>22</v>
      </c>
      <c r="E21" s="5"/>
      <c r="F21" s="840"/>
      <c r="G21" s="828">
        <v>199</v>
      </c>
      <c r="H21" s="223">
        <f t="shared" si="3"/>
        <v>0</v>
      </c>
      <c r="I21" s="682"/>
      <c r="J21" s="223"/>
      <c r="K21" s="682"/>
      <c r="L21" s="223"/>
      <c r="M21" s="223">
        <f t="shared" si="1"/>
        <v>0</v>
      </c>
    </row>
    <row r="22" spans="1:13" s="905" customFormat="1" ht="47.25" hidden="1" x14ac:dyDescent="0.25">
      <c r="A22" s="907"/>
      <c r="B22" s="43"/>
      <c r="C22" s="24" t="s">
        <v>875</v>
      </c>
      <c r="D22" s="834" t="s">
        <v>22</v>
      </c>
      <c r="E22" s="5"/>
      <c r="F22" s="840"/>
      <c r="G22" s="828">
        <v>33.9</v>
      </c>
      <c r="H22" s="223">
        <f t="shared" si="3"/>
        <v>0</v>
      </c>
      <c r="I22" s="682"/>
      <c r="J22" s="223"/>
      <c r="K22" s="682"/>
      <c r="L22" s="223"/>
      <c r="M22" s="223">
        <f t="shared" si="1"/>
        <v>0</v>
      </c>
    </row>
    <row r="23" spans="1:13" s="905" customFormat="1" ht="47.25" hidden="1" x14ac:dyDescent="0.25">
      <c r="A23" s="907"/>
      <c r="B23" s="43"/>
      <c r="C23" s="24" t="s">
        <v>876</v>
      </c>
      <c r="D23" s="834" t="s">
        <v>22</v>
      </c>
      <c r="E23" s="5"/>
      <c r="F23" s="840"/>
      <c r="G23" s="828">
        <v>33.9</v>
      </c>
      <c r="H23" s="223">
        <f t="shared" si="3"/>
        <v>0</v>
      </c>
      <c r="I23" s="682"/>
      <c r="J23" s="223"/>
      <c r="K23" s="682"/>
      <c r="L23" s="223"/>
      <c r="M23" s="223">
        <f t="shared" si="1"/>
        <v>0</v>
      </c>
    </row>
    <row r="24" spans="1:13" s="905" customFormat="1" ht="47.25" hidden="1" x14ac:dyDescent="0.25">
      <c r="A24" s="907"/>
      <c r="B24" s="43"/>
      <c r="C24" s="24" t="s">
        <v>877</v>
      </c>
      <c r="D24" s="834" t="s">
        <v>22</v>
      </c>
      <c r="E24" s="5"/>
      <c r="F24" s="840"/>
      <c r="G24" s="828">
        <v>27.1</v>
      </c>
      <c r="H24" s="223">
        <f t="shared" si="3"/>
        <v>0</v>
      </c>
      <c r="I24" s="682"/>
      <c r="J24" s="223"/>
      <c r="K24" s="682"/>
      <c r="L24" s="223"/>
      <c r="M24" s="223">
        <f t="shared" si="1"/>
        <v>0</v>
      </c>
    </row>
    <row r="25" spans="1:13" s="905" customFormat="1" ht="47.25" hidden="1" x14ac:dyDescent="0.25">
      <c r="A25" s="907"/>
      <c r="B25" s="43"/>
      <c r="C25" s="24" t="s">
        <v>878</v>
      </c>
      <c r="D25" s="834" t="s">
        <v>22</v>
      </c>
      <c r="E25" s="5"/>
      <c r="F25" s="840"/>
      <c r="G25" s="828">
        <v>22.9</v>
      </c>
      <c r="H25" s="223">
        <f t="shared" si="3"/>
        <v>0</v>
      </c>
      <c r="I25" s="682"/>
      <c r="J25" s="223"/>
      <c r="K25" s="682"/>
      <c r="L25" s="223"/>
      <c r="M25" s="223">
        <f t="shared" si="1"/>
        <v>0</v>
      </c>
    </row>
    <row r="26" spans="1:13" s="905" customFormat="1" ht="47.25" hidden="1" x14ac:dyDescent="0.25">
      <c r="A26" s="907"/>
      <c r="B26" s="43"/>
      <c r="C26" s="24" t="s">
        <v>879</v>
      </c>
      <c r="D26" s="834" t="s">
        <v>22</v>
      </c>
      <c r="E26" s="5"/>
      <c r="F26" s="831"/>
      <c r="G26" s="828">
        <v>21.8</v>
      </c>
      <c r="H26" s="223">
        <f t="shared" si="3"/>
        <v>0</v>
      </c>
      <c r="I26" s="682"/>
      <c r="J26" s="223"/>
      <c r="K26" s="682"/>
      <c r="L26" s="223"/>
      <c r="M26" s="223">
        <f t="shared" si="1"/>
        <v>0</v>
      </c>
    </row>
    <row r="27" spans="1:13" s="905" customFormat="1" ht="47.25" hidden="1" x14ac:dyDescent="0.25">
      <c r="A27" s="907"/>
      <c r="B27" s="43"/>
      <c r="C27" s="24" t="s">
        <v>880</v>
      </c>
      <c r="D27" s="834" t="s">
        <v>22</v>
      </c>
      <c r="E27" s="5"/>
      <c r="F27" s="840"/>
      <c r="G27" s="828">
        <v>22.9</v>
      </c>
      <c r="H27" s="223">
        <f t="shared" si="3"/>
        <v>0</v>
      </c>
      <c r="I27" s="682"/>
      <c r="J27" s="223"/>
      <c r="K27" s="682"/>
      <c r="L27" s="223"/>
      <c r="M27" s="223">
        <f t="shared" si="1"/>
        <v>0</v>
      </c>
    </row>
    <row r="28" spans="1:13" s="905" customFormat="1" ht="94.5" hidden="1" x14ac:dyDescent="0.25">
      <c r="A28" s="907" t="s">
        <v>85</v>
      </c>
      <c r="B28" s="43"/>
      <c r="C28" s="531" t="s">
        <v>881</v>
      </c>
      <c r="D28" s="834" t="s">
        <v>22</v>
      </c>
      <c r="E28" s="5"/>
      <c r="F28" s="878"/>
      <c r="G28" s="828">
        <v>120</v>
      </c>
      <c r="H28" s="223">
        <f t="shared" si="3"/>
        <v>0</v>
      </c>
      <c r="I28" s="682"/>
      <c r="J28" s="223"/>
      <c r="K28" s="682"/>
      <c r="L28" s="223"/>
      <c r="M28" s="223">
        <f t="shared" si="1"/>
        <v>0</v>
      </c>
    </row>
    <row r="29" spans="1:13" s="905" customFormat="1" ht="47.25" hidden="1" x14ac:dyDescent="0.25">
      <c r="A29" s="907"/>
      <c r="B29" s="43"/>
      <c r="C29" s="24" t="s">
        <v>873</v>
      </c>
      <c r="D29" s="834" t="s">
        <v>22</v>
      </c>
      <c r="E29" s="5"/>
      <c r="F29" s="840"/>
      <c r="G29" s="828">
        <v>212</v>
      </c>
      <c r="H29" s="223">
        <f t="shared" si="3"/>
        <v>0</v>
      </c>
      <c r="I29" s="682"/>
      <c r="J29" s="223"/>
      <c r="K29" s="682"/>
      <c r="L29" s="223"/>
      <c r="M29" s="223">
        <f t="shared" si="1"/>
        <v>0</v>
      </c>
    </row>
    <row r="30" spans="1:13" s="905" customFormat="1" ht="47.25" hidden="1" x14ac:dyDescent="0.25">
      <c r="A30" s="907"/>
      <c r="B30" s="43"/>
      <c r="C30" s="24" t="s">
        <v>878</v>
      </c>
      <c r="D30" s="834" t="s">
        <v>22</v>
      </c>
      <c r="E30" s="5"/>
      <c r="F30" s="840"/>
      <c r="G30" s="828">
        <v>22.9</v>
      </c>
      <c r="H30" s="223">
        <f t="shared" si="3"/>
        <v>0</v>
      </c>
      <c r="I30" s="682"/>
      <c r="J30" s="223"/>
      <c r="K30" s="682"/>
      <c r="L30" s="223"/>
      <c r="M30" s="223">
        <f t="shared" si="1"/>
        <v>0</v>
      </c>
    </row>
    <row r="31" spans="1:13" s="905" customFormat="1" ht="47.25" hidden="1" x14ac:dyDescent="0.25">
      <c r="A31" s="907"/>
      <c r="B31" s="43"/>
      <c r="C31" s="24" t="s">
        <v>875</v>
      </c>
      <c r="D31" s="834" t="s">
        <v>22</v>
      </c>
      <c r="E31" s="5"/>
      <c r="F31" s="840"/>
      <c r="G31" s="828">
        <v>33.9</v>
      </c>
      <c r="H31" s="223">
        <f t="shared" si="3"/>
        <v>0</v>
      </c>
      <c r="I31" s="682"/>
      <c r="J31" s="223"/>
      <c r="K31" s="682"/>
      <c r="L31" s="223"/>
      <c r="M31" s="223">
        <f t="shared" si="1"/>
        <v>0</v>
      </c>
    </row>
    <row r="32" spans="1:13" s="905" customFormat="1" ht="47.25" hidden="1" x14ac:dyDescent="0.25">
      <c r="A32" s="907"/>
      <c r="B32" s="43"/>
      <c r="C32" s="24" t="s">
        <v>882</v>
      </c>
      <c r="D32" s="834" t="s">
        <v>22</v>
      </c>
      <c r="E32" s="2"/>
      <c r="F32" s="840"/>
      <c r="G32" s="828">
        <v>7</v>
      </c>
      <c r="H32" s="223">
        <f t="shared" si="3"/>
        <v>0</v>
      </c>
      <c r="I32" s="682"/>
      <c r="J32" s="223"/>
      <c r="K32" s="682"/>
      <c r="L32" s="223"/>
      <c r="M32" s="223">
        <f t="shared" si="1"/>
        <v>0</v>
      </c>
    </row>
    <row r="33" spans="1:13" s="905" customFormat="1" ht="47.25" hidden="1" x14ac:dyDescent="0.25">
      <c r="A33" s="907"/>
      <c r="B33" s="43"/>
      <c r="C33" s="24" t="s">
        <v>883</v>
      </c>
      <c r="D33" s="834" t="s">
        <v>22</v>
      </c>
      <c r="E33" s="2"/>
      <c r="F33" s="840"/>
      <c r="G33" s="828">
        <v>7</v>
      </c>
      <c r="H33" s="223">
        <f t="shared" si="3"/>
        <v>0</v>
      </c>
      <c r="I33" s="682"/>
      <c r="J33" s="223"/>
      <c r="K33" s="682"/>
      <c r="L33" s="223"/>
      <c r="M33" s="223">
        <f t="shared" si="1"/>
        <v>0</v>
      </c>
    </row>
    <row r="34" spans="1:13" s="905" customFormat="1" ht="78" hidden="1" x14ac:dyDescent="0.25">
      <c r="A34" s="907"/>
      <c r="B34" s="43"/>
      <c r="C34" s="24" t="s">
        <v>884</v>
      </c>
      <c r="D34" s="834" t="s">
        <v>22</v>
      </c>
      <c r="E34" s="2"/>
      <c r="F34" s="840"/>
      <c r="G34" s="828">
        <v>30</v>
      </c>
      <c r="H34" s="223">
        <f t="shared" si="3"/>
        <v>0</v>
      </c>
      <c r="I34" s="682"/>
      <c r="J34" s="223"/>
      <c r="K34" s="682"/>
      <c r="L34" s="223"/>
      <c r="M34" s="223">
        <f t="shared" si="1"/>
        <v>0</v>
      </c>
    </row>
    <row r="35" spans="1:13" s="905" customFormat="1" ht="78.75" hidden="1" x14ac:dyDescent="0.25">
      <c r="A35" s="907" t="s">
        <v>632</v>
      </c>
      <c r="B35" s="43"/>
      <c r="C35" s="531" t="s">
        <v>885</v>
      </c>
      <c r="D35" s="834" t="s">
        <v>22</v>
      </c>
      <c r="E35" s="2"/>
      <c r="F35" s="878"/>
      <c r="G35" s="828">
        <v>120</v>
      </c>
      <c r="H35" s="223">
        <f t="shared" si="3"/>
        <v>0</v>
      </c>
      <c r="I35" s="682"/>
      <c r="J35" s="223"/>
      <c r="K35" s="682"/>
      <c r="L35" s="223"/>
      <c r="M35" s="223">
        <f t="shared" si="1"/>
        <v>0</v>
      </c>
    </row>
    <row r="36" spans="1:13" s="905" customFormat="1" ht="47.25" hidden="1" x14ac:dyDescent="0.25">
      <c r="A36" s="907"/>
      <c r="B36" s="43"/>
      <c r="C36" s="24" t="s">
        <v>873</v>
      </c>
      <c r="D36" s="834" t="s">
        <v>22</v>
      </c>
      <c r="E36" s="5"/>
      <c r="F36" s="840"/>
      <c r="G36" s="828">
        <v>212</v>
      </c>
      <c r="H36" s="223">
        <f t="shared" si="3"/>
        <v>0</v>
      </c>
      <c r="I36" s="682"/>
      <c r="J36" s="223"/>
      <c r="K36" s="682"/>
      <c r="L36" s="223"/>
      <c r="M36" s="223">
        <f t="shared" si="1"/>
        <v>0</v>
      </c>
    </row>
    <row r="37" spans="1:13" s="905" customFormat="1" ht="47.25" hidden="1" x14ac:dyDescent="0.25">
      <c r="A37" s="907"/>
      <c r="B37" s="43"/>
      <c r="C37" s="24" t="s">
        <v>875</v>
      </c>
      <c r="D37" s="834" t="s">
        <v>22</v>
      </c>
      <c r="E37" s="5"/>
      <c r="F37" s="840"/>
      <c r="G37" s="828">
        <v>33.9</v>
      </c>
      <c r="H37" s="223">
        <f t="shared" si="3"/>
        <v>0</v>
      </c>
      <c r="I37" s="682"/>
      <c r="J37" s="223"/>
      <c r="K37" s="682"/>
      <c r="L37" s="223"/>
      <c r="M37" s="223">
        <f t="shared" si="1"/>
        <v>0</v>
      </c>
    </row>
    <row r="38" spans="1:13" s="905" customFormat="1" ht="47.25" hidden="1" x14ac:dyDescent="0.25">
      <c r="A38" s="907"/>
      <c r="B38" s="43"/>
      <c r="C38" s="24" t="s">
        <v>886</v>
      </c>
      <c r="D38" s="834" t="s">
        <v>22</v>
      </c>
      <c r="E38" s="2"/>
      <c r="F38" s="840"/>
      <c r="G38" s="828">
        <v>199</v>
      </c>
      <c r="H38" s="223">
        <f>F38*G38</f>
        <v>0</v>
      </c>
      <c r="I38" s="682"/>
      <c r="J38" s="223"/>
      <c r="K38" s="682"/>
      <c r="L38" s="223"/>
      <c r="M38" s="223">
        <f>H38+J38+L38</f>
        <v>0</v>
      </c>
    </row>
    <row r="39" spans="1:13" s="905" customFormat="1" ht="47.25" hidden="1" x14ac:dyDescent="0.25">
      <c r="A39" s="907"/>
      <c r="B39" s="43"/>
      <c r="C39" s="24" t="s">
        <v>887</v>
      </c>
      <c r="D39" s="834" t="s">
        <v>22</v>
      </c>
      <c r="E39" s="2"/>
      <c r="F39" s="840"/>
      <c r="G39" s="828">
        <v>7</v>
      </c>
      <c r="H39" s="223">
        <f t="shared" si="3"/>
        <v>0</v>
      </c>
      <c r="I39" s="682"/>
      <c r="J39" s="223"/>
      <c r="K39" s="682"/>
      <c r="L39" s="223"/>
      <c r="M39" s="223">
        <f t="shared" si="1"/>
        <v>0</v>
      </c>
    </row>
    <row r="40" spans="1:13" s="905" customFormat="1" ht="47.25" hidden="1" x14ac:dyDescent="0.25">
      <c r="A40" s="907"/>
      <c r="B40" s="43"/>
      <c r="C40" s="24" t="s">
        <v>883</v>
      </c>
      <c r="D40" s="834" t="s">
        <v>22</v>
      </c>
      <c r="E40" s="2"/>
      <c r="F40" s="840"/>
      <c r="G40" s="828">
        <v>7</v>
      </c>
      <c r="H40" s="223">
        <f t="shared" si="3"/>
        <v>0</v>
      </c>
      <c r="I40" s="682"/>
      <c r="J40" s="223"/>
      <c r="K40" s="682"/>
      <c r="L40" s="223"/>
      <c r="M40" s="223">
        <f t="shared" si="1"/>
        <v>0</v>
      </c>
    </row>
    <row r="41" spans="1:13" s="905" customFormat="1" ht="47.25" hidden="1" x14ac:dyDescent="0.25">
      <c r="A41" s="907"/>
      <c r="B41" s="43"/>
      <c r="C41" s="24" t="s">
        <v>888</v>
      </c>
      <c r="D41" s="834" t="s">
        <v>22</v>
      </c>
      <c r="E41" s="2"/>
      <c r="F41" s="840"/>
      <c r="G41" s="828">
        <v>7</v>
      </c>
      <c r="H41" s="223">
        <f t="shared" si="3"/>
        <v>0</v>
      </c>
      <c r="I41" s="682"/>
      <c r="J41" s="223"/>
      <c r="K41" s="682"/>
      <c r="L41" s="223"/>
      <c r="M41" s="223">
        <f t="shared" si="1"/>
        <v>0</v>
      </c>
    </row>
    <row r="42" spans="1:13" s="905" customFormat="1" ht="47.25" hidden="1" x14ac:dyDescent="0.25">
      <c r="A42" s="907"/>
      <c r="B42" s="43"/>
      <c r="C42" s="24" t="s">
        <v>889</v>
      </c>
      <c r="D42" s="834" t="s">
        <v>22</v>
      </c>
      <c r="E42" s="2"/>
      <c r="F42" s="840"/>
      <c r="G42" s="828">
        <v>7</v>
      </c>
      <c r="H42" s="223">
        <f t="shared" si="3"/>
        <v>0</v>
      </c>
      <c r="I42" s="682"/>
      <c r="J42" s="223"/>
      <c r="K42" s="682"/>
      <c r="L42" s="223"/>
      <c r="M42" s="223">
        <f t="shared" si="1"/>
        <v>0</v>
      </c>
    </row>
    <row r="43" spans="1:13" s="905" customFormat="1" ht="47.25" hidden="1" x14ac:dyDescent="0.25">
      <c r="A43" s="907"/>
      <c r="B43" s="43"/>
      <c r="C43" s="24" t="s">
        <v>890</v>
      </c>
      <c r="D43" s="834" t="s">
        <v>22</v>
      </c>
      <c r="E43" s="2"/>
      <c r="F43" s="840"/>
      <c r="G43" s="828">
        <v>22.9</v>
      </c>
      <c r="H43" s="223">
        <f t="shared" si="3"/>
        <v>0</v>
      </c>
      <c r="I43" s="682"/>
      <c r="J43" s="223"/>
      <c r="K43" s="682"/>
      <c r="L43" s="223"/>
      <c r="M43" s="223">
        <f t="shared" si="1"/>
        <v>0</v>
      </c>
    </row>
    <row r="44" spans="1:13" s="905" customFormat="1" ht="78.75" hidden="1" x14ac:dyDescent="0.25">
      <c r="A44" s="907" t="s">
        <v>69</v>
      </c>
      <c r="B44" s="43"/>
      <c r="C44" s="531" t="s">
        <v>891</v>
      </c>
      <c r="D44" s="834" t="s">
        <v>22</v>
      </c>
      <c r="E44" s="2"/>
      <c r="F44" s="878"/>
      <c r="G44" s="828">
        <v>84</v>
      </c>
      <c r="H44" s="223">
        <f t="shared" si="3"/>
        <v>0</v>
      </c>
      <c r="I44" s="682"/>
      <c r="J44" s="223"/>
      <c r="K44" s="682"/>
      <c r="L44" s="223"/>
      <c r="M44" s="223">
        <f t="shared" si="1"/>
        <v>0</v>
      </c>
    </row>
    <row r="45" spans="1:13" s="905" customFormat="1" ht="47.25" hidden="1" x14ac:dyDescent="0.25">
      <c r="A45" s="907"/>
      <c r="B45" s="43"/>
      <c r="C45" s="24" t="s">
        <v>878</v>
      </c>
      <c r="D45" s="834" t="s">
        <v>22</v>
      </c>
      <c r="E45" s="5"/>
      <c r="F45" s="840"/>
      <c r="G45" s="828">
        <v>22.9</v>
      </c>
      <c r="H45" s="223">
        <f t="shared" si="3"/>
        <v>0</v>
      </c>
      <c r="I45" s="682"/>
      <c r="J45" s="223"/>
      <c r="K45" s="682"/>
      <c r="L45" s="223"/>
      <c r="M45" s="223">
        <f t="shared" si="1"/>
        <v>0</v>
      </c>
    </row>
    <row r="46" spans="1:13" s="905" customFormat="1" ht="47.25" hidden="1" x14ac:dyDescent="0.25">
      <c r="A46" s="907"/>
      <c r="B46" s="43"/>
      <c r="C46" s="24" t="s">
        <v>880</v>
      </c>
      <c r="D46" s="834" t="s">
        <v>22</v>
      </c>
      <c r="E46" s="5"/>
      <c r="F46" s="840"/>
      <c r="G46" s="828">
        <v>22.9</v>
      </c>
      <c r="H46" s="223">
        <f t="shared" si="3"/>
        <v>0</v>
      </c>
      <c r="I46" s="682"/>
      <c r="J46" s="223"/>
      <c r="K46" s="682"/>
      <c r="L46" s="223"/>
      <c r="M46" s="223">
        <f t="shared" si="1"/>
        <v>0</v>
      </c>
    </row>
    <row r="47" spans="1:13" s="905" customFormat="1" ht="47.25" hidden="1" x14ac:dyDescent="0.25">
      <c r="A47" s="907"/>
      <c r="B47" s="43"/>
      <c r="C47" s="24" t="s">
        <v>882</v>
      </c>
      <c r="D47" s="834" t="s">
        <v>22</v>
      </c>
      <c r="E47" s="2"/>
      <c r="F47" s="840"/>
      <c r="G47" s="828">
        <v>7</v>
      </c>
      <c r="H47" s="223">
        <f t="shared" si="3"/>
        <v>0</v>
      </c>
      <c r="I47" s="682"/>
      <c r="J47" s="223"/>
      <c r="K47" s="682"/>
      <c r="L47" s="223"/>
      <c r="M47" s="223">
        <f t="shared" si="1"/>
        <v>0</v>
      </c>
    </row>
    <row r="48" spans="1:13" s="905" customFormat="1" ht="47.25" hidden="1" x14ac:dyDescent="0.25">
      <c r="A48" s="907"/>
      <c r="B48" s="43"/>
      <c r="C48" s="24" t="s">
        <v>892</v>
      </c>
      <c r="D48" s="834" t="s">
        <v>22</v>
      </c>
      <c r="E48" s="2"/>
      <c r="F48" s="840"/>
      <c r="G48" s="828">
        <v>7</v>
      </c>
      <c r="H48" s="223">
        <f t="shared" si="3"/>
        <v>0</v>
      </c>
      <c r="I48" s="682"/>
      <c r="J48" s="223"/>
      <c r="K48" s="682"/>
      <c r="L48" s="223"/>
      <c r="M48" s="223">
        <f t="shared" si="1"/>
        <v>0</v>
      </c>
    </row>
    <row r="49" spans="1:13" s="905" customFormat="1" ht="31.5" x14ac:dyDescent="0.25">
      <c r="A49" s="834" t="s">
        <v>72</v>
      </c>
      <c r="B49" s="908"/>
      <c r="C49" s="128" t="s">
        <v>893</v>
      </c>
      <c r="D49" s="43"/>
      <c r="E49" s="909"/>
      <c r="F49" s="910"/>
      <c r="G49" s="12"/>
      <c r="H49" s="223"/>
      <c r="I49" s="911"/>
      <c r="J49" s="223"/>
      <c r="K49" s="912"/>
      <c r="L49" s="223"/>
      <c r="M49" s="223"/>
    </row>
    <row r="50" spans="1:13" s="905" customFormat="1" ht="31.5" x14ac:dyDescent="0.25">
      <c r="A50" s="836" t="s">
        <v>364</v>
      </c>
      <c r="B50" s="835" t="s">
        <v>95</v>
      </c>
      <c r="C50" s="1082" t="s">
        <v>210</v>
      </c>
      <c r="D50" s="835" t="s">
        <v>96</v>
      </c>
      <c r="E50" s="524"/>
      <c r="F50" s="23">
        <f>SUM(F53:F69)</f>
        <v>40</v>
      </c>
      <c r="G50" s="12"/>
      <c r="H50" s="223"/>
      <c r="I50" s="12"/>
      <c r="J50" s="223"/>
      <c r="K50" s="12"/>
      <c r="L50" s="223"/>
      <c r="M50" s="223"/>
    </row>
    <row r="51" spans="1:13" s="905" customFormat="1" ht="15.75" x14ac:dyDescent="0.25">
      <c r="A51" s="837"/>
      <c r="B51" s="835"/>
      <c r="C51" s="26" t="s">
        <v>56</v>
      </c>
      <c r="D51" s="835" t="s">
        <v>20</v>
      </c>
      <c r="E51" s="524">
        <v>0.13900000000000001</v>
      </c>
      <c r="F51" s="831">
        <f>F50*E51</f>
        <v>5.5600000000000005</v>
      </c>
      <c r="G51" s="828"/>
      <c r="H51" s="223"/>
      <c r="I51" s="828"/>
      <c r="J51" s="223">
        <f t="shared" ref="J51" si="4">F51*I51</f>
        <v>0</v>
      </c>
      <c r="K51" s="828"/>
      <c r="L51" s="223"/>
      <c r="M51" s="223">
        <f t="shared" ref="M51:M81" si="5">H51+J51+L51</f>
        <v>0</v>
      </c>
    </row>
    <row r="52" spans="1:13" s="905" customFormat="1" ht="78.75" hidden="1" x14ac:dyDescent="0.25">
      <c r="A52" s="837"/>
      <c r="B52" s="835" t="s">
        <v>894</v>
      </c>
      <c r="C52" s="26" t="s">
        <v>895</v>
      </c>
      <c r="D52" s="835" t="s">
        <v>693</v>
      </c>
      <c r="E52" s="524"/>
      <c r="F52" s="831"/>
      <c r="G52" s="828">
        <v>17.899999999999999</v>
      </c>
      <c r="H52" s="223">
        <f t="shared" ref="H52:H115" si="6">F52*G52</f>
        <v>0</v>
      </c>
      <c r="I52" s="682"/>
      <c r="J52" s="223"/>
      <c r="K52" s="828"/>
      <c r="L52" s="223"/>
      <c r="M52" s="223">
        <f t="shared" si="5"/>
        <v>0</v>
      </c>
    </row>
    <row r="53" spans="1:13" s="905" customFormat="1" ht="63" hidden="1" x14ac:dyDescent="0.25">
      <c r="A53" s="837"/>
      <c r="B53" s="835"/>
      <c r="C53" s="26" t="s">
        <v>896</v>
      </c>
      <c r="D53" s="835" t="s">
        <v>693</v>
      </c>
      <c r="E53" s="524"/>
      <c r="F53" s="831"/>
      <c r="G53" s="828">
        <v>9.0399999999999991</v>
      </c>
      <c r="H53" s="223">
        <f t="shared" si="6"/>
        <v>0</v>
      </c>
      <c r="I53" s="682"/>
      <c r="J53" s="223"/>
      <c r="K53" s="828"/>
      <c r="L53" s="223"/>
      <c r="M53" s="223">
        <f t="shared" si="5"/>
        <v>0</v>
      </c>
    </row>
    <row r="54" spans="1:13" s="905" customFormat="1" ht="78.75" hidden="1" x14ac:dyDescent="0.25">
      <c r="A54" s="837"/>
      <c r="B54" s="835"/>
      <c r="C54" s="26" t="s">
        <v>897</v>
      </c>
      <c r="D54" s="835" t="s">
        <v>693</v>
      </c>
      <c r="E54" s="524"/>
      <c r="F54" s="831"/>
      <c r="G54" s="828">
        <v>8.01</v>
      </c>
      <c r="H54" s="223">
        <f t="shared" si="6"/>
        <v>0</v>
      </c>
      <c r="I54" s="682"/>
      <c r="J54" s="223"/>
      <c r="K54" s="828"/>
      <c r="L54" s="223"/>
      <c r="M54" s="223">
        <f t="shared" si="5"/>
        <v>0</v>
      </c>
    </row>
    <row r="55" spans="1:13" s="905" customFormat="1" ht="78.75" hidden="1" x14ac:dyDescent="0.25">
      <c r="A55" s="837"/>
      <c r="B55" s="835"/>
      <c r="C55" s="26" t="s">
        <v>898</v>
      </c>
      <c r="D55" s="835" t="s">
        <v>693</v>
      </c>
      <c r="E55" s="524"/>
      <c r="F55" s="831"/>
      <c r="G55" s="828">
        <v>4</v>
      </c>
      <c r="H55" s="223">
        <f t="shared" si="6"/>
        <v>0</v>
      </c>
      <c r="I55" s="682"/>
      <c r="J55" s="223"/>
      <c r="K55" s="828"/>
      <c r="L55" s="223"/>
      <c r="M55" s="223">
        <f t="shared" si="5"/>
        <v>0</v>
      </c>
    </row>
    <row r="56" spans="1:13" s="905" customFormat="1" ht="78.75" hidden="1" x14ac:dyDescent="0.25">
      <c r="A56" s="837"/>
      <c r="B56" s="835"/>
      <c r="C56" s="26" t="s">
        <v>899</v>
      </c>
      <c r="D56" s="835" t="s">
        <v>693</v>
      </c>
      <c r="E56" s="524"/>
      <c r="F56" s="831"/>
      <c r="G56" s="828">
        <v>2.0499999999999998</v>
      </c>
      <c r="H56" s="223">
        <f t="shared" si="6"/>
        <v>0</v>
      </c>
      <c r="I56" s="682"/>
      <c r="J56" s="223"/>
      <c r="K56" s="828"/>
      <c r="L56" s="223"/>
      <c r="M56" s="223">
        <f t="shared" si="5"/>
        <v>0</v>
      </c>
    </row>
    <row r="57" spans="1:13" s="905" customFormat="1" ht="94.5" hidden="1" x14ac:dyDescent="0.25">
      <c r="A57" s="837"/>
      <c r="B57" s="835" t="s">
        <v>900</v>
      </c>
      <c r="C57" s="26" t="s">
        <v>901</v>
      </c>
      <c r="D57" s="835" t="s">
        <v>693</v>
      </c>
      <c r="E57" s="524"/>
      <c r="F57" s="831"/>
      <c r="G57" s="828">
        <v>42.7</v>
      </c>
      <c r="H57" s="223">
        <f t="shared" si="6"/>
        <v>0</v>
      </c>
      <c r="I57" s="682"/>
      <c r="J57" s="223"/>
      <c r="K57" s="828"/>
      <c r="L57" s="223"/>
      <c r="M57" s="223">
        <f t="shared" si="5"/>
        <v>0</v>
      </c>
    </row>
    <row r="58" spans="1:13" s="905" customFormat="1" ht="94.5" hidden="1" x14ac:dyDescent="0.25">
      <c r="A58" s="837"/>
      <c r="B58" s="835" t="s">
        <v>902</v>
      </c>
      <c r="C58" s="26" t="s">
        <v>903</v>
      </c>
      <c r="D58" s="835" t="s">
        <v>693</v>
      </c>
      <c r="E58" s="524"/>
      <c r="F58" s="831"/>
      <c r="G58" s="828">
        <v>30.5</v>
      </c>
      <c r="H58" s="223">
        <f t="shared" si="6"/>
        <v>0</v>
      </c>
      <c r="I58" s="682"/>
      <c r="J58" s="223"/>
      <c r="K58" s="828"/>
      <c r="L58" s="223"/>
      <c r="M58" s="223">
        <f t="shared" si="5"/>
        <v>0</v>
      </c>
    </row>
    <row r="59" spans="1:13" s="905" customFormat="1" ht="94.5" hidden="1" x14ac:dyDescent="0.25">
      <c r="A59" s="837"/>
      <c r="B59" s="835" t="s">
        <v>904</v>
      </c>
      <c r="C59" s="26" t="s">
        <v>905</v>
      </c>
      <c r="D59" s="835" t="s">
        <v>693</v>
      </c>
      <c r="E59" s="524"/>
      <c r="F59" s="831"/>
      <c r="G59" s="828">
        <v>19.52</v>
      </c>
      <c r="H59" s="223">
        <f t="shared" si="6"/>
        <v>0</v>
      </c>
      <c r="I59" s="682"/>
      <c r="J59" s="223"/>
      <c r="K59" s="828"/>
      <c r="L59" s="223"/>
      <c r="M59" s="223">
        <f t="shared" si="5"/>
        <v>0</v>
      </c>
    </row>
    <row r="60" spans="1:13" s="905" customFormat="1" ht="99" hidden="1" x14ac:dyDescent="0.25">
      <c r="A60" s="837"/>
      <c r="B60" s="835"/>
      <c r="C60" s="26" t="s">
        <v>906</v>
      </c>
      <c r="D60" s="835" t="s">
        <v>693</v>
      </c>
      <c r="E60" s="524"/>
      <c r="F60" s="831"/>
      <c r="G60" s="828">
        <v>3.66</v>
      </c>
      <c r="H60" s="223">
        <f t="shared" si="6"/>
        <v>0</v>
      </c>
      <c r="I60" s="682"/>
      <c r="J60" s="223"/>
      <c r="K60" s="828"/>
      <c r="L60" s="223"/>
      <c r="M60" s="223">
        <f t="shared" si="5"/>
        <v>0</v>
      </c>
    </row>
    <row r="61" spans="1:13" s="905" customFormat="1" ht="99" hidden="1" x14ac:dyDescent="0.25">
      <c r="A61" s="837"/>
      <c r="B61" s="835"/>
      <c r="C61" s="26" t="s">
        <v>907</v>
      </c>
      <c r="D61" s="835" t="s">
        <v>693</v>
      </c>
      <c r="E61" s="524"/>
      <c r="F61" s="831"/>
      <c r="G61" s="828">
        <v>5.49</v>
      </c>
      <c r="H61" s="223">
        <f t="shared" si="6"/>
        <v>0</v>
      </c>
      <c r="I61" s="682"/>
      <c r="J61" s="223"/>
      <c r="K61" s="828"/>
      <c r="L61" s="223"/>
      <c r="M61" s="223">
        <f t="shared" si="5"/>
        <v>0</v>
      </c>
    </row>
    <row r="62" spans="1:13" s="905" customFormat="1" ht="99" hidden="1" x14ac:dyDescent="0.25">
      <c r="A62" s="837"/>
      <c r="B62" s="835" t="s">
        <v>908</v>
      </c>
      <c r="C62" s="26" t="s">
        <v>909</v>
      </c>
      <c r="D62" s="835" t="s">
        <v>693</v>
      </c>
      <c r="E62" s="524"/>
      <c r="F62" s="831"/>
      <c r="G62" s="828">
        <v>9.15</v>
      </c>
      <c r="H62" s="223">
        <f t="shared" si="6"/>
        <v>0</v>
      </c>
      <c r="I62" s="682"/>
      <c r="J62" s="223"/>
      <c r="K62" s="828"/>
      <c r="L62" s="223"/>
      <c r="M62" s="223">
        <f t="shared" si="5"/>
        <v>0</v>
      </c>
    </row>
    <row r="63" spans="1:13" s="905" customFormat="1" ht="99" hidden="1" x14ac:dyDescent="0.25">
      <c r="A63" s="837"/>
      <c r="B63" s="835"/>
      <c r="C63" s="26" t="s">
        <v>910</v>
      </c>
      <c r="D63" s="835" t="s">
        <v>693</v>
      </c>
      <c r="E63" s="524"/>
      <c r="F63" s="831"/>
      <c r="G63" s="828">
        <v>7.63</v>
      </c>
      <c r="H63" s="223">
        <f t="shared" si="6"/>
        <v>0</v>
      </c>
      <c r="I63" s="682"/>
      <c r="J63" s="223"/>
      <c r="K63" s="828"/>
      <c r="L63" s="223"/>
      <c r="M63" s="223">
        <f t="shared" si="5"/>
        <v>0</v>
      </c>
    </row>
    <row r="64" spans="1:13" s="905" customFormat="1" ht="99" hidden="1" x14ac:dyDescent="0.25">
      <c r="A64" s="837"/>
      <c r="B64" s="835" t="s">
        <v>911</v>
      </c>
      <c r="C64" s="26" t="s">
        <v>912</v>
      </c>
      <c r="D64" s="835" t="s">
        <v>693</v>
      </c>
      <c r="E64" s="524"/>
      <c r="F64" s="831"/>
      <c r="G64" s="828">
        <v>3.81</v>
      </c>
      <c r="H64" s="223">
        <f t="shared" si="6"/>
        <v>0</v>
      </c>
      <c r="I64" s="682"/>
      <c r="J64" s="223"/>
      <c r="K64" s="828"/>
      <c r="L64" s="223"/>
      <c r="M64" s="223">
        <f t="shared" si="5"/>
        <v>0</v>
      </c>
    </row>
    <row r="65" spans="1:13" s="905" customFormat="1" ht="99" hidden="1" x14ac:dyDescent="0.25">
      <c r="A65" s="837"/>
      <c r="B65" s="835" t="s">
        <v>913</v>
      </c>
      <c r="C65" s="26" t="s">
        <v>914</v>
      </c>
      <c r="D65" s="835" t="s">
        <v>693</v>
      </c>
      <c r="E65" s="524"/>
      <c r="F65" s="831"/>
      <c r="G65" s="828">
        <v>2.29</v>
      </c>
      <c r="H65" s="223">
        <f t="shared" si="6"/>
        <v>0</v>
      </c>
      <c r="I65" s="682"/>
      <c r="J65" s="223"/>
      <c r="K65" s="828"/>
      <c r="L65" s="223"/>
      <c r="M65" s="223">
        <f t="shared" si="5"/>
        <v>0</v>
      </c>
    </row>
    <row r="66" spans="1:13" s="905" customFormat="1" ht="81" hidden="1" x14ac:dyDescent="0.25">
      <c r="A66" s="837"/>
      <c r="B66" s="835" t="s">
        <v>915</v>
      </c>
      <c r="C66" s="26" t="s">
        <v>916</v>
      </c>
      <c r="D66" s="835" t="s">
        <v>693</v>
      </c>
      <c r="E66" s="63">
        <v>40</v>
      </c>
      <c r="F66" s="1153">
        <v>0</v>
      </c>
      <c r="G66" s="828">
        <v>2.86</v>
      </c>
      <c r="H66" s="223">
        <f t="shared" si="6"/>
        <v>0</v>
      </c>
      <c r="I66" s="682"/>
      <c r="J66" s="223"/>
      <c r="K66" s="828"/>
      <c r="L66" s="223"/>
      <c r="M66" s="223">
        <f t="shared" si="5"/>
        <v>0</v>
      </c>
    </row>
    <row r="67" spans="1:13" s="905" customFormat="1" ht="78" customHeight="1" x14ac:dyDescent="0.25">
      <c r="A67" s="837"/>
      <c r="B67" s="835" t="s">
        <v>917</v>
      </c>
      <c r="C67" s="26" t="s">
        <v>918</v>
      </c>
      <c r="D67" s="835" t="s">
        <v>693</v>
      </c>
      <c r="E67" s="1093"/>
      <c r="F67" s="1122">
        <v>40</v>
      </c>
      <c r="G67" s="828"/>
      <c r="H67" s="223">
        <f t="shared" si="6"/>
        <v>0</v>
      </c>
      <c r="I67" s="682"/>
      <c r="J67" s="223"/>
      <c r="K67" s="828"/>
      <c r="L67" s="223"/>
      <c r="M67" s="223">
        <f t="shared" si="5"/>
        <v>0</v>
      </c>
    </row>
    <row r="68" spans="1:13" s="905" customFormat="1" ht="47.25" hidden="1" x14ac:dyDescent="0.25">
      <c r="A68" s="837"/>
      <c r="B68" s="835"/>
      <c r="C68" s="26" t="s">
        <v>919</v>
      </c>
      <c r="D68" s="835" t="s">
        <v>693</v>
      </c>
      <c r="E68" s="1093"/>
      <c r="F68" s="1122"/>
      <c r="G68" s="828">
        <v>15</v>
      </c>
      <c r="H68" s="223">
        <f t="shared" si="6"/>
        <v>0</v>
      </c>
      <c r="I68" s="682"/>
      <c r="J68" s="223"/>
      <c r="K68" s="828"/>
      <c r="L68" s="223"/>
      <c r="M68" s="223">
        <f t="shared" si="5"/>
        <v>0</v>
      </c>
    </row>
    <row r="69" spans="1:13" s="905" customFormat="1" ht="81" hidden="1" x14ac:dyDescent="0.25">
      <c r="A69" s="837"/>
      <c r="B69" s="835"/>
      <c r="C69" s="26" t="s">
        <v>920</v>
      </c>
      <c r="D69" s="835" t="s">
        <v>693</v>
      </c>
      <c r="E69" s="1093"/>
      <c r="F69" s="1122"/>
      <c r="G69" s="828">
        <v>1.1399999999999999</v>
      </c>
      <c r="H69" s="223">
        <f t="shared" si="6"/>
        <v>0</v>
      </c>
      <c r="I69" s="682"/>
      <c r="J69" s="223"/>
      <c r="K69" s="828"/>
      <c r="L69" s="223"/>
      <c r="M69" s="223">
        <f t="shared" si="5"/>
        <v>0</v>
      </c>
    </row>
    <row r="70" spans="1:13" s="905" customFormat="1" ht="47.25" hidden="1" x14ac:dyDescent="0.25">
      <c r="A70" s="837"/>
      <c r="B70" s="835"/>
      <c r="C70" s="26" t="s">
        <v>921</v>
      </c>
      <c r="D70" s="48" t="s">
        <v>52</v>
      </c>
      <c r="E70" s="1093"/>
      <c r="F70" s="1122"/>
      <c r="G70" s="828">
        <v>10</v>
      </c>
      <c r="H70" s="223">
        <f t="shared" si="6"/>
        <v>0</v>
      </c>
      <c r="I70" s="828"/>
      <c r="J70" s="223"/>
      <c r="K70" s="828"/>
      <c r="L70" s="223"/>
      <c r="M70" s="223">
        <f t="shared" si="5"/>
        <v>0</v>
      </c>
    </row>
    <row r="71" spans="1:13" s="905" customFormat="1" ht="47.25" hidden="1" x14ac:dyDescent="0.25">
      <c r="A71" s="837"/>
      <c r="B71" s="835"/>
      <c r="C71" s="26" t="s">
        <v>922</v>
      </c>
      <c r="D71" s="48" t="s">
        <v>52</v>
      </c>
      <c r="E71" s="1093"/>
      <c r="F71" s="1122"/>
      <c r="G71" s="828">
        <v>5</v>
      </c>
      <c r="H71" s="223">
        <f t="shared" si="6"/>
        <v>0</v>
      </c>
      <c r="I71" s="828"/>
      <c r="J71" s="223"/>
      <c r="K71" s="828"/>
      <c r="L71" s="223"/>
      <c r="M71" s="223">
        <f t="shared" si="5"/>
        <v>0</v>
      </c>
    </row>
    <row r="72" spans="1:13" s="905" customFormat="1" ht="31.5" hidden="1" x14ac:dyDescent="0.25">
      <c r="A72" s="837"/>
      <c r="B72" s="835"/>
      <c r="C72" s="26" t="s">
        <v>923</v>
      </c>
      <c r="D72" s="48" t="s">
        <v>52</v>
      </c>
      <c r="E72" s="1093"/>
      <c r="F72" s="1122"/>
      <c r="G72" s="828">
        <v>0.5</v>
      </c>
      <c r="H72" s="223">
        <f t="shared" si="6"/>
        <v>0</v>
      </c>
      <c r="I72" s="828"/>
      <c r="J72" s="223"/>
      <c r="K72" s="828"/>
      <c r="L72" s="223"/>
      <c r="M72" s="223">
        <f t="shared" si="5"/>
        <v>0</v>
      </c>
    </row>
    <row r="73" spans="1:13" s="905" customFormat="1" ht="47.25" hidden="1" x14ac:dyDescent="0.25">
      <c r="A73" s="837"/>
      <c r="B73" s="835"/>
      <c r="C73" s="26" t="s">
        <v>924</v>
      </c>
      <c r="D73" s="48" t="s">
        <v>52</v>
      </c>
      <c r="E73" s="1093"/>
      <c r="F73" s="1122"/>
      <c r="G73" s="828">
        <v>0.2</v>
      </c>
      <c r="H73" s="223">
        <f t="shared" si="6"/>
        <v>0</v>
      </c>
      <c r="I73" s="828"/>
      <c r="J73" s="223"/>
      <c r="K73" s="828"/>
      <c r="L73" s="223"/>
      <c r="M73" s="223">
        <f t="shared" si="5"/>
        <v>0</v>
      </c>
    </row>
    <row r="74" spans="1:13" s="905" customFormat="1" ht="47.25" hidden="1" x14ac:dyDescent="0.25">
      <c r="A74" s="837"/>
      <c r="B74" s="835"/>
      <c r="C74" s="80" t="s">
        <v>925</v>
      </c>
      <c r="D74" s="48" t="s">
        <v>66</v>
      </c>
      <c r="E74" s="1093"/>
      <c r="F74" s="1122"/>
      <c r="G74" s="828">
        <v>0.1</v>
      </c>
      <c r="H74" s="223">
        <f t="shared" si="6"/>
        <v>0</v>
      </c>
      <c r="I74" s="828"/>
      <c r="J74" s="223"/>
      <c r="K74" s="828"/>
      <c r="L74" s="223"/>
      <c r="M74" s="223">
        <f t="shared" si="5"/>
        <v>0</v>
      </c>
    </row>
    <row r="75" spans="1:13" s="905" customFormat="1" ht="45.75" hidden="1" x14ac:dyDescent="0.25">
      <c r="A75" s="837"/>
      <c r="B75" s="835"/>
      <c r="C75" s="295" t="s">
        <v>926</v>
      </c>
      <c r="D75" s="835" t="s">
        <v>41</v>
      </c>
      <c r="E75" s="1093"/>
      <c r="F75" s="1122"/>
      <c r="G75" s="828">
        <v>2.12</v>
      </c>
      <c r="H75" s="223">
        <f t="shared" si="6"/>
        <v>0</v>
      </c>
      <c r="I75" s="828"/>
      <c r="J75" s="223"/>
      <c r="K75" s="828"/>
      <c r="L75" s="223"/>
      <c r="M75" s="223">
        <f t="shared" si="5"/>
        <v>0</v>
      </c>
    </row>
    <row r="76" spans="1:13" s="905" customFormat="1" ht="47.25" hidden="1" x14ac:dyDescent="0.25">
      <c r="A76" s="837"/>
      <c r="B76" s="835"/>
      <c r="C76" s="295" t="s">
        <v>927</v>
      </c>
      <c r="D76" s="835" t="s">
        <v>41</v>
      </c>
      <c r="E76" s="1093"/>
      <c r="F76" s="1122"/>
      <c r="G76" s="828">
        <v>0.84</v>
      </c>
      <c r="H76" s="223">
        <f t="shared" si="6"/>
        <v>0</v>
      </c>
      <c r="I76" s="828"/>
      <c r="J76" s="223"/>
      <c r="K76" s="828"/>
      <c r="L76" s="223"/>
      <c r="M76" s="223">
        <f t="shared" si="5"/>
        <v>0</v>
      </c>
    </row>
    <row r="77" spans="1:13" s="905" customFormat="1" ht="47.25" hidden="1" x14ac:dyDescent="0.25">
      <c r="A77" s="837"/>
      <c r="B77" s="835"/>
      <c r="C77" s="295" t="s">
        <v>928</v>
      </c>
      <c r="D77" s="835" t="s">
        <v>41</v>
      </c>
      <c r="E77" s="1093"/>
      <c r="F77" s="1122"/>
      <c r="G77" s="828">
        <v>0.68</v>
      </c>
      <c r="H77" s="223">
        <f t="shared" si="6"/>
        <v>0</v>
      </c>
      <c r="I77" s="828"/>
      <c r="J77" s="223"/>
      <c r="K77" s="828"/>
      <c r="L77" s="223"/>
      <c r="M77" s="223">
        <f t="shared" si="5"/>
        <v>0</v>
      </c>
    </row>
    <row r="78" spans="1:13" s="905" customFormat="1" ht="47.25" hidden="1" x14ac:dyDescent="0.25">
      <c r="A78" s="837"/>
      <c r="B78" s="835"/>
      <c r="C78" s="295" t="s">
        <v>929</v>
      </c>
      <c r="D78" s="48" t="s">
        <v>41</v>
      </c>
      <c r="E78" s="63">
        <v>80</v>
      </c>
      <c r="F78" s="1153">
        <v>0</v>
      </c>
      <c r="G78" s="828">
        <v>0.51</v>
      </c>
      <c r="H78" s="223">
        <f t="shared" si="6"/>
        <v>0</v>
      </c>
      <c r="I78" s="828"/>
      <c r="J78" s="223"/>
      <c r="K78" s="828"/>
      <c r="L78" s="223"/>
      <c r="M78" s="223">
        <f t="shared" si="5"/>
        <v>0</v>
      </c>
    </row>
    <row r="79" spans="1:13" s="905" customFormat="1" ht="47.25" hidden="1" x14ac:dyDescent="0.25">
      <c r="A79" s="837"/>
      <c r="B79" s="835"/>
      <c r="C79" s="26" t="s">
        <v>930</v>
      </c>
      <c r="D79" s="48" t="s">
        <v>41</v>
      </c>
      <c r="E79" s="524"/>
      <c r="F79" s="831"/>
      <c r="G79" s="828">
        <v>0.33</v>
      </c>
      <c r="H79" s="223">
        <f t="shared" si="6"/>
        <v>0</v>
      </c>
      <c r="I79" s="828"/>
      <c r="J79" s="223"/>
      <c r="K79" s="828"/>
      <c r="L79" s="223"/>
      <c r="M79" s="223">
        <f t="shared" si="5"/>
        <v>0</v>
      </c>
    </row>
    <row r="80" spans="1:13" s="905" customFormat="1" ht="47.25" hidden="1" x14ac:dyDescent="0.25">
      <c r="A80" s="837"/>
      <c r="B80" s="835"/>
      <c r="C80" s="26" t="s">
        <v>931</v>
      </c>
      <c r="D80" s="48" t="s">
        <v>52</v>
      </c>
      <c r="E80" s="524"/>
      <c r="F80" s="831"/>
      <c r="G80" s="828">
        <v>0.05</v>
      </c>
      <c r="H80" s="223">
        <f t="shared" si="6"/>
        <v>0</v>
      </c>
      <c r="I80" s="828"/>
      <c r="J80" s="223"/>
      <c r="K80" s="828"/>
      <c r="L80" s="223"/>
      <c r="M80" s="223">
        <f t="shared" si="5"/>
        <v>0</v>
      </c>
    </row>
    <row r="81" spans="1:13" s="905" customFormat="1" ht="15.75" x14ac:dyDescent="0.25">
      <c r="A81" s="838"/>
      <c r="B81" s="835"/>
      <c r="C81" s="26" t="s">
        <v>97</v>
      </c>
      <c r="D81" s="835" t="s">
        <v>21</v>
      </c>
      <c r="E81" s="524">
        <v>9.7000000000000003E-2</v>
      </c>
      <c r="F81" s="831">
        <f>F50*E81</f>
        <v>3.88</v>
      </c>
      <c r="G81" s="828"/>
      <c r="H81" s="223">
        <f t="shared" si="6"/>
        <v>0</v>
      </c>
      <c r="I81" s="828"/>
      <c r="J81" s="223"/>
      <c r="K81" s="828"/>
      <c r="L81" s="223"/>
      <c r="M81" s="223">
        <f t="shared" si="5"/>
        <v>0</v>
      </c>
    </row>
    <row r="82" spans="1:13" s="905" customFormat="1" ht="31.5" x14ac:dyDescent="0.25">
      <c r="A82" s="834" t="s">
        <v>94</v>
      </c>
      <c r="B82" s="43"/>
      <c r="C82" s="120" t="s">
        <v>932</v>
      </c>
      <c r="D82" s="835"/>
      <c r="E82" s="524"/>
      <c r="F82" s="288"/>
      <c r="G82" s="522"/>
      <c r="H82" s="223"/>
      <c r="I82" s="522"/>
      <c r="J82" s="223"/>
      <c r="K82" s="828"/>
      <c r="L82" s="223"/>
      <c r="M82" s="223"/>
    </row>
    <row r="83" spans="1:13" s="905" customFormat="1" ht="31.5" x14ac:dyDescent="0.25">
      <c r="A83" s="1385" t="s">
        <v>311</v>
      </c>
      <c r="B83" s="835" t="s">
        <v>933</v>
      </c>
      <c r="C83" s="62" t="s">
        <v>934</v>
      </c>
      <c r="D83" s="913" t="s">
        <v>22</v>
      </c>
      <c r="E83" s="914"/>
      <c r="F83" s="915">
        <f>SUM(F85:F89)</f>
        <v>2</v>
      </c>
      <c r="G83" s="12"/>
      <c r="H83" s="8"/>
      <c r="I83" s="916"/>
      <c r="J83" s="8"/>
      <c r="K83" s="12"/>
      <c r="L83" s="8"/>
      <c r="M83" s="8"/>
    </row>
    <row r="84" spans="1:13" s="905" customFormat="1" ht="15.75" x14ac:dyDescent="0.25">
      <c r="A84" s="1385"/>
      <c r="B84" s="835"/>
      <c r="C84" s="303" t="s">
        <v>36</v>
      </c>
      <c r="D84" s="300" t="s">
        <v>6</v>
      </c>
      <c r="E84" s="917">
        <v>0.39200000000000002</v>
      </c>
      <c r="F84" s="497">
        <f>F83*E84</f>
        <v>0.78400000000000003</v>
      </c>
      <c r="G84" s="918"/>
      <c r="H84" s="8"/>
      <c r="I84" s="828"/>
      <c r="J84" s="8">
        <f t="shared" ref="J84:J135" si="7">F84*I84</f>
        <v>0</v>
      </c>
      <c r="K84" s="828"/>
      <c r="L84" s="8"/>
      <c r="M84" s="8">
        <f t="shared" ref="M84:M138" si="8">H84+J84+L84</f>
        <v>0</v>
      </c>
    </row>
    <row r="85" spans="1:13" s="905" customFormat="1" ht="47.25" x14ac:dyDescent="0.25">
      <c r="A85" s="1385"/>
      <c r="B85" s="835"/>
      <c r="C85" s="303" t="s">
        <v>935</v>
      </c>
      <c r="D85" s="300" t="s">
        <v>52</v>
      </c>
      <c r="E85" s="917"/>
      <c r="F85" s="293">
        <v>2</v>
      </c>
      <c r="G85" s="918"/>
      <c r="H85" s="8">
        <f t="shared" si="6"/>
        <v>0</v>
      </c>
      <c r="I85" s="828"/>
      <c r="J85" s="8"/>
      <c r="K85" s="828"/>
      <c r="L85" s="8"/>
      <c r="M85" s="8">
        <f t="shared" si="8"/>
        <v>0</v>
      </c>
    </row>
    <row r="86" spans="1:13" s="905" customFormat="1" ht="63" hidden="1" x14ac:dyDescent="0.25">
      <c r="A86" s="1385"/>
      <c r="B86" s="835"/>
      <c r="C86" s="303" t="s">
        <v>936</v>
      </c>
      <c r="D86" s="300" t="s">
        <v>52</v>
      </c>
      <c r="E86" s="917"/>
      <c r="F86" s="293"/>
      <c r="G86" s="918">
        <v>7</v>
      </c>
      <c r="H86" s="8">
        <f t="shared" si="6"/>
        <v>0</v>
      </c>
      <c r="I86" s="828"/>
      <c r="J86" s="8"/>
      <c r="K86" s="828"/>
      <c r="L86" s="8"/>
      <c r="M86" s="8">
        <f t="shared" si="8"/>
        <v>0</v>
      </c>
    </row>
    <row r="87" spans="1:13" s="905" customFormat="1" ht="47.25" hidden="1" x14ac:dyDescent="0.25">
      <c r="A87" s="1385"/>
      <c r="B87" s="835"/>
      <c r="C87" s="303" t="s">
        <v>937</v>
      </c>
      <c r="D87" s="300" t="s">
        <v>52</v>
      </c>
      <c r="E87" s="917"/>
      <c r="F87" s="293"/>
      <c r="G87" s="918">
        <v>10</v>
      </c>
      <c r="H87" s="8">
        <f t="shared" si="6"/>
        <v>0</v>
      </c>
      <c r="I87" s="828"/>
      <c r="J87" s="8"/>
      <c r="K87" s="828"/>
      <c r="L87" s="8"/>
      <c r="M87" s="8">
        <f t="shared" si="8"/>
        <v>0</v>
      </c>
    </row>
    <row r="88" spans="1:13" s="905" customFormat="1" ht="31.5" hidden="1" x14ac:dyDescent="0.25">
      <c r="A88" s="1385"/>
      <c r="B88" s="835"/>
      <c r="C88" s="24" t="s">
        <v>938</v>
      </c>
      <c r="D88" s="300" t="s">
        <v>52</v>
      </c>
      <c r="E88" s="917"/>
      <c r="F88" s="293"/>
      <c r="G88" s="918">
        <v>3</v>
      </c>
      <c r="H88" s="8">
        <f t="shared" si="6"/>
        <v>0</v>
      </c>
      <c r="I88" s="828"/>
      <c r="J88" s="8"/>
      <c r="K88" s="828"/>
      <c r="L88" s="8"/>
      <c r="M88" s="8">
        <f t="shared" si="8"/>
        <v>0</v>
      </c>
    </row>
    <row r="89" spans="1:13" s="905" customFormat="1" ht="15.75" hidden="1" x14ac:dyDescent="0.25">
      <c r="A89" s="1385"/>
      <c r="B89" s="835"/>
      <c r="C89" s="24" t="s">
        <v>939</v>
      </c>
      <c r="D89" s="300" t="s">
        <v>52</v>
      </c>
      <c r="E89" s="917"/>
      <c r="F89" s="293"/>
      <c r="G89" s="918">
        <v>7</v>
      </c>
      <c r="H89" s="8">
        <f t="shared" si="6"/>
        <v>0</v>
      </c>
      <c r="I89" s="828"/>
      <c r="J89" s="8"/>
      <c r="K89" s="828"/>
      <c r="L89" s="8"/>
      <c r="M89" s="8">
        <f t="shared" si="8"/>
        <v>0</v>
      </c>
    </row>
    <row r="90" spans="1:13" s="905" customFormat="1" ht="46.5" x14ac:dyDescent="0.25">
      <c r="A90" s="1385"/>
      <c r="B90" s="835"/>
      <c r="C90" s="303" t="s">
        <v>940</v>
      </c>
      <c r="D90" s="300" t="s">
        <v>52</v>
      </c>
      <c r="E90" s="917"/>
      <c r="F90" s="497">
        <f>F83</f>
        <v>2</v>
      </c>
      <c r="G90" s="918"/>
      <c r="H90" s="8">
        <f t="shared" si="6"/>
        <v>0</v>
      </c>
      <c r="I90" s="828"/>
      <c r="J90" s="8"/>
      <c r="K90" s="828"/>
      <c r="L90" s="8"/>
      <c r="M90" s="8">
        <f t="shared" si="8"/>
        <v>0</v>
      </c>
    </row>
    <row r="91" spans="1:13" s="905" customFormat="1" ht="15.75" x14ac:dyDescent="0.25">
      <c r="A91" s="1385"/>
      <c r="B91" s="835"/>
      <c r="C91" s="303" t="s">
        <v>7</v>
      </c>
      <c r="D91" s="919" t="s">
        <v>4</v>
      </c>
      <c r="E91" s="301">
        <f>9.4/100</f>
        <v>9.4E-2</v>
      </c>
      <c r="F91" s="288">
        <f>F83*E91</f>
        <v>0.188</v>
      </c>
      <c r="G91" s="828"/>
      <c r="H91" s="8">
        <f t="shared" si="6"/>
        <v>0</v>
      </c>
      <c r="I91" s="828"/>
      <c r="J91" s="8"/>
      <c r="K91" s="828"/>
      <c r="L91" s="8"/>
      <c r="M91" s="8">
        <f t="shared" si="8"/>
        <v>0</v>
      </c>
    </row>
    <row r="92" spans="1:13" s="905" customFormat="1" ht="21.75" customHeight="1" x14ac:dyDescent="0.25">
      <c r="A92" s="1390" t="s">
        <v>661</v>
      </c>
      <c r="B92" s="838" t="s">
        <v>941</v>
      </c>
      <c r="C92" s="62" t="s">
        <v>942</v>
      </c>
      <c r="D92" s="913" t="s">
        <v>22</v>
      </c>
      <c r="E92" s="914"/>
      <c r="F92" s="915">
        <f>F94+F95+F96+F97</f>
        <v>9</v>
      </c>
      <c r="G92" s="12"/>
      <c r="H92" s="8"/>
      <c r="I92" s="916"/>
      <c r="J92" s="8"/>
      <c r="K92" s="12"/>
      <c r="L92" s="8"/>
      <c r="M92" s="8"/>
    </row>
    <row r="93" spans="1:13" s="905" customFormat="1" ht="15.75" x14ac:dyDescent="0.25">
      <c r="A93" s="1391"/>
      <c r="B93" s="838"/>
      <c r="C93" s="303" t="s">
        <v>36</v>
      </c>
      <c r="D93" s="300" t="s">
        <v>6</v>
      </c>
      <c r="E93" s="917">
        <v>0.372</v>
      </c>
      <c r="F93" s="497">
        <f>F92*E93</f>
        <v>3.3479999999999999</v>
      </c>
      <c r="G93" s="918"/>
      <c r="H93" s="8"/>
      <c r="I93" s="828"/>
      <c r="J93" s="8">
        <f t="shared" si="7"/>
        <v>0</v>
      </c>
      <c r="K93" s="828"/>
      <c r="L93" s="8"/>
      <c r="M93" s="8">
        <f t="shared" si="8"/>
        <v>0</v>
      </c>
    </row>
    <row r="94" spans="1:13" s="905" customFormat="1" ht="31.5" hidden="1" x14ac:dyDescent="0.25">
      <c r="A94" s="1391"/>
      <c r="B94" s="838"/>
      <c r="C94" s="303" t="s">
        <v>943</v>
      </c>
      <c r="D94" s="300" t="s">
        <v>52</v>
      </c>
      <c r="E94" s="917"/>
      <c r="F94" s="497"/>
      <c r="G94" s="918">
        <v>4</v>
      </c>
      <c r="H94" s="8">
        <f t="shared" si="6"/>
        <v>0</v>
      </c>
      <c r="I94" s="828"/>
      <c r="J94" s="8"/>
      <c r="K94" s="828"/>
      <c r="L94" s="8"/>
      <c r="M94" s="8">
        <f t="shared" si="8"/>
        <v>0</v>
      </c>
    </row>
    <row r="95" spans="1:13" s="905" customFormat="1" ht="31.5" x14ac:dyDescent="0.25">
      <c r="A95" s="1391"/>
      <c r="B95" s="838"/>
      <c r="C95" s="303" t="s">
        <v>944</v>
      </c>
      <c r="D95" s="300" t="s">
        <v>52</v>
      </c>
      <c r="E95" s="917"/>
      <c r="F95" s="497">
        <v>9</v>
      </c>
      <c r="G95" s="918"/>
      <c r="H95" s="8">
        <f t="shared" si="6"/>
        <v>0</v>
      </c>
      <c r="I95" s="828"/>
      <c r="J95" s="8"/>
      <c r="K95" s="828"/>
      <c r="L95" s="8"/>
      <c r="M95" s="8">
        <f t="shared" si="8"/>
        <v>0</v>
      </c>
    </row>
    <row r="96" spans="1:13" s="905" customFormat="1" ht="47.25" hidden="1" x14ac:dyDescent="0.25">
      <c r="A96" s="1391"/>
      <c r="B96" s="838"/>
      <c r="C96" s="24" t="s">
        <v>945</v>
      </c>
      <c r="D96" s="300" t="s">
        <v>52</v>
      </c>
      <c r="E96" s="301"/>
      <c r="F96" s="920"/>
      <c r="G96" s="918">
        <v>7</v>
      </c>
      <c r="H96" s="8">
        <f t="shared" si="6"/>
        <v>0</v>
      </c>
      <c r="I96" s="828"/>
      <c r="J96" s="8"/>
      <c r="K96" s="828"/>
      <c r="L96" s="8"/>
      <c r="M96" s="8">
        <f t="shared" si="8"/>
        <v>0</v>
      </c>
    </row>
    <row r="97" spans="1:14" s="905" customFormat="1" ht="46.5" hidden="1" x14ac:dyDescent="0.25">
      <c r="A97" s="1391"/>
      <c r="B97" s="838"/>
      <c r="C97" s="24" t="s">
        <v>946</v>
      </c>
      <c r="D97" s="300" t="s">
        <v>52</v>
      </c>
      <c r="E97" s="301"/>
      <c r="F97" s="920"/>
      <c r="G97" s="918">
        <v>10</v>
      </c>
      <c r="H97" s="8">
        <f t="shared" si="6"/>
        <v>0</v>
      </c>
      <c r="I97" s="828"/>
      <c r="J97" s="8"/>
      <c r="K97" s="828"/>
      <c r="L97" s="8"/>
      <c r="M97" s="8">
        <f t="shared" si="8"/>
        <v>0</v>
      </c>
    </row>
    <row r="98" spans="1:14" s="905" customFormat="1" ht="46.5" x14ac:dyDescent="0.25">
      <c r="A98" s="1391"/>
      <c r="B98" s="838"/>
      <c r="C98" s="303" t="s">
        <v>940</v>
      </c>
      <c r="D98" s="300" t="s">
        <v>52</v>
      </c>
      <c r="E98" s="917"/>
      <c r="F98" s="497">
        <f>F92</f>
        <v>9</v>
      </c>
      <c r="G98" s="918"/>
      <c r="H98" s="8">
        <f t="shared" si="6"/>
        <v>0</v>
      </c>
      <c r="I98" s="828"/>
      <c r="J98" s="8"/>
      <c r="K98" s="828"/>
      <c r="L98" s="8"/>
      <c r="M98" s="8">
        <f t="shared" si="8"/>
        <v>0</v>
      </c>
    </row>
    <row r="99" spans="1:14" s="905" customFormat="1" ht="15.75" x14ac:dyDescent="0.25">
      <c r="A99" s="1392"/>
      <c r="B99" s="838"/>
      <c r="C99" s="303" t="s">
        <v>7</v>
      </c>
      <c r="D99" s="919" t="s">
        <v>4</v>
      </c>
      <c r="E99" s="301">
        <f>12.84/100</f>
        <v>0.12839999999999999</v>
      </c>
      <c r="F99" s="288">
        <f>F92*E99</f>
        <v>1.1556</v>
      </c>
      <c r="G99" s="828"/>
      <c r="H99" s="8">
        <f t="shared" si="6"/>
        <v>0</v>
      </c>
      <c r="I99" s="828"/>
      <c r="J99" s="8"/>
      <c r="K99" s="828"/>
      <c r="L99" s="8"/>
      <c r="M99" s="8">
        <f t="shared" si="8"/>
        <v>0</v>
      </c>
    </row>
    <row r="100" spans="1:14" s="905" customFormat="1" ht="31.5" x14ac:dyDescent="0.25">
      <c r="A100" s="1390" t="s">
        <v>947</v>
      </c>
      <c r="B100" s="921" t="s">
        <v>948</v>
      </c>
      <c r="C100" s="1082" t="s">
        <v>949</v>
      </c>
      <c r="D100" s="921" t="s">
        <v>22</v>
      </c>
      <c r="E100" s="909"/>
      <c r="F100" s="922">
        <f>F103</f>
        <v>2</v>
      </c>
      <c r="G100" s="911"/>
      <c r="H100" s="8"/>
      <c r="I100" s="911"/>
      <c r="J100" s="8"/>
      <c r="K100" s="911"/>
      <c r="L100" s="8"/>
      <c r="M100" s="8"/>
    </row>
    <row r="101" spans="1:14" s="905" customFormat="1" ht="15.75" x14ac:dyDescent="0.25">
      <c r="A101" s="1391"/>
      <c r="B101" s="921"/>
      <c r="C101" s="923" t="s">
        <v>13</v>
      </c>
      <c r="D101" s="921" t="s">
        <v>6</v>
      </c>
      <c r="E101" s="909">
        <v>1.35</v>
      </c>
      <c r="F101" s="924">
        <f>F100*E101</f>
        <v>2.7</v>
      </c>
      <c r="G101" s="911"/>
      <c r="H101" s="8"/>
      <c r="I101" s="828"/>
      <c r="J101" s="8">
        <f t="shared" si="7"/>
        <v>0</v>
      </c>
      <c r="K101" s="911"/>
      <c r="L101" s="8"/>
      <c r="M101" s="8">
        <f t="shared" si="8"/>
        <v>0</v>
      </c>
    </row>
    <row r="102" spans="1:14" s="905" customFormat="1" ht="15.75" x14ac:dyDescent="0.25">
      <c r="A102" s="1391"/>
      <c r="B102" s="921"/>
      <c r="C102" s="923" t="s">
        <v>17</v>
      </c>
      <c r="D102" s="921" t="s">
        <v>4</v>
      </c>
      <c r="E102" s="909">
        <v>3.1E-2</v>
      </c>
      <c r="F102" s="924">
        <f>F100*E102</f>
        <v>6.2E-2</v>
      </c>
      <c r="G102" s="911"/>
      <c r="H102" s="8"/>
      <c r="I102" s="911"/>
      <c r="J102" s="8"/>
      <c r="K102" s="911"/>
      <c r="L102" s="8">
        <f t="shared" ref="L102:L131" si="9">F102*K102</f>
        <v>0</v>
      </c>
      <c r="M102" s="8">
        <f t="shared" si="8"/>
        <v>0</v>
      </c>
    </row>
    <row r="103" spans="1:14" s="905" customFormat="1" ht="31.5" x14ac:dyDescent="0.25">
      <c r="A103" s="1391"/>
      <c r="B103" s="921"/>
      <c r="C103" s="923" t="s">
        <v>950</v>
      </c>
      <c r="D103" s="925" t="s">
        <v>22</v>
      </c>
      <c r="E103" s="926">
        <v>1</v>
      </c>
      <c r="F103" s="927">
        <v>2</v>
      </c>
      <c r="G103" s="928"/>
      <c r="H103" s="8">
        <f t="shared" si="6"/>
        <v>0</v>
      </c>
      <c r="I103" s="929"/>
      <c r="J103" s="8"/>
      <c r="K103" s="568"/>
      <c r="L103" s="8"/>
      <c r="M103" s="8">
        <f t="shared" si="8"/>
        <v>0</v>
      </c>
    </row>
    <row r="104" spans="1:14" s="905" customFormat="1" ht="15.75" x14ac:dyDescent="0.25">
      <c r="A104" s="1391"/>
      <c r="B104" s="921"/>
      <c r="C104" s="303" t="s">
        <v>7</v>
      </c>
      <c r="D104" s="919" t="s">
        <v>4</v>
      </c>
      <c r="E104" s="909">
        <v>0.29099999999999998</v>
      </c>
      <c r="F104" s="924">
        <f>F100*E104</f>
        <v>0.58199999999999996</v>
      </c>
      <c r="G104" s="911"/>
      <c r="H104" s="8">
        <f t="shared" si="6"/>
        <v>0</v>
      </c>
      <c r="I104" s="911"/>
      <c r="J104" s="8"/>
      <c r="K104" s="81"/>
      <c r="L104" s="8"/>
      <c r="M104" s="8">
        <f t="shared" si="8"/>
        <v>0</v>
      </c>
    </row>
    <row r="105" spans="1:14" s="905" customFormat="1" ht="27" x14ac:dyDescent="0.25">
      <c r="A105" s="1390" t="s">
        <v>87</v>
      </c>
      <c r="B105" s="43" t="s">
        <v>298</v>
      </c>
      <c r="C105" s="128" t="s">
        <v>951</v>
      </c>
      <c r="D105" s="43" t="s">
        <v>66</v>
      </c>
      <c r="E105" s="5"/>
      <c r="F105" s="23">
        <f>SUM(F109:F126)</f>
        <v>8</v>
      </c>
      <c r="G105" s="828"/>
      <c r="H105" s="8"/>
      <c r="I105" s="828"/>
      <c r="J105" s="8"/>
      <c r="K105" s="828"/>
      <c r="L105" s="8"/>
      <c r="M105" s="8"/>
    </row>
    <row r="106" spans="1:14" s="905" customFormat="1" ht="15.75" x14ac:dyDescent="0.25">
      <c r="A106" s="1391"/>
      <c r="B106" s="93"/>
      <c r="C106" s="299" t="s">
        <v>36</v>
      </c>
      <c r="D106" s="300" t="s">
        <v>6</v>
      </c>
      <c r="E106" s="301">
        <f>182/100</f>
        <v>1.82</v>
      </c>
      <c r="F106" s="288">
        <f>F105*E106</f>
        <v>14.56</v>
      </c>
      <c r="G106" s="828"/>
      <c r="H106" s="8"/>
      <c r="I106" s="828"/>
      <c r="J106" s="8">
        <f t="shared" si="7"/>
        <v>0</v>
      </c>
      <c r="K106" s="828"/>
      <c r="L106" s="8"/>
      <c r="M106" s="8">
        <f t="shared" si="8"/>
        <v>0</v>
      </c>
    </row>
    <row r="107" spans="1:14" s="905" customFormat="1" ht="31.5" x14ac:dyDescent="0.25">
      <c r="A107" s="1391"/>
      <c r="B107" s="93" t="s">
        <v>952</v>
      </c>
      <c r="C107" s="299" t="s">
        <v>953</v>
      </c>
      <c r="D107" s="300" t="s">
        <v>954</v>
      </c>
      <c r="E107" s="301">
        <f>6.5*0.01</f>
        <v>6.5000000000000002E-2</v>
      </c>
      <c r="F107" s="288">
        <f>F105*E107</f>
        <v>0.52</v>
      </c>
      <c r="G107" s="828"/>
      <c r="H107" s="8"/>
      <c r="I107" s="828"/>
      <c r="J107" s="8"/>
      <c r="K107" s="828"/>
      <c r="L107" s="8">
        <f t="shared" si="9"/>
        <v>0</v>
      </c>
      <c r="M107" s="8">
        <f t="shared" si="8"/>
        <v>0</v>
      </c>
      <c r="N107" s="930"/>
    </row>
    <row r="108" spans="1:14" s="905" customFormat="1" ht="15.75" x14ac:dyDescent="0.25">
      <c r="A108" s="1391"/>
      <c r="B108" s="93" t="s">
        <v>955</v>
      </c>
      <c r="C108" s="299" t="s">
        <v>956</v>
      </c>
      <c r="D108" s="300" t="s">
        <v>954</v>
      </c>
      <c r="E108" s="301">
        <f>17.8*0.01</f>
        <v>0.17800000000000002</v>
      </c>
      <c r="F108" s="288">
        <f>F105*E108</f>
        <v>1.4240000000000002</v>
      </c>
      <c r="G108" s="828"/>
      <c r="H108" s="8"/>
      <c r="I108" s="828"/>
      <c r="J108" s="8"/>
      <c r="K108" s="828"/>
      <c r="L108" s="8">
        <f t="shared" si="9"/>
        <v>0</v>
      </c>
      <c r="M108" s="8">
        <f t="shared" si="8"/>
        <v>0</v>
      </c>
    </row>
    <row r="109" spans="1:14" s="905" customFormat="1" ht="61.5" hidden="1" x14ac:dyDescent="0.25">
      <c r="A109" s="1391"/>
      <c r="B109" s="93"/>
      <c r="C109" s="302" t="s">
        <v>957</v>
      </c>
      <c r="D109" s="300" t="s">
        <v>52</v>
      </c>
      <c r="E109" s="301"/>
      <c r="F109" s="293"/>
      <c r="G109" s="828">
        <v>15</v>
      </c>
      <c r="H109" s="8">
        <f t="shared" si="6"/>
        <v>0</v>
      </c>
      <c r="I109" s="828"/>
      <c r="J109" s="8"/>
      <c r="K109" s="828"/>
      <c r="L109" s="8"/>
      <c r="M109" s="8">
        <f t="shared" si="8"/>
        <v>0</v>
      </c>
    </row>
    <row r="110" spans="1:14" s="905" customFormat="1" ht="46.5" hidden="1" x14ac:dyDescent="0.25">
      <c r="A110" s="1391"/>
      <c r="B110" s="93"/>
      <c r="C110" s="24" t="s">
        <v>958</v>
      </c>
      <c r="D110" s="300" t="s">
        <v>52</v>
      </c>
      <c r="E110" s="301"/>
      <c r="F110" s="293"/>
      <c r="G110" s="828">
        <v>20</v>
      </c>
      <c r="H110" s="8">
        <f t="shared" si="6"/>
        <v>0</v>
      </c>
      <c r="I110" s="828"/>
      <c r="J110" s="8"/>
      <c r="K110" s="828"/>
      <c r="L110" s="8"/>
      <c r="M110" s="8">
        <f t="shared" si="8"/>
        <v>0</v>
      </c>
    </row>
    <row r="111" spans="1:14" s="905" customFormat="1" ht="31.5" x14ac:dyDescent="0.25">
      <c r="A111" s="1391"/>
      <c r="B111" s="93"/>
      <c r="C111" s="302" t="s">
        <v>959</v>
      </c>
      <c r="D111" s="300" t="s">
        <v>52</v>
      </c>
      <c r="E111" s="301"/>
      <c r="F111" s="293">
        <v>8</v>
      </c>
      <c r="G111" s="828"/>
      <c r="H111" s="8">
        <f t="shared" si="6"/>
        <v>0</v>
      </c>
      <c r="I111" s="828"/>
      <c r="J111" s="8"/>
      <c r="K111" s="828"/>
      <c r="L111" s="8"/>
      <c r="M111" s="8">
        <f t="shared" si="8"/>
        <v>0</v>
      </c>
    </row>
    <row r="112" spans="1:14" s="905" customFormat="1" ht="61.5" hidden="1" x14ac:dyDescent="0.25">
      <c r="A112" s="1391"/>
      <c r="B112" s="93"/>
      <c r="C112" s="302" t="s">
        <v>960</v>
      </c>
      <c r="D112" s="300" t="s">
        <v>52</v>
      </c>
      <c r="E112" s="301"/>
      <c r="F112" s="293"/>
      <c r="G112" s="828">
        <v>20</v>
      </c>
      <c r="H112" s="8">
        <f t="shared" si="6"/>
        <v>0</v>
      </c>
      <c r="I112" s="828"/>
      <c r="J112" s="8"/>
      <c r="K112" s="828"/>
      <c r="L112" s="8"/>
      <c r="M112" s="8">
        <f t="shared" si="8"/>
        <v>0</v>
      </c>
    </row>
    <row r="113" spans="1:13" s="905" customFormat="1" ht="46.5" hidden="1" x14ac:dyDescent="0.25">
      <c r="A113" s="1391"/>
      <c r="B113" s="93"/>
      <c r="C113" s="24" t="s">
        <v>961</v>
      </c>
      <c r="D113" s="300" t="s">
        <v>52</v>
      </c>
      <c r="E113" s="301"/>
      <c r="F113" s="293"/>
      <c r="G113" s="828">
        <v>25</v>
      </c>
      <c r="H113" s="8">
        <f t="shared" si="6"/>
        <v>0</v>
      </c>
      <c r="I113" s="828"/>
      <c r="J113" s="8"/>
      <c r="K113" s="828"/>
      <c r="L113" s="8"/>
      <c r="M113" s="8">
        <f t="shared" si="8"/>
        <v>0</v>
      </c>
    </row>
    <row r="114" spans="1:13" s="905" customFormat="1" ht="46.5" hidden="1" x14ac:dyDescent="0.25">
      <c r="A114" s="1391"/>
      <c r="B114" s="93"/>
      <c r="C114" s="24" t="s">
        <v>962</v>
      </c>
      <c r="D114" s="300" t="s">
        <v>52</v>
      </c>
      <c r="E114" s="301"/>
      <c r="F114" s="293"/>
      <c r="G114" s="828">
        <v>40</v>
      </c>
      <c r="H114" s="8">
        <f t="shared" si="6"/>
        <v>0</v>
      </c>
      <c r="I114" s="828"/>
      <c r="J114" s="8"/>
      <c r="K114" s="828"/>
      <c r="L114" s="8"/>
      <c r="M114" s="8">
        <f t="shared" si="8"/>
        <v>0</v>
      </c>
    </row>
    <row r="115" spans="1:13" s="905" customFormat="1" ht="15.75" hidden="1" x14ac:dyDescent="0.25">
      <c r="A115" s="1391"/>
      <c r="B115" s="93"/>
      <c r="C115" s="24" t="s">
        <v>963</v>
      </c>
      <c r="D115" s="300" t="s">
        <v>41</v>
      </c>
      <c r="E115" s="301"/>
      <c r="F115" s="293"/>
      <c r="G115" s="828">
        <v>3</v>
      </c>
      <c r="H115" s="8">
        <f t="shared" si="6"/>
        <v>0</v>
      </c>
      <c r="I115" s="828"/>
      <c r="J115" s="8"/>
      <c r="K115" s="828"/>
      <c r="L115" s="8"/>
      <c r="M115" s="8">
        <f t="shared" si="8"/>
        <v>0</v>
      </c>
    </row>
    <row r="116" spans="1:13" s="905" customFormat="1" ht="31.5" hidden="1" x14ac:dyDescent="0.25">
      <c r="A116" s="1391"/>
      <c r="B116" s="93"/>
      <c r="C116" s="302" t="s">
        <v>964</v>
      </c>
      <c r="D116" s="300" t="s">
        <v>52</v>
      </c>
      <c r="E116" s="301"/>
      <c r="F116" s="293"/>
      <c r="G116" s="828">
        <v>40</v>
      </c>
      <c r="H116" s="8">
        <f>F116*G116</f>
        <v>0</v>
      </c>
      <c r="I116" s="828"/>
      <c r="J116" s="8"/>
      <c r="K116" s="828"/>
      <c r="L116" s="8"/>
      <c r="M116" s="8">
        <f>H116+J116+L116</f>
        <v>0</v>
      </c>
    </row>
    <row r="117" spans="1:13" s="905" customFormat="1" ht="30" hidden="1" x14ac:dyDescent="0.25">
      <c r="A117" s="1391"/>
      <c r="B117" s="93"/>
      <c r="C117" s="302" t="s">
        <v>965</v>
      </c>
      <c r="D117" s="300" t="s">
        <v>52</v>
      </c>
      <c r="E117" s="301"/>
      <c r="F117" s="931"/>
      <c r="G117" s="828">
        <v>25</v>
      </c>
      <c r="H117" s="8">
        <f>F117*G117</f>
        <v>0</v>
      </c>
      <c r="I117" s="828"/>
      <c r="J117" s="8"/>
      <c r="K117" s="828"/>
      <c r="L117" s="8"/>
      <c r="M117" s="8">
        <f>H117+J117+L117</f>
        <v>0</v>
      </c>
    </row>
    <row r="118" spans="1:13" s="905" customFormat="1" ht="31.5" hidden="1" x14ac:dyDescent="0.25">
      <c r="A118" s="1391"/>
      <c r="B118" s="93"/>
      <c r="C118" s="302" t="s">
        <v>966</v>
      </c>
      <c r="D118" s="300" t="s">
        <v>52</v>
      </c>
      <c r="E118" s="301"/>
      <c r="F118" s="931"/>
      <c r="G118" s="828">
        <v>18</v>
      </c>
      <c r="H118" s="8">
        <f>F118*G118</f>
        <v>0</v>
      </c>
      <c r="I118" s="828"/>
      <c r="J118" s="8"/>
      <c r="K118" s="828"/>
      <c r="L118" s="8"/>
      <c r="M118" s="8">
        <f>H118+J118+L118</f>
        <v>0</v>
      </c>
    </row>
    <row r="119" spans="1:13" s="905" customFormat="1" ht="31.5" hidden="1" x14ac:dyDescent="0.25">
      <c r="A119" s="1391"/>
      <c r="B119" s="93"/>
      <c r="C119" s="302" t="s">
        <v>967</v>
      </c>
      <c r="D119" s="300" t="s">
        <v>52</v>
      </c>
      <c r="E119" s="301"/>
      <c r="F119" s="931"/>
      <c r="G119" s="828">
        <v>30</v>
      </c>
      <c r="H119" s="8">
        <f>F119*G119</f>
        <v>0</v>
      </c>
      <c r="I119" s="828"/>
      <c r="J119" s="8"/>
      <c r="K119" s="828"/>
      <c r="L119" s="8"/>
      <c r="M119" s="8">
        <f>H119+J119+L119</f>
        <v>0</v>
      </c>
    </row>
    <row r="120" spans="1:13" s="905" customFormat="1" ht="31.5" hidden="1" x14ac:dyDescent="0.25">
      <c r="A120" s="1391"/>
      <c r="B120" s="93"/>
      <c r="C120" s="302" t="s">
        <v>968</v>
      </c>
      <c r="D120" s="300" t="s">
        <v>52</v>
      </c>
      <c r="E120" s="301"/>
      <c r="F120" s="931"/>
      <c r="G120" s="828">
        <v>8</v>
      </c>
      <c r="H120" s="8">
        <f>F120*G120</f>
        <v>0</v>
      </c>
      <c r="I120" s="828"/>
      <c r="J120" s="8"/>
      <c r="K120" s="828"/>
      <c r="L120" s="8"/>
      <c r="M120" s="8">
        <f>H120+J120+L120</f>
        <v>0</v>
      </c>
    </row>
    <row r="121" spans="1:13" s="905" customFormat="1" ht="31.5" hidden="1" x14ac:dyDescent="0.25">
      <c r="A121" s="1391"/>
      <c r="B121" s="93"/>
      <c r="C121" s="302" t="s">
        <v>969</v>
      </c>
      <c r="D121" s="300" t="s">
        <v>52</v>
      </c>
      <c r="E121" s="301"/>
      <c r="F121" s="931"/>
      <c r="G121" s="828">
        <v>10</v>
      </c>
      <c r="H121" s="8">
        <f t="shared" ref="H121:H138" si="10">F121*G121</f>
        <v>0</v>
      </c>
      <c r="I121" s="828"/>
      <c r="J121" s="8"/>
      <c r="K121" s="828"/>
      <c r="L121" s="8"/>
      <c r="M121" s="8">
        <f t="shared" ref="M121:M122" si="11">H121+J121+L121</f>
        <v>0</v>
      </c>
    </row>
    <row r="122" spans="1:13" s="905" customFormat="1" ht="31.5" hidden="1" x14ac:dyDescent="0.25">
      <c r="A122" s="1391"/>
      <c r="B122" s="93"/>
      <c r="C122" s="302" t="s">
        <v>970</v>
      </c>
      <c r="D122" s="300" t="s">
        <v>52</v>
      </c>
      <c r="E122" s="301"/>
      <c r="F122" s="931"/>
      <c r="G122" s="828">
        <v>10</v>
      </c>
      <c r="H122" s="8">
        <f t="shared" si="10"/>
        <v>0</v>
      </c>
      <c r="I122" s="828"/>
      <c r="J122" s="8"/>
      <c r="K122" s="828"/>
      <c r="L122" s="8"/>
      <c r="M122" s="8">
        <f t="shared" si="11"/>
        <v>0</v>
      </c>
    </row>
    <row r="123" spans="1:13" s="905" customFormat="1" ht="31.5" hidden="1" x14ac:dyDescent="0.25">
      <c r="A123" s="1391"/>
      <c r="B123" s="93"/>
      <c r="C123" s="295" t="s">
        <v>971</v>
      </c>
      <c r="D123" s="421" t="s">
        <v>52</v>
      </c>
      <c r="E123" s="932"/>
      <c r="F123" s="288"/>
      <c r="G123" s="828">
        <v>50</v>
      </c>
      <c r="H123" s="8">
        <f t="shared" si="10"/>
        <v>0</v>
      </c>
      <c r="I123" s="828"/>
      <c r="J123" s="8"/>
      <c r="K123" s="828"/>
      <c r="L123" s="8"/>
      <c r="M123" s="8">
        <f t="shared" si="8"/>
        <v>0</v>
      </c>
    </row>
    <row r="124" spans="1:13" s="905" customFormat="1" ht="31.5" hidden="1" x14ac:dyDescent="0.25">
      <c r="A124" s="1391"/>
      <c r="B124" s="93"/>
      <c r="C124" s="295" t="s">
        <v>972</v>
      </c>
      <c r="D124" s="421" t="s">
        <v>52</v>
      </c>
      <c r="E124" s="932"/>
      <c r="F124" s="288"/>
      <c r="G124" s="828">
        <v>25</v>
      </c>
      <c r="H124" s="8">
        <f t="shared" si="10"/>
        <v>0</v>
      </c>
      <c r="I124" s="828"/>
      <c r="J124" s="8"/>
      <c r="K124" s="828"/>
      <c r="L124" s="8"/>
      <c r="M124" s="8">
        <f t="shared" si="8"/>
        <v>0</v>
      </c>
    </row>
    <row r="125" spans="1:13" s="905" customFormat="1" ht="15.75" hidden="1" x14ac:dyDescent="0.25">
      <c r="A125" s="1391"/>
      <c r="B125" s="93"/>
      <c r="C125" s="295" t="s">
        <v>973</v>
      </c>
      <c r="D125" s="421" t="s">
        <v>52</v>
      </c>
      <c r="E125" s="932"/>
      <c r="F125" s="293"/>
      <c r="G125" s="828">
        <v>100</v>
      </c>
      <c r="H125" s="8">
        <f t="shared" si="10"/>
        <v>0</v>
      </c>
      <c r="I125" s="828"/>
      <c r="J125" s="8"/>
      <c r="K125" s="828"/>
      <c r="L125" s="8"/>
      <c r="M125" s="8">
        <f t="shared" si="8"/>
        <v>0</v>
      </c>
    </row>
    <row r="126" spans="1:13" s="905" customFormat="1" ht="15.75" x14ac:dyDescent="0.25">
      <c r="A126" s="1391"/>
      <c r="B126" s="93"/>
      <c r="C126" s="295"/>
      <c r="D126" s="421"/>
      <c r="E126" s="932"/>
      <c r="F126" s="293"/>
      <c r="G126" s="828"/>
      <c r="H126" s="8"/>
      <c r="I126" s="828"/>
      <c r="J126" s="8"/>
      <c r="K126" s="828"/>
      <c r="L126" s="8"/>
      <c r="M126" s="8"/>
    </row>
    <row r="127" spans="1:13" s="905" customFormat="1" ht="15.75" x14ac:dyDescent="0.25">
      <c r="A127" s="1392"/>
      <c r="B127" s="43"/>
      <c r="C127" s="303" t="s">
        <v>7</v>
      </c>
      <c r="D127" s="43" t="s">
        <v>4</v>
      </c>
      <c r="E127" s="296">
        <v>0.13200000000000001</v>
      </c>
      <c r="F127" s="288">
        <f>F105*E127</f>
        <v>1.056</v>
      </c>
      <c r="G127" s="828"/>
      <c r="H127" s="8">
        <f t="shared" si="10"/>
        <v>0</v>
      </c>
      <c r="I127" s="828"/>
      <c r="J127" s="8"/>
      <c r="K127" s="828"/>
      <c r="L127" s="8"/>
      <c r="M127" s="8">
        <f t="shared" si="8"/>
        <v>0</v>
      </c>
    </row>
    <row r="128" spans="1:13" s="905" customFormat="1" ht="31.5" x14ac:dyDescent="0.25">
      <c r="A128" s="1393" t="s">
        <v>89</v>
      </c>
      <c r="B128" s="933" t="s">
        <v>974</v>
      </c>
      <c r="C128" s="758" t="s">
        <v>975</v>
      </c>
      <c r="D128" s="43" t="s">
        <v>52</v>
      </c>
      <c r="E128" s="5"/>
      <c r="F128" s="23">
        <f>F131+F132</f>
        <v>2</v>
      </c>
      <c r="G128" s="935"/>
      <c r="H128" s="8"/>
      <c r="I128" s="935"/>
      <c r="J128" s="8"/>
      <c r="K128" s="935"/>
      <c r="L128" s="8"/>
      <c r="M128" s="8"/>
    </row>
    <row r="129" spans="1:13" s="905" customFormat="1" ht="15.75" x14ac:dyDescent="0.3">
      <c r="A129" s="1393"/>
      <c r="B129" s="936"/>
      <c r="C129" s="937" t="s">
        <v>13</v>
      </c>
      <c r="D129" s="936" t="s">
        <v>6</v>
      </c>
      <c r="E129" s="938">
        <v>10.199999999999999</v>
      </c>
      <c r="F129" s="939">
        <f>F128*E129</f>
        <v>20.399999999999999</v>
      </c>
      <c r="G129" s="940"/>
      <c r="H129" s="8"/>
      <c r="I129" s="911"/>
      <c r="J129" s="8">
        <f t="shared" si="7"/>
        <v>0</v>
      </c>
      <c r="K129" s="940"/>
      <c r="L129" s="8"/>
      <c r="M129" s="8">
        <f t="shared" si="8"/>
        <v>0</v>
      </c>
    </row>
    <row r="130" spans="1:13" s="905" customFormat="1" ht="15.75" x14ac:dyDescent="0.25">
      <c r="A130" s="1393"/>
      <c r="B130" s="941"/>
      <c r="C130" s="299" t="s">
        <v>5</v>
      </c>
      <c r="D130" s="941" t="s">
        <v>4</v>
      </c>
      <c r="E130" s="942">
        <v>0.25</v>
      </c>
      <c r="F130" s="943">
        <f>F128*E130</f>
        <v>0.5</v>
      </c>
      <c r="G130" s="944"/>
      <c r="H130" s="8"/>
      <c r="I130" s="944"/>
      <c r="J130" s="8"/>
      <c r="K130" s="944"/>
      <c r="L130" s="8">
        <f t="shared" si="9"/>
        <v>0</v>
      </c>
      <c r="M130" s="8">
        <f t="shared" si="8"/>
        <v>0</v>
      </c>
    </row>
    <row r="131" spans="1:13" s="905" customFormat="1" ht="47.25" hidden="1" x14ac:dyDescent="0.25">
      <c r="A131" s="1393"/>
      <c r="B131" s="941"/>
      <c r="C131" s="945" t="s">
        <v>976</v>
      </c>
      <c r="D131" s="941" t="s">
        <v>22</v>
      </c>
      <c r="E131" s="942">
        <v>1</v>
      </c>
      <c r="F131" s="288">
        <v>0</v>
      </c>
      <c r="G131" s="935">
        <v>250</v>
      </c>
      <c r="H131" s="8">
        <f t="shared" si="10"/>
        <v>0</v>
      </c>
      <c r="I131" s="944"/>
      <c r="J131" s="8">
        <f t="shared" si="7"/>
        <v>0</v>
      </c>
      <c r="K131" s="935"/>
      <c r="L131" s="8">
        <f t="shared" si="9"/>
        <v>0</v>
      </c>
      <c r="M131" s="8">
        <f t="shared" si="8"/>
        <v>0</v>
      </c>
    </row>
    <row r="132" spans="1:13" s="905" customFormat="1" ht="31.5" x14ac:dyDescent="0.25">
      <c r="A132" s="1393"/>
      <c r="B132" s="941"/>
      <c r="C132" s="945" t="s">
        <v>977</v>
      </c>
      <c r="D132" s="941" t="s">
        <v>22</v>
      </c>
      <c r="E132" s="942">
        <v>1</v>
      </c>
      <c r="F132" s="288">
        <v>2</v>
      </c>
      <c r="G132" s="935"/>
      <c r="H132" s="8">
        <f t="shared" si="10"/>
        <v>0</v>
      </c>
      <c r="I132" s="944"/>
      <c r="J132" s="8"/>
      <c r="K132" s="935"/>
      <c r="L132" s="8"/>
      <c r="M132" s="8">
        <f t="shared" si="8"/>
        <v>0</v>
      </c>
    </row>
    <row r="133" spans="1:13" s="905" customFormat="1" ht="15.75" x14ac:dyDescent="0.3">
      <c r="A133" s="1394"/>
      <c r="B133" s="936"/>
      <c r="C133" s="26" t="s">
        <v>97</v>
      </c>
      <c r="D133" s="835" t="s">
        <v>21</v>
      </c>
      <c r="E133" s="938">
        <v>1.1399999999999999</v>
      </c>
      <c r="F133" s="939">
        <f>F128*E133</f>
        <v>2.2799999999999998</v>
      </c>
      <c r="G133" s="940"/>
      <c r="H133" s="8">
        <f t="shared" si="10"/>
        <v>0</v>
      </c>
      <c r="I133" s="940"/>
      <c r="J133" s="8"/>
      <c r="K133" s="940"/>
      <c r="L133" s="8"/>
      <c r="M133" s="8">
        <f t="shared" si="8"/>
        <v>0</v>
      </c>
    </row>
    <row r="134" spans="1:13" s="905" customFormat="1" ht="63" hidden="1" x14ac:dyDescent="0.25">
      <c r="A134" s="1390" t="s">
        <v>90</v>
      </c>
      <c r="B134" s="921" t="s">
        <v>978</v>
      </c>
      <c r="C134" s="934" t="s">
        <v>979</v>
      </c>
      <c r="D134" s="921" t="s">
        <v>80</v>
      </c>
      <c r="E134" s="909"/>
      <c r="F134" s="23"/>
      <c r="G134" s="911"/>
      <c r="H134" s="8"/>
      <c r="I134" s="911"/>
      <c r="J134" s="8"/>
      <c r="K134" s="911"/>
      <c r="L134" s="8"/>
      <c r="M134" s="8"/>
    </row>
    <row r="135" spans="1:13" s="905" customFormat="1" ht="15.75" hidden="1" x14ac:dyDescent="0.25">
      <c r="A135" s="1391"/>
      <c r="B135" s="921"/>
      <c r="C135" s="923" t="s">
        <v>13</v>
      </c>
      <c r="D135" s="921" t="s">
        <v>6</v>
      </c>
      <c r="E135" s="909">
        <v>16</v>
      </c>
      <c r="F135" s="924">
        <f>F134*E135</f>
        <v>0</v>
      </c>
      <c r="G135" s="911"/>
      <c r="H135" s="8"/>
      <c r="I135" s="911">
        <v>6</v>
      </c>
      <c r="J135" s="8">
        <f t="shared" si="7"/>
        <v>0</v>
      </c>
      <c r="K135" s="911"/>
      <c r="L135" s="8"/>
      <c r="M135" s="8">
        <f t="shared" si="8"/>
        <v>0</v>
      </c>
    </row>
    <row r="136" spans="1:13" s="905" customFormat="1" ht="31.5" hidden="1" x14ac:dyDescent="0.25">
      <c r="A136" s="1391"/>
      <c r="B136" s="921"/>
      <c r="C136" s="946" t="s">
        <v>980</v>
      </c>
      <c r="D136" s="947" t="s">
        <v>80</v>
      </c>
      <c r="E136" s="948"/>
      <c r="F136" s="949"/>
      <c r="G136" s="911">
        <v>500</v>
      </c>
      <c r="H136" s="8">
        <f t="shared" si="10"/>
        <v>0</v>
      </c>
      <c r="I136" s="911"/>
      <c r="J136" s="8"/>
      <c r="K136" s="911"/>
      <c r="L136" s="8"/>
      <c r="M136" s="8">
        <f t="shared" si="8"/>
        <v>0</v>
      </c>
    </row>
    <row r="137" spans="1:13" s="905" customFormat="1" ht="31.5" hidden="1" x14ac:dyDescent="0.25">
      <c r="A137" s="1391"/>
      <c r="B137" s="921"/>
      <c r="C137" s="950" t="s">
        <v>981</v>
      </c>
      <c r="D137" s="947" t="s">
        <v>80</v>
      </c>
      <c r="E137" s="948"/>
      <c r="F137" s="949"/>
      <c r="G137" s="911">
        <v>70</v>
      </c>
      <c r="H137" s="8">
        <f t="shared" si="10"/>
        <v>0</v>
      </c>
      <c r="I137" s="911"/>
      <c r="J137" s="8"/>
      <c r="K137" s="911"/>
      <c r="L137" s="8"/>
      <c r="M137" s="8">
        <f t="shared" si="8"/>
        <v>0</v>
      </c>
    </row>
    <row r="138" spans="1:13" s="905" customFormat="1" ht="15.75" hidden="1" x14ac:dyDescent="0.25">
      <c r="A138" s="1392"/>
      <c r="B138" s="921"/>
      <c r="C138" s="303" t="s">
        <v>7</v>
      </c>
      <c r="D138" s="921" t="s">
        <v>4</v>
      </c>
      <c r="E138" s="909">
        <v>2.97</v>
      </c>
      <c r="F138" s="924">
        <f>F134*E138</f>
        <v>0</v>
      </c>
      <c r="G138" s="911">
        <v>3.2</v>
      </c>
      <c r="H138" s="8">
        <f t="shared" si="10"/>
        <v>0</v>
      </c>
      <c r="I138" s="911"/>
      <c r="J138" s="8"/>
      <c r="K138" s="568"/>
      <c r="L138" s="8"/>
      <c r="M138" s="8">
        <f t="shared" si="8"/>
        <v>0</v>
      </c>
    </row>
    <row r="139" spans="1:13" s="905" customFormat="1" ht="15.75" hidden="1" x14ac:dyDescent="0.25">
      <c r="A139" s="834"/>
      <c r="B139" s="951"/>
      <c r="C139" s="952"/>
      <c r="D139" s="43"/>
      <c r="E139" s="5"/>
      <c r="F139" s="840"/>
      <c r="G139" s="681"/>
      <c r="H139" s="223"/>
      <c r="I139" s="681"/>
      <c r="J139" s="223"/>
      <c r="K139" s="683"/>
      <c r="L139" s="223"/>
      <c r="M139" s="223"/>
    </row>
    <row r="140" spans="1:13" s="905" customFormat="1" ht="15.75" hidden="1" x14ac:dyDescent="0.25">
      <c r="A140" s="1390" t="s">
        <v>82</v>
      </c>
      <c r="B140" s="838" t="s">
        <v>982</v>
      </c>
      <c r="C140" s="698" t="s">
        <v>983</v>
      </c>
      <c r="D140" s="953" t="s">
        <v>22</v>
      </c>
      <c r="E140" s="954"/>
      <c r="F140" s="915">
        <f>F143</f>
        <v>0</v>
      </c>
      <c r="G140" s="17"/>
      <c r="H140" s="8"/>
      <c r="I140" s="17"/>
      <c r="J140" s="8"/>
      <c r="K140" s="18"/>
      <c r="L140" s="8"/>
      <c r="M140" s="8"/>
    </row>
    <row r="141" spans="1:13" s="905" customFormat="1" ht="15.75" hidden="1" x14ac:dyDescent="0.25">
      <c r="A141" s="1391"/>
      <c r="B141" s="93"/>
      <c r="C141" s="299" t="s">
        <v>36</v>
      </c>
      <c r="D141" s="300" t="s">
        <v>6</v>
      </c>
      <c r="E141" s="301">
        <f>225/100</f>
        <v>2.25</v>
      </c>
      <c r="F141" s="288">
        <f>E141*F140</f>
        <v>0</v>
      </c>
      <c r="G141" s="17"/>
      <c r="H141" s="8"/>
      <c r="I141" s="17">
        <v>7.8</v>
      </c>
      <c r="J141" s="8">
        <f>F141*I141</f>
        <v>0</v>
      </c>
      <c r="K141" s="18"/>
      <c r="L141" s="8"/>
      <c r="M141" s="8">
        <f>H141+J141+L141</f>
        <v>0</v>
      </c>
    </row>
    <row r="142" spans="1:13" s="905" customFormat="1" ht="15.75" hidden="1" x14ac:dyDescent="0.25">
      <c r="A142" s="1391"/>
      <c r="B142" s="93"/>
      <c r="C142" s="299" t="s">
        <v>5</v>
      </c>
      <c r="D142" s="300" t="s">
        <v>4</v>
      </c>
      <c r="E142" s="301">
        <f>86/100</f>
        <v>0.86</v>
      </c>
      <c r="F142" s="288">
        <f>E142*F140</f>
        <v>0</v>
      </c>
      <c r="G142" s="17"/>
      <c r="H142" s="8"/>
      <c r="I142" s="17"/>
      <c r="J142" s="8"/>
      <c r="K142" s="18">
        <v>4</v>
      </c>
      <c r="L142" s="8">
        <f>F142*K142</f>
        <v>0</v>
      </c>
      <c r="M142" s="8">
        <f>H142+J142+L142</f>
        <v>0</v>
      </c>
    </row>
    <row r="143" spans="1:13" s="905" customFormat="1" ht="78.75" hidden="1" x14ac:dyDescent="0.25">
      <c r="A143" s="1391"/>
      <c r="B143" s="838"/>
      <c r="C143" s="303" t="s">
        <v>984</v>
      </c>
      <c r="D143" s="955" t="s">
        <v>985</v>
      </c>
      <c r="E143" s="956"/>
      <c r="F143" s="957"/>
      <c r="G143" s="17">
        <v>400</v>
      </c>
      <c r="H143" s="8">
        <f>F143*G143</f>
        <v>0</v>
      </c>
      <c r="I143" s="17"/>
      <c r="J143" s="8"/>
      <c r="K143" s="18"/>
      <c r="L143" s="8"/>
      <c r="M143" s="8">
        <f>H143+J143+L143</f>
        <v>0</v>
      </c>
    </row>
    <row r="144" spans="1:13" s="905" customFormat="1" ht="15.75" hidden="1" x14ac:dyDescent="0.25">
      <c r="A144" s="1391"/>
      <c r="B144" s="838"/>
      <c r="C144" s="496" t="s">
        <v>277</v>
      </c>
      <c r="D144" s="835" t="s">
        <v>80</v>
      </c>
      <c r="E144" s="524"/>
      <c r="F144" s="61"/>
      <c r="G144" s="525">
        <v>15</v>
      </c>
      <c r="H144" s="828">
        <f t="shared" ref="H144" si="12">F144*G144</f>
        <v>0</v>
      </c>
      <c r="I144" s="17"/>
      <c r="J144" s="828"/>
      <c r="K144" s="828"/>
      <c r="L144" s="828"/>
      <c r="M144" s="828">
        <f t="shared" ref="M144" si="13">H144</f>
        <v>0</v>
      </c>
    </row>
    <row r="145" spans="1:13" s="905" customFormat="1" ht="15.75" hidden="1" x14ac:dyDescent="0.25">
      <c r="A145" s="1392"/>
      <c r="B145" s="838"/>
      <c r="C145" s="303" t="s">
        <v>7</v>
      </c>
      <c r="D145" s="919" t="s">
        <v>4</v>
      </c>
      <c r="E145" s="958">
        <f>210/100</f>
        <v>2.1</v>
      </c>
      <c r="F145" s="288">
        <f>E145*F140</f>
        <v>0</v>
      </c>
      <c r="G145" s="17">
        <v>4</v>
      </c>
      <c r="H145" s="8">
        <f>F145*G145</f>
        <v>0</v>
      </c>
      <c r="I145" s="17"/>
      <c r="J145" s="8"/>
      <c r="K145" s="18"/>
      <c r="L145" s="8"/>
      <c r="M145" s="8">
        <f>H145+J145+L145</f>
        <v>0</v>
      </c>
    </row>
    <row r="146" spans="1:13" s="905" customFormat="1" ht="31.5" hidden="1" x14ac:dyDescent="0.25">
      <c r="A146" s="294" t="s">
        <v>82</v>
      </c>
      <c r="B146" s="294"/>
      <c r="C146" s="959" t="s">
        <v>73</v>
      </c>
      <c r="D146" s="294"/>
      <c r="E146" s="533"/>
      <c r="F146" s="831"/>
      <c r="G146" s="64"/>
      <c r="H146" s="64"/>
      <c r="I146" s="65"/>
      <c r="J146" s="64"/>
      <c r="K146" s="64"/>
      <c r="L146" s="64"/>
      <c r="M146" s="64"/>
    </row>
    <row r="147" spans="1:13" s="905" customFormat="1" ht="40.5" hidden="1" x14ac:dyDescent="0.25">
      <c r="A147" s="1346" t="s">
        <v>448</v>
      </c>
      <c r="B147" s="31" t="s">
        <v>74</v>
      </c>
      <c r="C147" s="37" t="s">
        <v>281</v>
      </c>
      <c r="D147" s="66" t="s">
        <v>52</v>
      </c>
      <c r="E147" s="257"/>
      <c r="F147" s="38">
        <f>F150</f>
        <v>0</v>
      </c>
      <c r="G147" s="32"/>
      <c r="H147" s="41"/>
      <c r="I147" s="41"/>
      <c r="J147" s="41"/>
      <c r="K147" s="41"/>
      <c r="L147" s="41"/>
      <c r="M147" s="41"/>
    </row>
    <row r="148" spans="1:13" s="905" customFormat="1" ht="15.75" hidden="1" x14ac:dyDescent="0.25">
      <c r="A148" s="1347"/>
      <c r="B148" s="824"/>
      <c r="C148" s="33" t="s">
        <v>36</v>
      </c>
      <c r="D148" s="66" t="s">
        <v>6</v>
      </c>
      <c r="E148" s="258">
        <v>0.9</v>
      </c>
      <c r="F148" s="36">
        <f>E148*F147</f>
        <v>0</v>
      </c>
      <c r="G148" s="32"/>
      <c r="H148" s="41"/>
      <c r="I148" s="41">
        <v>6</v>
      </c>
      <c r="J148" s="41">
        <f>F148*I148</f>
        <v>0</v>
      </c>
      <c r="K148" s="41"/>
      <c r="L148" s="41"/>
      <c r="M148" s="41">
        <f>J148</f>
        <v>0</v>
      </c>
    </row>
    <row r="149" spans="1:13" s="905" customFormat="1" ht="15.75" hidden="1" x14ac:dyDescent="0.25">
      <c r="A149" s="1347"/>
      <c r="B149" s="824"/>
      <c r="C149" s="39" t="s">
        <v>5</v>
      </c>
      <c r="D149" s="66" t="s">
        <v>4</v>
      </c>
      <c r="E149" s="258">
        <v>7.0000000000000007E-2</v>
      </c>
      <c r="F149" s="67">
        <f>E149*F147</f>
        <v>0</v>
      </c>
      <c r="G149" s="32"/>
      <c r="H149" s="41"/>
      <c r="I149" s="41"/>
      <c r="J149" s="41"/>
      <c r="K149" s="41">
        <v>4</v>
      </c>
      <c r="L149" s="41">
        <f>F149*K149</f>
        <v>0</v>
      </c>
      <c r="M149" s="41">
        <f>L149</f>
        <v>0</v>
      </c>
    </row>
    <row r="150" spans="1:13" s="905" customFormat="1" ht="46.5" hidden="1" x14ac:dyDescent="0.25">
      <c r="A150" s="1347"/>
      <c r="B150" s="68"/>
      <c r="C150" s="35" t="s">
        <v>986</v>
      </c>
      <c r="D150" s="69" t="s">
        <v>52</v>
      </c>
      <c r="E150" s="960" t="s">
        <v>987</v>
      </c>
      <c r="F150" s="36"/>
      <c r="G150" s="32">
        <v>40</v>
      </c>
      <c r="H150" s="41">
        <f>F150*G150</f>
        <v>0</v>
      </c>
      <c r="I150" s="41"/>
      <c r="J150" s="41"/>
      <c r="K150" s="41"/>
      <c r="L150" s="41"/>
      <c r="M150" s="41">
        <f>H150</f>
        <v>0</v>
      </c>
    </row>
    <row r="151" spans="1:13" s="905" customFormat="1" ht="15.75" hidden="1" x14ac:dyDescent="0.25">
      <c r="A151" s="1348"/>
      <c r="B151" s="824"/>
      <c r="C151" s="33" t="s">
        <v>7</v>
      </c>
      <c r="D151" s="66" t="s">
        <v>4</v>
      </c>
      <c r="E151" s="258">
        <v>1.4</v>
      </c>
      <c r="F151" s="36">
        <f>E151*F147</f>
        <v>0</v>
      </c>
      <c r="G151" s="32">
        <v>4</v>
      </c>
      <c r="H151" s="41">
        <f t="shared" ref="H151" si="14">F151*G151</f>
        <v>0</v>
      </c>
      <c r="I151" s="32"/>
      <c r="J151" s="41"/>
      <c r="K151" s="32"/>
      <c r="L151" s="41"/>
      <c r="M151" s="41">
        <f>H151</f>
        <v>0</v>
      </c>
    </row>
    <row r="152" spans="1:13" s="905" customFormat="1" ht="63" hidden="1" x14ac:dyDescent="0.25">
      <c r="A152" s="1346" t="s">
        <v>449</v>
      </c>
      <c r="B152" s="31" t="s">
        <v>75</v>
      </c>
      <c r="C152" s="37" t="s">
        <v>988</v>
      </c>
      <c r="D152" s="69" t="s">
        <v>41</v>
      </c>
      <c r="E152" s="257"/>
      <c r="F152" s="38">
        <f>F155</f>
        <v>0</v>
      </c>
      <c r="G152" s="32"/>
      <c r="H152" s="41"/>
      <c r="I152" s="41"/>
      <c r="J152" s="41"/>
      <c r="K152" s="41"/>
      <c r="L152" s="41"/>
      <c r="M152" s="41"/>
    </row>
    <row r="153" spans="1:13" s="905" customFormat="1" ht="15.75" hidden="1" x14ac:dyDescent="0.25">
      <c r="A153" s="1347"/>
      <c r="B153" s="824"/>
      <c r="C153" s="33" t="s">
        <v>36</v>
      </c>
      <c r="D153" s="66" t="s">
        <v>6</v>
      </c>
      <c r="E153" s="258">
        <v>0.12</v>
      </c>
      <c r="F153" s="36">
        <f>E153*F152</f>
        <v>0</v>
      </c>
      <c r="G153" s="32"/>
      <c r="H153" s="41"/>
      <c r="I153" s="41">
        <v>4.5999999999999996</v>
      </c>
      <c r="J153" s="41">
        <f>F153*I153</f>
        <v>0</v>
      </c>
      <c r="K153" s="41"/>
      <c r="L153" s="41"/>
      <c r="M153" s="41">
        <f>J153</f>
        <v>0</v>
      </c>
    </row>
    <row r="154" spans="1:13" s="905" customFormat="1" ht="15.75" hidden="1" x14ac:dyDescent="0.25">
      <c r="A154" s="1347"/>
      <c r="B154" s="824"/>
      <c r="C154" s="39" t="s">
        <v>5</v>
      </c>
      <c r="D154" s="66" t="s">
        <v>4</v>
      </c>
      <c r="E154" s="258">
        <v>8.9999999999999993E-3</v>
      </c>
      <c r="F154" s="67">
        <f>E154*F152</f>
        <v>0</v>
      </c>
      <c r="G154" s="32"/>
      <c r="H154" s="41"/>
      <c r="I154" s="41"/>
      <c r="J154" s="41"/>
      <c r="K154" s="41">
        <v>4</v>
      </c>
      <c r="L154" s="41">
        <f>F154*K154</f>
        <v>0</v>
      </c>
      <c r="M154" s="41">
        <f>L154</f>
        <v>0</v>
      </c>
    </row>
    <row r="155" spans="1:13" s="905" customFormat="1" ht="46.5" hidden="1" x14ac:dyDescent="0.25">
      <c r="A155" s="1347"/>
      <c r="B155" s="68"/>
      <c r="C155" s="35" t="s">
        <v>989</v>
      </c>
      <c r="D155" s="69" t="s">
        <v>41</v>
      </c>
      <c r="E155" s="960" t="s">
        <v>987</v>
      </c>
      <c r="F155" s="36"/>
      <c r="G155" s="32">
        <v>4.66</v>
      </c>
      <c r="H155" s="41">
        <f t="shared" ref="H155:H157" si="15">F155*G155</f>
        <v>0</v>
      </c>
      <c r="I155" s="41"/>
      <c r="J155" s="41"/>
      <c r="K155" s="41"/>
      <c r="L155" s="41"/>
      <c r="M155" s="41">
        <f>H155</f>
        <v>0</v>
      </c>
    </row>
    <row r="156" spans="1:13" s="905" customFormat="1" ht="15.75" hidden="1" x14ac:dyDescent="0.25">
      <c r="A156" s="1347"/>
      <c r="B156" s="824"/>
      <c r="C156" s="33" t="s">
        <v>7</v>
      </c>
      <c r="D156" s="66" t="s">
        <v>4</v>
      </c>
      <c r="E156" s="258">
        <v>0.193</v>
      </c>
      <c r="F156" s="36">
        <f>E156*F152</f>
        <v>0</v>
      </c>
      <c r="G156" s="32">
        <v>4</v>
      </c>
      <c r="H156" s="41">
        <f t="shared" si="15"/>
        <v>0</v>
      </c>
      <c r="I156" s="32"/>
      <c r="J156" s="41"/>
      <c r="K156" s="32"/>
      <c r="L156" s="41"/>
      <c r="M156" s="41">
        <f>H156</f>
        <v>0</v>
      </c>
    </row>
    <row r="157" spans="1:13" s="905" customFormat="1" ht="15.75" hidden="1" x14ac:dyDescent="0.25">
      <c r="A157" s="1348"/>
      <c r="B157" s="824"/>
      <c r="C157" s="33" t="s">
        <v>990</v>
      </c>
      <c r="D157" s="66" t="s">
        <v>2</v>
      </c>
      <c r="E157" s="258"/>
      <c r="F157" s="36">
        <v>3</v>
      </c>
      <c r="G157" s="32"/>
      <c r="H157" s="41">
        <f t="shared" si="15"/>
        <v>0</v>
      </c>
      <c r="I157" s="32"/>
      <c r="J157" s="41"/>
      <c r="K157" s="32"/>
      <c r="L157" s="41"/>
      <c r="M157" s="41">
        <f>H157</f>
        <v>0</v>
      </c>
    </row>
    <row r="158" spans="1:13" s="905" customFormat="1" ht="63" hidden="1" x14ac:dyDescent="0.25">
      <c r="A158" s="1346" t="s">
        <v>450</v>
      </c>
      <c r="B158" s="31" t="s">
        <v>278</v>
      </c>
      <c r="C158" s="37" t="s">
        <v>279</v>
      </c>
      <c r="D158" s="69" t="s">
        <v>41</v>
      </c>
      <c r="E158" s="257"/>
      <c r="F158" s="38">
        <f>F161</f>
        <v>0</v>
      </c>
      <c r="G158" s="32"/>
      <c r="H158" s="41"/>
      <c r="I158" s="41"/>
      <c r="J158" s="41"/>
      <c r="K158" s="41"/>
      <c r="L158" s="41"/>
      <c r="M158" s="41"/>
    </row>
    <row r="159" spans="1:13" s="905" customFormat="1" ht="15.75" hidden="1" x14ac:dyDescent="0.25">
      <c r="A159" s="1347"/>
      <c r="B159" s="824"/>
      <c r="C159" s="33" t="s">
        <v>36</v>
      </c>
      <c r="D159" s="66" t="s">
        <v>6</v>
      </c>
      <c r="E159" s="258">
        <v>0.26</v>
      </c>
      <c r="F159" s="36">
        <f>E159*F158</f>
        <v>0</v>
      </c>
      <c r="G159" s="32"/>
      <c r="H159" s="41"/>
      <c r="I159" s="41">
        <v>4.5999999999999996</v>
      </c>
      <c r="J159" s="41">
        <f>F159*I159</f>
        <v>0</v>
      </c>
      <c r="K159" s="41"/>
      <c r="L159" s="41"/>
      <c r="M159" s="41">
        <f>J159</f>
        <v>0</v>
      </c>
    </row>
    <row r="160" spans="1:13" s="905" customFormat="1" ht="15.75" hidden="1" x14ac:dyDescent="0.25">
      <c r="A160" s="1347"/>
      <c r="B160" s="824"/>
      <c r="C160" s="39" t="s">
        <v>5</v>
      </c>
      <c r="D160" s="66" t="s">
        <v>4</v>
      </c>
      <c r="E160" s="258">
        <v>1.6E-2</v>
      </c>
      <c r="F160" s="67">
        <f>E160*F158</f>
        <v>0</v>
      </c>
      <c r="G160" s="32"/>
      <c r="H160" s="41"/>
      <c r="I160" s="41"/>
      <c r="J160" s="41"/>
      <c r="K160" s="41">
        <v>4</v>
      </c>
      <c r="L160" s="41">
        <f>F160*K160</f>
        <v>0</v>
      </c>
      <c r="M160" s="41">
        <f>L160</f>
        <v>0</v>
      </c>
    </row>
    <row r="161" spans="1:14" s="905" customFormat="1" ht="31.5" hidden="1" x14ac:dyDescent="0.25">
      <c r="A161" s="1347"/>
      <c r="B161" s="68"/>
      <c r="C161" s="35" t="s">
        <v>991</v>
      </c>
      <c r="D161" s="69" t="s">
        <v>41</v>
      </c>
      <c r="E161" s="259"/>
      <c r="F161" s="38">
        <v>0</v>
      </c>
      <c r="G161" s="32">
        <v>1.95</v>
      </c>
      <c r="H161" s="41">
        <f>F161*G161</f>
        <v>0</v>
      </c>
      <c r="I161" s="41"/>
      <c r="J161" s="41"/>
      <c r="K161" s="41"/>
      <c r="L161" s="41"/>
      <c r="M161" s="41">
        <f>H161</f>
        <v>0</v>
      </c>
    </row>
    <row r="162" spans="1:14" s="905" customFormat="1" ht="15.75" hidden="1" x14ac:dyDescent="0.25">
      <c r="A162" s="1348"/>
      <c r="B162" s="824"/>
      <c r="C162" s="33" t="s">
        <v>7</v>
      </c>
      <c r="D162" s="66" t="s">
        <v>4</v>
      </c>
      <c r="E162" s="258">
        <v>0.35299999999999998</v>
      </c>
      <c r="F162" s="36">
        <f>E162*F158</f>
        <v>0</v>
      </c>
      <c r="G162" s="32">
        <v>4</v>
      </c>
      <c r="H162" s="41">
        <f t="shared" ref="H162:H163" si="16">F162*G162</f>
        <v>0</v>
      </c>
      <c r="I162" s="32"/>
      <c r="J162" s="41"/>
      <c r="K162" s="32"/>
      <c r="L162" s="41"/>
      <c r="M162" s="41">
        <f>H162</f>
        <v>0</v>
      </c>
    </row>
    <row r="163" spans="1:14" s="905" customFormat="1" ht="63" hidden="1" x14ac:dyDescent="0.25">
      <c r="A163" s="834" t="s">
        <v>451</v>
      </c>
      <c r="B163" s="951"/>
      <c r="C163" s="758" t="s">
        <v>992</v>
      </c>
      <c r="D163" s="43" t="s">
        <v>52</v>
      </c>
      <c r="E163" s="5"/>
      <c r="F163" s="840"/>
      <c r="G163" s="681">
        <v>72.03</v>
      </c>
      <c r="H163" s="41">
        <f t="shared" si="16"/>
        <v>0</v>
      </c>
      <c r="I163" s="32"/>
      <c r="J163" s="41"/>
      <c r="K163" s="32"/>
      <c r="L163" s="41"/>
      <c r="M163" s="41">
        <f>H163</f>
        <v>0</v>
      </c>
    </row>
    <row r="164" spans="1:14" s="905" customFormat="1" ht="15.75" x14ac:dyDescent="0.25">
      <c r="A164" s="834"/>
      <c r="B164" s="951"/>
      <c r="C164" s="952"/>
      <c r="D164" s="43"/>
      <c r="E164" s="5"/>
      <c r="F164" s="840"/>
      <c r="G164" s="681"/>
      <c r="H164" s="223"/>
      <c r="I164" s="681"/>
      <c r="J164" s="223"/>
      <c r="K164" s="683"/>
      <c r="L164" s="223"/>
      <c r="M164" s="223"/>
    </row>
    <row r="165" spans="1:14" s="905" customFormat="1" ht="31.5" x14ac:dyDescent="0.25">
      <c r="A165" s="119"/>
      <c r="B165" s="121"/>
      <c r="C165" s="120" t="s">
        <v>1364</v>
      </c>
      <c r="D165" s="121"/>
      <c r="E165" s="961"/>
      <c r="F165" s="122"/>
      <c r="G165" s="962"/>
      <c r="H165" s="962">
        <f>SUM(H47:H163)</f>
        <v>0</v>
      </c>
      <c r="I165" s="962"/>
      <c r="J165" s="962">
        <f>SUM(J47:J163)</f>
        <v>0</v>
      </c>
      <c r="K165" s="962"/>
      <c r="L165" s="962">
        <f>SUM(L47:L163)</f>
        <v>0</v>
      </c>
      <c r="M165" s="962">
        <f>SUM(M47:M163)</f>
        <v>0</v>
      </c>
      <c r="N165" s="356">
        <f>H165+J165+L165</f>
        <v>0</v>
      </c>
    </row>
    <row r="166" spans="1:14" s="905" customFormat="1" ht="47.25" x14ac:dyDescent="0.25">
      <c r="A166" s="585"/>
      <c r="B166" s="585"/>
      <c r="C166" s="963" t="s">
        <v>994</v>
      </c>
      <c r="D166" s="585"/>
      <c r="E166" s="964"/>
      <c r="F166" s="1432"/>
      <c r="G166" s="64"/>
      <c r="H166" s="64"/>
      <c r="I166" s="64"/>
      <c r="J166" s="64"/>
      <c r="K166" s="64"/>
      <c r="L166" s="64"/>
      <c r="M166" s="832">
        <f>H165*F166</f>
        <v>0</v>
      </c>
    </row>
    <row r="167" spans="1:14" s="905" customFormat="1" ht="15.75" x14ac:dyDescent="0.25">
      <c r="A167" s="585"/>
      <c r="B167" s="585"/>
      <c r="C167" s="965" t="s">
        <v>19</v>
      </c>
      <c r="D167" s="585"/>
      <c r="E167" s="964"/>
      <c r="F167" s="63"/>
      <c r="G167" s="64"/>
      <c r="H167" s="64"/>
      <c r="I167" s="64"/>
      <c r="J167" s="88"/>
      <c r="K167" s="64"/>
      <c r="L167" s="64"/>
      <c r="M167" s="832">
        <f>M165+M166</f>
        <v>0</v>
      </c>
    </row>
    <row r="168" spans="1:14" s="905" customFormat="1" ht="47.25" x14ac:dyDescent="0.25">
      <c r="A168" s="835"/>
      <c r="B168" s="87"/>
      <c r="C168" s="966" t="s">
        <v>307</v>
      </c>
      <c r="D168" s="834"/>
      <c r="E168" s="2"/>
      <c r="F168" s="1432"/>
      <c r="G168" s="223"/>
      <c r="H168" s="223"/>
      <c r="I168" s="223"/>
      <c r="J168" s="223"/>
      <c r="K168" s="223"/>
      <c r="L168" s="223"/>
      <c r="M168" s="223">
        <f>J165*F168</f>
        <v>0</v>
      </c>
    </row>
    <row r="169" spans="1:14" s="905" customFormat="1" ht="15.75" x14ac:dyDescent="0.25">
      <c r="A169" s="585"/>
      <c r="B169" s="585"/>
      <c r="C169" s="965" t="s">
        <v>19</v>
      </c>
      <c r="D169" s="585"/>
      <c r="E169" s="964"/>
      <c r="F169" s="63"/>
      <c r="G169" s="64"/>
      <c r="H169" s="64"/>
      <c r="I169" s="64"/>
      <c r="J169" s="88"/>
      <c r="K169" s="64"/>
      <c r="L169" s="64"/>
      <c r="M169" s="832">
        <f>M167+M168</f>
        <v>0</v>
      </c>
    </row>
    <row r="170" spans="1:14" s="905" customFormat="1" ht="24.75" customHeight="1" x14ac:dyDescent="0.25">
      <c r="A170" s="834"/>
      <c r="B170" s="834"/>
      <c r="C170" s="966" t="s">
        <v>78</v>
      </c>
      <c r="D170" s="834"/>
      <c r="E170" s="2"/>
      <c r="F170" s="1432"/>
      <c r="G170" s="223"/>
      <c r="H170" s="223"/>
      <c r="I170" s="223"/>
      <c r="J170" s="223"/>
      <c r="K170" s="223"/>
      <c r="L170" s="223"/>
      <c r="M170" s="223">
        <f>M169*F170</f>
        <v>0</v>
      </c>
    </row>
    <row r="171" spans="1:14" s="905" customFormat="1" ht="31.5" x14ac:dyDescent="0.25">
      <c r="A171" s="967"/>
      <c r="B171" s="967"/>
      <c r="C171" s="972" t="s">
        <v>1365</v>
      </c>
      <c r="D171" s="967"/>
      <c r="E171" s="968"/>
      <c r="F171" s="969"/>
      <c r="G171" s="970"/>
      <c r="H171" s="970"/>
      <c r="I171" s="970"/>
      <c r="J171" s="970" t="s">
        <v>26</v>
      </c>
      <c r="K171" s="970"/>
      <c r="L171" s="970"/>
      <c r="M171" s="1433">
        <f>M169+M170</f>
        <v>0</v>
      </c>
    </row>
    <row r="172" spans="1:14" s="905" customFormat="1" ht="31.5" x14ac:dyDescent="0.25">
      <c r="A172" s="484"/>
      <c r="B172" s="835"/>
      <c r="C172" s="13" t="s">
        <v>1</v>
      </c>
      <c r="D172" s="484"/>
      <c r="E172" s="831"/>
      <c r="F172" s="11" t="s">
        <v>57</v>
      </c>
      <c r="G172" s="828"/>
      <c r="H172" s="828"/>
      <c r="I172" s="828"/>
      <c r="J172" s="828"/>
      <c r="K172" s="828"/>
      <c r="L172" s="828"/>
      <c r="M172" s="828">
        <f>M171*F172</f>
        <v>0</v>
      </c>
    </row>
    <row r="173" spans="1:14" s="905" customFormat="1" ht="15.75" x14ac:dyDescent="0.25">
      <c r="A173" s="484"/>
      <c r="B173" s="835"/>
      <c r="C173" s="314" t="s">
        <v>19</v>
      </c>
      <c r="D173" s="484"/>
      <c r="E173" s="831"/>
      <c r="F173" s="23"/>
      <c r="G173" s="828"/>
      <c r="H173" s="828"/>
      <c r="I173" s="828"/>
      <c r="J173" s="828"/>
      <c r="K173" s="828"/>
      <c r="L173" s="828"/>
      <c r="M173" s="828">
        <f>M171+M172</f>
        <v>0</v>
      </c>
    </row>
    <row r="174" spans="1:14" s="905" customFormat="1" ht="31.5" x14ac:dyDescent="0.25">
      <c r="A174" s="321"/>
      <c r="B174" s="322"/>
      <c r="C174" s="336" t="s">
        <v>303</v>
      </c>
      <c r="D174" s="323"/>
      <c r="E174" s="324"/>
      <c r="F174" s="337">
        <v>0.02</v>
      </c>
      <c r="G174" s="306"/>
      <c r="H174" s="306"/>
      <c r="I174" s="306"/>
      <c r="J174" s="345"/>
      <c r="K174" s="306"/>
      <c r="L174" s="306"/>
      <c r="M174" s="306">
        <f>(J165)*F174</f>
        <v>0</v>
      </c>
    </row>
    <row r="175" spans="1:14" s="905" customFormat="1" ht="15.75" x14ac:dyDescent="0.25">
      <c r="A175" s="321"/>
      <c r="B175" s="322"/>
      <c r="C175" s="314" t="s">
        <v>19</v>
      </c>
      <c r="D175" s="323"/>
      <c r="E175" s="324"/>
      <c r="F175" s="335"/>
      <c r="G175" s="306"/>
      <c r="H175" s="306"/>
      <c r="I175" s="306"/>
      <c r="J175" s="314"/>
      <c r="K175" s="306"/>
      <c r="L175" s="306"/>
      <c r="M175" s="306">
        <f>M173+M174</f>
        <v>0</v>
      </c>
    </row>
    <row r="176" spans="1:14" s="905" customFormat="1" ht="20.25" customHeight="1" x14ac:dyDescent="0.25">
      <c r="A176" s="484"/>
      <c r="B176" s="835"/>
      <c r="C176" s="13"/>
      <c r="D176" s="484"/>
      <c r="E176" s="831"/>
      <c r="F176" s="11" t="s">
        <v>58</v>
      </c>
      <c r="G176" s="828"/>
      <c r="H176" s="828"/>
      <c r="I176" s="828"/>
      <c r="J176" s="828"/>
      <c r="K176" s="828"/>
      <c r="L176" s="828"/>
      <c r="M176" s="828">
        <f>M175*F176</f>
        <v>0</v>
      </c>
    </row>
    <row r="177" spans="1:13" s="905" customFormat="1" ht="31.5" x14ac:dyDescent="0.25">
      <c r="A177" s="967"/>
      <c r="B177" s="971"/>
      <c r="C177" s="972" t="s">
        <v>995</v>
      </c>
      <c r="D177" s="971"/>
      <c r="E177" s="973"/>
      <c r="F177" s="974"/>
      <c r="G177" s="975"/>
      <c r="H177" s="975"/>
      <c r="I177" s="975"/>
      <c r="J177" s="975"/>
      <c r="K177" s="975"/>
      <c r="L177" s="975"/>
      <c r="M177" s="1433">
        <f>M175+M176</f>
        <v>0</v>
      </c>
    </row>
    <row r="178" spans="1:13" s="905" customFormat="1" ht="15.75" x14ac:dyDescent="0.25">
      <c r="A178" s="976"/>
      <c r="B178" s="976"/>
      <c r="C178" s="930"/>
      <c r="D178" s="976"/>
      <c r="E178" s="592"/>
      <c r="F178" s="977"/>
      <c r="G178" s="356"/>
      <c r="H178" s="356"/>
      <c r="I178" s="356"/>
      <c r="J178" s="356"/>
      <c r="K178" s="356"/>
      <c r="L178" s="356"/>
      <c r="M178" s="356"/>
    </row>
    <row r="179" spans="1:13" s="905" customFormat="1" ht="15.75" x14ac:dyDescent="0.2">
      <c r="A179" s="790"/>
      <c r="B179" s="976"/>
      <c r="C179" s="197"/>
      <c r="D179" s="74"/>
      <c r="E179" s="978"/>
      <c r="F179" s="977"/>
      <c r="G179" s="356"/>
      <c r="H179" s="356"/>
      <c r="I179" s="979"/>
      <c r="J179" s="979"/>
      <c r="K179" s="356"/>
      <c r="L179" s="356"/>
      <c r="M179" s="356"/>
    </row>
  </sheetData>
  <mergeCells count="23">
    <mergeCell ref="A158:A162"/>
    <mergeCell ref="A105:A127"/>
    <mergeCell ref="A128:A133"/>
    <mergeCell ref="A134:A138"/>
    <mergeCell ref="A140:A145"/>
    <mergeCell ref="A147:A151"/>
    <mergeCell ref="A152:A157"/>
    <mergeCell ref="A100:A104"/>
    <mergeCell ref="A1:M1"/>
    <mergeCell ref="A2:M2"/>
    <mergeCell ref="A3:M3"/>
    <mergeCell ref="A5:M5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A83:A91"/>
    <mergeCell ref="A92:A99"/>
  </mergeCells>
  <pageMargins left="0.70866141732283472" right="0.11" top="0.31" bottom="0.32" header="0.19" footer="0.18"/>
  <pageSetup paperSize="9" orientation="landscape" horizontalDpi="1200" verticalDpi="1200" r:id="rId1"/>
  <headerFooter>
    <oddHeader>&amp;R&amp;P--&amp;N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91"/>
  <sheetViews>
    <sheetView zoomScale="110" zoomScaleNormal="110" workbookViewId="0">
      <pane xSplit="3" ySplit="9" topLeftCell="D577" activePane="bottomRight" state="frozen"/>
      <selection pane="topRight" activeCell="D1" sqref="D1"/>
      <selection pane="bottomLeft" activeCell="A10" sqref="A10"/>
      <selection pane="bottomRight" activeCell="P584" sqref="P584"/>
    </sheetView>
  </sheetViews>
  <sheetFormatPr defaultRowHeight="15" x14ac:dyDescent="0.25"/>
  <cols>
    <col min="1" max="1" width="5.28515625" customWidth="1"/>
    <col min="2" max="2" width="8.28515625" customWidth="1"/>
    <col min="3" max="3" width="35" customWidth="1"/>
    <col min="4" max="4" width="6.5703125" customWidth="1"/>
    <col min="8" max="8" width="9.85546875" customWidth="1"/>
    <col min="9" max="9" width="8.140625" customWidth="1"/>
    <col min="11" max="11" width="7.85546875" customWidth="1"/>
    <col min="13" max="13" width="11.140625" customWidth="1"/>
  </cols>
  <sheetData>
    <row r="1" spans="1:13" ht="27.75" customHeight="1" x14ac:dyDescent="0.25">
      <c r="A1" s="1292" t="str">
        <f>krebsiti!A2</f>
        <v>borjomis municipalitetis daba waRverSi kulturis saxlis mimdebared skveris mowyobis samuSaoebi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</row>
    <row r="2" spans="1:13" ht="21" x14ac:dyDescent="0.25">
      <c r="A2" s="1293" t="s">
        <v>861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</row>
    <row r="3" spans="1:13" ht="15.75" x14ac:dyDescent="0.25">
      <c r="A3" s="1292" t="s">
        <v>99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1292"/>
    </row>
    <row r="4" spans="1:13" ht="15.75" hidden="1" x14ac:dyDescent="0.25">
      <c r="A4" s="788"/>
      <c r="B4" s="789"/>
      <c r="C4" s="116"/>
      <c r="D4" s="789"/>
      <c r="E4" s="786"/>
      <c r="F4" s="211"/>
      <c r="G4" s="807"/>
      <c r="H4" s="807"/>
      <c r="I4" s="807"/>
      <c r="J4" s="807"/>
      <c r="K4" s="807"/>
      <c r="L4" s="807"/>
      <c r="M4" s="807"/>
    </row>
    <row r="5" spans="1:13" ht="15.75" x14ac:dyDescent="0.25">
      <c r="A5" s="1292" t="s">
        <v>337</v>
      </c>
      <c r="B5" s="1292"/>
      <c r="C5" s="1292"/>
      <c r="D5" s="1292"/>
      <c r="E5" s="1292"/>
      <c r="F5" s="1292"/>
      <c r="G5" s="1292"/>
      <c r="H5" s="1292"/>
      <c r="I5" s="1292"/>
      <c r="J5" s="1292"/>
      <c r="K5" s="1292"/>
      <c r="L5" s="1292"/>
      <c r="M5" s="1292"/>
    </row>
    <row r="6" spans="1:13" ht="15.75" hidden="1" x14ac:dyDescent="0.25">
      <c r="A6" s="375"/>
      <c r="B6" s="74"/>
      <c r="C6" s="116"/>
      <c r="D6" s="74"/>
      <c r="E6" s="787"/>
      <c r="F6" s="829"/>
      <c r="G6" s="75"/>
      <c r="H6" s="75"/>
      <c r="I6" s="75"/>
      <c r="J6" s="75"/>
      <c r="K6" s="75"/>
      <c r="L6" s="75"/>
      <c r="M6" s="75"/>
    </row>
    <row r="7" spans="1:13" ht="15.75" x14ac:dyDescent="0.25">
      <c r="A7" s="1258" t="s">
        <v>0</v>
      </c>
      <c r="B7" s="1349" t="s">
        <v>546</v>
      </c>
      <c r="C7" s="1296" t="s">
        <v>547</v>
      </c>
      <c r="D7" s="1349" t="s">
        <v>548</v>
      </c>
      <c r="E7" s="1298" t="s">
        <v>549</v>
      </c>
      <c r="F7" s="1298"/>
      <c r="G7" s="1289" t="s">
        <v>550</v>
      </c>
      <c r="H7" s="1289"/>
      <c r="I7" s="1289" t="s">
        <v>551</v>
      </c>
      <c r="J7" s="1289"/>
      <c r="K7" s="1290" t="s">
        <v>25</v>
      </c>
      <c r="L7" s="1291"/>
      <c r="M7" s="1289" t="s">
        <v>552</v>
      </c>
    </row>
    <row r="8" spans="1:13" ht="31.5" x14ac:dyDescent="0.25">
      <c r="A8" s="1258"/>
      <c r="B8" s="1349"/>
      <c r="C8" s="1297"/>
      <c r="D8" s="1349"/>
      <c r="E8" s="524" t="s">
        <v>12</v>
      </c>
      <c r="F8" s="831" t="s">
        <v>3</v>
      </c>
      <c r="G8" s="828" t="s">
        <v>12</v>
      </c>
      <c r="H8" s="828" t="s">
        <v>3</v>
      </c>
      <c r="I8" s="828" t="s">
        <v>12</v>
      </c>
      <c r="J8" s="828" t="s">
        <v>3</v>
      </c>
      <c r="K8" s="828" t="s">
        <v>12</v>
      </c>
      <c r="L8" s="828" t="s">
        <v>3</v>
      </c>
      <c r="M8" s="1289"/>
    </row>
    <row r="9" spans="1:13" ht="15.75" x14ac:dyDescent="0.25">
      <c r="A9" s="821" t="s">
        <v>93</v>
      </c>
      <c r="B9" s="835" t="s">
        <v>72</v>
      </c>
      <c r="C9" s="830" t="s">
        <v>94</v>
      </c>
      <c r="D9" s="835" t="s">
        <v>87</v>
      </c>
      <c r="E9" s="524" t="s">
        <v>89</v>
      </c>
      <c r="F9" s="831" t="s">
        <v>90</v>
      </c>
      <c r="G9" s="828" t="s">
        <v>82</v>
      </c>
      <c r="H9" s="828" t="s">
        <v>40</v>
      </c>
      <c r="I9" s="828" t="s">
        <v>46</v>
      </c>
      <c r="J9" s="828" t="s">
        <v>48</v>
      </c>
      <c r="K9" s="828" t="s">
        <v>553</v>
      </c>
      <c r="L9" s="828" t="s">
        <v>53</v>
      </c>
      <c r="M9" s="828" t="s">
        <v>554</v>
      </c>
    </row>
    <row r="10" spans="1:13" ht="47.25" x14ac:dyDescent="0.25">
      <c r="A10" s="774"/>
      <c r="B10" s="775"/>
      <c r="C10" s="776" t="s">
        <v>754</v>
      </c>
      <c r="D10" s="1430"/>
      <c r="E10" s="1029"/>
      <c r="F10" s="1413"/>
      <c r="G10" s="828"/>
      <c r="H10" s="828"/>
      <c r="I10" s="828"/>
      <c r="J10" s="828"/>
      <c r="K10" s="828"/>
      <c r="L10" s="828"/>
      <c r="M10" s="828"/>
    </row>
    <row r="11" spans="1:13" ht="63" x14ac:dyDescent="0.25">
      <c r="A11" s="903" t="s">
        <v>997</v>
      </c>
      <c r="B11" s="903"/>
      <c r="C11" s="904" t="s">
        <v>99</v>
      </c>
      <c r="D11" s="1431"/>
      <c r="E11" s="1429"/>
      <c r="F11" s="1413"/>
      <c r="G11" s="223"/>
      <c r="H11" s="223"/>
      <c r="I11" s="223"/>
      <c r="J11" s="223"/>
      <c r="K11" s="223"/>
      <c r="L11" s="223"/>
      <c r="M11" s="223"/>
    </row>
    <row r="12" spans="1:13" s="215" customFormat="1" ht="31.5" x14ac:dyDescent="0.25">
      <c r="A12" s="980" t="s">
        <v>8</v>
      </c>
      <c r="B12" s="981"/>
      <c r="C12" s="982" t="s">
        <v>998</v>
      </c>
      <c r="D12" s="1434"/>
      <c r="E12" s="1435"/>
      <c r="F12" s="874"/>
      <c r="G12" s="8"/>
      <c r="H12" s="8"/>
      <c r="I12" s="8"/>
      <c r="J12" s="8"/>
      <c r="K12" s="8"/>
      <c r="L12" s="8"/>
      <c r="M12" s="223"/>
    </row>
    <row r="13" spans="1:13" s="215" customFormat="1" ht="15.75" hidden="1" x14ac:dyDescent="0.25">
      <c r="A13" s="1395">
        <v>1</v>
      </c>
      <c r="B13" s="985" t="s">
        <v>999</v>
      </c>
      <c r="C13" s="986" t="s">
        <v>1000</v>
      </c>
      <c r="D13" s="304" t="s">
        <v>22</v>
      </c>
      <c r="E13" s="987"/>
      <c r="F13" s="499">
        <f>F16+F17</f>
        <v>0</v>
      </c>
      <c r="G13" s="988"/>
      <c r="H13" s="8"/>
      <c r="I13" s="988"/>
      <c r="J13" s="8"/>
      <c r="K13" s="988"/>
      <c r="L13" s="8"/>
      <c r="M13" s="8"/>
    </row>
    <row r="14" spans="1:13" s="215" customFormat="1" ht="27" hidden="1" x14ac:dyDescent="0.25">
      <c r="A14" s="1396"/>
      <c r="B14" s="304"/>
      <c r="C14" s="13" t="s">
        <v>36</v>
      </c>
      <c r="D14" s="835" t="s">
        <v>6</v>
      </c>
      <c r="E14" s="524">
        <v>2.44</v>
      </c>
      <c r="F14" s="831">
        <f>F13*E14</f>
        <v>0</v>
      </c>
      <c r="G14" s="989"/>
      <c r="H14" s="8"/>
      <c r="I14" s="989">
        <v>6</v>
      </c>
      <c r="J14" s="8">
        <f t="shared" ref="J14:J95" si="0">F14*I14</f>
        <v>0</v>
      </c>
      <c r="K14" s="989"/>
      <c r="L14" s="8"/>
      <c r="M14" s="8">
        <f t="shared" ref="M14:M99" si="1">H14+J14+L14</f>
        <v>0</v>
      </c>
    </row>
    <row r="15" spans="1:13" s="215" customFormat="1" ht="15.75" hidden="1" x14ac:dyDescent="0.25">
      <c r="A15" s="1396"/>
      <c r="B15" s="304"/>
      <c r="C15" s="13" t="s">
        <v>1001</v>
      </c>
      <c r="D15" s="835" t="s">
        <v>4</v>
      </c>
      <c r="E15" s="524">
        <v>0.13</v>
      </c>
      <c r="F15" s="831">
        <f>F13*E15</f>
        <v>0</v>
      </c>
      <c r="G15" s="989"/>
      <c r="H15" s="8"/>
      <c r="I15" s="989"/>
      <c r="J15" s="8"/>
      <c r="K15" s="989">
        <v>4</v>
      </c>
      <c r="L15" s="8">
        <f t="shared" ref="L15:L96" si="2">F15*K15</f>
        <v>0</v>
      </c>
      <c r="M15" s="8">
        <f t="shared" si="1"/>
        <v>0</v>
      </c>
    </row>
    <row r="16" spans="1:13" s="215" customFormat="1" ht="47.25" hidden="1" x14ac:dyDescent="0.25">
      <c r="A16" s="1396"/>
      <c r="B16" s="304"/>
      <c r="C16" s="13" t="s">
        <v>1002</v>
      </c>
      <c r="D16" s="835" t="s">
        <v>1003</v>
      </c>
      <c r="E16" s="524">
        <v>1</v>
      </c>
      <c r="F16" s="831"/>
      <c r="G16" s="989">
        <v>200</v>
      </c>
      <c r="H16" s="8">
        <f t="shared" ref="H16:H99" si="3">F16*G16</f>
        <v>0</v>
      </c>
      <c r="I16" s="989"/>
      <c r="J16" s="8"/>
      <c r="K16" s="989"/>
      <c r="L16" s="8"/>
      <c r="M16" s="8">
        <f t="shared" si="1"/>
        <v>0</v>
      </c>
    </row>
    <row r="17" spans="1:13" s="215" customFormat="1" ht="31.5" hidden="1" x14ac:dyDescent="0.25">
      <c r="A17" s="1396"/>
      <c r="B17" s="304"/>
      <c r="C17" s="581" t="s">
        <v>1004</v>
      </c>
      <c r="D17" s="835" t="s">
        <v>1003</v>
      </c>
      <c r="E17" s="524">
        <v>1</v>
      </c>
      <c r="F17" s="831">
        <v>0</v>
      </c>
      <c r="G17" s="989">
        <v>150</v>
      </c>
      <c r="H17" s="8">
        <f t="shared" si="3"/>
        <v>0</v>
      </c>
      <c r="I17" s="989"/>
      <c r="J17" s="8">
        <f t="shared" si="0"/>
        <v>0</v>
      </c>
      <c r="K17" s="989"/>
      <c r="L17" s="8">
        <f t="shared" ref="L17" si="4">F17*K17</f>
        <v>0</v>
      </c>
      <c r="M17" s="8">
        <f t="shared" si="1"/>
        <v>0</v>
      </c>
    </row>
    <row r="18" spans="1:13" s="215" customFormat="1" ht="15.75" hidden="1" x14ac:dyDescent="0.25">
      <c r="A18" s="1397"/>
      <c r="B18" s="304"/>
      <c r="C18" s="13" t="s">
        <v>50</v>
      </c>
      <c r="D18" s="835" t="s">
        <v>1005</v>
      </c>
      <c r="E18" s="524">
        <v>0.94</v>
      </c>
      <c r="F18" s="831">
        <f>F13*E18</f>
        <v>0</v>
      </c>
      <c r="G18" s="989">
        <v>4</v>
      </c>
      <c r="H18" s="8">
        <f t="shared" si="3"/>
        <v>0</v>
      </c>
      <c r="I18" s="989"/>
      <c r="J18" s="8"/>
      <c r="K18" s="989"/>
      <c r="L18" s="8"/>
      <c r="M18" s="8">
        <f t="shared" si="1"/>
        <v>0</v>
      </c>
    </row>
    <row r="19" spans="1:13" s="215" customFormat="1" ht="31.5" x14ac:dyDescent="0.25">
      <c r="A19" s="1395">
        <v>1</v>
      </c>
      <c r="B19" s="985" t="s">
        <v>999</v>
      </c>
      <c r="C19" s="986" t="s">
        <v>1381</v>
      </c>
      <c r="D19" s="304" t="s">
        <v>22</v>
      </c>
      <c r="E19" s="987"/>
      <c r="F19" s="499">
        <f>F22</f>
        <v>2</v>
      </c>
      <c r="G19" s="988"/>
      <c r="H19" s="8"/>
      <c r="I19" s="988"/>
      <c r="J19" s="8"/>
      <c r="K19" s="988"/>
      <c r="L19" s="8"/>
      <c r="M19" s="8"/>
    </row>
    <row r="20" spans="1:13" s="215" customFormat="1" ht="27" x14ac:dyDescent="0.25">
      <c r="A20" s="1396"/>
      <c r="B20" s="304"/>
      <c r="C20" s="13" t="s">
        <v>36</v>
      </c>
      <c r="D20" s="835" t="s">
        <v>6</v>
      </c>
      <c r="E20" s="524">
        <v>2.44</v>
      </c>
      <c r="F20" s="831">
        <f>F19*E20</f>
        <v>4.88</v>
      </c>
      <c r="G20" s="989"/>
      <c r="H20" s="8"/>
      <c r="I20" s="989"/>
      <c r="J20" s="8">
        <f t="shared" ref="J20" si="5">F20*I20</f>
        <v>0</v>
      </c>
      <c r="K20" s="989"/>
      <c r="L20" s="8"/>
      <c r="M20" s="8">
        <f t="shared" ref="M20:M23" si="6">H20+J20+L20</f>
        <v>0</v>
      </c>
    </row>
    <row r="21" spans="1:13" s="215" customFormat="1" ht="15.75" x14ac:dyDescent="0.25">
      <c r="A21" s="1396"/>
      <c r="B21" s="304"/>
      <c r="C21" s="13" t="s">
        <v>1001</v>
      </c>
      <c r="D21" s="835" t="s">
        <v>4</v>
      </c>
      <c r="E21" s="524">
        <v>0.13</v>
      </c>
      <c r="F21" s="831">
        <f>F19*E21</f>
        <v>0.26</v>
      </c>
      <c r="G21" s="989"/>
      <c r="H21" s="8"/>
      <c r="I21" s="989"/>
      <c r="J21" s="8"/>
      <c r="K21" s="989"/>
      <c r="L21" s="8">
        <f t="shared" ref="L21" si="7">F21*K21</f>
        <v>0</v>
      </c>
      <c r="M21" s="8">
        <f t="shared" si="6"/>
        <v>0</v>
      </c>
    </row>
    <row r="22" spans="1:13" s="215" customFormat="1" ht="31.5" x14ac:dyDescent="0.25">
      <c r="A22" s="1396"/>
      <c r="B22" s="304"/>
      <c r="C22" s="581" t="s">
        <v>1334</v>
      </c>
      <c r="D22" s="835" t="s">
        <v>1003</v>
      </c>
      <c r="E22" s="524">
        <v>1</v>
      </c>
      <c r="F22" s="831">
        <v>2</v>
      </c>
      <c r="G22" s="989"/>
      <c r="H22" s="8">
        <f t="shared" ref="H22:H23" si="8">F22*G22</f>
        <v>0</v>
      </c>
      <c r="I22" s="989"/>
      <c r="J22" s="8"/>
      <c r="K22" s="989"/>
      <c r="L22" s="8"/>
      <c r="M22" s="8">
        <f t="shared" si="6"/>
        <v>0</v>
      </c>
    </row>
    <row r="23" spans="1:13" s="215" customFormat="1" ht="15.75" x14ac:dyDescent="0.25">
      <c r="A23" s="1397"/>
      <c r="B23" s="304"/>
      <c r="C23" s="13" t="s">
        <v>50</v>
      </c>
      <c r="D23" s="835" t="s">
        <v>1005</v>
      </c>
      <c r="E23" s="524">
        <v>0.94</v>
      </c>
      <c r="F23" s="831">
        <f>F19*E23</f>
        <v>1.88</v>
      </c>
      <c r="G23" s="989"/>
      <c r="H23" s="8">
        <f t="shared" si="8"/>
        <v>0</v>
      </c>
      <c r="I23" s="989"/>
      <c r="J23" s="8"/>
      <c r="K23" s="989"/>
      <c r="L23" s="8"/>
      <c r="M23" s="8">
        <f t="shared" si="6"/>
        <v>0</v>
      </c>
    </row>
    <row r="24" spans="1:13" s="215" customFormat="1" ht="15.75" x14ac:dyDescent="0.25">
      <c r="A24" s="1395">
        <v>2</v>
      </c>
      <c r="B24" s="985" t="s">
        <v>1006</v>
      </c>
      <c r="C24" s="986" t="s">
        <v>1007</v>
      </c>
      <c r="D24" s="304" t="s">
        <v>4</v>
      </c>
      <c r="E24" s="987"/>
      <c r="F24" s="499">
        <f>F27</f>
        <v>2</v>
      </c>
      <c r="G24" s="988"/>
      <c r="H24" s="8"/>
      <c r="I24" s="988"/>
      <c r="J24" s="8"/>
      <c r="K24" s="988"/>
      <c r="L24" s="8"/>
      <c r="M24" s="8"/>
    </row>
    <row r="25" spans="1:13" s="215" customFormat="1" ht="27" x14ac:dyDescent="0.25">
      <c r="A25" s="1396"/>
      <c r="B25" s="304"/>
      <c r="C25" s="13" t="s">
        <v>36</v>
      </c>
      <c r="D25" s="835" t="s">
        <v>6</v>
      </c>
      <c r="E25" s="524">
        <v>2.19</v>
      </c>
      <c r="F25" s="831">
        <f>F24*E25</f>
        <v>4.38</v>
      </c>
      <c r="G25" s="989"/>
      <c r="H25" s="8"/>
      <c r="I25" s="989"/>
      <c r="J25" s="8">
        <f t="shared" si="0"/>
        <v>0</v>
      </c>
      <c r="K25" s="989"/>
      <c r="L25" s="8"/>
      <c r="M25" s="8">
        <f t="shared" si="1"/>
        <v>0</v>
      </c>
    </row>
    <row r="26" spans="1:13" s="215" customFormat="1" ht="15.75" x14ac:dyDescent="0.25">
      <c r="A26" s="1396"/>
      <c r="B26" s="304"/>
      <c r="C26" s="13" t="s">
        <v>1001</v>
      </c>
      <c r="D26" s="835" t="s">
        <v>4</v>
      </c>
      <c r="E26" s="524">
        <v>7.0000000000000007E-2</v>
      </c>
      <c r="F26" s="831">
        <f>F24*E26</f>
        <v>0.14000000000000001</v>
      </c>
      <c r="G26" s="989"/>
      <c r="H26" s="8"/>
      <c r="I26" s="989"/>
      <c r="J26" s="8"/>
      <c r="K26" s="989"/>
      <c r="L26" s="8">
        <f t="shared" si="2"/>
        <v>0</v>
      </c>
      <c r="M26" s="8">
        <f t="shared" si="1"/>
        <v>0</v>
      </c>
    </row>
    <row r="27" spans="1:13" s="215" customFormat="1" ht="47.25" x14ac:dyDescent="0.25">
      <c r="A27" s="1396"/>
      <c r="B27" s="304"/>
      <c r="C27" s="13" t="s">
        <v>1008</v>
      </c>
      <c r="D27" s="835" t="s">
        <v>1003</v>
      </c>
      <c r="E27" s="524">
        <v>1</v>
      </c>
      <c r="F27" s="831">
        <v>2</v>
      </c>
      <c r="G27" s="989"/>
      <c r="H27" s="8">
        <f t="shared" si="3"/>
        <v>0</v>
      </c>
      <c r="I27" s="989"/>
      <c r="J27" s="8"/>
      <c r="K27" s="989"/>
      <c r="L27" s="8"/>
      <c r="M27" s="8">
        <f t="shared" si="1"/>
        <v>0</v>
      </c>
    </row>
    <row r="28" spans="1:13" s="215" customFormat="1" ht="15.75" x14ac:dyDescent="0.25">
      <c r="A28" s="1397"/>
      <c r="B28" s="304"/>
      <c r="C28" s="13" t="s">
        <v>50</v>
      </c>
      <c r="D28" s="835" t="s">
        <v>4</v>
      </c>
      <c r="E28" s="524">
        <v>0.37</v>
      </c>
      <c r="F28" s="831">
        <f>F24*E28</f>
        <v>0.74</v>
      </c>
      <c r="G28" s="989"/>
      <c r="H28" s="8">
        <f t="shared" si="3"/>
        <v>0</v>
      </c>
      <c r="I28" s="989"/>
      <c r="J28" s="8"/>
      <c r="K28" s="989"/>
      <c r="L28" s="8"/>
      <c r="M28" s="8">
        <f t="shared" si="1"/>
        <v>0</v>
      </c>
    </row>
    <row r="29" spans="1:13" s="215" customFormat="1" ht="63" hidden="1" x14ac:dyDescent="0.25">
      <c r="A29" s="1283" t="s">
        <v>94</v>
      </c>
      <c r="B29" s="700" t="s">
        <v>1009</v>
      </c>
      <c r="C29" s="990" t="s">
        <v>1010</v>
      </c>
      <c r="D29" s="294" t="s">
        <v>80</v>
      </c>
      <c r="E29" s="533"/>
      <c r="F29" s="23">
        <v>0</v>
      </c>
      <c r="G29" s="8">
        <f>466+340+200</f>
        <v>1006</v>
      </c>
      <c r="H29" s="8">
        <f t="shared" si="3"/>
        <v>0</v>
      </c>
      <c r="I29" s="8"/>
      <c r="J29" s="8"/>
      <c r="K29" s="8"/>
      <c r="L29" s="8"/>
      <c r="M29" s="223">
        <f t="shared" si="1"/>
        <v>0</v>
      </c>
    </row>
    <row r="30" spans="1:13" s="215" customFormat="1" ht="27" hidden="1" x14ac:dyDescent="0.25">
      <c r="A30" s="1284"/>
      <c r="B30" s="834"/>
      <c r="C30" s="13" t="s">
        <v>36</v>
      </c>
      <c r="D30" s="835" t="s">
        <v>6</v>
      </c>
      <c r="E30" s="524">
        <v>1</v>
      </c>
      <c r="F30" s="831">
        <f>F29*E30</f>
        <v>0</v>
      </c>
      <c r="G30" s="989"/>
      <c r="H30" s="8"/>
      <c r="I30" s="989">
        <v>100</v>
      </c>
      <c r="J30" s="8">
        <f t="shared" si="0"/>
        <v>0</v>
      </c>
      <c r="K30" s="989"/>
      <c r="L30" s="8"/>
      <c r="M30" s="223">
        <f t="shared" si="1"/>
        <v>0</v>
      </c>
    </row>
    <row r="31" spans="1:13" s="215" customFormat="1" ht="15.75" hidden="1" x14ac:dyDescent="0.25">
      <c r="A31" s="1283" t="s">
        <v>1011</v>
      </c>
      <c r="B31" s="834" t="s">
        <v>1012</v>
      </c>
      <c r="C31" s="827" t="s">
        <v>1013</v>
      </c>
      <c r="D31" s="835" t="s">
        <v>22</v>
      </c>
      <c r="E31" s="524"/>
      <c r="F31" s="23">
        <v>0</v>
      </c>
      <c r="G31" s="989"/>
      <c r="H31" s="8">
        <f t="shared" si="3"/>
        <v>0</v>
      </c>
      <c r="I31" s="8"/>
      <c r="J31" s="8">
        <f t="shared" si="0"/>
        <v>0</v>
      </c>
      <c r="K31" s="989"/>
      <c r="L31" s="8">
        <f t="shared" si="2"/>
        <v>0</v>
      </c>
      <c r="M31" s="8">
        <f t="shared" si="1"/>
        <v>0</v>
      </c>
    </row>
    <row r="32" spans="1:13" s="215" customFormat="1" ht="27" hidden="1" x14ac:dyDescent="0.25">
      <c r="A32" s="1285"/>
      <c r="B32" s="304"/>
      <c r="C32" s="13" t="s">
        <v>36</v>
      </c>
      <c r="D32" s="835" t="s">
        <v>6</v>
      </c>
      <c r="E32" s="524">
        <v>1.19</v>
      </c>
      <c r="F32" s="831">
        <f>F31*E32</f>
        <v>0</v>
      </c>
      <c r="G32" s="989"/>
      <c r="H32" s="8">
        <f t="shared" si="3"/>
        <v>0</v>
      </c>
      <c r="I32" s="989">
        <v>6</v>
      </c>
      <c r="J32" s="8">
        <f t="shared" si="0"/>
        <v>0</v>
      </c>
      <c r="K32" s="989"/>
      <c r="L32" s="8">
        <f t="shared" si="2"/>
        <v>0</v>
      </c>
      <c r="M32" s="8">
        <f t="shared" si="1"/>
        <v>0</v>
      </c>
    </row>
    <row r="33" spans="1:14" s="215" customFormat="1" ht="15.75" hidden="1" x14ac:dyDescent="0.25">
      <c r="A33" s="1285"/>
      <c r="B33" s="304"/>
      <c r="C33" s="13" t="s">
        <v>1001</v>
      </c>
      <c r="D33" s="835" t="s">
        <v>4</v>
      </c>
      <c r="E33" s="524">
        <v>0.05</v>
      </c>
      <c r="F33" s="831">
        <f>F31*E33</f>
        <v>0</v>
      </c>
      <c r="G33" s="989"/>
      <c r="H33" s="8">
        <f t="shared" si="3"/>
        <v>0</v>
      </c>
      <c r="I33" s="989"/>
      <c r="J33" s="8">
        <f t="shared" si="0"/>
        <v>0</v>
      </c>
      <c r="K33" s="989">
        <v>4</v>
      </c>
      <c r="L33" s="8">
        <f t="shared" si="2"/>
        <v>0</v>
      </c>
      <c r="M33" s="8">
        <f t="shared" si="1"/>
        <v>0</v>
      </c>
    </row>
    <row r="34" spans="1:14" s="215" customFormat="1" ht="47.25" hidden="1" x14ac:dyDescent="0.25">
      <c r="A34" s="1285"/>
      <c r="B34" s="304" t="s">
        <v>1014</v>
      </c>
      <c r="C34" s="13" t="s">
        <v>1015</v>
      </c>
      <c r="D34" s="835" t="s">
        <v>1003</v>
      </c>
      <c r="E34" s="524">
        <v>1</v>
      </c>
      <c r="F34" s="831">
        <f>F31</f>
        <v>0</v>
      </c>
      <c r="G34" s="989">
        <v>235</v>
      </c>
      <c r="H34" s="8">
        <f t="shared" si="3"/>
        <v>0</v>
      </c>
      <c r="I34" s="989"/>
      <c r="J34" s="8">
        <f t="shared" si="0"/>
        <v>0</v>
      </c>
      <c r="K34" s="989"/>
      <c r="L34" s="8">
        <f t="shared" si="2"/>
        <v>0</v>
      </c>
      <c r="M34" s="8">
        <f t="shared" si="1"/>
        <v>0</v>
      </c>
    </row>
    <row r="35" spans="1:14" s="215" customFormat="1" ht="15.75" hidden="1" x14ac:dyDescent="0.25">
      <c r="A35" s="1284"/>
      <c r="B35" s="304"/>
      <c r="C35" s="13" t="s">
        <v>50</v>
      </c>
      <c r="D35" s="835" t="s">
        <v>4</v>
      </c>
      <c r="E35" s="524">
        <v>0.28999999999999998</v>
      </c>
      <c r="F35" s="831">
        <f>F31*E35</f>
        <v>0</v>
      </c>
      <c r="G35" s="989">
        <v>4</v>
      </c>
      <c r="H35" s="8">
        <f t="shared" si="3"/>
        <v>0</v>
      </c>
      <c r="I35" s="989"/>
      <c r="J35" s="8">
        <f t="shared" si="0"/>
        <v>0</v>
      </c>
      <c r="K35" s="989"/>
      <c r="L35" s="8">
        <f t="shared" si="2"/>
        <v>0</v>
      </c>
      <c r="M35" s="8">
        <f t="shared" si="1"/>
        <v>0</v>
      </c>
    </row>
    <row r="36" spans="1:14" s="215" customFormat="1" ht="15.75" hidden="1" x14ac:dyDescent="0.25">
      <c r="A36" s="1283" t="s">
        <v>1011</v>
      </c>
      <c r="B36" s="294" t="s">
        <v>1016</v>
      </c>
      <c r="C36" s="827" t="s">
        <v>1017</v>
      </c>
      <c r="D36" s="835"/>
      <c r="E36" s="524"/>
      <c r="F36" s="23">
        <f>F39</f>
        <v>0</v>
      </c>
      <c r="G36" s="989"/>
      <c r="H36" s="8"/>
      <c r="I36" s="989"/>
      <c r="J36" s="8"/>
      <c r="K36" s="989"/>
      <c r="L36" s="8"/>
      <c r="M36" s="8"/>
    </row>
    <row r="37" spans="1:14" s="215" customFormat="1" ht="27" hidden="1" x14ac:dyDescent="0.25">
      <c r="A37" s="1285"/>
      <c r="B37" s="294"/>
      <c r="C37" s="13" t="s">
        <v>36</v>
      </c>
      <c r="D37" s="835" t="s">
        <v>6</v>
      </c>
      <c r="E37" s="991">
        <v>1.6</v>
      </c>
      <c r="F37" s="288">
        <f>E37*F36</f>
        <v>0</v>
      </c>
      <c r="G37" s="989"/>
      <c r="H37" s="8"/>
      <c r="I37" s="989">
        <v>6</v>
      </c>
      <c r="J37" s="8">
        <f t="shared" si="0"/>
        <v>0</v>
      </c>
      <c r="K37" s="989"/>
      <c r="L37" s="8"/>
      <c r="M37" s="8">
        <f t="shared" si="1"/>
        <v>0</v>
      </c>
    </row>
    <row r="38" spans="1:14" s="215" customFormat="1" ht="15.75" hidden="1" x14ac:dyDescent="0.25">
      <c r="A38" s="1285"/>
      <c r="B38" s="294"/>
      <c r="C38" s="13" t="s">
        <v>5</v>
      </c>
      <c r="D38" s="835" t="s">
        <v>4</v>
      </c>
      <c r="E38" s="991">
        <v>0.15</v>
      </c>
      <c r="F38" s="288">
        <f>E38*F36</f>
        <v>0</v>
      </c>
      <c r="G38" s="989"/>
      <c r="H38" s="8"/>
      <c r="I38" s="989"/>
      <c r="J38" s="8"/>
      <c r="K38" s="989">
        <v>4</v>
      </c>
      <c r="L38" s="8">
        <f t="shared" si="2"/>
        <v>0</v>
      </c>
      <c r="M38" s="8">
        <f t="shared" si="1"/>
        <v>0</v>
      </c>
    </row>
    <row r="39" spans="1:14" s="215" customFormat="1" ht="31.5" hidden="1" x14ac:dyDescent="0.25">
      <c r="A39" s="1285"/>
      <c r="B39" s="294"/>
      <c r="C39" s="13" t="s">
        <v>1018</v>
      </c>
      <c r="D39" s="835" t="s">
        <v>1019</v>
      </c>
      <c r="E39" s="524">
        <v>1</v>
      </c>
      <c r="F39" s="288">
        <v>0</v>
      </c>
      <c r="G39" s="989">
        <v>1980</v>
      </c>
      <c r="H39" s="8">
        <f t="shared" si="3"/>
        <v>0</v>
      </c>
      <c r="I39" s="989"/>
      <c r="J39" s="8"/>
      <c r="K39" s="989"/>
      <c r="L39" s="8"/>
      <c r="M39" s="8">
        <f t="shared" si="1"/>
        <v>0</v>
      </c>
    </row>
    <row r="40" spans="1:14" s="215" customFormat="1" ht="15.75" hidden="1" x14ac:dyDescent="0.25">
      <c r="A40" s="1284"/>
      <c r="B40" s="294"/>
      <c r="C40" s="13" t="s">
        <v>7</v>
      </c>
      <c r="D40" s="835" t="s">
        <v>4</v>
      </c>
      <c r="E40" s="991">
        <v>0.4</v>
      </c>
      <c r="F40" s="288">
        <f>E40*F36</f>
        <v>0</v>
      </c>
      <c r="G40" s="989">
        <v>4</v>
      </c>
      <c r="H40" s="8">
        <f t="shared" si="3"/>
        <v>0</v>
      </c>
      <c r="I40" s="989"/>
      <c r="J40" s="8"/>
      <c r="K40" s="989"/>
      <c r="L40" s="8"/>
      <c r="M40" s="8">
        <f t="shared" si="1"/>
        <v>0</v>
      </c>
    </row>
    <row r="41" spans="1:14" s="215" customFormat="1" ht="31.5" hidden="1" x14ac:dyDescent="0.25">
      <c r="A41" s="1395" t="s">
        <v>87</v>
      </c>
      <c r="B41" s="985" t="s">
        <v>1020</v>
      </c>
      <c r="C41" s="986" t="s">
        <v>1021</v>
      </c>
      <c r="D41" s="304" t="s">
        <v>22</v>
      </c>
      <c r="E41" s="987"/>
      <c r="F41" s="499">
        <f>F44+F45</f>
        <v>0</v>
      </c>
      <c r="G41" s="988"/>
      <c r="H41" s="8"/>
      <c r="I41" s="988"/>
      <c r="J41" s="8"/>
      <c r="K41" s="988"/>
      <c r="L41" s="8"/>
      <c r="M41" s="8"/>
    </row>
    <row r="42" spans="1:14" s="215" customFormat="1" ht="27" hidden="1" x14ac:dyDescent="0.25">
      <c r="A42" s="1396"/>
      <c r="B42" s="304"/>
      <c r="C42" s="13" t="s">
        <v>36</v>
      </c>
      <c r="D42" s="835" t="s">
        <v>6</v>
      </c>
      <c r="E42" s="524">
        <v>2.71</v>
      </c>
      <c r="F42" s="831">
        <f>F41*E42</f>
        <v>0</v>
      </c>
      <c r="G42" s="989"/>
      <c r="H42" s="8"/>
      <c r="I42" s="989">
        <v>6</v>
      </c>
      <c r="J42" s="8">
        <f t="shared" si="0"/>
        <v>0</v>
      </c>
      <c r="K42" s="989"/>
      <c r="L42" s="8"/>
      <c r="M42" s="8">
        <f t="shared" si="1"/>
        <v>0</v>
      </c>
    </row>
    <row r="43" spans="1:14" s="215" customFormat="1" ht="15.75" hidden="1" x14ac:dyDescent="0.25">
      <c r="A43" s="1396"/>
      <c r="B43" s="304"/>
      <c r="C43" s="13" t="s">
        <v>1001</v>
      </c>
      <c r="D43" s="835" t="s">
        <v>1005</v>
      </c>
      <c r="E43" s="524">
        <v>0.2</v>
      </c>
      <c r="F43" s="831">
        <f>F41*E43</f>
        <v>0</v>
      </c>
      <c r="G43" s="989"/>
      <c r="H43" s="8"/>
      <c r="I43" s="989"/>
      <c r="J43" s="8"/>
      <c r="K43" s="989">
        <v>4</v>
      </c>
      <c r="L43" s="8">
        <f t="shared" si="2"/>
        <v>0</v>
      </c>
      <c r="M43" s="8">
        <f t="shared" si="1"/>
        <v>0</v>
      </c>
    </row>
    <row r="44" spans="1:14" s="215" customFormat="1" ht="47.25" hidden="1" x14ac:dyDescent="0.25">
      <c r="A44" s="1396"/>
      <c r="B44" s="304"/>
      <c r="C44" s="13" t="s">
        <v>1022</v>
      </c>
      <c r="D44" s="835" t="s">
        <v>1003</v>
      </c>
      <c r="E44" s="524">
        <v>1</v>
      </c>
      <c r="F44" s="831">
        <v>0</v>
      </c>
      <c r="G44" s="989">
        <v>300</v>
      </c>
      <c r="H44" s="8">
        <f t="shared" si="3"/>
        <v>0</v>
      </c>
      <c r="I44" s="989"/>
      <c r="J44" s="8"/>
      <c r="K44" s="989"/>
      <c r="L44" s="8"/>
      <c r="M44" s="8">
        <f t="shared" si="1"/>
        <v>0</v>
      </c>
    </row>
    <row r="45" spans="1:14" s="215" customFormat="1" ht="47.25" hidden="1" x14ac:dyDescent="0.25">
      <c r="A45" s="1396"/>
      <c r="B45" s="304"/>
      <c r="C45" s="13" t="s">
        <v>1023</v>
      </c>
      <c r="D45" s="835" t="s">
        <v>1003</v>
      </c>
      <c r="E45" s="524">
        <v>1</v>
      </c>
      <c r="F45" s="831">
        <v>0</v>
      </c>
      <c r="G45" s="989">
        <v>200</v>
      </c>
      <c r="H45" s="8">
        <f t="shared" si="3"/>
        <v>0</v>
      </c>
      <c r="I45" s="989"/>
      <c r="J45" s="8"/>
      <c r="K45" s="989"/>
      <c r="L45" s="8"/>
      <c r="M45" s="8">
        <f t="shared" si="1"/>
        <v>0</v>
      </c>
    </row>
    <row r="46" spans="1:14" s="215" customFormat="1" ht="15.75" hidden="1" x14ac:dyDescent="0.25">
      <c r="A46" s="1397"/>
      <c r="B46" s="304"/>
      <c r="C46" s="13" t="s">
        <v>50</v>
      </c>
      <c r="D46" s="835" t="s">
        <v>1005</v>
      </c>
      <c r="E46" s="524">
        <v>0.65</v>
      </c>
      <c r="F46" s="831">
        <f>F41*E46</f>
        <v>0</v>
      </c>
      <c r="G46" s="989">
        <v>4</v>
      </c>
      <c r="H46" s="8">
        <f t="shared" si="3"/>
        <v>0</v>
      </c>
      <c r="I46" s="989"/>
      <c r="J46" s="8"/>
      <c r="K46" s="989"/>
      <c r="L46" s="8"/>
      <c r="M46" s="8">
        <f t="shared" si="1"/>
        <v>0</v>
      </c>
    </row>
    <row r="47" spans="1:14" s="215" customFormat="1" ht="15.75" x14ac:dyDescent="0.25">
      <c r="A47" s="1395">
        <v>5</v>
      </c>
      <c r="B47" s="985" t="s">
        <v>1024</v>
      </c>
      <c r="C47" s="307" t="s">
        <v>1025</v>
      </c>
      <c r="D47" s="304" t="s">
        <v>22</v>
      </c>
      <c r="E47" s="987"/>
      <c r="F47" s="499">
        <f>F50+F51+F52</f>
        <v>2</v>
      </c>
      <c r="G47" s="988"/>
      <c r="H47" s="8"/>
      <c r="I47" s="988"/>
      <c r="J47" s="8"/>
      <c r="K47" s="988"/>
      <c r="L47" s="8"/>
      <c r="M47" s="8"/>
      <c r="N47" s="992"/>
    </row>
    <row r="48" spans="1:14" s="215" customFormat="1" ht="27" x14ac:dyDescent="0.25">
      <c r="A48" s="1396"/>
      <c r="B48" s="304"/>
      <c r="C48" s="26" t="s">
        <v>36</v>
      </c>
      <c r="D48" s="835" t="s">
        <v>6</v>
      </c>
      <c r="E48" s="524">
        <v>0.82</v>
      </c>
      <c r="F48" s="831">
        <f>F47*E48</f>
        <v>1.64</v>
      </c>
      <c r="G48" s="989"/>
      <c r="H48" s="8"/>
      <c r="I48" s="989"/>
      <c r="J48" s="8">
        <f t="shared" si="0"/>
        <v>0</v>
      </c>
      <c r="K48" s="989"/>
      <c r="L48" s="8"/>
      <c r="M48" s="8">
        <f t="shared" si="1"/>
        <v>0</v>
      </c>
      <c r="N48" s="992"/>
    </row>
    <row r="49" spans="1:14" s="215" customFormat="1" ht="15.75" x14ac:dyDescent="0.25">
      <c r="A49" s="1396"/>
      <c r="B49" s="304"/>
      <c r="C49" s="26" t="s">
        <v>1001</v>
      </c>
      <c r="D49" s="835" t="s">
        <v>1005</v>
      </c>
      <c r="E49" s="524">
        <v>0.01</v>
      </c>
      <c r="F49" s="831">
        <f>F47*E49</f>
        <v>0.02</v>
      </c>
      <c r="G49" s="989"/>
      <c r="H49" s="8"/>
      <c r="I49" s="989"/>
      <c r="J49" s="8"/>
      <c r="K49" s="989"/>
      <c r="L49" s="8">
        <f t="shared" si="2"/>
        <v>0</v>
      </c>
      <c r="M49" s="8">
        <f t="shared" si="1"/>
        <v>0</v>
      </c>
      <c r="N49" s="992"/>
    </row>
    <row r="50" spans="1:14" s="215" customFormat="1" ht="15.75" x14ac:dyDescent="0.25">
      <c r="A50" s="1396"/>
      <c r="B50" s="304"/>
      <c r="C50" s="26" t="s">
        <v>1026</v>
      </c>
      <c r="D50" s="835" t="s">
        <v>1003</v>
      </c>
      <c r="E50" s="524">
        <v>1</v>
      </c>
      <c r="F50" s="831">
        <f>F24+F29</f>
        <v>2</v>
      </c>
      <c r="G50" s="989"/>
      <c r="H50" s="8">
        <f t="shared" si="3"/>
        <v>0</v>
      </c>
      <c r="I50" s="989"/>
      <c r="J50" s="8"/>
      <c r="K50" s="989"/>
      <c r="L50" s="8"/>
      <c r="M50" s="8">
        <f t="shared" si="1"/>
        <v>0</v>
      </c>
      <c r="N50" s="992"/>
    </row>
    <row r="51" spans="1:14" s="215" customFormat="1" ht="15.75" hidden="1" x14ac:dyDescent="0.25">
      <c r="A51" s="1396"/>
      <c r="B51" s="304"/>
      <c r="C51" s="26" t="s">
        <v>1027</v>
      </c>
      <c r="D51" s="835" t="s">
        <v>1003</v>
      </c>
      <c r="E51" s="524">
        <v>1</v>
      </c>
      <c r="F51" s="831">
        <f>F36</f>
        <v>0</v>
      </c>
      <c r="G51" s="989"/>
      <c r="H51" s="8">
        <f t="shared" si="3"/>
        <v>0</v>
      </c>
      <c r="I51" s="989"/>
      <c r="J51" s="8"/>
      <c r="K51" s="989"/>
      <c r="L51" s="8"/>
      <c r="M51" s="8">
        <f t="shared" si="1"/>
        <v>0</v>
      </c>
      <c r="N51" s="992"/>
    </row>
    <row r="52" spans="1:14" s="215" customFormat="1" ht="15.75" hidden="1" x14ac:dyDescent="0.25">
      <c r="A52" s="1396"/>
      <c r="B52" s="304"/>
      <c r="C52" s="26" t="s">
        <v>1028</v>
      </c>
      <c r="D52" s="835" t="s">
        <v>1003</v>
      </c>
      <c r="E52" s="524">
        <v>1</v>
      </c>
      <c r="F52" s="831">
        <f>F41</f>
        <v>0</v>
      </c>
      <c r="G52" s="989"/>
      <c r="H52" s="8">
        <f t="shared" si="3"/>
        <v>0</v>
      </c>
      <c r="I52" s="989"/>
      <c r="J52" s="8"/>
      <c r="K52" s="989"/>
      <c r="L52" s="8"/>
      <c r="M52" s="8">
        <f t="shared" si="1"/>
        <v>0</v>
      </c>
      <c r="N52" s="992"/>
    </row>
    <row r="53" spans="1:14" s="215" customFormat="1" ht="15.75" x14ac:dyDescent="0.25">
      <c r="A53" s="1397"/>
      <c r="B53" s="304"/>
      <c r="C53" s="26" t="s">
        <v>50</v>
      </c>
      <c r="D53" s="835" t="s">
        <v>1005</v>
      </c>
      <c r="E53" s="524">
        <v>7.0000000000000007E-2</v>
      </c>
      <c r="F53" s="831">
        <f>F47*E53</f>
        <v>0.14000000000000001</v>
      </c>
      <c r="G53" s="989"/>
      <c r="H53" s="8">
        <f t="shared" si="3"/>
        <v>0</v>
      </c>
      <c r="I53" s="989"/>
      <c r="J53" s="8"/>
      <c r="K53" s="989"/>
      <c r="L53" s="8"/>
      <c r="M53" s="8">
        <f t="shared" si="1"/>
        <v>0</v>
      </c>
      <c r="N53" s="992"/>
    </row>
    <row r="54" spans="1:14" s="215" customFormat="1" ht="31.5" hidden="1" x14ac:dyDescent="0.25">
      <c r="A54" s="993" t="s">
        <v>1011</v>
      </c>
      <c r="B54" s="294" t="s">
        <v>18</v>
      </c>
      <c r="C54" s="62" t="s">
        <v>1029</v>
      </c>
      <c r="D54" s="294" t="s">
        <v>80</v>
      </c>
      <c r="E54" s="524"/>
      <c r="F54" s="831">
        <v>0</v>
      </c>
      <c r="G54" s="989">
        <v>1500</v>
      </c>
      <c r="H54" s="8">
        <f t="shared" si="3"/>
        <v>0</v>
      </c>
      <c r="I54" s="989">
        <v>70</v>
      </c>
      <c r="J54" s="8">
        <f>F54*I54</f>
        <v>0</v>
      </c>
      <c r="K54" s="989"/>
      <c r="L54" s="8"/>
      <c r="M54" s="8">
        <f t="shared" si="1"/>
        <v>0</v>
      </c>
      <c r="N54" s="992"/>
    </row>
    <row r="55" spans="1:14" s="215" customFormat="1" ht="31.5" x14ac:dyDescent="0.25">
      <c r="A55" s="1258" t="s">
        <v>94</v>
      </c>
      <c r="B55" s="484" t="s">
        <v>104</v>
      </c>
      <c r="C55" s="1117" t="s">
        <v>1070</v>
      </c>
      <c r="D55" s="484" t="s">
        <v>66</v>
      </c>
      <c r="E55" s="10"/>
      <c r="F55" s="23">
        <f>SUM(F58:F66)</f>
        <v>7</v>
      </c>
      <c r="G55" s="12"/>
      <c r="H55" s="8"/>
      <c r="I55" s="12"/>
      <c r="J55" s="8"/>
      <c r="K55" s="12"/>
      <c r="L55" s="8"/>
      <c r="M55" s="8"/>
      <c r="N55" s="992"/>
    </row>
    <row r="56" spans="1:14" s="215" customFormat="1" ht="27" x14ac:dyDescent="0.25">
      <c r="A56" s="1258"/>
      <c r="B56" s="1124"/>
      <c r="C56" s="13" t="s">
        <v>100</v>
      </c>
      <c r="D56" s="1124" t="s">
        <v>68</v>
      </c>
      <c r="E56" s="524">
        <v>1.51</v>
      </c>
      <c r="F56" s="1122">
        <f>F55*E56</f>
        <v>10.57</v>
      </c>
      <c r="G56" s="1120"/>
      <c r="H56" s="8"/>
      <c r="I56" s="1120"/>
      <c r="J56" s="8">
        <f t="shared" ref="J56" si="9">F56*I56</f>
        <v>0</v>
      </c>
      <c r="K56" s="1120"/>
      <c r="L56" s="8"/>
      <c r="M56" s="8">
        <f t="shared" ref="M56:M58" si="10">H56+J56+L56</f>
        <v>0</v>
      </c>
      <c r="N56" s="992"/>
    </row>
    <row r="57" spans="1:14" s="215" customFormat="1" ht="15.75" x14ac:dyDescent="0.25">
      <c r="A57" s="1258"/>
      <c r="B57" s="1124"/>
      <c r="C57" s="26" t="s">
        <v>101</v>
      </c>
      <c r="D57" s="1124" t="s">
        <v>21</v>
      </c>
      <c r="E57" s="524">
        <v>0.13</v>
      </c>
      <c r="F57" s="1122">
        <f>F55*E57</f>
        <v>0.91</v>
      </c>
      <c r="G57" s="1120"/>
      <c r="H57" s="8"/>
      <c r="I57" s="1120"/>
      <c r="J57" s="8"/>
      <c r="K57" s="1120"/>
      <c r="L57" s="8">
        <f t="shared" ref="L57" si="11">F57*K57</f>
        <v>0</v>
      </c>
      <c r="M57" s="8">
        <f t="shared" si="10"/>
        <v>0</v>
      </c>
      <c r="N57" s="992"/>
    </row>
    <row r="58" spans="1:14" s="215" customFormat="1" ht="15.75" hidden="1" x14ac:dyDescent="0.25">
      <c r="A58" s="1258"/>
      <c r="B58" s="1124"/>
      <c r="C58" s="26" t="s">
        <v>1071</v>
      </c>
      <c r="D58" s="1124" t="s">
        <v>66</v>
      </c>
      <c r="E58" s="524" t="s">
        <v>93</v>
      </c>
      <c r="F58" s="1122"/>
      <c r="G58" s="1120">
        <v>9.5</v>
      </c>
      <c r="H58" s="8">
        <f t="shared" ref="H58" si="12">F58*G58</f>
        <v>0</v>
      </c>
      <c r="I58" s="1120"/>
      <c r="J58" s="8"/>
      <c r="K58" s="1120"/>
      <c r="L58" s="8"/>
      <c r="M58" s="8">
        <f t="shared" si="10"/>
        <v>0</v>
      </c>
      <c r="N58" s="992"/>
    </row>
    <row r="59" spans="1:14" s="215" customFormat="1" ht="15.75" x14ac:dyDescent="0.25">
      <c r="A59" s="1258"/>
      <c r="B59" s="1124"/>
      <c r="C59" s="26" t="s">
        <v>1072</v>
      </c>
      <c r="D59" s="1124" t="s">
        <v>66</v>
      </c>
      <c r="E59" s="524">
        <v>1</v>
      </c>
      <c r="F59" s="1122">
        <v>2</v>
      </c>
      <c r="G59" s="1120"/>
      <c r="H59" s="8">
        <f>F59*G59</f>
        <v>0</v>
      </c>
      <c r="I59" s="1120"/>
      <c r="J59" s="8"/>
      <c r="K59" s="1120"/>
      <c r="L59" s="8"/>
      <c r="M59" s="8">
        <f>H59+J59+L59</f>
        <v>0</v>
      </c>
      <c r="N59" s="992"/>
    </row>
    <row r="60" spans="1:14" s="215" customFormat="1" ht="15.75" x14ac:dyDescent="0.25">
      <c r="A60" s="1258"/>
      <c r="B60" s="1124"/>
      <c r="C60" s="26" t="s">
        <v>1073</v>
      </c>
      <c r="D60" s="1124" t="s">
        <v>66</v>
      </c>
      <c r="E60" s="524">
        <v>1</v>
      </c>
      <c r="F60" s="1122">
        <v>1</v>
      </c>
      <c r="G60" s="1120"/>
      <c r="H60" s="8">
        <f t="shared" ref="H60:H64" si="13">F60*G60</f>
        <v>0</v>
      </c>
      <c r="I60" s="1120"/>
      <c r="J60" s="8"/>
      <c r="K60" s="1120"/>
      <c r="L60" s="8"/>
      <c r="M60" s="8">
        <f t="shared" ref="M60:M64" si="14">H60+J60+L60</f>
        <v>0</v>
      </c>
      <c r="N60" s="992"/>
    </row>
    <row r="61" spans="1:14" s="215" customFormat="1" ht="15.75" hidden="1" x14ac:dyDescent="0.25">
      <c r="A61" s="1258"/>
      <c r="B61" s="1124"/>
      <c r="C61" s="26" t="s">
        <v>1074</v>
      </c>
      <c r="D61" s="1124" t="s">
        <v>66</v>
      </c>
      <c r="E61" s="524">
        <v>1</v>
      </c>
      <c r="F61" s="1122"/>
      <c r="G61" s="1120"/>
      <c r="H61" s="8">
        <f t="shared" si="13"/>
        <v>0</v>
      </c>
      <c r="I61" s="1120"/>
      <c r="J61" s="8"/>
      <c r="K61" s="1120"/>
      <c r="L61" s="8"/>
      <c r="M61" s="8">
        <f t="shared" si="14"/>
        <v>0</v>
      </c>
      <c r="N61" s="992"/>
    </row>
    <row r="62" spans="1:14" s="215" customFormat="1" ht="15.75" hidden="1" x14ac:dyDescent="0.25">
      <c r="A62" s="1258"/>
      <c r="B62" s="1124"/>
      <c r="C62" s="26" t="s">
        <v>1075</v>
      </c>
      <c r="D62" s="1124" t="s">
        <v>66</v>
      </c>
      <c r="E62" s="524">
        <v>1</v>
      </c>
      <c r="F62" s="1122"/>
      <c r="G62" s="1120"/>
      <c r="H62" s="8">
        <f t="shared" si="13"/>
        <v>0</v>
      </c>
      <c r="I62" s="1120"/>
      <c r="J62" s="8"/>
      <c r="K62" s="1120"/>
      <c r="L62" s="8"/>
      <c r="M62" s="8">
        <f t="shared" si="14"/>
        <v>0</v>
      </c>
      <c r="N62" s="992"/>
    </row>
    <row r="63" spans="1:14" s="215" customFormat="1" ht="15.75" hidden="1" x14ac:dyDescent="0.25">
      <c r="A63" s="1258"/>
      <c r="B63" s="1124"/>
      <c r="C63" s="26" t="s">
        <v>1076</v>
      </c>
      <c r="D63" s="1124" t="s">
        <v>66</v>
      </c>
      <c r="E63" s="524">
        <v>1</v>
      </c>
      <c r="F63" s="1122"/>
      <c r="G63" s="1120"/>
      <c r="H63" s="8">
        <f t="shared" si="13"/>
        <v>0</v>
      </c>
      <c r="I63" s="1120"/>
      <c r="J63" s="8"/>
      <c r="K63" s="1120"/>
      <c r="L63" s="8"/>
      <c r="M63" s="8">
        <f t="shared" si="14"/>
        <v>0</v>
      </c>
      <c r="N63" s="992"/>
    </row>
    <row r="64" spans="1:14" s="215" customFormat="1" ht="15.75" hidden="1" x14ac:dyDescent="0.25">
      <c r="A64" s="1258"/>
      <c r="B64" s="1124"/>
      <c r="C64" s="26" t="s">
        <v>1077</v>
      </c>
      <c r="D64" s="1124" t="s">
        <v>66</v>
      </c>
      <c r="E64" s="524" t="s">
        <v>93</v>
      </c>
      <c r="F64" s="1122"/>
      <c r="G64" s="1120"/>
      <c r="H64" s="8">
        <f t="shared" si="13"/>
        <v>0</v>
      </c>
      <c r="I64" s="1120"/>
      <c r="J64" s="8"/>
      <c r="K64" s="1120"/>
      <c r="L64" s="8"/>
      <c r="M64" s="8">
        <f t="shared" si="14"/>
        <v>0</v>
      </c>
      <c r="N64" s="992"/>
    </row>
    <row r="65" spans="1:15" s="215" customFormat="1" ht="15.75" hidden="1" x14ac:dyDescent="0.25">
      <c r="A65" s="1258"/>
      <c r="B65" s="1124"/>
      <c r="C65" s="26" t="s">
        <v>1078</v>
      </c>
      <c r="D65" s="1124" t="s">
        <v>66</v>
      </c>
      <c r="E65" s="524">
        <v>1</v>
      </c>
      <c r="F65" s="1122"/>
      <c r="G65" s="1120"/>
      <c r="H65" s="8">
        <f>F65*G65</f>
        <v>0</v>
      </c>
      <c r="I65" s="1120"/>
      <c r="J65" s="8"/>
      <c r="K65" s="1120"/>
      <c r="L65" s="8"/>
      <c r="M65" s="8">
        <f>H65+J65+L65</f>
        <v>0</v>
      </c>
      <c r="N65" s="992"/>
    </row>
    <row r="66" spans="1:15" s="215" customFormat="1" ht="31.5" x14ac:dyDescent="0.25">
      <c r="A66" s="1258"/>
      <c r="B66" s="1124"/>
      <c r="C66" s="26" t="s">
        <v>1079</v>
      </c>
      <c r="D66" s="1124" t="s">
        <v>52</v>
      </c>
      <c r="E66" s="524"/>
      <c r="F66" s="1122">
        <v>4</v>
      </c>
      <c r="G66" s="1120"/>
      <c r="H66" s="8">
        <f t="shared" ref="H66:H67" si="15">F66*G66</f>
        <v>0</v>
      </c>
      <c r="I66" s="1120"/>
      <c r="J66" s="8"/>
      <c r="K66" s="1120"/>
      <c r="L66" s="8"/>
      <c r="M66" s="8">
        <f t="shared" ref="M66:M67" si="16">H66+J66+L66</f>
        <v>0</v>
      </c>
      <c r="N66" s="992"/>
    </row>
    <row r="67" spans="1:15" s="215" customFormat="1" ht="15.75" x14ac:dyDescent="0.25">
      <c r="A67" s="1258"/>
      <c r="B67" s="1124"/>
      <c r="C67" s="26" t="s">
        <v>97</v>
      </c>
      <c r="D67" s="1124" t="s">
        <v>21</v>
      </c>
      <c r="E67" s="524">
        <v>7.0000000000000007E-2</v>
      </c>
      <c r="F67" s="1122">
        <f>F55*E67</f>
        <v>0.49000000000000005</v>
      </c>
      <c r="G67" s="1120"/>
      <c r="H67" s="8">
        <f t="shared" si="15"/>
        <v>0</v>
      </c>
      <c r="I67" s="1120"/>
      <c r="J67" s="8"/>
      <c r="K67" s="1120"/>
      <c r="L67" s="8"/>
      <c r="M67" s="8">
        <f t="shared" si="16"/>
        <v>0</v>
      </c>
      <c r="N67" s="992"/>
    </row>
    <row r="68" spans="1:15" s="215" customFormat="1" ht="15.75" x14ac:dyDescent="0.25">
      <c r="A68" s="1128"/>
      <c r="B68" s="294"/>
      <c r="C68" s="62"/>
      <c r="D68" s="294"/>
      <c r="E68" s="524"/>
      <c r="F68" s="1122"/>
      <c r="G68" s="989"/>
      <c r="H68" s="8"/>
      <c r="I68" s="989"/>
      <c r="J68" s="8"/>
      <c r="K68" s="989"/>
      <c r="L68" s="8"/>
      <c r="M68" s="8"/>
      <c r="N68" s="992"/>
    </row>
    <row r="69" spans="1:15" s="215" customFormat="1" ht="47.25" x14ac:dyDescent="0.25">
      <c r="A69" s="1283" t="s">
        <v>90</v>
      </c>
      <c r="B69" s="1126" t="s">
        <v>1382</v>
      </c>
      <c r="C69" s="62" t="s">
        <v>1030</v>
      </c>
      <c r="D69" s="294" t="s">
        <v>80</v>
      </c>
      <c r="E69" s="533"/>
      <c r="F69" s="23">
        <v>2</v>
      </c>
      <c r="G69" s="8"/>
      <c r="H69" s="8"/>
      <c r="I69" s="8"/>
      <c r="J69" s="8"/>
      <c r="K69" s="8"/>
      <c r="L69" s="8"/>
      <c r="M69" s="8"/>
      <c r="N69" s="226"/>
    </row>
    <row r="70" spans="1:15" s="215" customFormat="1" ht="27" x14ac:dyDescent="0.25">
      <c r="A70" s="1285"/>
      <c r="B70" s="1126"/>
      <c r="C70" s="26" t="s">
        <v>36</v>
      </c>
      <c r="D70" s="1124" t="s">
        <v>6</v>
      </c>
      <c r="E70" s="1122">
        <v>0.34</v>
      </c>
      <c r="F70" s="1122">
        <f>F69*E70</f>
        <v>0.68</v>
      </c>
      <c r="G70" s="989"/>
      <c r="H70" s="8"/>
      <c r="I70" s="989"/>
      <c r="J70" s="8">
        <f>F70*I70</f>
        <v>0</v>
      </c>
      <c r="K70" s="989"/>
      <c r="L70" s="8"/>
      <c r="M70" s="8">
        <f>H70+J70+L70</f>
        <v>0</v>
      </c>
      <c r="N70" s="992"/>
    </row>
    <row r="71" spans="1:15" s="215" customFormat="1" ht="15.75" hidden="1" customHeight="1" x14ac:dyDescent="0.25">
      <c r="A71" s="1285"/>
      <c r="B71" s="1126"/>
      <c r="C71" s="26" t="s">
        <v>1001</v>
      </c>
      <c r="D71" s="1124" t="s">
        <v>1005</v>
      </c>
      <c r="E71" s="1122">
        <v>0</v>
      </c>
      <c r="F71" s="1122">
        <f>F69*E71</f>
        <v>0</v>
      </c>
      <c r="G71" s="989"/>
      <c r="H71" s="8"/>
      <c r="I71" s="989"/>
      <c r="J71" s="8"/>
      <c r="K71" s="989">
        <v>4</v>
      </c>
      <c r="L71" s="8">
        <f>F71*K71</f>
        <v>0</v>
      </c>
      <c r="M71" s="8">
        <f>H71+J71+L71</f>
        <v>0</v>
      </c>
      <c r="N71" s="992"/>
    </row>
    <row r="72" spans="1:15" s="215" customFormat="1" ht="47.25" x14ac:dyDescent="0.25">
      <c r="A72" s="1285"/>
      <c r="B72" s="1126"/>
      <c r="C72" s="26" t="s">
        <v>1030</v>
      </c>
      <c r="D72" s="1124" t="s">
        <v>80</v>
      </c>
      <c r="E72" s="1122">
        <v>1</v>
      </c>
      <c r="F72" s="1122">
        <f>F69*E72</f>
        <v>2</v>
      </c>
      <c r="G72" s="989"/>
      <c r="H72" s="8">
        <f>F72*G72</f>
        <v>0</v>
      </c>
      <c r="I72" s="8"/>
      <c r="J72" s="8"/>
      <c r="K72" s="8"/>
      <c r="L72" s="8"/>
      <c r="M72" s="8">
        <f>H72+J72+L72</f>
        <v>0</v>
      </c>
      <c r="N72" s="992"/>
    </row>
    <row r="73" spans="1:15" s="215" customFormat="1" ht="15.75" x14ac:dyDescent="0.25">
      <c r="A73" s="1284"/>
      <c r="B73" s="1126"/>
      <c r="C73" s="26" t="s">
        <v>50</v>
      </c>
      <c r="D73" s="1124" t="s">
        <v>1005</v>
      </c>
      <c r="E73" s="1122">
        <v>0.02</v>
      </c>
      <c r="F73" s="1122">
        <f>F69*E73</f>
        <v>0.04</v>
      </c>
      <c r="G73" s="989"/>
      <c r="H73" s="8">
        <f>F73*G73</f>
        <v>0</v>
      </c>
      <c r="I73" s="989"/>
      <c r="J73" s="8"/>
      <c r="K73" s="989"/>
      <c r="L73" s="8"/>
      <c r="M73" s="8">
        <f>H73+J73+L73</f>
        <v>0</v>
      </c>
      <c r="N73" s="992"/>
    </row>
    <row r="74" spans="1:15" s="215" customFormat="1" ht="15.75" hidden="1" x14ac:dyDescent="0.25">
      <c r="A74" s="994"/>
      <c r="B74" s="834"/>
      <c r="C74" s="966"/>
      <c r="D74" s="294"/>
      <c r="E74" s="533"/>
      <c r="F74" s="831"/>
      <c r="G74" s="8"/>
      <c r="H74" s="8"/>
      <c r="I74" s="8"/>
      <c r="J74" s="8"/>
      <c r="K74" s="8"/>
      <c r="L74" s="8"/>
      <c r="M74" s="223"/>
      <c r="N74" s="992"/>
    </row>
    <row r="75" spans="1:15" s="215" customFormat="1" ht="31.5" hidden="1" x14ac:dyDescent="0.25">
      <c r="A75" s="980" t="s">
        <v>92</v>
      </c>
      <c r="B75" s="981"/>
      <c r="C75" s="982" t="s">
        <v>1031</v>
      </c>
      <c r="D75" s="981"/>
      <c r="E75" s="983"/>
      <c r="F75" s="984"/>
      <c r="G75" s="8"/>
      <c r="H75" s="8"/>
      <c r="I75" s="8"/>
      <c r="J75" s="8"/>
      <c r="K75" s="8"/>
      <c r="L75" s="8"/>
      <c r="M75" s="223"/>
    </row>
    <row r="76" spans="1:15" s="215" customFormat="1" ht="54" hidden="1" x14ac:dyDescent="0.25">
      <c r="A76" s="1259" t="s">
        <v>93</v>
      </c>
      <c r="B76" s="484" t="s">
        <v>1032</v>
      </c>
      <c r="C76" s="827" t="s">
        <v>1033</v>
      </c>
      <c r="D76" s="484" t="s">
        <v>41</v>
      </c>
      <c r="E76" s="10"/>
      <c r="F76" s="23">
        <f>F79</f>
        <v>0</v>
      </c>
      <c r="G76" s="12"/>
      <c r="H76" s="8"/>
      <c r="I76" s="12"/>
      <c r="J76" s="8"/>
      <c r="K76" s="12"/>
      <c r="L76" s="8"/>
      <c r="M76" s="8"/>
    </row>
    <row r="77" spans="1:15" s="215" customFormat="1" ht="27" hidden="1" x14ac:dyDescent="0.25">
      <c r="A77" s="1260"/>
      <c r="B77" s="835"/>
      <c r="C77" s="13" t="s">
        <v>100</v>
      </c>
      <c r="D77" s="835" t="s">
        <v>68</v>
      </c>
      <c r="E77" s="524">
        <f>143*0.01</f>
        <v>1.43</v>
      </c>
      <c r="F77" s="831">
        <f>F76*E77</f>
        <v>0</v>
      </c>
      <c r="G77" s="828"/>
      <c r="H77" s="8"/>
      <c r="I77" s="828">
        <v>4.5999999999999996</v>
      </c>
      <c r="J77" s="8">
        <f t="shared" si="0"/>
        <v>0</v>
      </c>
      <c r="K77" s="828"/>
      <c r="L77" s="8"/>
      <c r="M77" s="8">
        <f t="shared" si="1"/>
        <v>0</v>
      </c>
    </row>
    <row r="78" spans="1:15" s="215" customFormat="1" ht="15.75" hidden="1" x14ac:dyDescent="0.25">
      <c r="A78" s="1260"/>
      <c r="B78" s="835"/>
      <c r="C78" s="13" t="s">
        <v>101</v>
      </c>
      <c r="D78" s="835" t="s">
        <v>21</v>
      </c>
      <c r="E78" s="524">
        <f>2.57*0.01</f>
        <v>2.5700000000000001E-2</v>
      </c>
      <c r="F78" s="831">
        <f>F76*E78</f>
        <v>0</v>
      </c>
      <c r="G78" s="828"/>
      <c r="H78" s="8"/>
      <c r="I78" s="828"/>
      <c r="J78" s="8"/>
      <c r="K78" s="828">
        <v>4</v>
      </c>
      <c r="L78" s="8">
        <f t="shared" si="2"/>
        <v>0</v>
      </c>
      <c r="M78" s="8">
        <f t="shared" si="1"/>
        <v>0</v>
      </c>
    </row>
    <row r="79" spans="1:15" s="215" customFormat="1" ht="15.75" hidden="1" x14ac:dyDescent="0.25">
      <c r="A79" s="1260"/>
      <c r="B79" s="835"/>
      <c r="C79" s="13" t="s">
        <v>1034</v>
      </c>
      <c r="D79" s="835" t="s">
        <v>102</v>
      </c>
      <c r="E79" s="524">
        <v>1</v>
      </c>
      <c r="F79" s="831">
        <v>0</v>
      </c>
      <c r="G79" s="828">
        <v>1.8</v>
      </c>
      <c r="H79" s="8">
        <f t="shared" si="3"/>
        <v>0</v>
      </c>
      <c r="I79" s="828"/>
      <c r="J79" s="8"/>
      <c r="K79" s="828"/>
      <c r="L79" s="8"/>
      <c r="M79" s="8">
        <f t="shared" si="1"/>
        <v>0</v>
      </c>
      <c r="O79" s="215">
        <v>20</v>
      </c>
    </row>
    <row r="80" spans="1:15" s="215" customFormat="1" ht="31.5" hidden="1" x14ac:dyDescent="0.25">
      <c r="A80" s="1260"/>
      <c r="B80" s="835"/>
      <c r="C80" s="13" t="s">
        <v>1035</v>
      </c>
      <c r="D80" s="835" t="s">
        <v>66</v>
      </c>
      <c r="E80" s="524">
        <v>0.152</v>
      </c>
      <c r="F80" s="831">
        <f>F76*E80</f>
        <v>0</v>
      </c>
      <c r="G80" s="828">
        <v>0.2</v>
      </c>
      <c r="H80" s="8">
        <f t="shared" si="3"/>
        <v>0</v>
      </c>
      <c r="I80" s="828"/>
      <c r="J80" s="8"/>
      <c r="K80" s="828"/>
      <c r="L80" s="8"/>
      <c r="M80" s="8">
        <f t="shared" si="1"/>
        <v>0</v>
      </c>
    </row>
    <row r="81" spans="1:13" s="215" customFormat="1" ht="15.75" hidden="1" x14ac:dyDescent="0.25">
      <c r="A81" s="1261"/>
      <c r="B81" s="835"/>
      <c r="C81" s="13" t="s">
        <v>97</v>
      </c>
      <c r="D81" s="835" t="s">
        <v>21</v>
      </c>
      <c r="E81" s="524">
        <f>4.57*0.01</f>
        <v>4.5700000000000005E-2</v>
      </c>
      <c r="F81" s="831">
        <f>F76*E81</f>
        <v>0</v>
      </c>
      <c r="G81" s="828">
        <v>4</v>
      </c>
      <c r="H81" s="8">
        <f t="shared" si="3"/>
        <v>0</v>
      </c>
      <c r="I81" s="828"/>
      <c r="J81" s="8"/>
      <c r="K81" s="828"/>
      <c r="L81" s="8"/>
      <c r="M81" s="8">
        <f t="shared" si="1"/>
        <v>0</v>
      </c>
    </row>
    <row r="82" spans="1:13" s="215" customFormat="1" ht="54" hidden="1" x14ac:dyDescent="0.25">
      <c r="A82" s="1259" t="s">
        <v>72</v>
      </c>
      <c r="B82" s="484" t="s">
        <v>1036</v>
      </c>
      <c r="C82" s="827" t="s">
        <v>1037</v>
      </c>
      <c r="D82" s="484" t="s">
        <v>41</v>
      </c>
      <c r="E82" s="10"/>
      <c r="F82" s="23">
        <f>F85</f>
        <v>0</v>
      </c>
      <c r="G82" s="12"/>
      <c r="H82" s="8"/>
      <c r="I82" s="12"/>
      <c r="J82" s="8"/>
      <c r="K82" s="12"/>
      <c r="L82" s="8"/>
      <c r="M82" s="8"/>
    </row>
    <row r="83" spans="1:13" s="215" customFormat="1" ht="27" hidden="1" x14ac:dyDescent="0.25">
      <c r="A83" s="1260"/>
      <c r="B83" s="835"/>
      <c r="C83" s="13" t="s">
        <v>100</v>
      </c>
      <c r="D83" s="835" t="s">
        <v>68</v>
      </c>
      <c r="E83" s="524">
        <f>117*0.01</f>
        <v>1.17</v>
      </c>
      <c r="F83" s="831">
        <f>F82*E83</f>
        <v>0</v>
      </c>
      <c r="G83" s="828"/>
      <c r="H83" s="8"/>
      <c r="I83" s="828">
        <v>4.5999999999999996</v>
      </c>
      <c r="J83" s="8">
        <f t="shared" si="0"/>
        <v>0</v>
      </c>
      <c r="K83" s="828"/>
      <c r="L83" s="8"/>
      <c r="M83" s="8">
        <f t="shared" si="1"/>
        <v>0</v>
      </c>
    </row>
    <row r="84" spans="1:13" s="215" customFormat="1" ht="15.75" hidden="1" x14ac:dyDescent="0.25">
      <c r="A84" s="1260"/>
      <c r="B84" s="835"/>
      <c r="C84" s="13" t="s">
        <v>103</v>
      </c>
      <c r="D84" s="835" t="s">
        <v>21</v>
      </c>
      <c r="E84" s="524">
        <f>1.72*0.01</f>
        <v>1.72E-2</v>
      </c>
      <c r="F84" s="831">
        <f>F82*E84</f>
        <v>0</v>
      </c>
      <c r="G84" s="828"/>
      <c r="H84" s="8"/>
      <c r="I84" s="828"/>
      <c r="J84" s="8"/>
      <c r="K84" s="828">
        <v>4</v>
      </c>
      <c r="L84" s="8">
        <f t="shared" si="2"/>
        <v>0</v>
      </c>
      <c r="M84" s="8">
        <f t="shared" si="1"/>
        <v>0</v>
      </c>
    </row>
    <row r="85" spans="1:13" s="215" customFormat="1" ht="15.75" hidden="1" x14ac:dyDescent="0.25">
      <c r="A85" s="1260"/>
      <c r="B85" s="835"/>
      <c r="C85" s="13" t="s">
        <v>1038</v>
      </c>
      <c r="D85" s="835" t="s">
        <v>102</v>
      </c>
      <c r="E85" s="524">
        <v>1</v>
      </c>
      <c r="F85" s="831">
        <v>0</v>
      </c>
      <c r="G85" s="828">
        <v>2.7</v>
      </c>
      <c r="H85" s="8">
        <f t="shared" si="3"/>
        <v>0</v>
      </c>
      <c r="I85" s="828"/>
      <c r="J85" s="8"/>
      <c r="K85" s="828"/>
      <c r="L85" s="8"/>
      <c r="M85" s="8">
        <f t="shared" si="1"/>
        <v>0</v>
      </c>
    </row>
    <row r="86" spans="1:13" s="215" customFormat="1" ht="31.5" hidden="1" x14ac:dyDescent="0.25">
      <c r="A86" s="1260"/>
      <c r="B86" s="835"/>
      <c r="C86" s="13" t="s">
        <v>1035</v>
      </c>
      <c r="D86" s="835" t="s">
        <v>66</v>
      </c>
      <c r="E86" s="524">
        <v>0.152</v>
      </c>
      <c r="F86" s="831">
        <f>F82*E86</f>
        <v>0</v>
      </c>
      <c r="G86" s="828">
        <v>0.25</v>
      </c>
      <c r="H86" s="8">
        <f t="shared" si="3"/>
        <v>0</v>
      </c>
      <c r="I86" s="828"/>
      <c r="J86" s="8"/>
      <c r="K86" s="828"/>
      <c r="L86" s="8"/>
      <c r="M86" s="8">
        <f t="shared" si="1"/>
        <v>0</v>
      </c>
    </row>
    <row r="87" spans="1:13" s="215" customFormat="1" ht="15.75" hidden="1" x14ac:dyDescent="0.25">
      <c r="A87" s="1261"/>
      <c r="B87" s="835"/>
      <c r="C87" s="13" t="s">
        <v>97</v>
      </c>
      <c r="D87" s="835" t="s">
        <v>21</v>
      </c>
      <c r="E87" s="524">
        <f>3.93*0.01</f>
        <v>3.9300000000000002E-2</v>
      </c>
      <c r="F87" s="831">
        <f>F82*E87</f>
        <v>0</v>
      </c>
      <c r="G87" s="828">
        <v>4</v>
      </c>
      <c r="H87" s="8">
        <f t="shared" si="3"/>
        <v>0</v>
      </c>
      <c r="I87" s="828"/>
      <c r="J87" s="8"/>
      <c r="K87" s="828"/>
      <c r="L87" s="8"/>
      <c r="M87" s="8">
        <f t="shared" si="1"/>
        <v>0</v>
      </c>
    </row>
    <row r="88" spans="1:13" s="215" customFormat="1" ht="40.5" hidden="1" x14ac:dyDescent="0.25">
      <c r="A88" s="1259" t="s">
        <v>1011</v>
      </c>
      <c r="B88" s="835" t="s">
        <v>1039</v>
      </c>
      <c r="C88" s="827" t="s">
        <v>1040</v>
      </c>
      <c r="D88" s="484" t="s">
        <v>41</v>
      </c>
      <c r="E88" s="10"/>
      <c r="F88" s="23">
        <f>F91</f>
        <v>0</v>
      </c>
      <c r="G88" s="12"/>
      <c r="H88" s="8"/>
      <c r="I88" s="12"/>
      <c r="J88" s="8"/>
      <c r="K88" s="12"/>
      <c r="L88" s="8"/>
      <c r="M88" s="8"/>
    </row>
    <row r="89" spans="1:13" s="215" customFormat="1" ht="27" hidden="1" x14ac:dyDescent="0.25">
      <c r="A89" s="1260"/>
      <c r="B89" s="835"/>
      <c r="C89" s="13" t="s">
        <v>100</v>
      </c>
      <c r="D89" s="835" t="s">
        <v>68</v>
      </c>
      <c r="E89" s="524">
        <v>1.56</v>
      </c>
      <c r="F89" s="831">
        <f>F88*E89</f>
        <v>0</v>
      </c>
      <c r="G89" s="828"/>
      <c r="H89" s="8"/>
      <c r="I89" s="828">
        <v>4.5999999999999996</v>
      </c>
      <c r="J89" s="8">
        <f t="shared" si="0"/>
        <v>0</v>
      </c>
      <c r="K89" s="828"/>
      <c r="L89" s="8"/>
      <c r="M89" s="8">
        <f t="shared" si="1"/>
        <v>0</v>
      </c>
    </row>
    <row r="90" spans="1:13" s="215" customFormat="1" ht="15.75" hidden="1" x14ac:dyDescent="0.25">
      <c r="A90" s="1260"/>
      <c r="B90" s="835"/>
      <c r="C90" s="13" t="s">
        <v>103</v>
      </c>
      <c r="D90" s="835" t="s">
        <v>21</v>
      </c>
      <c r="E90" s="524">
        <v>2.1700000000000001E-2</v>
      </c>
      <c r="F90" s="831">
        <f>F88*E90</f>
        <v>0</v>
      </c>
      <c r="G90" s="828"/>
      <c r="H90" s="8"/>
      <c r="I90" s="828"/>
      <c r="J90" s="8"/>
      <c r="K90" s="828">
        <v>3.2</v>
      </c>
      <c r="L90" s="8">
        <f t="shared" si="2"/>
        <v>0</v>
      </c>
      <c r="M90" s="8">
        <f t="shared" si="1"/>
        <v>0</v>
      </c>
    </row>
    <row r="91" spans="1:13" s="215" customFormat="1" ht="15.75" hidden="1" x14ac:dyDescent="0.25">
      <c r="A91" s="1260"/>
      <c r="B91" s="835"/>
      <c r="C91" s="13" t="s">
        <v>1041</v>
      </c>
      <c r="D91" s="835" t="s">
        <v>102</v>
      </c>
      <c r="E91" s="524">
        <v>1</v>
      </c>
      <c r="F91" s="831">
        <v>0</v>
      </c>
      <c r="G91" s="828">
        <v>3.2</v>
      </c>
      <c r="H91" s="8">
        <f t="shared" si="3"/>
        <v>0</v>
      </c>
      <c r="I91" s="828"/>
      <c r="J91" s="8"/>
      <c r="K91" s="828"/>
      <c r="L91" s="8"/>
      <c r="M91" s="8">
        <f t="shared" si="1"/>
        <v>0</v>
      </c>
    </row>
    <row r="92" spans="1:13" s="215" customFormat="1" ht="31.5" hidden="1" x14ac:dyDescent="0.25">
      <c r="A92" s="1260"/>
      <c r="B92" s="835"/>
      <c r="C92" s="13" t="s">
        <v>1035</v>
      </c>
      <c r="D92" s="835" t="s">
        <v>66</v>
      </c>
      <c r="E92" s="524">
        <v>0.152</v>
      </c>
      <c r="F92" s="831">
        <f>F88*E92</f>
        <v>0</v>
      </c>
      <c r="G92" s="828">
        <v>0.25</v>
      </c>
      <c r="H92" s="8">
        <f t="shared" si="3"/>
        <v>0</v>
      </c>
      <c r="I92" s="828"/>
      <c r="J92" s="8"/>
      <c r="K92" s="828"/>
      <c r="L92" s="8"/>
      <c r="M92" s="8">
        <f t="shared" si="1"/>
        <v>0</v>
      </c>
    </row>
    <row r="93" spans="1:13" s="215" customFormat="1" ht="15.75" hidden="1" x14ac:dyDescent="0.25">
      <c r="A93" s="1261"/>
      <c r="B93" s="835"/>
      <c r="C93" s="13" t="s">
        <v>97</v>
      </c>
      <c r="D93" s="835" t="s">
        <v>21</v>
      </c>
      <c r="E93" s="524">
        <v>7.0800000000000002E-2</v>
      </c>
      <c r="F93" s="831">
        <f>F88*E93</f>
        <v>0</v>
      </c>
      <c r="G93" s="828">
        <v>3.2</v>
      </c>
      <c r="H93" s="8">
        <f t="shared" si="3"/>
        <v>0</v>
      </c>
      <c r="I93" s="828"/>
      <c r="J93" s="8"/>
      <c r="K93" s="828"/>
      <c r="L93" s="8"/>
      <c r="M93" s="8">
        <f t="shared" si="1"/>
        <v>0</v>
      </c>
    </row>
    <row r="94" spans="1:13" s="215" customFormat="1" ht="40.5" hidden="1" x14ac:dyDescent="0.25">
      <c r="A94" s="1259" t="s">
        <v>1011</v>
      </c>
      <c r="B94" s="835" t="s">
        <v>1042</v>
      </c>
      <c r="C94" s="827" t="s">
        <v>1043</v>
      </c>
      <c r="D94" s="484" t="s">
        <v>41</v>
      </c>
      <c r="E94" s="10"/>
      <c r="F94" s="23">
        <f>F97</f>
        <v>0</v>
      </c>
      <c r="G94" s="12"/>
      <c r="H94" s="8"/>
      <c r="I94" s="12"/>
      <c r="J94" s="8"/>
      <c r="K94" s="12"/>
      <c r="L94" s="8"/>
      <c r="M94" s="8"/>
    </row>
    <row r="95" spans="1:13" s="215" customFormat="1" ht="27" hidden="1" x14ac:dyDescent="0.25">
      <c r="A95" s="1260"/>
      <c r="B95" s="835"/>
      <c r="C95" s="13" t="s">
        <v>100</v>
      </c>
      <c r="D95" s="835" t="s">
        <v>68</v>
      </c>
      <c r="E95" s="524">
        <v>1.35</v>
      </c>
      <c r="F95" s="831">
        <f>F94*E95</f>
        <v>0</v>
      </c>
      <c r="G95" s="828"/>
      <c r="H95" s="8"/>
      <c r="I95" s="828">
        <v>4.5999999999999996</v>
      </c>
      <c r="J95" s="8">
        <f t="shared" si="0"/>
        <v>0</v>
      </c>
      <c r="K95" s="828"/>
      <c r="L95" s="8"/>
      <c r="M95" s="8">
        <f t="shared" si="1"/>
        <v>0</v>
      </c>
    </row>
    <row r="96" spans="1:13" s="215" customFormat="1" ht="15.75" hidden="1" x14ac:dyDescent="0.25">
      <c r="A96" s="1260"/>
      <c r="B96" s="835"/>
      <c r="C96" s="13" t="s">
        <v>103</v>
      </c>
      <c r="D96" s="835" t="s">
        <v>21</v>
      </c>
      <c r="E96" s="524">
        <v>3.1399999999999997E-2</v>
      </c>
      <c r="F96" s="831">
        <f>F94*E96</f>
        <v>0</v>
      </c>
      <c r="G96" s="828"/>
      <c r="H96" s="8"/>
      <c r="I96" s="828"/>
      <c r="J96" s="8"/>
      <c r="K96" s="828">
        <v>4</v>
      </c>
      <c r="L96" s="8">
        <f t="shared" si="2"/>
        <v>0</v>
      </c>
      <c r="M96" s="8">
        <f t="shared" si="1"/>
        <v>0</v>
      </c>
    </row>
    <row r="97" spans="1:13" s="215" customFormat="1" ht="15.75" hidden="1" x14ac:dyDescent="0.25">
      <c r="A97" s="1260"/>
      <c r="B97" s="835"/>
      <c r="C97" s="13" t="s">
        <v>1044</v>
      </c>
      <c r="D97" s="835" t="s">
        <v>102</v>
      </c>
      <c r="E97" s="524">
        <v>1</v>
      </c>
      <c r="F97" s="831">
        <v>0</v>
      </c>
      <c r="G97" s="828">
        <v>4.5999999999999996</v>
      </c>
      <c r="H97" s="8">
        <f t="shared" si="3"/>
        <v>0</v>
      </c>
      <c r="I97" s="828"/>
      <c r="J97" s="8"/>
      <c r="K97" s="828"/>
      <c r="L97" s="8"/>
      <c r="M97" s="8">
        <f t="shared" si="1"/>
        <v>0</v>
      </c>
    </row>
    <row r="98" spans="1:13" s="215" customFormat="1" ht="31.5" hidden="1" x14ac:dyDescent="0.25">
      <c r="A98" s="1260"/>
      <c r="B98" s="835"/>
      <c r="C98" s="13" t="s">
        <v>1035</v>
      </c>
      <c r="D98" s="835" t="s">
        <v>66</v>
      </c>
      <c r="E98" s="524">
        <v>0.152</v>
      </c>
      <c r="F98" s="831">
        <f>F94*E98</f>
        <v>0</v>
      </c>
      <c r="G98" s="828">
        <v>0.8</v>
      </c>
      <c r="H98" s="8">
        <f t="shared" si="3"/>
        <v>0</v>
      </c>
      <c r="I98" s="828"/>
      <c r="J98" s="8"/>
      <c r="K98" s="828"/>
      <c r="L98" s="8"/>
      <c r="M98" s="8">
        <f t="shared" si="1"/>
        <v>0</v>
      </c>
    </row>
    <row r="99" spans="1:13" s="215" customFormat="1" ht="15.75" hidden="1" x14ac:dyDescent="0.25">
      <c r="A99" s="1261"/>
      <c r="B99" s="835"/>
      <c r="C99" s="13" t="s">
        <v>97</v>
      </c>
      <c r="D99" s="835" t="s">
        <v>21</v>
      </c>
      <c r="E99" s="524">
        <v>6.5199999999999994E-2</v>
      </c>
      <c r="F99" s="831">
        <f>F94*E99</f>
        <v>0</v>
      </c>
      <c r="G99" s="828">
        <v>4</v>
      </c>
      <c r="H99" s="8">
        <f t="shared" si="3"/>
        <v>0</v>
      </c>
      <c r="I99" s="828"/>
      <c r="J99" s="8"/>
      <c r="K99" s="828"/>
      <c r="L99" s="8"/>
      <c r="M99" s="8">
        <f t="shared" si="1"/>
        <v>0</v>
      </c>
    </row>
    <row r="100" spans="1:13" s="215" customFormat="1" ht="40.5" hidden="1" x14ac:dyDescent="0.25">
      <c r="A100" s="1259" t="s">
        <v>1011</v>
      </c>
      <c r="B100" s="835" t="s">
        <v>1042</v>
      </c>
      <c r="C100" s="827" t="s">
        <v>1045</v>
      </c>
      <c r="D100" s="484" t="s">
        <v>41</v>
      </c>
      <c r="E100" s="10"/>
      <c r="F100" s="23">
        <f>F103</f>
        <v>0</v>
      </c>
      <c r="G100" s="12"/>
      <c r="H100" s="8"/>
      <c r="I100" s="12"/>
      <c r="J100" s="8"/>
      <c r="K100" s="12"/>
      <c r="L100" s="8"/>
      <c r="M100" s="8"/>
    </row>
    <row r="101" spans="1:13" s="215" customFormat="1" ht="27" hidden="1" x14ac:dyDescent="0.25">
      <c r="A101" s="1260"/>
      <c r="B101" s="835"/>
      <c r="C101" s="13" t="s">
        <v>100</v>
      </c>
      <c r="D101" s="835" t="s">
        <v>68</v>
      </c>
      <c r="E101" s="524">
        <v>1.35</v>
      </c>
      <c r="F101" s="831">
        <f>F100*E101</f>
        <v>0</v>
      </c>
      <c r="G101" s="828"/>
      <c r="H101" s="8"/>
      <c r="I101" s="828">
        <v>4.5999999999999996</v>
      </c>
      <c r="J101" s="8">
        <f t="shared" ref="J101:J171" si="17">F101*I101</f>
        <v>0</v>
      </c>
      <c r="K101" s="828"/>
      <c r="L101" s="8"/>
      <c r="M101" s="8">
        <f t="shared" ref="M101:M183" si="18">H101+J101+L101</f>
        <v>0</v>
      </c>
    </row>
    <row r="102" spans="1:13" s="215" customFormat="1" ht="15.75" hidden="1" x14ac:dyDescent="0.25">
      <c r="A102" s="1260"/>
      <c r="B102" s="835"/>
      <c r="C102" s="13" t="s">
        <v>103</v>
      </c>
      <c r="D102" s="835" t="s">
        <v>21</v>
      </c>
      <c r="E102" s="524">
        <v>3.1399999999999997E-2</v>
      </c>
      <c r="F102" s="831">
        <f>F100*E102</f>
        <v>0</v>
      </c>
      <c r="G102" s="828"/>
      <c r="H102" s="8"/>
      <c r="I102" s="828"/>
      <c r="J102" s="8"/>
      <c r="K102" s="828">
        <v>4</v>
      </c>
      <c r="L102" s="8">
        <f t="shared" ref="L102:L172" si="19">F102*K102</f>
        <v>0</v>
      </c>
      <c r="M102" s="8">
        <f t="shared" si="18"/>
        <v>0</v>
      </c>
    </row>
    <row r="103" spans="1:13" s="215" customFormat="1" ht="15.75" hidden="1" x14ac:dyDescent="0.25">
      <c r="A103" s="1260"/>
      <c r="B103" s="835"/>
      <c r="C103" s="13" t="s">
        <v>1046</v>
      </c>
      <c r="D103" s="835" t="s">
        <v>102</v>
      </c>
      <c r="E103" s="524">
        <v>1</v>
      </c>
      <c r="F103" s="831">
        <v>0</v>
      </c>
      <c r="G103" s="828">
        <v>7.1</v>
      </c>
      <c r="H103" s="8">
        <f t="shared" ref="H103:H183" si="20">F103*G103</f>
        <v>0</v>
      </c>
      <c r="I103" s="828"/>
      <c r="J103" s="8"/>
      <c r="K103" s="828"/>
      <c r="L103" s="8"/>
      <c r="M103" s="8">
        <f t="shared" si="18"/>
        <v>0</v>
      </c>
    </row>
    <row r="104" spans="1:13" s="215" customFormat="1" ht="31.5" hidden="1" x14ac:dyDescent="0.25">
      <c r="A104" s="1260"/>
      <c r="B104" s="835"/>
      <c r="C104" s="13" t="s">
        <v>1035</v>
      </c>
      <c r="D104" s="835" t="s">
        <v>66</v>
      </c>
      <c r="E104" s="524">
        <v>0.152</v>
      </c>
      <c r="F104" s="831">
        <f>F100*E104</f>
        <v>0</v>
      </c>
      <c r="G104" s="828">
        <v>1</v>
      </c>
      <c r="H104" s="8">
        <f t="shared" si="20"/>
        <v>0</v>
      </c>
      <c r="I104" s="828"/>
      <c r="J104" s="8"/>
      <c r="K104" s="828"/>
      <c r="L104" s="8"/>
      <c r="M104" s="8">
        <f t="shared" si="18"/>
        <v>0</v>
      </c>
    </row>
    <row r="105" spans="1:13" s="215" customFormat="1" ht="15.75" hidden="1" x14ac:dyDescent="0.25">
      <c r="A105" s="1261"/>
      <c r="B105" s="835"/>
      <c r="C105" s="13" t="s">
        <v>97</v>
      </c>
      <c r="D105" s="835" t="s">
        <v>21</v>
      </c>
      <c r="E105" s="524">
        <v>6.5199999999999994E-2</v>
      </c>
      <c r="F105" s="831">
        <f>F100*E105</f>
        <v>0</v>
      </c>
      <c r="G105" s="828">
        <v>4</v>
      </c>
      <c r="H105" s="8">
        <f t="shared" si="20"/>
        <v>0</v>
      </c>
      <c r="I105" s="828"/>
      <c r="J105" s="8"/>
      <c r="K105" s="828"/>
      <c r="L105" s="8"/>
      <c r="M105" s="8">
        <f t="shared" si="18"/>
        <v>0</v>
      </c>
    </row>
    <row r="106" spans="1:13" s="215" customFormat="1" ht="40.5" hidden="1" x14ac:dyDescent="0.25">
      <c r="A106" s="1259" t="s">
        <v>1011</v>
      </c>
      <c r="B106" s="835" t="s">
        <v>1042</v>
      </c>
      <c r="C106" s="827" t="s">
        <v>1047</v>
      </c>
      <c r="D106" s="484" t="s">
        <v>41</v>
      </c>
      <c r="E106" s="10"/>
      <c r="F106" s="23">
        <f>F109</f>
        <v>0</v>
      </c>
      <c r="G106" s="12"/>
      <c r="H106" s="8"/>
      <c r="I106" s="12"/>
      <c r="J106" s="8"/>
      <c r="K106" s="12"/>
      <c r="L106" s="8"/>
      <c r="M106" s="8"/>
    </row>
    <row r="107" spans="1:13" s="215" customFormat="1" ht="27" hidden="1" x14ac:dyDescent="0.25">
      <c r="A107" s="1260"/>
      <c r="B107" s="835"/>
      <c r="C107" s="13" t="s">
        <v>100</v>
      </c>
      <c r="D107" s="835" t="s">
        <v>68</v>
      </c>
      <c r="E107" s="524">
        <v>1.35</v>
      </c>
      <c r="F107" s="831">
        <f>F106*E107</f>
        <v>0</v>
      </c>
      <c r="G107" s="828"/>
      <c r="H107" s="8"/>
      <c r="I107" s="828">
        <v>4.5999999999999996</v>
      </c>
      <c r="J107" s="8">
        <f t="shared" si="17"/>
        <v>0</v>
      </c>
      <c r="K107" s="828"/>
      <c r="L107" s="8"/>
      <c r="M107" s="8">
        <f t="shared" si="18"/>
        <v>0</v>
      </c>
    </row>
    <row r="108" spans="1:13" s="215" customFormat="1" ht="15.75" hidden="1" x14ac:dyDescent="0.25">
      <c r="A108" s="1260"/>
      <c r="B108" s="835"/>
      <c r="C108" s="13" t="s">
        <v>103</v>
      </c>
      <c r="D108" s="835" t="s">
        <v>21</v>
      </c>
      <c r="E108" s="524">
        <v>3.1399999999999997E-2</v>
      </c>
      <c r="F108" s="831">
        <f>F106*E108</f>
        <v>0</v>
      </c>
      <c r="G108" s="828"/>
      <c r="H108" s="8"/>
      <c r="I108" s="828"/>
      <c r="J108" s="8"/>
      <c r="K108" s="828">
        <v>4</v>
      </c>
      <c r="L108" s="8">
        <f t="shared" si="19"/>
        <v>0</v>
      </c>
      <c r="M108" s="8">
        <f t="shared" si="18"/>
        <v>0</v>
      </c>
    </row>
    <row r="109" spans="1:13" s="215" customFormat="1" ht="15.75" hidden="1" x14ac:dyDescent="0.25">
      <c r="A109" s="1260"/>
      <c r="B109" s="835"/>
      <c r="C109" s="13" t="s">
        <v>1048</v>
      </c>
      <c r="D109" s="835" t="s">
        <v>102</v>
      </c>
      <c r="E109" s="524">
        <v>1</v>
      </c>
      <c r="F109" s="831">
        <v>0</v>
      </c>
      <c r="G109" s="828">
        <v>11.7</v>
      </c>
      <c r="H109" s="8">
        <f t="shared" si="20"/>
        <v>0</v>
      </c>
      <c r="I109" s="828"/>
      <c r="J109" s="8"/>
      <c r="K109" s="828"/>
      <c r="L109" s="8"/>
      <c r="M109" s="8">
        <f t="shared" si="18"/>
        <v>0</v>
      </c>
    </row>
    <row r="110" spans="1:13" s="215" customFormat="1" ht="31.5" hidden="1" x14ac:dyDescent="0.25">
      <c r="A110" s="1260"/>
      <c r="B110" s="835"/>
      <c r="C110" s="13" t="s">
        <v>1035</v>
      </c>
      <c r="D110" s="835" t="s">
        <v>66</v>
      </c>
      <c r="E110" s="524">
        <v>0.152</v>
      </c>
      <c r="F110" s="831">
        <f>F106*E110</f>
        <v>0</v>
      </c>
      <c r="G110" s="828">
        <v>1.2</v>
      </c>
      <c r="H110" s="8">
        <f t="shared" si="20"/>
        <v>0</v>
      </c>
      <c r="I110" s="828"/>
      <c r="J110" s="8"/>
      <c r="K110" s="828"/>
      <c r="L110" s="8"/>
      <c r="M110" s="8">
        <f t="shared" si="18"/>
        <v>0</v>
      </c>
    </row>
    <row r="111" spans="1:13" s="215" customFormat="1" ht="15.75" hidden="1" x14ac:dyDescent="0.25">
      <c r="A111" s="1261"/>
      <c r="B111" s="835"/>
      <c r="C111" s="13" t="s">
        <v>97</v>
      </c>
      <c r="D111" s="835" t="s">
        <v>21</v>
      </c>
      <c r="E111" s="524">
        <v>6.5199999999999994E-2</v>
      </c>
      <c r="F111" s="831">
        <f>F106*E111</f>
        <v>0</v>
      </c>
      <c r="G111" s="828">
        <v>4</v>
      </c>
      <c r="H111" s="8">
        <f t="shared" si="20"/>
        <v>0</v>
      </c>
      <c r="I111" s="828"/>
      <c r="J111" s="8"/>
      <c r="K111" s="828"/>
      <c r="L111" s="8"/>
      <c r="M111" s="8">
        <f t="shared" si="18"/>
        <v>0</v>
      </c>
    </row>
    <row r="112" spans="1:13" s="215" customFormat="1" ht="54" hidden="1" x14ac:dyDescent="0.25">
      <c r="A112" s="1259" t="s">
        <v>1011</v>
      </c>
      <c r="B112" s="835" t="s">
        <v>1032</v>
      </c>
      <c r="C112" s="827" t="s">
        <v>1033</v>
      </c>
      <c r="D112" s="484" t="s">
        <v>41</v>
      </c>
      <c r="E112" s="10"/>
      <c r="F112" s="23">
        <f>F115</f>
        <v>0</v>
      </c>
      <c r="G112" s="12"/>
      <c r="H112" s="8"/>
      <c r="I112" s="12"/>
      <c r="J112" s="8"/>
      <c r="K112" s="12"/>
      <c r="L112" s="8"/>
      <c r="M112" s="8"/>
    </row>
    <row r="113" spans="1:13" s="215" customFormat="1" ht="27" hidden="1" x14ac:dyDescent="0.25">
      <c r="A113" s="1260"/>
      <c r="B113" s="835"/>
      <c r="C113" s="13" t="s">
        <v>100</v>
      </c>
      <c r="D113" s="835" t="s">
        <v>68</v>
      </c>
      <c r="E113" s="524">
        <f>143*0.01</f>
        <v>1.43</v>
      </c>
      <c r="F113" s="831">
        <f>F112*E113</f>
        <v>0</v>
      </c>
      <c r="G113" s="828"/>
      <c r="H113" s="8"/>
      <c r="I113" s="828">
        <v>4.5999999999999996</v>
      </c>
      <c r="J113" s="8">
        <f t="shared" si="17"/>
        <v>0</v>
      </c>
      <c r="K113" s="828"/>
      <c r="L113" s="8"/>
      <c r="M113" s="8">
        <f t="shared" si="18"/>
        <v>0</v>
      </c>
    </row>
    <row r="114" spans="1:13" s="215" customFormat="1" ht="15.75" hidden="1" x14ac:dyDescent="0.25">
      <c r="A114" s="1260"/>
      <c r="B114" s="835"/>
      <c r="C114" s="13" t="s">
        <v>101</v>
      </c>
      <c r="D114" s="835" t="s">
        <v>21</v>
      </c>
      <c r="E114" s="524">
        <f>2.57*0.01</f>
        <v>2.5700000000000001E-2</v>
      </c>
      <c r="F114" s="831">
        <f>F112*E114</f>
        <v>0</v>
      </c>
      <c r="G114" s="828"/>
      <c r="H114" s="8"/>
      <c r="I114" s="828"/>
      <c r="J114" s="8"/>
      <c r="K114" s="828">
        <v>4</v>
      </c>
      <c r="L114" s="8">
        <f t="shared" si="19"/>
        <v>0</v>
      </c>
      <c r="M114" s="8">
        <f t="shared" si="18"/>
        <v>0</v>
      </c>
    </row>
    <row r="115" spans="1:13" s="215" customFormat="1" ht="15.75" hidden="1" x14ac:dyDescent="0.25">
      <c r="A115" s="1260"/>
      <c r="B115" s="835"/>
      <c r="C115" s="13" t="s">
        <v>1034</v>
      </c>
      <c r="D115" s="835" t="s">
        <v>102</v>
      </c>
      <c r="E115" s="524">
        <v>1</v>
      </c>
      <c r="F115" s="831">
        <v>0</v>
      </c>
      <c r="G115" s="828">
        <v>1.84</v>
      </c>
      <c r="H115" s="8">
        <f t="shared" si="20"/>
        <v>0</v>
      </c>
      <c r="I115" s="828"/>
      <c r="J115" s="8"/>
      <c r="K115" s="828"/>
      <c r="L115" s="8"/>
      <c r="M115" s="8">
        <f t="shared" si="18"/>
        <v>0</v>
      </c>
    </row>
    <row r="116" spans="1:13" s="215" customFormat="1" ht="31.5" hidden="1" x14ac:dyDescent="0.25">
      <c r="A116" s="1260"/>
      <c r="B116" s="835"/>
      <c r="C116" s="13" t="s">
        <v>1035</v>
      </c>
      <c r="D116" s="835" t="s">
        <v>66</v>
      </c>
      <c r="E116" s="524">
        <v>0.152</v>
      </c>
      <c r="F116" s="831">
        <f>F112*E116</f>
        <v>0</v>
      </c>
      <c r="G116" s="828">
        <v>0.2</v>
      </c>
      <c r="H116" s="8">
        <f t="shared" si="20"/>
        <v>0</v>
      </c>
      <c r="I116" s="828"/>
      <c r="J116" s="8"/>
      <c r="K116" s="828"/>
      <c r="L116" s="8"/>
      <c r="M116" s="8">
        <f t="shared" si="18"/>
        <v>0</v>
      </c>
    </row>
    <row r="117" spans="1:13" s="215" customFormat="1" ht="15.75" hidden="1" x14ac:dyDescent="0.25">
      <c r="A117" s="1261"/>
      <c r="B117" s="835"/>
      <c r="C117" s="13" t="s">
        <v>97</v>
      </c>
      <c r="D117" s="835" t="s">
        <v>21</v>
      </c>
      <c r="E117" s="524">
        <f>4.57*0.01</f>
        <v>4.5700000000000005E-2</v>
      </c>
      <c r="F117" s="831">
        <f>F112*E117</f>
        <v>0</v>
      </c>
      <c r="G117" s="828">
        <v>4</v>
      </c>
      <c r="H117" s="8">
        <f t="shared" si="20"/>
        <v>0</v>
      </c>
      <c r="I117" s="828"/>
      <c r="J117" s="8"/>
      <c r="K117" s="828"/>
      <c r="L117" s="8"/>
      <c r="M117" s="8">
        <f t="shared" si="18"/>
        <v>0</v>
      </c>
    </row>
    <row r="118" spans="1:13" s="215" customFormat="1" ht="54" hidden="1" x14ac:dyDescent="0.25">
      <c r="A118" s="1259" t="s">
        <v>1011</v>
      </c>
      <c r="B118" s="835" t="s">
        <v>1036</v>
      </c>
      <c r="C118" s="827" t="s">
        <v>1037</v>
      </c>
      <c r="D118" s="484" t="s">
        <v>41</v>
      </c>
      <c r="E118" s="10"/>
      <c r="F118" s="23">
        <f>F121</f>
        <v>0</v>
      </c>
      <c r="G118" s="12"/>
      <c r="H118" s="8"/>
      <c r="I118" s="12"/>
      <c r="J118" s="8"/>
      <c r="K118" s="12"/>
      <c r="L118" s="8"/>
      <c r="M118" s="8"/>
    </row>
    <row r="119" spans="1:13" s="215" customFormat="1" ht="27" hidden="1" x14ac:dyDescent="0.25">
      <c r="A119" s="1260"/>
      <c r="B119" s="835"/>
      <c r="C119" s="13" t="s">
        <v>100</v>
      </c>
      <c r="D119" s="835" t="s">
        <v>68</v>
      </c>
      <c r="E119" s="524">
        <f>117*0.01</f>
        <v>1.17</v>
      </c>
      <c r="F119" s="831">
        <f>F118*E119</f>
        <v>0</v>
      </c>
      <c r="G119" s="828"/>
      <c r="H119" s="8"/>
      <c r="I119" s="828">
        <v>4.5999999999999996</v>
      </c>
      <c r="J119" s="8">
        <f t="shared" si="17"/>
        <v>0</v>
      </c>
      <c r="K119" s="828"/>
      <c r="L119" s="8"/>
      <c r="M119" s="8">
        <f t="shared" si="18"/>
        <v>0</v>
      </c>
    </row>
    <row r="120" spans="1:13" s="215" customFormat="1" ht="15.75" hidden="1" x14ac:dyDescent="0.25">
      <c r="A120" s="1260"/>
      <c r="B120" s="835"/>
      <c r="C120" s="13" t="s">
        <v>103</v>
      </c>
      <c r="D120" s="835" t="s">
        <v>21</v>
      </c>
      <c r="E120" s="524">
        <f>1.72*0.01</f>
        <v>1.72E-2</v>
      </c>
      <c r="F120" s="831">
        <f>F118*E120</f>
        <v>0</v>
      </c>
      <c r="G120" s="828"/>
      <c r="H120" s="8"/>
      <c r="I120" s="828"/>
      <c r="J120" s="8"/>
      <c r="K120" s="828">
        <v>4</v>
      </c>
      <c r="L120" s="8">
        <f t="shared" si="19"/>
        <v>0</v>
      </c>
      <c r="M120" s="8">
        <f t="shared" si="18"/>
        <v>0</v>
      </c>
    </row>
    <row r="121" spans="1:13" s="215" customFormat="1" ht="15.75" hidden="1" x14ac:dyDescent="0.25">
      <c r="A121" s="1260"/>
      <c r="B121" s="835"/>
      <c r="C121" s="13" t="s">
        <v>1038</v>
      </c>
      <c r="D121" s="835" t="s">
        <v>102</v>
      </c>
      <c r="E121" s="524">
        <v>1</v>
      </c>
      <c r="F121" s="831">
        <v>0</v>
      </c>
      <c r="G121" s="828">
        <v>2.63</v>
      </c>
      <c r="H121" s="8">
        <f t="shared" si="20"/>
        <v>0</v>
      </c>
      <c r="I121" s="828"/>
      <c r="J121" s="8"/>
      <c r="K121" s="828"/>
      <c r="L121" s="8"/>
      <c r="M121" s="8">
        <f t="shared" si="18"/>
        <v>0</v>
      </c>
    </row>
    <row r="122" spans="1:13" s="215" customFormat="1" ht="31.5" hidden="1" x14ac:dyDescent="0.25">
      <c r="A122" s="1260"/>
      <c r="B122" s="835"/>
      <c r="C122" s="13" t="s">
        <v>1035</v>
      </c>
      <c r="D122" s="835" t="s">
        <v>66</v>
      </c>
      <c r="E122" s="524">
        <v>0.152</v>
      </c>
      <c r="F122" s="831">
        <f>F118*E122</f>
        <v>0</v>
      </c>
      <c r="G122" s="828">
        <v>0.25</v>
      </c>
      <c r="H122" s="8">
        <f t="shared" si="20"/>
        <v>0</v>
      </c>
      <c r="I122" s="828"/>
      <c r="J122" s="8"/>
      <c r="K122" s="828"/>
      <c r="L122" s="8"/>
      <c r="M122" s="8">
        <f t="shared" si="18"/>
        <v>0</v>
      </c>
    </row>
    <row r="123" spans="1:13" s="215" customFormat="1" ht="15.75" hidden="1" x14ac:dyDescent="0.25">
      <c r="A123" s="1261"/>
      <c r="B123" s="835"/>
      <c r="C123" s="13" t="s">
        <v>97</v>
      </c>
      <c r="D123" s="835" t="s">
        <v>21</v>
      </c>
      <c r="E123" s="524">
        <f>3.93*0.01</f>
        <v>3.9300000000000002E-2</v>
      </c>
      <c r="F123" s="831">
        <f>F118*E123</f>
        <v>0</v>
      </c>
      <c r="G123" s="828">
        <v>4</v>
      </c>
      <c r="H123" s="8">
        <f t="shared" si="20"/>
        <v>0</v>
      </c>
      <c r="I123" s="828"/>
      <c r="J123" s="8"/>
      <c r="K123" s="828"/>
      <c r="L123" s="8"/>
      <c r="M123" s="8">
        <f t="shared" si="18"/>
        <v>0</v>
      </c>
    </row>
    <row r="124" spans="1:13" s="215" customFormat="1" ht="40.5" hidden="1" x14ac:dyDescent="0.25">
      <c r="A124" s="1259" t="s">
        <v>1011</v>
      </c>
      <c r="B124" s="835" t="s">
        <v>1039</v>
      </c>
      <c r="C124" s="827" t="s">
        <v>1040</v>
      </c>
      <c r="D124" s="484" t="s">
        <v>41</v>
      </c>
      <c r="E124" s="10"/>
      <c r="F124" s="23">
        <f>F127</f>
        <v>0</v>
      </c>
      <c r="G124" s="12"/>
      <c r="H124" s="8"/>
      <c r="I124" s="12"/>
      <c r="J124" s="8"/>
      <c r="K124" s="12"/>
      <c r="L124" s="8"/>
      <c r="M124" s="8"/>
    </row>
    <row r="125" spans="1:13" s="215" customFormat="1" ht="27" hidden="1" x14ac:dyDescent="0.25">
      <c r="A125" s="1260"/>
      <c r="B125" s="835"/>
      <c r="C125" s="13" t="s">
        <v>100</v>
      </c>
      <c r="D125" s="835" t="s">
        <v>68</v>
      </c>
      <c r="E125" s="524">
        <v>1.56</v>
      </c>
      <c r="F125" s="831">
        <f>F124*E125</f>
        <v>0</v>
      </c>
      <c r="G125" s="828"/>
      <c r="H125" s="8"/>
      <c r="I125" s="828">
        <v>4.5999999999999996</v>
      </c>
      <c r="J125" s="8">
        <f t="shared" si="17"/>
        <v>0</v>
      </c>
      <c r="K125" s="828"/>
      <c r="L125" s="8">
        <f t="shared" si="19"/>
        <v>0</v>
      </c>
      <c r="M125" s="8">
        <f t="shared" si="18"/>
        <v>0</v>
      </c>
    </row>
    <row r="126" spans="1:13" s="215" customFormat="1" ht="15.75" hidden="1" x14ac:dyDescent="0.25">
      <c r="A126" s="1260"/>
      <c r="B126" s="835"/>
      <c r="C126" s="13" t="s">
        <v>103</v>
      </c>
      <c r="D126" s="835" t="s">
        <v>21</v>
      </c>
      <c r="E126" s="524">
        <v>2.1700000000000001E-2</v>
      </c>
      <c r="F126" s="831">
        <f>F124*E126</f>
        <v>0</v>
      </c>
      <c r="G126" s="828"/>
      <c r="H126" s="8"/>
      <c r="I126" s="828"/>
      <c r="J126" s="8"/>
      <c r="K126" s="828">
        <v>4</v>
      </c>
      <c r="L126" s="8">
        <f t="shared" si="19"/>
        <v>0</v>
      </c>
      <c r="M126" s="8">
        <f t="shared" si="18"/>
        <v>0</v>
      </c>
    </row>
    <row r="127" spans="1:13" s="215" customFormat="1" ht="15.75" hidden="1" x14ac:dyDescent="0.25">
      <c r="A127" s="1260"/>
      <c r="B127" s="835"/>
      <c r="C127" s="13" t="s">
        <v>1041</v>
      </c>
      <c r="D127" s="835" t="s">
        <v>102</v>
      </c>
      <c r="E127" s="524">
        <v>1</v>
      </c>
      <c r="F127" s="831">
        <v>0</v>
      </c>
      <c r="G127" s="828">
        <v>4.99</v>
      </c>
      <c r="H127" s="8">
        <f t="shared" si="20"/>
        <v>0</v>
      </c>
      <c r="I127" s="828"/>
      <c r="J127" s="8"/>
      <c r="K127" s="828"/>
      <c r="L127" s="8"/>
      <c r="M127" s="8">
        <f t="shared" si="18"/>
        <v>0</v>
      </c>
    </row>
    <row r="128" spans="1:13" s="215" customFormat="1" ht="31.5" hidden="1" x14ac:dyDescent="0.25">
      <c r="A128" s="1260"/>
      <c r="B128" s="835"/>
      <c r="C128" s="13" t="s">
        <v>1035</v>
      </c>
      <c r="D128" s="835" t="s">
        <v>66</v>
      </c>
      <c r="E128" s="524">
        <v>0.152</v>
      </c>
      <c r="F128" s="831">
        <f>F124*E128</f>
        <v>0</v>
      </c>
      <c r="G128" s="828">
        <v>0.25</v>
      </c>
      <c r="H128" s="8">
        <f t="shared" si="20"/>
        <v>0</v>
      </c>
      <c r="I128" s="828"/>
      <c r="J128" s="8"/>
      <c r="K128" s="828"/>
      <c r="L128" s="8"/>
      <c r="M128" s="8">
        <f t="shared" si="18"/>
        <v>0</v>
      </c>
    </row>
    <row r="129" spans="1:13" s="215" customFormat="1" ht="15.75" hidden="1" x14ac:dyDescent="0.25">
      <c r="A129" s="1261"/>
      <c r="B129" s="835"/>
      <c r="C129" s="13" t="s">
        <v>97</v>
      </c>
      <c r="D129" s="835" t="s">
        <v>21</v>
      </c>
      <c r="E129" s="524">
        <v>7.0800000000000002E-2</v>
      </c>
      <c r="F129" s="831">
        <f>F124*E129</f>
        <v>0</v>
      </c>
      <c r="G129" s="828">
        <v>4</v>
      </c>
      <c r="H129" s="8">
        <f t="shared" si="20"/>
        <v>0</v>
      </c>
      <c r="I129" s="828"/>
      <c r="J129" s="8"/>
      <c r="K129" s="828"/>
      <c r="L129" s="8"/>
      <c r="M129" s="8">
        <f t="shared" si="18"/>
        <v>0</v>
      </c>
    </row>
    <row r="130" spans="1:13" s="215" customFormat="1" ht="40.5" hidden="1" x14ac:dyDescent="0.25">
      <c r="A130" s="1259" t="s">
        <v>1011</v>
      </c>
      <c r="B130" s="835" t="s">
        <v>1042</v>
      </c>
      <c r="C130" s="827" t="s">
        <v>1043</v>
      </c>
      <c r="D130" s="484" t="s">
        <v>41</v>
      </c>
      <c r="E130" s="10"/>
      <c r="F130" s="23">
        <f>F133</f>
        <v>0</v>
      </c>
      <c r="G130" s="12"/>
      <c r="H130" s="8"/>
      <c r="I130" s="12"/>
      <c r="J130" s="8"/>
      <c r="K130" s="12"/>
      <c r="L130" s="8"/>
      <c r="M130" s="8"/>
    </row>
    <row r="131" spans="1:13" s="215" customFormat="1" ht="27" hidden="1" x14ac:dyDescent="0.25">
      <c r="A131" s="1260"/>
      <c r="B131" s="835"/>
      <c r="C131" s="13" t="s">
        <v>100</v>
      </c>
      <c r="D131" s="835" t="s">
        <v>68</v>
      </c>
      <c r="E131" s="524">
        <v>1.35</v>
      </c>
      <c r="F131" s="831">
        <f>F130*E131</f>
        <v>0</v>
      </c>
      <c r="G131" s="828"/>
      <c r="H131" s="8"/>
      <c r="I131" s="828">
        <v>4.5999999999999996</v>
      </c>
      <c r="J131" s="8">
        <f t="shared" si="17"/>
        <v>0</v>
      </c>
      <c r="K131" s="828"/>
      <c r="L131" s="8"/>
      <c r="M131" s="8">
        <f t="shared" si="18"/>
        <v>0</v>
      </c>
    </row>
    <row r="132" spans="1:13" s="215" customFormat="1" ht="15.75" hidden="1" x14ac:dyDescent="0.25">
      <c r="A132" s="1260"/>
      <c r="B132" s="835"/>
      <c r="C132" s="13" t="s">
        <v>103</v>
      </c>
      <c r="D132" s="835" t="s">
        <v>21</v>
      </c>
      <c r="E132" s="524">
        <v>3.1399999999999997E-2</v>
      </c>
      <c r="F132" s="831">
        <f>F130*E132</f>
        <v>0</v>
      </c>
      <c r="G132" s="828"/>
      <c r="H132" s="8"/>
      <c r="I132" s="828"/>
      <c r="J132" s="8"/>
      <c r="K132" s="828">
        <v>4</v>
      </c>
      <c r="L132" s="8">
        <f t="shared" si="19"/>
        <v>0</v>
      </c>
      <c r="M132" s="8">
        <f t="shared" si="18"/>
        <v>0</v>
      </c>
    </row>
    <row r="133" spans="1:13" s="215" customFormat="1" ht="15.75" hidden="1" x14ac:dyDescent="0.25">
      <c r="A133" s="1260"/>
      <c r="B133" s="835"/>
      <c r="C133" s="13" t="s">
        <v>1044</v>
      </c>
      <c r="D133" s="835" t="s">
        <v>102</v>
      </c>
      <c r="E133" s="524">
        <v>1</v>
      </c>
      <c r="F133" s="831">
        <v>0</v>
      </c>
      <c r="G133" s="828">
        <v>7.6</v>
      </c>
      <c r="H133" s="8">
        <f t="shared" si="20"/>
        <v>0</v>
      </c>
      <c r="I133" s="828"/>
      <c r="J133" s="8"/>
      <c r="K133" s="828"/>
      <c r="L133" s="8"/>
      <c r="M133" s="8">
        <f t="shared" si="18"/>
        <v>0</v>
      </c>
    </row>
    <row r="134" spans="1:13" s="215" customFormat="1" ht="31.5" hidden="1" x14ac:dyDescent="0.25">
      <c r="A134" s="1260"/>
      <c r="B134" s="835"/>
      <c r="C134" s="13" t="s">
        <v>1035</v>
      </c>
      <c r="D134" s="835" t="s">
        <v>66</v>
      </c>
      <c r="E134" s="524">
        <v>0.152</v>
      </c>
      <c r="F134" s="831">
        <f>F130*E134</f>
        <v>0</v>
      </c>
      <c r="G134" s="828">
        <v>0.8</v>
      </c>
      <c r="H134" s="8">
        <f t="shared" si="20"/>
        <v>0</v>
      </c>
      <c r="I134" s="828"/>
      <c r="J134" s="8"/>
      <c r="K134" s="828"/>
      <c r="L134" s="8"/>
      <c r="M134" s="8">
        <f t="shared" si="18"/>
        <v>0</v>
      </c>
    </row>
    <row r="135" spans="1:13" s="215" customFormat="1" ht="15.75" hidden="1" x14ac:dyDescent="0.25">
      <c r="A135" s="1261"/>
      <c r="B135" s="835"/>
      <c r="C135" s="13" t="s">
        <v>97</v>
      </c>
      <c r="D135" s="835" t="s">
        <v>21</v>
      </c>
      <c r="E135" s="524">
        <v>6.5199999999999994E-2</v>
      </c>
      <c r="F135" s="831">
        <f>F130*E135</f>
        <v>0</v>
      </c>
      <c r="G135" s="828">
        <v>4</v>
      </c>
      <c r="H135" s="8">
        <f t="shared" si="20"/>
        <v>0</v>
      </c>
      <c r="I135" s="828"/>
      <c r="J135" s="8"/>
      <c r="K135" s="828"/>
      <c r="L135" s="8"/>
      <c r="M135" s="8">
        <f t="shared" si="18"/>
        <v>0</v>
      </c>
    </row>
    <row r="136" spans="1:13" s="215" customFormat="1" ht="40.5" hidden="1" x14ac:dyDescent="0.25">
      <c r="A136" s="1259" t="s">
        <v>1011</v>
      </c>
      <c r="B136" s="835" t="s">
        <v>1042</v>
      </c>
      <c r="C136" s="827" t="s">
        <v>1049</v>
      </c>
      <c r="D136" s="484" t="s">
        <v>41</v>
      </c>
      <c r="E136" s="10"/>
      <c r="F136" s="23">
        <f>F139</f>
        <v>0</v>
      </c>
      <c r="G136" s="12"/>
      <c r="H136" s="8"/>
      <c r="I136" s="12"/>
      <c r="J136" s="8"/>
      <c r="K136" s="12"/>
      <c r="L136" s="8"/>
      <c r="M136" s="8"/>
    </row>
    <row r="137" spans="1:13" s="215" customFormat="1" ht="27" hidden="1" x14ac:dyDescent="0.25">
      <c r="A137" s="1260"/>
      <c r="B137" s="835"/>
      <c r="C137" s="13" t="s">
        <v>100</v>
      </c>
      <c r="D137" s="835" t="s">
        <v>68</v>
      </c>
      <c r="E137" s="524">
        <v>1.35</v>
      </c>
      <c r="F137" s="831">
        <f>F136*E137</f>
        <v>0</v>
      </c>
      <c r="G137" s="828"/>
      <c r="H137" s="8"/>
      <c r="I137" s="828">
        <v>4.5999999999999996</v>
      </c>
      <c r="J137" s="8">
        <f t="shared" ref="J137:J143" si="21">F137*I137</f>
        <v>0</v>
      </c>
      <c r="K137" s="828"/>
      <c r="L137" s="8"/>
      <c r="M137" s="8">
        <f t="shared" ref="M137:M147" si="22">H137+J137+L137</f>
        <v>0</v>
      </c>
    </row>
    <row r="138" spans="1:13" s="215" customFormat="1" ht="15.75" hidden="1" x14ac:dyDescent="0.25">
      <c r="A138" s="1260"/>
      <c r="B138" s="835"/>
      <c r="C138" s="13" t="s">
        <v>103</v>
      </c>
      <c r="D138" s="835" t="s">
        <v>21</v>
      </c>
      <c r="E138" s="524">
        <v>3.1399999999999997E-2</v>
      </c>
      <c r="F138" s="831">
        <f>F136*E138</f>
        <v>0</v>
      </c>
      <c r="G138" s="828"/>
      <c r="H138" s="8"/>
      <c r="I138" s="828"/>
      <c r="J138" s="8"/>
      <c r="K138" s="828">
        <v>4</v>
      </c>
      <c r="L138" s="8">
        <f t="shared" ref="L138:L144" si="23">F138*K138</f>
        <v>0</v>
      </c>
      <c r="M138" s="8">
        <f t="shared" si="22"/>
        <v>0</v>
      </c>
    </row>
    <row r="139" spans="1:13" s="215" customFormat="1" ht="15.75" hidden="1" x14ac:dyDescent="0.25">
      <c r="A139" s="1260"/>
      <c r="B139" s="835"/>
      <c r="C139" s="13" t="s">
        <v>1050</v>
      </c>
      <c r="D139" s="835" t="s">
        <v>102</v>
      </c>
      <c r="E139" s="524">
        <v>1</v>
      </c>
      <c r="F139" s="831">
        <v>0</v>
      </c>
      <c r="G139" s="828">
        <v>11.4</v>
      </c>
      <c r="H139" s="8">
        <f t="shared" ref="H139:H147" si="24">F139*G139</f>
        <v>0</v>
      </c>
      <c r="I139" s="828"/>
      <c r="J139" s="8"/>
      <c r="K139" s="828"/>
      <c r="L139" s="8"/>
      <c r="M139" s="8">
        <f t="shared" si="22"/>
        <v>0</v>
      </c>
    </row>
    <row r="140" spans="1:13" s="215" customFormat="1" ht="31.5" hidden="1" x14ac:dyDescent="0.25">
      <c r="A140" s="1260"/>
      <c r="B140" s="835"/>
      <c r="C140" s="13" t="s">
        <v>1035</v>
      </c>
      <c r="D140" s="835" t="s">
        <v>66</v>
      </c>
      <c r="E140" s="524">
        <v>0.152</v>
      </c>
      <c r="F140" s="831">
        <f>F136*E140</f>
        <v>0</v>
      </c>
      <c r="G140" s="828">
        <v>1</v>
      </c>
      <c r="H140" s="8">
        <f t="shared" si="24"/>
        <v>0</v>
      </c>
      <c r="I140" s="828"/>
      <c r="J140" s="8"/>
      <c r="K140" s="828"/>
      <c r="L140" s="8"/>
      <c r="M140" s="8">
        <f t="shared" si="22"/>
        <v>0</v>
      </c>
    </row>
    <row r="141" spans="1:13" s="215" customFormat="1" ht="15.75" hidden="1" x14ac:dyDescent="0.25">
      <c r="A141" s="1261"/>
      <c r="B141" s="835"/>
      <c r="C141" s="13" t="s">
        <v>97</v>
      </c>
      <c r="D141" s="835" t="s">
        <v>21</v>
      </c>
      <c r="E141" s="524">
        <v>6.5199999999999994E-2</v>
      </c>
      <c r="F141" s="831">
        <f>F136*E141</f>
        <v>0</v>
      </c>
      <c r="G141" s="828">
        <v>4</v>
      </c>
      <c r="H141" s="8">
        <f t="shared" si="24"/>
        <v>0</v>
      </c>
      <c r="I141" s="828"/>
      <c r="J141" s="8"/>
      <c r="K141" s="828"/>
      <c r="L141" s="8"/>
      <c r="M141" s="8">
        <f t="shared" si="22"/>
        <v>0</v>
      </c>
    </row>
    <row r="142" spans="1:13" s="215" customFormat="1" ht="40.5" hidden="1" x14ac:dyDescent="0.25">
      <c r="A142" s="1259" t="s">
        <v>1011</v>
      </c>
      <c r="B142" s="835" t="s">
        <v>1042</v>
      </c>
      <c r="C142" s="827" t="s">
        <v>1051</v>
      </c>
      <c r="D142" s="484" t="s">
        <v>41</v>
      </c>
      <c r="E142" s="10"/>
      <c r="F142" s="23">
        <f>F145</f>
        <v>0</v>
      </c>
      <c r="G142" s="12"/>
      <c r="H142" s="8"/>
      <c r="I142" s="12"/>
      <c r="J142" s="8"/>
      <c r="K142" s="12"/>
      <c r="L142" s="8"/>
      <c r="M142" s="8"/>
    </row>
    <row r="143" spans="1:13" s="215" customFormat="1" ht="27" hidden="1" x14ac:dyDescent="0.25">
      <c r="A143" s="1260"/>
      <c r="B143" s="835"/>
      <c r="C143" s="13" t="s">
        <v>100</v>
      </c>
      <c r="D143" s="835" t="s">
        <v>68</v>
      </c>
      <c r="E143" s="524">
        <v>1.35</v>
      </c>
      <c r="F143" s="831">
        <f>F142*E143</f>
        <v>0</v>
      </c>
      <c r="G143" s="828"/>
      <c r="H143" s="8"/>
      <c r="I143" s="828">
        <v>4.5999999999999996</v>
      </c>
      <c r="J143" s="8">
        <f t="shared" si="21"/>
        <v>0</v>
      </c>
      <c r="K143" s="828"/>
      <c r="L143" s="8"/>
      <c r="M143" s="8">
        <f t="shared" si="22"/>
        <v>0</v>
      </c>
    </row>
    <row r="144" spans="1:13" s="215" customFormat="1" ht="15.75" hidden="1" x14ac:dyDescent="0.25">
      <c r="A144" s="1260"/>
      <c r="B144" s="835"/>
      <c r="C144" s="13" t="s">
        <v>103</v>
      </c>
      <c r="D144" s="835" t="s">
        <v>21</v>
      </c>
      <c r="E144" s="524">
        <v>3.1399999999999997E-2</v>
      </c>
      <c r="F144" s="831">
        <f>F142*E144</f>
        <v>0</v>
      </c>
      <c r="G144" s="828"/>
      <c r="H144" s="8"/>
      <c r="I144" s="828"/>
      <c r="J144" s="8"/>
      <c r="K144" s="828">
        <v>4</v>
      </c>
      <c r="L144" s="8">
        <f t="shared" si="23"/>
        <v>0</v>
      </c>
      <c r="M144" s="8">
        <f t="shared" si="22"/>
        <v>0</v>
      </c>
    </row>
    <row r="145" spans="1:13" s="215" customFormat="1" ht="15.75" hidden="1" x14ac:dyDescent="0.25">
      <c r="A145" s="1260"/>
      <c r="B145" s="835"/>
      <c r="C145" s="13" t="s">
        <v>1052</v>
      </c>
      <c r="D145" s="835" t="s">
        <v>102</v>
      </c>
      <c r="E145" s="524">
        <v>1</v>
      </c>
      <c r="F145" s="831">
        <v>0</v>
      </c>
      <c r="G145" s="828">
        <v>18.5</v>
      </c>
      <c r="H145" s="8">
        <f t="shared" si="24"/>
        <v>0</v>
      </c>
      <c r="I145" s="828"/>
      <c r="J145" s="8"/>
      <c r="K145" s="828"/>
      <c r="L145" s="8"/>
      <c r="M145" s="8">
        <f t="shared" si="22"/>
        <v>0</v>
      </c>
    </row>
    <row r="146" spans="1:13" s="215" customFormat="1" ht="31.5" hidden="1" x14ac:dyDescent="0.25">
      <c r="A146" s="1260"/>
      <c r="B146" s="835"/>
      <c r="C146" s="13" t="s">
        <v>1035</v>
      </c>
      <c r="D146" s="835" t="s">
        <v>66</v>
      </c>
      <c r="E146" s="524">
        <v>0.152</v>
      </c>
      <c r="F146" s="831">
        <f>F142*E146</f>
        <v>0</v>
      </c>
      <c r="G146" s="828">
        <v>1.2</v>
      </c>
      <c r="H146" s="8">
        <f t="shared" si="24"/>
        <v>0</v>
      </c>
      <c r="I146" s="828"/>
      <c r="J146" s="8"/>
      <c r="K146" s="828"/>
      <c r="L146" s="8"/>
      <c r="M146" s="8">
        <f t="shared" si="22"/>
        <v>0</v>
      </c>
    </row>
    <row r="147" spans="1:13" s="215" customFormat="1" ht="15.75" hidden="1" x14ac:dyDescent="0.25">
      <c r="A147" s="1261"/>
      <c r="B147" s="835"/>
      <c r="C147" s="13" t="s">
        <v>97</v>
      </c>
      <c r="D147" s="835" t="s">
        <v>21</v>
      </c>
      <c r="E147" s="524">
        <v>6.5199999999999994E-2</v>
      </c>
      <c r="F147" s="831">
        <f>F142*E147</f>
        <v>0</v>
      </c>
      <c r="G147" s="828">
        <v>4</v>
      </c>
      <c r="H147" s="8">
        <f t="shared" si="24"/>
        <v>0</v>
      </c>
      <c r="I147" s="828"/>
      <c r="J147" s="8"/>
      <c r="K147" s="828"/>
      <c r="L147" s="8"/>
      <c r="M147" s="8">
        <f t="shared" si="22"/>
        <v>0</v>
      </c>
    </row>
    <row r="148" spans="1:13" s="215" customFormat="1" ht="31.5" hidden="1" x14ac:dyDescent="0.25">
      <c r="A148" s="1259" t="s">
        <v>1011</v>
      </c>
      <c r="B148" s="835" t="s">
        <v>1053</v>
      </c>
      <c r="C148" s="827" t="s">
        <v>1054</v>
      </c>
      <c r="D148" s="835" t="s">
        <v>41</v>
      </c>
      <c r="E148" s="524"/>
      <c r="F148" s="23">
        <f>F151</f>
        <v>0</v>
      </c>
      <c r="G148" s="828"/>
      <c r="H148" s="8"/>
      <c r="I148" s="828"/>
      <c r="J148" s="8"/>
      <c r="K148" s="828"/>
      <c r="L148" s="8"/>
      <c r="M148" s="8"/>
    </row>
    <row r="149" spans="1:13" s="215" customFormat="1" ht="27" hidden="1" x14ac:dyDescent="0.25">
      <c r="A149" s="1260"/>
      <c r="B149" s="835"/>
      <c r="C149" s="13" t="s">
        <v>54</v>
      </c>
      <c r="D149" s="835" t="s">
        <v>6</v>
      </c>
      <c r="E149" s="524"/>
      <c r="F149" s="831">
        <f>F148*E149</f>
        <v>0</v>
      </c>
      <c r="G149" s="828"/>
      <c r="H149" s="8"/>
      <c r="I149" s="828">
        <v>4.5999999999999996</v>
      </c>
      <c r="J149" s="8">
        <f t="shared" si="17"/>
        <v>0</v>
      </c>
      <c r="K149" s="828"/>
      <c r="L149" s="8"/>
      <c r="M149" s="8">
        <f t="shared" si="18"/>
        <v>0</v>
      </c>
    </row>
    <row r="150" spans="1:13" s="215" customFormat="1" ht="15.75" hidden="1" x14ac:dyDescent="0.25">
      <c r="A150" s="1260"/>
      <c r="B150" s="835"/>
      <c r="C150" s="13" t="s">
        <v>5</v>
      </c>
      <c r="D150" s="835" t="s">
        <v>4</v>
      </c>
      <c r="E150" s="524"/>
      <c r="F150" s="831">
        <f>F148*E150</f>
        <v>0</v>
      </c>
      <c r="G150" s="828"/>
      <c r="H150" s="8"/>
      <c r="I150" s="828"/>
      <c r="J150" s="8"/>
      <c r="K150" s="828">
        <v>4</v>
      </c>
      <c r="L150" s="8">
        <f t="shared" si="19"/>
        <v>0</v>
      </c>
      <c r="M150" s="8">
        <f t="shared" si="18"/>
        <v>0</v>
      </c>
    </row>
    <row r="151" spans="1:13" s="215" customFormat="1" ht="15.75" hidden="1" x14ac:dyDescent="0.25">
      <c r="A151" s="1260"/>
      <c r="B151" s="835"/>
      <c r="C151" s="13" t="s">
        <v>1055</v>
      </c>
      <c r="D151" s="835" t="s">
        <v>62</v>
      </c>
      <c r="E151" s="524"/>
      <c r="F151" s="831">
        <v>0</v>
      </c>
      <c r="G151" s="828">
        <v>5.76</v>
      </c>
      <c r="H151" s="8">
        <f t="shared" si="20"/>
        <v>0</v>
      </c>
      <c r="I151" s="828"/>
      <c r="J151" s="8"/>
      <c r="K151" s="828"/>
      <c r="L151" s="8"/>
      <c r="M151" s="8">
        <f t="shared" si="18"/>
        <v>0</v>
      </c>
    </row>
    <row r="152" spans="1:13" s="215" customFormat="1" ht="15.75" hidden="1" x14ac:dyDescent="0.25">
      <c r="A152" s="1260"/>
      <c r="B152" s="835"/>
      <c r="C152" s="13" t="s">
        <v>7</v>
      </c>
      <c r="D152" s="835" t="s">
        <v>4</v>
      </c>
      <c r="E152" s="524"/>
      <c r="F152" s="831">
        <f>F148*E152</f>
        <v>0</v>
      </c>
      <c r="G152" s="828">
        <v>4</v>
      </c>
      <c r="H152" s="8">
        <f t="shared" si="20"/>
        <v>0</v>
      </c>
      <c r="I152" s="828"/>
      <c r="J152" s="8"/>
      <c r="K152" s="828"/>
      <c r="L152" s="8"/>
      <c r="M152" s="8">
        <f t="shared" si="18"/>
        <v>0</v>
      </c>
    </row>
    <row r="153" spans="1:13" s="215" customFormat="1" ht="15.75" hidden="1" x14ac:dyDescent="0.25">
      <c r="A153" s="1259" t="s">
        <v>1011</v>
      </c>
      <c r="B153" s="835" t="s">
        <v>1056</v>
      </c>
      <c r="C153" s="827" t="s">
        <v>1057</v>
      </c>
      <c r="D153" s="835" t="s">
        <v>41</v>
      </c>
      <c r="E153" s="524"/>
      <c r="F153" s="23">
        <f>F156+F157+F158</f>
        <v>0</v>
      </c>
      <c r="G153" s="828"/>
      <c r="H153" s="8"/>
      <c r="I153" s="828"/>
      <c r="J153" s="8"/>
      <c r="K153" s="828"/>
      <c r="L153" s="8"/>
      <c r="M153" s="8"/>
    </row>
    <row r="154" spans="1:13" s="215" customFormat="1" ht="27" hidden="1" x14ac:dyDescent="0.25">
      <c r="A154" s="1260"/>
      <c r="B154" s="835"/>
      <c r="C154" s="13" t="s">
        <v>54</v>
      </c>
      <c r="D154" s="835" t="s">
        <v>6</v>
      </c>
      <c r="E154" s="524"/>
      <c r="F154" s="831">
        <f>F153*E154</f>
        <v>0</v>
      </c>
      <c r="G154" s="828"/>
      <c r="H154" s="8"/>
      <c r="I154" s="828">
        <v>4.5999999999999996</v>
      </c>
      <c r="J154" s="8">
        <f t="shared" si="17"/>
        <v>0</v>
      </c>
      <c r="K154" s="828"/>
      <c r="L154" s="8"/>
      <c r="M154" s="8">
        <f t="shared" si="18"/>
        <v>0</v>
      </c>
    </row>
    <row r="155" spans="1:13" s="215" customFormat="1" ht="15.75" hidden="1" x14ac:dyDescent="0.25">
      <c r="A155" s="1260"/>
      <c r="B155" s="835"/>
      <c r="C155" s="13" t="s">
        <v>5</v>
      </c>
      <c r="D155" s="835" t="s">
        <v>4</v>
      </c>
      <c r="E155" s="524"/>
      <c r="F155" s="831">
        <f>F153*E155</f>
        <v>0</v>
      </c>
      <c r="G155" s="828"/>
      <c r="H155" s="8"/>
      <c r="I155" s="828"/>
      <c r="J155" s="8"/>
      <c r="K155" s="828">
        <v>4</v>
      </c>
      <c r="L155" s="8">
        <f t="shared" si="19"/>
        <v>0</v>
      </c>
      <c r="M155" s="8">
        <f t="shared" si="18"/>
        <v>0</v>
      </c>
    </row>
    <row r="156" spans="1:13" s="215" customFormat="1" ht="15.75" hidden="1" x14ac:dyDescent="0.25">
      <c r="A156" s="1260"/>
      <c r="B156" s="835"/>
      <c r="C156" s="13" t="s">
        <v>1059</v>
      </c>
      <c r="D156" s="835" t="s">
        <v>62</v>
      </c>
      <c r="E156" s="524"/>
      <c r="F156" s="831">
        <v>0</v>
      </c>
      <c r="G156" s="828">
        <v>4.1500000000000004</v>
      </c>
      <c r="H156" s="8">
        <f t="shared" si="20"/>
        <v>0</v>
      </c>
      <c r="I156" s="828"/>
      <c r="J156" s="8"/>
      <c r="K156" s="828"/>
      <c r="L156" s="8"/>
      <c r="M156" s="8">
        <f t="shared" si="18"/>
        <v>0</v>
      </c>
    </row>
    <row r="157" spans="1:13" s="215" customFormat="1" ht="15.75" hidden="1" x14ac:dyDescent="0.25">
      <c r="A157" s="1260"/>
      <c r="B157" s="835"/>
      <c r="C157" s="13" t="s">
        <v>1060</v>
      </c>
      <c r="D157" s="835" t="s">
        <v>62</v>
      </c>
      <c r="E157" s="524"/>
      <c r="F157" s="831">
        <v>0</v>
      </c>
      <c r="G157" s="828">
        <v>3</v>
      </c>
      <c r="H157" s="8">
        <f t="shared" si="20"/>
        <v>0</v>
      </c>
      <c r="I157" s="828"/>
      <c r="J157" s="8"/>
      <c r="K157" s="828"/>
      <c r="L157" s="8"/>
      <c r="M157" s="8">
        <f t="shared" si="18"/>
        <v>0</v>
      </c>
    </row>
    <row r="158" spans="1:13" s="215" customFormat="1" ht="15.75" hidden="1" x14ac:dyDescent="0.25">
      <c r="A158" s="1260"/>
      <c r="B158" s="835"/>
      <c r="C158" s="13" t="s">
        <v>1061</v>
      </c>
      <c r="D158" s="835" t="s">
        <v>62</v>
      </c>
      <c r="E158" s="524"/>
      <c r="F158" s="831">
        <v>0</v>
      </c>
      <c r="G158" s="828">
        <v>5.38</v>
      </c>
      <c r="H158" s="8">
        <f t="shared" si="20"/>
        <v>0</v>
      </c>
      <c r="I158" s="828"/>
      <c r="J158" s="8"/>
      <c r="K158" s="828"/>
      <c r="L158" s="8"/>
      <c r="M158" s="8">
        <f t="shared" si="18"/>
        <v>0</v>
      </c>
    </row>
    <row r="159" spans="1:13" s="215" customFormat="1" ht="15.75" hidden="1" x14ac:dyDescent="0.25">
      <c r="A159" s="1260"/>
      <c r="B159" s="835"/>
      <c r="C159" s="13" t="s">
        <v>7</v>
      </c>
      <c r="D159" s="835" t="s">
        <v>4</v>
      </c>
      <c r="E159" s="524"/>
      <c r="F159" s="831">
        <f>F153*E159</f>
        <v>0</v>
      </c>
      <c r="G159" s="828">
        <v>4</v>
      </c>
      <c r="H159" s="8">
        <f t="shared" si="20"/>
        <v>0</v>
      </c>
      <c r="I159" s="828"/>
      <c r="J159" s="8"/>
      <c r="K159" s="828"/>
      <c r="L159" s="8"/>
      <c r="M159" s="8">
        <f t="shared" si="18"/>
        <v>0</v>
      </c>
    </row>
    <row r="160" spans="1:13" s="215" customFormat="1" ht="47.25" hidden="1" x14ac:dyDescent="0.25">
      <c r="A160" s="1259" t="s">
        <v>1011</v>
      </c>
      <c r="B160" s="835" t="s">
        <v>1062</v>
      </c>
      <c r="C160" s="827" t="s">
        <v>1063</v>
      </c>
      <c r="D160" s="835" t="s">
        <v>37</v>
      </c>
      <c r="E160" s="524"/>
      <c r="F160" s="23">
        <f>(F163+F164+F165+F166+F167+F168)*0.34*0.1</f>
        <v>0</v>
      </c>
      <c r="G160" s="828"/>
      <c r="H160" s="8"/>
      <c r="I160" s="828"/>
      <c r="J160" s="8"/>
      <c r="K160" s="828"/>
      <c r="L160" s="8"/>
      <c r="M160" s="8"/>
    </row>
    <row r="161" spans="1:13" s="215" customFormat="1" ht="27" hidden="1" x14ac:dyDescent="0.25">
      <c r="A161" s="1260"/>
      <c r="B161" s="835"/>
      <c r="C161" s="621" t="s">
        <v>36</v>
      </c>
      <c r="D161" s="622" t="s">
        <v>6</v>
      </c>
      <c r="E161" s="615">
        <f>18.8</f>
        <v>18.8</v>
      </c>
      <c r="F161" s="831">
        <f>E161*F160</f>
        <v>0</v>
      </c>
      <c r="G161" s="828"/>
      <c r="H161" s="8"/>
      <c r="I161" s="828">
        <v>6</v>
      </c>
      <c r="J161" s="8">
        <f t="shared" si="17"/>
        <v>0</v>
      </c>
      <c r="K161" s="828"/>
      <c r="L161" s="8"/>
      <c r="M161" s="8">
        <f t="shared" si="18"/>
        <v>0</v>
      </c>
    </row>
    <row r="162" spans="1:13" s="215" customFormat="1" ht="15.75" hidden="1" x14ac:dyDescent="0.25">
      <c r="A162" s="1260"/>
      <c r="B162" s="835"/>
      <c r="C162" s="621" t="s">
        <v>5</v>
      </c>
      <c r="D162" s="622" t="s">
        <v>4</v>
      </c>
      <c r="E162" s="615">
        <f>0.24</f>
        <v>0.24</v>
      </c>
      <c r="F162" s="831">
        <f>F160*E162</f>
        <v>0</v>
      </c>
      <c r="G162" s="828"/>
      <c r="H162" s="8"/>
      <c r="I162" s="828"/>
      <c r="J162" s="8"/>
      <c r="K162" s="828">
        <v>4</v>
      </c>
      <c r="L162" s="8">
        <f t="shared" si="19"/>
        <v>0</v>
      </c>
      <c r="M162" s="8">
        <f t="shared" si="18"/>
        <v>0</v>
      </c>
    </row>
    <row r="163" spans="1:13" s="215" customFormat="1" ht="31.5" hidden="1" x14ac:dyDescent="0.25">
      <c r="A163" s="1260"/>
      <c r="B163" s="835"/>
      <c r="C163" s="581" t="s">
        <v>1064</v>
      </c>
      <c r="D163" s="834" t="s">
        <v>41</v>
      </c>
      <c r="E163" s="2"/>
      <c r="F163" s="831">
        <v>0</v>
      </c>
      <c r="G163" s="828">
        <v>1.21</v>
      </c>
      <c r="H163" s="8">
        <f t="shared" si="20"/>
        <v>0</v>
      </c>
      <c r="I163" s="828"/>
      <c r="J163" s="8"/>
      <c r="K163" s="8"/>
      <c r="L163" s="8"/>
      <c r="M163" s="8">
        <f t="shared" si="18"/>
        <v>0</v>
      </c>
    </row>
    <row r="164" spans="1:13" s="215" customFormat="1" ht="31.5" hidden="1" x14ac:dyDescent="0.25">
      <c r="A164" s="1260"/>
      <c r="B164" s="835"/>
      <c r="C164" s="581" t="s">
        <v>1065</v>
      </c>
      <c r="D164" s="834" t="s">
        <v>41</v>
      </c>
      <c r="E164" s="2"/>
      <c r="F164" s="831">
        <v>0</v>
      </c>
      <c r="G164" s="828">
        <v>1.42</v>
      </c>
      <c r="H164" s="8">
        <f t="shared" si="20"/>
        <v>0</v>
      </c>
      <c r="I164" s="828"/>
      <c r="J164" s="8"/>
      <c r="K164" s="8"/>
      <c r="L164" s="8"/>
      <c r="M164" s="8">
        <f t="shared" si="18"/>
        <v>0</v>
      </c>
    </row>
    <row r="165" spans="1:13" s="215" customFormat="1" ht="31.5" hidden="1" x14ac:dyDescent="0.25">
      <c r="A165" s="1260"/>
      <c r="B165" s="835"/>
      <c r="C165" s="581" t="s">
        <v>1066</v>
      </c>
      <c r="D165" s="834" t="s">
        <v>41</v>
      </c>
      <c r="E165" s="2"/>
      <c r="F165" s="831">
        <v>0</v>
      </c>
      <c r="G165" s="828">
        <v>1.66</v>
      </c>
      <c r="H165" s="8">
        <f t="shared" si="20"/>
        <v>0</v>
      </c>
      <c r="I165" s="828"/>
      <c r="J165" s="8"/>
      <c r="K165" s="8"/>
      <c r="L165" s="8"/>
      <c r="M165" s="8">
        <f t="shared" si="18"/>
        <v>0</v>
      </c>
    </row>
    <row r="166" spans="1:13" s="215" customFormat="1" ht="31.5" hidden="1" x14ac:dyDescent="0.25">
      <c r="A166" s="1260"/>
      <c r="B166" s="835"/>
      <c r="C166" s="581" t="s">
        <v>1067</v>
      </c>
      <c r="D166" s="834" t="s">
        <v>41</v>
      </c>
      <c r="E166" s="2"/>
      <c r="F166" s="831">
        <v>0</v>
      </c>
      <c r="G166" s="828">
        <v>1.93</v>
      </c>
      <c r="H166" s="8">
        <f t="shared" si="20"/>
        <v>0</v>
      </c>
      <c r="I166" s="828"/>
      <c r="J166" s="8"/>
      <c r="K166" s="8"/>
      <c r="L166" s="8"/>
      <c r="M166" s="8">
        <f t="shared" si="18"/>
        <v>0</v>
      </c>
    </row>
    <row r="167" spans="1:13" s="215" customFormat="1" ht="31.5" hidden="1" x14ac:dyDescent="0.25">
      <c r="A167" s="1260"/>
      <c r="B167" s="835"/>
      <c r="C167" s="581" t="s">
        <v>1068</v>
      </c>
      <c r="D167" s="834" t="s">
        <v>41</v>
      </c>
      <c r="E167" s="2"/>
      <c r="F167" s="831">
        <v>0</v>
      </c>
      <c r="G167" s="828">
        <v>1.31</v>
      </c>
      <c r="H167" s="8">
        <f t="shared" si="20"/>
        <v>0</v>
      </c>
      <c r="I167" s="828"/>
      <c r="J167" s="8"/>
      <c r="K167" s="8"/>
      <c r="L167" s="8"/>
      <c r="M167" s="8">
        <f t="shared" si="18"/>
        <v>0</v>
      </c>
    </row>
    <row r="168" spans="1:13" s="215" customFormat="1" ht="31.5" hidden="1" x14ac:dyDescent="0.25">
      <c r="A168" s="1260"/>
      <c r="B168" s="835"/>
      <c r="C168" s="581" t="s">
        <v>1069</v>
      </c>
      <c r="D168" s="834" t="s">
        <v>41</v>
      </c>
      <c r="E168" s="2"/>
      <c r="F168" s="831">
        <v>0</v>
      </c>
      <c r="G168" s="828">
        <v>1.64</v>
      </c>
      <c r="H168" s="8">
        <f t="shared" si="20"/>
        <v>0</v>
      </c>
      <c r="I168" s="828"/>
      <c r="J168" s="8"/>
      <c r="K168" s="8"/>
      <c r="L168" s="8"/>
      <c r="M168" s="8">
        <f t="shared" si="18"/>
        <v>0</v>
      </c>
    </row>
    <row r="169" spans="1:13" s="215" customFormat="1" ht="15.75" hidden="1" x14ac:dyDescent="0.25">
      <c r="A169" s="1261"/>
      <c r="B169" s="835"/>
      <c r="C169" s="621" t="s">
        <v>7</v>
      </c>
      <c r="D169" s="622" t="s">
        <v>4</v>
      </c>
      <c r="E169" s="615">
        <v>1.7</v>
      </c>
      <c r="F169" s="831">
        <f>E169*F160</f>
        <v>0</v>
      </c>
      <c r="G169" s="828">
        <v>4</v>
      </c>
      <c r="H169" s="8">
        <f t="shared" si="20"/>
        <v>0</v>
      </c>
      <c r="I169" s="828"/>
      <c r="J169" s="8"/>
      <c r="K169" s="828"/>
      <c r="L169" s="8"/>
      <c r="M169" s="8">
        <f t="shared" si="18"/>
        <v>0</v>
      </c>
    </row>
    <row r="170" spans="1:13" s="215" customFormat="1" ht="31.5" hidden="1" x14ac:dyDescent="0.25">
      <c r="A170" s="1258" t="s">
        <v>94</v>
      </c>
      <c r="B170" s="484" t="s">
        <v>104</v>
      </c>
      <c r="C170" s="827" t="s">
        <v>1070</v>
      </c>
      <c r="D170" s="484" t="s">
        <v>66</v>
      </c>
      <c r="E170" s="10"/>
      <c r="F170" s="23">
        <f>SUM(F173:F182)</f>
        <v>0</v>
      </c>
      <c r="G170" s="12"/>
      <c r="H170" s="8"/>
      <c r="I170" s="12"/>
      <c r="J170" s="8"/>
      <c r="K170" s="12"/>
      <c r="L170" s="8"/>
      <c r="M170" s="8"/>
    </row>
    <row r="171" spans="1:13" s="215" customFormat="1" ht="27" hidden="1" x14ac:dyDescent="0.25">
      <c r="A171" s="1258"/>
      <c r="B171" s="835"/>
      <c r="C171" s="13" t="s">
        <v>100</v>
      </c>
      <c r="D171" s="835" t="s">
        <v>68</v>
      </c>
      <c r="E171" s="524">
        <v>1.51</v>
      </c>
      <c r="F171" s="831">
        <f>F170*E171</f>
        <v>0</v>
      </c>
      <c r="G171" s="828"/>
      <c r="H171" s="8"/>
      <c r="I171" s="828">
        <v>6</v>
      </c>
      <c r="J171" s="8">
        <f t="shared" si="17"/>
        <v>0</v>
      </c>
      <c r="K171" s="828"/>
      <c r="L171" s="8"/>
      <c r="M171" s="8">
        <f t="shared" si="18"/>
        <v>0</v>
      </c>
    </row>
    <row r="172" spans="1:13" s="215" customFormat="1" ht="15.75" hidden="1" x14ac:dyDescent="0.25">
      <c r="A172" s="1258"/>
      <c r="B172" s="835"/>
      <c r="C172" s="26" t="s">
        <v>101</v>
      </c>
      <c r="D172" s="835" t="s">
        <v>21</v>
      </c>
      <c r="E172" s="524">
        <v>0.13</v>
      </c>
      <c r="F172" s="831">
        <f>F170*E172</f>
        <v>0</v>
      </c>
      <c r="G172" s="828"/>
      <c r="H172" s="8"/>
      <c r="I172" s="828"/>
      <c r="J172" s="8"/>
      <c r="K172" s="828">
        <v>4</v>
      </c>
      <c r="L172" s="8">
        <f t="shared" si="19"/>
        <v>0</v>
      </c>
      <c r="M172" s="8">
        <f t="shared" si="18"/>
        <v>0</v>
      </c>
    </row>
    <row r="173" spans="1:13" s="215" customFormat="1" ht="15.75" hidden="1" x14ac:dyDescent="0.25">
      <c r="A173" s="1258"/>
      <c r="B173" s="835"/>
      <c r="C173" s="26" t="s">
        <v>1071</v>
      </c>
      <c r="D173" s="835" t="s">
        <v>66</v>
      </c>
      <c r="E173" s="524" t="s">
        <v>93</v>
      </c>
      <c r="F173" s="831"/>
      <c r="G173" s="828">
        <v>9.5</v>
      </c>
      <c r="H173" s="8">
        <f t="shared" si="20"/>
        <v>0</v>
      </c>
      <c r="I173" s="828"/>
      <c r="J173" s="8"/>
      <c r="K173" s="828"/>
      <c r="L173" s="8"/>
      <c r="M173" s="8">
        <f t="shared" si="18"/>
        <v>0</v>
      </c>
    </row>
    <row r="174" spans="1:13" s="215" customFormat="1" ht="15.75" hidden="1" x14ac:dyDescent="0.25">
      <c r="A174" s="1258"/>
      <c r="B174" s="835"/>
      <c r="C174" s="26" t="s">
        <v>1072</v>
      </c>
      <c r="D174" s="835" t="s">
        <v>66</v>
      </c>
      <c r="E174" s="524">
        <v>1</v>
      </c>
      <c r="F174" s="1153">
        <v>0</v>
      </c>
      <c r="G174" s="828">
        <v>7.4</v>
      </c>
      <c r="H174" s="8">
        <f>F174*G174</f>
        <v>0</v>
      </c>
      <c r="I174" s="828"/>
      <c r="J174" s="8"/>
      <c r="K174" s="828"/>
      <c r="L174" s="8"/>
      <c r="M174" s="8">
        <f>H174+J174+L174</f>
        <v>0</v>
      </c>
    </row>
    <row r="175" spans="1:13" s="215" customFormat="1" ht="15.75" hidden="1" x14ac:dyDescent="0.25">
      <c r="A175" s="1258"/>
      <c r="B175" s="835"/>
      <c r="C175" s="26" t="s">
        <v>1073</v>
      </c>
      <c r="D175" s="835" t="s">
        <v>66</v>
      </c>
      <c r="E175" s="524">
        <v>1</v>
      </c>
      <c r="F175" s="1153">
        <v>0</v>
      </c>
      <c r="G175" s="828">
        <v>9.4</v>
      </c>
      <c r="H175" s="8">
        <f t="shared" si="20"/>
        <v>0</v>
      </c>
      <c r="I175" s="828"/>
      <c r="J175" s="8"/>
      <c r="K175" s="828"/>
      <c r="L175" s="8"/>
      <c r="M175" s="8">
        <f t="shared" si="18"/>
        <v>0</v>
      </c>
    </row>
    <row r="176" spans="1:13" s="215" customFormat="1" ht="15.75" hidden="1" x14ac:dyDescent="0.25">
      <c r="A176" s="1258"/>
      <c r="B176" s="835"/>
      <c r="C176" s="26" t="s">
        <v>1074</v>
      </c>
      <c r="D176" s="835" t="s">
        <v>66</v>
      </c>
      <c r="E176" s="524">
        <v>1</v>
      </c>
      <c r="F176" s="1153"/>
      <c r="G176" s="828">
        <v>15.1</v>
      </c>
      <c r="H176" s="8">
        <f t="shared" si="20"/>
        <v>0</v>
      </c>
      <c r="I176" s="828"/>
      <c r="J176" s="8"/>
      <c r="K176" s="828"/>
      <c r="L176" s="8"/>
      <c r="M176" s="8">
        <f t="shared" si="18"/>
        <v>0</v>
      </c>
    </row>
    <row r="177" spans="1:15" s="215" customFormat="1" ht="15.75" hidden="1" x14ac:dyDescent="0.25">
      <c r="A177" s="1258"/>
      <c r="B177" s="835"/>
      <c r="C177" s="26" t="s">
        <v>1075</v>
      </c>
      <c r="D177" s="835" t="s">
        <v>66</v>
      </c>
      <c r="E177" s="524">
        <v>1</v>
      </c>
      <c r="F177" s="1153"/>
      <c r="G177" s="828">
        <v>19.899999999999999</v>
      </c>
      <c r="H177" s="8">
        <f t="shared" si="20"/>
        <v>0</v>
      </c>
      <c r="I177" s="828"/>
      <c r="J177" s="8"/>
      <c r="K177" s="828"/>
      <c r="L177" s="8"/>
      <c r="M177" s="8">
        <f t="shared" si="18"/>
        <v>0</v>
      </c>
    </row>
    <row r="178" spans="1:15" s="215" customFormat="1" ht="15.75" hidden="1" x14ac:dyDescent="0.25">
      <c r="A178" s="1258"/>
      <c r="B178" s="835"/>
      <c r="C178" s="26" t="s">
        <v>1076</v>
      </c>
      <c r="D178" s="835" t="s">
        <v>66</v>
      </c>
      <c r="E178" s="524">
        <v>1</v>
      </c>
      <c r="F178" s="1153"/>
      <c r="G178" s="828">
        <v>56.2</v>
      </c>
      <c r="H178" s="8">
        <f t="shared" si="20"/>
        <v>0</v>
      </c>
      <c r="I178" s="828"/>
      <c r="J178" s="8"/>
      <c r="K178" s="828"/>
      <c r="L178" s="8"/>
      <c r="M178" s="8">
        <f t="shared" si="18"/>
        <v>0</v>
      </c>
    </row>
    <row r="179" spans="1:15" s="215" customFormat="1" ht="15.75" hidden="1" x14ac:dyDescent="0.25">
      <c r="A179" s="1258"/>
      <c r="B179" s="835"/>
      <c r="C179" s="26" t="s">
        <v>1077</v>
      </c>
      <c r="D179" s="835" t="s">
        <v>66</v>
      </c>
      <c r="E179" s="524" t="s">
        <v>93</v>
      </c>
      <c r="F179" s="1153"/>
      <c r="G179" s="828">
        <v>106.8</v>
      </c>
      <c r="H179" s="8">
        <f t="shared" si="20"/>
        <v>0</v>
      </c>
      <c r="I179" s="828"/>
      <c r="J179" s="8"/>
      <c r="K179" s="828"/>
      <c r="L179" s="8"/>
      <c r="M179" s="8">
        <f t="shared" si="18"/>
        <v>0</v>
      </c>
    </row>
    <row r="180" spans="1:15" s="215" customFormat="1" ht="15.75" hidden="1" x14ac:dyDescent="0.25">
      <c r="A180" s="1258"/>
      <c r="B180" s="835"/>
      <c r="C180" s="26" t="s">
        <v>1078</v>
      </c>
      <c r="D180" s="835" t="s">
        <v>66</v>
      </c>
      <c r="E180" s="524">
        <v>1</v>
      </c>
      <c r="F180" s="1153"/>
      <c r="G180" s="828">
        <v>31.2</v>
      </c>
      <c r="H180" s="8">
        <f>F180*G180</f>
        <v>0</v>
      </c>
      <c r="I180" s="828"/>
      <c r="J180" s="8"/>
      <c r="K180" s="828"/>
      <c r="L180" s="8"/>
      <c r="M180" s="8">
        <f>H180+J180+L180</f>
        <v>0</v>
      </c>
    </row>
    <row r="181" spans="1:15" s="215" customFormat="1" ht="31.5" hidden="1" x14ac:dyDescent="0.25">
      <c r="A181" s="1258"/>
      <c r="B181" s="835"/>
      <c r="C181" s="26" t="s">
        <v>1079</v>
      </c>
      <c r="D181" s="835" t="s">
        <v>52</v>
      </c>
      <c r="E181" s="524"/>
      <c r="F181" s="1153">
        <v>0</v>
      </c>
      <c r="G181" s="828">
        <v>12</v>
      </c>
      <c r="H181" s="8">
        <f t="shared" ref="H181" si="25">F181*G181</f>
        <v>0</v>
      </c>
      <c r="I181" s="828"/>
      <c r="J181" s="8"/>
      <c r="K181" s="828"/>
      <c r="L181" s="8"/>
      <c r="M181" s="8">
        <f t="shared" ref="M181" si="26">H181+J181+L181</f>
        <v>0</v>
      </c>
    </row>
    <row r="182" spans="1:15" s="215" customFormat="1" ht="31.5" hidden="1" x14ac:dyDescent="0.25">
      <c r="A182" s="1258"/>
      <c r="B182" s="835"/>
      <c r="C182" s="26" t="s">
        <v>1080</v>
      </c>
      <c r="D182" s="835" t="s">
        <v>52</v>
      </c>
      <c r="E182" s="524"/>
      <c r="F182" s="831"/>
      <c r="G182" s="828">
        <v>15</v>
      </c>
      <c r="H182" s="8">
        <f t="shared" si="20"/>
        <v>0</v>
      </c>
      <c r="I182" s="828"/>
      <c r="J182" s="8"/>
      <c r="K182" s="828"/>
      <c r="L182" s="8"/>
      <c r="M182" s="8">
        <f t="shared" si="18"/>
        <v>0</v>
      </c>
    </row>
    <row r="183" spans="1:15" s="215" customFormat="1" ht="15.75" hidden="1" x14ac:dyDescent="0.25">
      <c r="A183" s="1258"/>
      <c r="B183" s="835"/>
      <c r="C183" s="26" t="s">
        <v>97</v>
      </c>
      <c r="D183" s="835" t="s">
        <v>21</v>
      </c>
      <c r="E183" s="524">
        <v>7.0000000000000007E-2</v>
      </c>
      <c r="F183" s="831">
        <f>F170*E183</f>
        <v>0</v>
      </c>
      <c r="G183" s="828">
        <v>4</v>
      </c>
      <c r="H183" s="8">
        <f t="shared" si="20"/>
        <v>0</v>
      </c>
      <c r="I183" s="828"/>
      <c r="J183" s="8"/>
      <c r="K183" s="828"/>
      <c r="L183" s="8"/>
      <c r="M183" s="8">
        <f t="shared" si="18"/>
        <v>0</v>
      </c>
    </row>
    <row r="184" spans="1:15" s="215" customFormat="1" ht="31.5" hidden="1" x14ac:dyDescent="0.25">
      <c r="A184" s="1259" t="s">
        <v>87</v>
      </c>
      <c r="B184" s="995" t="s">
        <v>1081</v>
      </c>
      <c r="C184" s="62" t="s">
        <v>1082</v>
      </c>
      <c r="D184" s="484" t="s">
        <v>66</v>
      </c>
      <c r="E184" s="10"/>
      <c r="F184" s="11">
        <v>0</v>
      </c>
      <c r="G184" s="12"/>
      <c r="H184" s="8"/>
      <c r="I184" s="12"/>
      <c r="J184" s="8"/>
      <c r="K184" s="12"/>
      <c r="L184" s="8"/>
      <c r="M184" s="8"/>
      <c r="O184" s="215">
        <v>20</v>
      </c>
    </row>
    <row r="185" spans="1:15" s="215" customFormat="1" ht="15.75" hidden="1" x14ac:dyDescent="0.25">
      <c r="A185" s="1260"/>
      <c r="B185" s="304"/>
      <c r="C185" s="26" t="s">
        <v>36</v>
      </c>
      <c r="D185" s="835" t="s">
        <v>14</v>
      </c>
      <c r="E185" s="996">
        <f>(3.89+5.84+7.88)/3/10</f>
        <v>0.58699999999999997</v>
      </c>
      <c r="F185" s="831">
        <f>F184*E185</f>
        <v>0</v>
      </c>
      <c r="G185" s="989"/>
      <c r="H185" s="8"/>
      <c r="I185" s="989">
        <v>6</v>
      </c>
      <c r="J185" s="8">
        <f t="shared" ref="J185" si="27">F185*I185</f>
        <v>0</v>
      </c>
      <c r="K185" s="989"/>
      <c r="L185" s="8"/>
      <c r="M185" s="8">
        <f t="shared" ref="M185:M248" si="28">H185+J185+L185</f>
        <v>0</v>
      </c>
    </row>
    <row r="186" spans="1:15" s="215" customFormat="1" ht="15.75" hidden="1" x14ac:dyDescent="0.25">
      <c r="A186" s="1260"/>
      <c r="B186" s="304"/>
      <c r="C186" s="26" t="s">
        <v>1001</v>
      </c>
      <c r="D186" s="835" t="s">
        <v>1005</v>
      </c>
      <c r="E186" s="996">
        <f>(1.51+2.27+3.02)/3/10</f>
        <v>0.22666666666666671</v>
      </c>
      <c r="F186" s="831">
        <f>F184*E186</f>
        <v>0</v>
      </c>
      <c r="G186" s="989"/>
      <c r="H186" s="8"/>
      <c r="I186" s="989"/>
      <c r="J186" s="8"/>
      <c r="K186" s="989">
        <v>4</v>
      </c>
      <c r="L186" s="8">
        <f t="shared" ref="L186" si="29">F186*K186</f>
        <v>0</v>
      </c>
      <c r="M186" s="8">
        <f t="shared" si="28"/>
        <v>0</v>
      </c>
    </row>
    <row r="187" spans="1:15" s="215" customFormat="1" ht="15.75" hidden="1" x14ac:dyDescent="0.25">
      <c r="A187" s="1260"/>
      <c r="B187" s="835"/>
      <c r="C187" s="24" t="s">
        <v>1083</v>
      </c>
      <c r="D187" s="834" t="s">
        <v>52</v>
      </c>
      <c r="E187" s="524"/>
      <c r="F187" s="831"/>
      <c r="G187" s="828">
        <v>1</v>
      </c>
      <c r="H187" s="8">
        <f t="shared" ref="H187:H270" si="30">F187*G187</f>
        <v>0</v>
      </c>
      <c r="I187" s="828"/>
      <c r="J187" s="8"/>
      <c r="K187" s="828"/>
      <c r="L187" s="8"/>
      <c r="M187" s="8">
        <f t="shared" si="28"/>
        <v>0</v>
      </c>
    </row>
    <row r="188" spans="1:15" s="215" customFormat="1" ht="15.75" hidden="1" x14ac:dyDescent="0.25">
      <c r="A188" s="1260"/>
      <c r="B188" s="835"/>
      <c r="C188" s="24" t="s">
        <v>1084</v>
      </c>
      <c r="D188" s="834" t="s">
        <v>52</v>
      </c>
      <c r="E188" s="524"/>
      <c r="F188" s="831"/>
      <c r="G188" s="828">
        <v>0.3</v>
      </c>
      <c r="H188" s="8">
        <f t="shared" si="30"/>
        <v>0</v>
      </c>
      <c r="I188" s="828"/>
      <c r="J188" s="8"/>
      <c r="K188" s="828"/>
      <c r="L188" s="8"/>
      <c r="M188" s="8">
        <f t="shared" si="28"/>
        <v>0</v>
      </c>
    </row>
    <row r="189" spans="1:15" s="215" customFormat="1" ht="15.75" hidden="1" x14ac:dyDescent="0.25">
      <c r="A189" s="1260"/>
      <c r="B189" s="835"/>
      <c r="C189" s="24" t="s">
        <v>1085</v>
      </c>
      <c r="D189" s="834" t="s">
        <v>52</v>
      </c>
      <c r="E189" s="524"/>
      <c r="F189" s="831"/>
      <c r="G189" s="828">
        <v>0.5</v>
      </c>
      <c r="H189" s="8">
        <f t="shared" si="30"/>
        <v>0</v>
      </c>
      <c r="I189" s="828"/>
      <c r="J189" s="8"/>
      <c r="K189" s="828"/>
      <c r="L189" s="8"/>
      <c r="M189" s="8">
        <f t="shared" si="28"/>
        <v>0</v>
      </c>
    </row>
    <row r="190" spans="1:15" s="215" customFormat="1" ht="15.75" hidden="1" x14ac:dyDescent="0.25">
      <c r="A190" s="1260"/>
      <c r="B190" s="835"/>
      <c r="C190" s="24" t="s">
        <v>1086</v>
      </c>
      <c r="D190" s="834" t="s">
        <v>52</v>
      </c>
      <c r="E190" s="524"/>
      <c r="F190" s="831"/>
      <c r="G190" s="828">
        <v>1</v>
      </c>
      <c r="H190" s="8">
        <f t="shared" si="30"/>
        <v>0</v>
      </c>
      <c r="I190" s="828"/>
      <c r="J190" s="8"/>
      <c r="K190" s="828"/>
      <c r="L190" s="8"/>
      <c r="M190" s="8">
        <f t="shared" si="28"/>
        <v>0</v>
      </c>
    </row>
    <row r="191" spans="1:15" s="215" customFormat="1" ht="15.75" hidden="1" x14ac:dyDescent="0.25">
      <c r="A191" s="1260"/>
      <c r="B191" s="835"/>
      <c r="C191" s="24" t="s">
        <v>1087</v>
      </c>
      <c r="D191" s="834" t="s">
        <v>52</v>
      </c>
      <c r="E191" s="524"/>
      <c r="F191" s="831"/>
      <c r="G191" s="828">
        <v>2</v>
      </c>
      <c r="H191" s="8">
        <f t="shared" si="30"/>
        <v>0</v>
      </c>
      <c r="I191" s="828"/>
      <c r="J191" s="8"/>
      <c r="K191" s="828"/>
      <c r="L191" s="8"/>
      <c r="M191" s="8">
        <f t="shared" si="28"/>
        <v>0</v>
      </c>
    </row>
    <row r="192" spans="1:15" s="215" customFormat="1" ht="15.75" hidden="1" x14ac:dyDescent="0.25">
      <c r="A192" s="1260"/>
      <c r="B192" s="835"/>
      <c r="C192" s="24" t="s">
        <v>1088</v>
      </c>
      <c r="D192" s="834" t="s">
        <v>52</v>
      </c>
      <c r="E192" s="524"/>
      <c r="F192" s="831"/>
      <c r="G192" s="828">
        <v>3</v>
      </c>
      <c r="H192" s="8">
        <f t="shared" si="30"/>
        <v>0</v>
      </c>
      <c r="I192" s="828"/>
      <c r="J192" s="8"/>
      <c r="K192" s="828"/>
      <c r="L192" s="8"/>
      <c r="M192" s="8">
        <f t="shared" si="28"/>
        <v>0</v>
      </c>
    </row>
    <row r="193" spans="1:13" s="215" customFormat="1" ht="15.75" hidden="1" x14ac:dyDescent="0.25">
      <c r="A193" s="1260"/>
      <c r="B193" s="835"/>
      <c r="C193" s="24" t="s">
        <v>1089</v>
      </c>
      <c r="D193" s="834" t="s">
        <v>52</v>
      </c>
      <c r="E193" s="524"/>
      <c r="F193" s="831"/>
      <c r="G193" s="828">
        <v>4</v>
      </c>
      <c r="H193" s="8">
        <f t="shared" si="30"/>
        <v>0</v>
      </c>
      <c r="I193" s="828"/>
      <c r="J193" s="8"/>
      <c r="K193" s="828"/>
      <c r="L193" s="8"/>
      <c r="M193" s="8">
        <f t="shared" si="28"/>
        <v>0</v>
      </c>
    </row>
    <row r="194" spans="1:13" s="215" customFormat="1" ht="15.75" hidden="1" x14ac:dyDescent="0.25">
      <c r="A194" s="1260"/>
      <c r="B194" s="835"/>
      <c r="C194" s="24" t="s">
        <v>1090</v>
      </c>
      <c r="D194" s="834" t="s">
        <v>52</v>
      </c>
      <c r="E194" s="524"/>
      <c r="F194" s="831"/>
      <c r="G194" s="828">
        <v>0.4</v>
      </c>
      <c r="H194" s="8">
        <f t="shared" si="30"/>
        <v>0</v>
      </c>
      <c r="I194" s="828"/>
      <c r="J194" s="8"/>
      <c r="K194" s="828"/>
      <c r="L194" s="8"/>
      <c r="M194" s="8">
        <f t="shared" si="28"/>
        <v>0</v>
      </c>
    </row>
    <row r="195" spans="1:13" s="215" customFormat="1" ht="15.75" hidden="1" x14ac:dyDescent="0.25">
      <c r="A195" s="1260"/>
      <c r="B195" s="835"/>
      <c r="C195" s="24" t="s">
        <v>1091</v>
      </c>
      <c r="D195" s="834" t="s">
        <v>52</v>
      </c>
      <c r="E195" s="524"/>
      <c r="F195" s="831"/>
      <c r="G195" s="828">
        <v>0.4</v>
      </c>
      <c r="H195" s="8">
        <f t="shared" si="30"/>
        <v>0</v>
      </c>
      <c r="I195" s="828"/>
      <c r="J195" s="8"/>
      <c r="K195" s="828"/>
      <c r="L195" s="8"/>
      <c r="M195" s="8">
        <f t="shared" si="28"/>
        <v>0</v>
      </c>
    </row>
    <row r="196" spans="1:13" s="215" customFormat="1" ht="15.75" hidden="1" x14ac:dyDescent="0.25">
      <c r="A196" s="1260"/>
      <c r="B196" s="835"/>
      <c r="C196" s="24" t="s">
        <v>1092</v>
      </c>
      <c r="D196" s="834" t="s">
        <v>52</v>
      </c>
      <c r="E196" s="524"/>
      <c r="F196" s="831"/>
      <c r="G196" s="828">
        <v>0.5</v>
      </c>
      <c r="H196" s="8">
        <f t="shared" si="30"/>
        <v>0</v>
      </c>
      <c r="I196" s="828"/>
      <c r="J196" s="8"/>
      <c r="K196" s="828"/>
      <c r="L196" s="8"/>
      <c r="M196" s="8">
        <f t="shared" si="28"/>
        <v>0</v>
      </c>
    </row>
    <row r="197" spans="1:13" s="215" customFormat="1" ht="15.75" hidden="1" x14ac:dyDescent="0.25">
      <c r="A197" s="1260"/>
      <c r="B197" s="835"/>
      <c r="C197" s="24" t="s">
        <v>1093</v>
      </c>
      <c r="D197" s="834" t="s">
        <v>52</v>
      </c>
      <c r="E197" s="524"/>
      <c r="F197" s="831"/>
      <c r="G197" s="828">
        <v>1</v>
      </c>
      <c r="H197" s="8">
        <f t="shared" si="30"/>
        <v>0</v>
      </c>
      <c r="I197" s="828"/>
      <c r="J197" s="8"/>
      <c r="K197" s="828"/>
      <c r="L197" s="8"/>
      <c r="M197" s="8">
        <f t="shared" si="28"/>
        <v>0</v>
      </c>
    </row>
    <row r="198" spans="1:13" s="215" customFormat="1" ht="15.75" hidden="1" x14ac:dyDescent="0.25">
      <c r="A198" s="1260"/>
      <c r="B198" s="835"/>
      <c r="C198" s="24" t="s">
        <v>1094</v>
      </c>
      <c r="D198" s="834" t="s">
        <v>52</v>
      </c>
      <c r="E198" s="524"/>
      <c r="F198" s="831"/>
      <c r="G198" s="828">
        <v>1.5</v>
      </c>
      <c r="H198" s="8">
        <f t="shared" si="30"/>
        <v>0</v>
      </c>
      <c r="I198" s="828"/>
      <c r="J198" s="8"/>
      <c r="K198" s="828"/>
      <c r="L198" s="8"/>
      <c r="M198" s="8">
        <f t="shared" si="28"/>
        <v>0</v>
      </c>
    </row>
    <row r="199" spans="1:13" s="215" customFormat="1" ht="15.75" hidden="1" x14ac:dyDescent="0.25">
      <c r="A199" s="1260"/>
      <c r="B199" s="835"/>
      <c r="C199" s="24" t="s">
        <v>1095</v>
      </c>
      <c r="D199" s="834" t="s">
        <v>52</v>
      </c>
      <c r="E199" s="524"/>
      <c r="F199" s="831"/>
      <c r="G199" s="828">
        <v>1.5</v>
      </c>
      <c r="H199" s="8">
        <f t="shared" si="30"/>
        <v>0</v>
      </c>
      <c r="I199" s="828"/>
      <c r="J199" s="8"/>
      <c r="K199" s="828"/>
      <c r="L199" s="8"/>
      <c r="M199" s="8">
        <f t="shared" si="28"/>
        <v>0</v>
      </c>
    </row>
    <row r="200" spans="1:13" s="215" customFormat="1" ht="15.75" hidden="1" x14ac:dyDescent="0.25">
      <c r="A200" s="1260"/>
      <c r="B200" s="835"/>
      <c r="C200" s="24" t="s">
        <v>1096</v>
      </c>
      <c r="D200" s="834" t="s">
        <v>52</v>
      </c>
      <c r="E200" s="524"/>
      <c r="F200" s="831"/>
      <c r="G200" s="828">
        <v>2</v>
      </c>
      <c r="H200" s="8">
        <f t="shared" si="30"/>
        <v>0</v>
      </c>
      <c r="I200" s="828"/>
      <c r="J200" s="8"/>
      <c r="K200" s="828"/>
      <c r="L200" s="8"/>
      <c r="M200" s="8">
        <f t="shared" si="28"/>
        <v>0</v>
      </c>
    </row>
    <row r="201" spans="1:13" s="215" customFormat="1" ht="15.75" hidden="1" x14ac:dyDescent="0.25">
      <c r="A201" s="1260"/>
      <c r="B201" s="835"/>
      <c r="C201" s="24" t="s">
        <v>1097</v>
      </c>
      <c r="D201" s="834" t="s">
        <v>52</v>
      </c>
      <c r="E201" s="524"/>
      <c r="F201" s="831"/>
      <c r="G201" s="828">
        <v>2</v>
      </c>
      <c r="H201" s="8">
        <f t="shared" si="30"/>
        <v>0</v>
      </c>
      <c r="I201" s="828"/>
      <c r="J201" s="8"/>
      <c r="K201" s="828"/>
      <c r="L201" s="8"/>
      <c r="M201" s="8">
        <f t="shared" si="28"/>
        <v>0</v>
      </c>
    </row>
    <row r="202" spans="1:13" s="215" customFormat="1" ht="15.75" hidden="1" x14ac:dyDescent="0.25">
      <c r="A202" s="1260"/>
      <c r="B202" s="835"/>
      <c r="C202" s="24" t="s">
        <v>1098</v>
      </c>
      <c r="D202" s="834" t="s">
        <v>52</v>
      </c>
      <c r="E202" s="524"/>
      <c r="F202" s="831"/>
      <c r="G202" s="828">
        <v>2</v>
      </c>
      <c r="H202" s="8">
        <f t="shared" si="30"/>
        <v>0</v>
      </c>
      <c r="I202" s="828"/>
      <c r="J202" s="8"/>
      <c r="K202" s="828"/>
      <c r="L202" s="8"/>
      <c r="M202" s="8">
        <f t="shared" si="28"/>
        <v>0</v>
      </c>
    </row>
    <row r="203" spans="1:13" s="215" customFormat="1" ht="15.75" hidden="1" x14ac:dyDescent="0.25">
      <c r="A203" s="1260"/>
      <c r="B203" s="835"/>
      <c r="C203" s="24" t="s">
        <v>1099</v>
      </c>
      <c r="D203" s="834" t="s">
        <v>52</v>
      </c>
      <c r="E203" s="524"/>
      <c r="F203" s="831"/>
      <c r="G203" s="828">
        <v>3.5</v>
      </c>
      <c r="H203" s="8">
        <f t="shared" si="30"/>
        <v>0</v>
      </c>
      <c r="I203" s="828"/>
      <c r="J203" s="8"/>
      <c r="K203" s="828"/>
      <c r="L203" s="8"/>
      <c r="M203" s="8">
        <f t="shared" si="28"/>
        <v>0</v>
      </c>
    </row>
    <row r="204" spans="1:13" s="215" customFormat="1" ht="15.75" hidden="1" x14ac:dyDescent="0.25">
      <c r="A204" s="1260"/>
      <c r="B204" s="835"/>
      <c r="C204" s="24" t="s">
        <v>1100</v>
      </c>
      <c r="D204" s="834" t="s">
        <v>52</v>
      </c>
      <c r="E204" s="524"/>
      <c r="F204" s="831"/>
      <c r="G204" s="828">
        <v>3.5</v>
      </c>
      <c r="H204" s="8">
        <f t="shared" si="30"/>
        <v>0</v>
      </c>
      <c r="I204" s="828"/>
      <c r="J204" s="8"/>
      <c r="K204" s="828"/>
      <c r="L204" s="8"/>
      <c r="M204" s="8">
        <f t="shared" si="28"/>
        <v>0</v>
      </c>
    </row>
    <row r="205" spans="1:13" s="215" customFormat="1" ht="15.75" hidden="1" x14ac:dyDescent="0.25">
      <c r="A205" s="1260"/>
      <c r="B205" s="835"/>
      <c r="C205" s="24" t="s">
        <v>1101</v>
      </c>
      <c r="D205" s="834" t="s">
        <v>52</v>
      </c>
      <c r="E205" s="524"/>
      <c r="F205" s="831"/>
      <c r="G205" s="828">
        <v>3.5</v>
      </c>
      <c r="H205" s="8">
        <f t="shared" si="30"/>
        <v>0</v>
      </c>
      <c r="I205" s="828"/>
      <c r="J205" s="8"/>
      <c r="K205" s="828"/>
      <c r="L205" s="8"/>
      <c r="M205" s="8">
        <f t="shared" si="28"/>
        <v>0</v>
      </c>
    </row>
    <row r="206" spans="1:13" s="215" customFormat="1" ht="15.75" hidden="1" x14ac:dyDescent="0.25">
      <c r="A206" s="1260"/>
      <c r="B206" s="835"/>
      <c r="C206" s="24" t="s">
        <v>1102</v>
      </c>
      <c r="D206" s="834" t="s">
        <v>52</v>
      </c>
      <c r="E206" s="524"/>
      <c r="F206" s="831"/>
      <c r="G206" s="828">
        <v>4</v>
      </c>
      <c r="H206" s="8">
        <f t="shared" si="30"/>
        <v>0</v>
      </c>
      <c r="I206" s="828"/>
      <c r="J206" s="8"/>
      <c r="K206" s="828"/>
      <c r="L206" s="8"/>
      <c r="M206" s="8">
        <f t="shared" si="28"/>
        <v>0</v>
      </c>
    </row>
    <row r="207" spans="1:13" s="215" customFormat="1" ht="15.75" hidden="1" x14ac:dyDescent="0.25">
      <c r="A207" s="1260"/>
      <c r="B207" s="835"/>
      <c r="C207" s="24" t="s">
        <v>1103</v>
      </c>
      <c r="D207" s="834" t="s">
        <v>52</v>
      </c>
      <c r="E207" s="524"/>
      <c r="F207" s="831"/>
      <c r="G207" s="828">
        <v>4.5</v>
      </c>
      <c r="H207" s="8">
        <f t="shared" si="30"/>
        <v>0</v>
      </c>
      <c r="I207" s="828"/>
      <c r="J207" s="8"/>
      <c r="K207" s="828"/>
      <c r="L207" s="8"/>
      <c r="M207" s="8">
        <f t="shared" si="28"/>
        <v>0</v>
      </c>
    </row>
    <row r="208" spans="1:13" s="215" customFormat="1" ht="15.75" hidden="1" x14ac:dyDescent="0.25">
      <c r="A208" s="1260"/>
      <c r="B208" s="835"/>
      <c r="C208" s="24" t="s">
        <v>1104</v>
      </c>
      <c r="D208" s="834" t="s">
        <v>52</v>
      </c>
      <c r="E208" s="524"/>
      <c r="F208" s="831"/>
      <c r="G208" s="828">
        <v>5</v>
      </c>
      <c r="H208" s="8">
        <f t="shared" si="30"/>
        <v>0</v>
      </c>
      <c r="I208" s="828"/>
      <c r="J208" s="8"/>
      <c r="K208" s="828"/>
      <c r="L208" s="8"/>
      <c r="M208" s="8">
        <f t="shared" si="28"/>
        <v>0</v>
      </c>
    </row>
    <row r="209" spans="1:13" s="215" customFormat="1" ht="15.75" hidden="1" x14ac:dyDescent="0.25">
      <c r="A209" s="1260"/>
      <c r="B209" s="835"/>
      <c r="C209" s="24" t="s">
        <v>1105</v>
      </c>
      <c r="D209" s="834" t="s">
        <v>52</v>
      </c>
      <c r="E209" s="524"/>
      <c r="F209" s="831"/>
      <c r="G209" s="828">
        <v>6</v>
      </c>
      <c r="H209" s="8">
        <f t="shared" si="30"/>
        <v>0</v>
      </c>
      <c r="I209" s="828"/>
      <c r="J209" s="8"/>
      <c r="K209" s="828"/>
      <c r="L209" s="8"/>
      <c r="M209" s="8">
        <f t="shared" si="28"/>
        <v>0</v>
      </c>
    </row>
    <row r="210" spans="1:13" s="215" customFormat="1" ht="15.75" hidden="1" x14ac:dyDescent="0.25">
      <c r="A210" s="1260"/>
      <c r="B210" s="835"/>
      <c r="C210" s="24" t="s">
        <v>1106</v>
      </c>
      <c r="D210" s="834" t="s">
        <v>52</v>
      </c>
      <c r="E210" s="524"/>
      <c r="F210" s="831"/>
      <c r="G210" s="828">
        <v>6</v>
      </c>
      <c r="H210" s="8">
        <f t="shared" si="30"/>
        <v>0</v>
      </c>
      <c r="I210" s="828"/>
      <c r="J210" s="8"/>
      <c r="K210" s="828"/>
      <c r="L210" s="8"/>
      <c r="M210" s="8">
        <f t="shared" si="28"/>
        <v>0</v>
      </c>
    </row>
    <row r="211" spans="1:13" s="215" customFormat="1" ht="15.75" hidden="1" x14ac:dyDescent="0.25">
      <c r="A211" s="1260"/>
      <c r="B211" s="835"/>
      <c r="C211" s="24" t="s">
        <v>1107</v>
      </c>
      <c r="D211" s="834" t="s">
        <v>52</v>
      </c>
      <c r="E211" s="524"/>
      <c r="F211" s="831"/>
      <c r="G211" s="828">
        <v>6.5</v>
      </c>
      <c r="H211" s="8">
        <f t="shared" si="30"/>
        <v>0</v>
      </c>
      <c r="I211" s="828"/>
      <c r="J211" s="8"/>
      <c r="K211" s="828"/>
      <c r="L211" s="8"/>
      <c r="M211" s="8">
        <f t="shared" si="28"/>
        <v>0</v>
      </c>
    </row>
    <row r="212" spans="1:13" s="215" customFormat="1" ht="15.75" hidden="1" x14ac:dyDescent="0.25">
      <c r="A212" s="1260"/>
      <c r="B212" s="835"/>
      <c r="C212" s="24" t="s">
        <v>1108</v>
      </c>
      <c r="D212" s="834" t="s">
        <v>52</v>
      </c>
      <c r="E212" s="524"/>
      <c r="F212" s="831"/>
      <c r="G212" s="828">
        <v>6.5</v>
      </c>
      <c r="H212" s="8">
        <f t="shared" si="30"/>
        <v>0</v>
      </c>
      <c r="I212" s="828"/>
      <c r="J212" s="8"/>
      <c r="K212" s="828"/>
      <c r="L212" s="8"/>
      <c r="M212" s="8">
        <f t="shared" si="28"/>
        <v>0</v>
      </c>
    </row>
    <row r="213" spans="1:13" s="215" customFormat="1" ht="15.75" hidden="1" x14ac:dyDescent="0.25">
      <c r="A213" s="1260"/>
      <c r="B213" s="835"/>
      <c r="C213" s="24" t="s">
        <v>1109</v>
      </c>
      <c r="D213" s="834" t="s">
        <v>52</v>
      </c>
      <c r="E213" s="524"/>
      <c r="F213" s="831"/>
      <c r="G213" s="828">
        <v>6.5</v>
      </c>
      <c r="H213" s="8">
        <f t="shared" si="30"/>
        <v>0</v>
      </c>
      <c r="I213" s="828"/>
      <c r="J213" s="8"/>
      <c r="K213" s="828"/>
      <c r="L213" s="8"/>
      <c r="M213" s="8">
        <f t="shared" si="28"/>
        <v>0</v>
      </c>
    </row>
    <row r="214" spans="1:13" s="215" customFormat="1" ht="15.75" hidden="1" x14ac:dyDescent="0.25">
      <c r="A214" s="1260"/>
      <c r="B214" s="835"/>
      <c r="C214" s="24" t="s">
        <v>1110</v>
      </c>
      <c r="D214" s="834" t="s">
        <v>52</v>
      </c>
      <c r="E214" s="524"/>
      <c r="F214" s="831"/>
      <c r="G214" s="828">
        <v>7.5</v>
      </c>
      <c r="H214" s="8">
        <f t="shared" si="30"/>
        <v>0</v>
      </c>
      <c r="I214" s="828"/>
      <c r="J214" s="8"/>
      <c r="K214" s="828"/>
      <c r="L214" s="8"/>
      <c r="M214" s="8">
        <f t="shared" si="28"/>
        <v>0</v>
      </c>
    </row>
    <row r="215" spans="1:13" s="215" customFormat="1" ht="15.75" hidden="1" x14ac:dyDescent="0.25">
      <c r="A215" s="1260"/>
      <c r="B215" s="835"/>
      <c r="C215" s="24" t="s">
        <v>1111</v>
      </c>
      <c r="D215" s="834" t="s">
        <v>52</v>
      </c>
      <c r="E215" s="524"/>
      <c r="F215" s="831"/>
      <c r="G215" s="828">
        <v>0.3</v>
      </c>
      <c r="H215" s="8">
        <f t="shared" si="30"/>
        <v>0</v>
      </c>
      <c r="I215" s="828"/>
      <c r="J215" s="8"/>
      <c r="K215" s="828"/>
      <c r="L215" s="8"/>
      <c r="M215" s="8">
        <f t="shared" si="28"/>
        <v>0</v>
      </c>
    </row>
    <row r="216" spans="1:13" s="215" customFormat="1" ht="15.75" hidden="1" x14ac:dyDescent="0.25">
      <c r="A216" s="1260"/>
      <c r="B216" s="835"/>
      <c r="C216" s="24" t="s">
        <v>1112</v>
      </c>
      <c r="D216" s="834" t="s">
        <v>52</v>
      </c>
      <c r="E216" s="524"/>
      <c r="F216" s="831"/>
      <c r="G216" s="828">
        <v>0.5</v>
      </c>
      <c r="H216" s="8">
        <f t="shared" si="30"/>
        <v>0</v>
      </c>
      <c r="I216" s="828"/>
      <c r="J216" s="8"/>
      <c r="K216" s="828"/>
      <c r="L216" s="8"/>
      <c r="M216" s="8">
        <f t="shared" si="28"/>
        <v>0</v>
      </c>
    </row>
    <row r="217" spans="1:13" s="215" customFormat="1" ht="15.75" hidden="1" x14ac:dyDescent="0.25">
      <c r="A217" s="1260"/>
      <c r="B217" s="835"/>
      <c r="C217" s="24" t="s">
        <v>1113</v>
      </c>
      <c r="D217" s="834" t="s">
        <v>52</v>
      </c>
      <c r="E217" s="524"/>
      <c r="F217" s="831"/>
      <c r="G217" s="828">
        <v>0.5</v>
      </c>
      <c r="H217" s="8">
        <f t="shared" si="30"/>
        <v>0</v>
      </c>
      <c r="I217" s="828"/>
      <c r="J217" s="8"/>
      <c r="K217" s="828"/>
      <c r="L217" s="8"/>
      <c r="M217" s="8">
        <f t="shared" si="28"/>
        <v>0</v>
      </c>
    </row>
    <row r="218" spans="1:13" s="215" customFormat="1" ht="15.75" hidden="1" x14ac:dyDescent="0.25">
      <c r="A218" s="1260"/>
      <c r="B218" s="835"/>
      <c r="C218" s="24" t="s">
        <v>1114</v>
      </c>
      <c r="D218" s="834" t="s">
        <v>52</v>
      </c>
      <c r="E218" s="524"/>
      <c r="F218" s="831"/>
      <c r="G218" s="828">
        <v>1</v>
      </c>
      <c r="H218" s="8">
        <f t="shared" si="30"/>
        <v>0</v>
      </c>
      <c r="I218" s="828"/>
      <c r="J218" s="8"/>
      <c r="K218" s="828"/>
      <c r="L218" s="8"/>
      <c r="M218" s="8">
        <f t="shared" si="28"/>
        <v>0</v>
      </c>
    </row>
    <row r="219" spans="1:13" s="215" customFormat="1" ht="15.75" hidden="1" x14ac:dyDescent="0.25">
      <c r="A219" s="1260"/>
      <c r="B219" s="835"/>
      <c r="C219" s="24" t="s">
        <v>1115</v>
      </c>
      <c r="D219" s="834" t="s">
        <v>52</v>
      </c>
      <c r="E219" s="524"/>
      <c r="F219" s="831"/>
      <c r="G219" s="828">
        <v>1.5</v>
      </c>
      <c r="H219" s="8">
        <f t="shared" si="30"/>
        <v>0</v>
      </c>
      <c r="I219" s="828"/>
      <c r="J219" s="8"/>
      <c r="K219" s="828"/>
      <c r="L219" s="8"/>
      <c r="M219" s="8">
        <f t="shared" si="28"/>
        <v>0</v>
      </c>
    </row>
    <row r="220" spans="1:13" s="215" customFormat="1" ht="15.75" hidden="1" x14ac:dyDescent="0.25">
      <c r="A220" s="1260"/>
      <c r="B220" s="835"/>
      <c r="C220" s="24" t="s">
        <v>1116</v>
      </c>
      <c r="D220" s="834" t="s">
        <v>52</v>
      </c>
      <c r="E220" s="524"/>
      <c r="F220" s="831"/>
      <c r="G220" s="828">
        <v>1.5</v>
      </c>
      <c r="H220" s="8">
        <f t="shared" si="30"/>
        <v>0</v>
      </c>
      <c r="I220" s="828"/>
      <c r="J220" s="8"/>
      <c r="K220" s="828"/>
      <c r="L220" s="8"/>
      <c r="M220" s="8">
        <f t="shared" si="28"/>
        <v>0</v>
      </c>
    </row>
    <row r="221" spans="1:13" s="215" customFormat="1" ht="15.75" hidden="1" x14ac:dyDescent="0.25">
      <c r="A221" s="1260"/>
      <c r="B221" s="835"/>
      <c r="C221" s="24" t="s">
        <v>1117</v>
      </c>
      <c r="D221" s="834" t="s">
        <v>52</v>
      </c>
      <c r="E221" s="524"/>
      <c r="F221" s="831"/>
      <c r="G221" s="828">
        <v>2</v>
      </c>
      <c r="H221" s="8">
        <f t="shared" si="30"/>
        <v>0</v>
      </c>
      <c r="I221" s="828"/>
      <c r="J221" s="8"/>
      <c r="K221" s="828"/>
      <c r="L221" s="8"/>
      <c r="M221" s="8">
        <f t="shared" si="28"/>
        <v>0</v>
      </c>
    </row>
    <row r="222" spans="1:13" s="215" customFormat="1" ht="15.75" hidden="1" x14ac:dyDescent="0.25">
      <c r="A222" s="1260"/>
      <c r="B222" s="835"/>
      <c r="C222" s="24" t="s">
        <v>1118</v>
      </c>
      <c r="D222" s="834" t="s">
        <v>52</v>
      </c>
      <c r="E222" s="524"/>
      <c r="F222" s="831"/>
      <c r="G222" s="828">
        <v>2</v>
      </c>
      <c r="H222" s="8">
        <f t="shared" si="30"/>
        <v>0</v>
      </c>
      <c r="I222" s="828"/>
      <c r="J222" s="8"/>
      <c r="K222" s="828"/>
      <c r="L222" s="8"/>
      <c r="M222" s="8">
        <f t="shared" si="28"/>
        <v>0</v>
      </c>
    </row>
    <row r="223" spans="1:13" s="215" customFormat="1" ht="15.75" hidden="1" x14ac:dyDescent="0.25">
      <c r="A223" s="1260"/>
      <c r="B223" s="835"/>
      <c r="C223" s="24" t="s">
        <v>1119</v>
      </c>
      <c r="D223" s="834" t="s">
        <v>52</v>
      </c>
      <c r="E223" s="524"/>
      <c r="F223" s="831"/>
      <c r="G223" s="828">
        <v>3</v>
      </c>
      <c r="H223" s="8">
        <f t="shared" si="30"/>
        <v>0</v>
      </c>
      <c r="I223" s="828"/>
      <c r="J223" s="8"/>
      <c r="K223" s="828"/>
      <c r="L223" s="8"/>
      <c r="M223" s="8">
        <f t="shared" si="28"/>
        <v>0</v>
      </c>
    </row>
    <row r="224" spans="1:13" s="215" customFormat="1" ht="15.75" hidden="1" x14ac:dyDescent="0.25">
      <c r="A224" s="1260"/>
      <c r="B224" s="835"/>
      <c r="C224" s="24" t="s">
        <v>1120</v>
      </c>
      <c r="D224" s="834" t="s">
        <v>52</v>
      </c>
      <c r="E224" s="524"/>
      <c r="F224" s="831"/>
      <c r="G224" s="828">
        <v>3.5</v>
      </c>
      <c r="H224" s="8">
        <f t="shared" si="30"/>
        <v>0</v>
      </c>
      <c r="I224" s="828"/>
      <c r="J224" s="8"/>
      <c r="K224" s="828"/>
      <c r="L224" s="8"/>
      <c r="M224" s="8">
        <f t="shared" si="28"/>
        <v>0</v>
      </c>
    </row>
    <row r="225" spans="1:13" s="215" customFormat="1" ht="15.75" hidden="1" x14ac:dyDescent="0.25">
      <c r="A225" s="1260"/>
      <c r="B225" s="835"/>
      <c r="C225" s="24" t="s">
        <v>1121</v>
      </c>
      <c r="D225" s="834" t="s">
        <v>52</v>
      </c>
      <c r="E225" s="524"/>
      <c r="F225" s="831"/>
      <c r="G225" s="828">
        <v>4</v>
      </c>
      <c r="H225" s="8">
        <f t="shared" si="30"/>
        <v>0</v>
      </c>
      <c r="I225" s="828"/>
      <c r="J225" s="8"/>
      <c r="K225" s="828"/>
      <c r="L225" s="8"/>
      <c r="M225" s="8">
        <f t="shared" si="28"/>
        <v>0</v>
      </c>
    </row>
    <row r="226" spans="1:13" s="215" customFormat="1" ht="15.75" hidden="1" x14ac:dyDescent="0.25">
      <c r="A226" s="1260"/>
      <c r="B226" s="835"/>
      <c r="C226" s="24" t="s">
        <v>1122</v>
      </c>
      <c r="D226" s="834" t="s">
        <v>52</v>
      </c>
      <c r="E226" s="524"/>
      <c r="F226" s="831"/>
      <c r="G226" s="828">
        <v>4</v>
      </c>
      <c r="H226" s="8">
        <f t="shared" si="30"/>
        <v>0</v>
      </c>
      <c r="I226" s="828"/>
      <c r="J226" s="8"/>
      <c r="K226" s="828"/>
      <c r="L226" s="8"/>
      <c r="M226" s="8">
        <f t="shared" si="28"/>
        <v>0</v>
      </c>
    </row>
    <row r="227" spans="1:13" s="215" customFormat="1" ht="15.75" hidden="1" x14ac:dyDescent="0.25">
      <c r="A227" s="1260"/>
      <c r="B227" s="835"/>
      <c r="C227" s="24" t="s">
        <v>1123</v>
      </c>
      <c r="D227" s="834" t="s">
        <v>52</v>
      </c>
      <c r="E227" s="524"/>
      <c r="F227" s="831"/>
      <c r="G227" s="828">
        <v>4.5</v>
      </c>
      <c r="H227" s="8">
        <f t="shared" si="30"/>
        <v>0</v>
      </c>
      <c r="I227" s="828"/>
      <c r="J227" s="8"/>
      <c r="K227" s="828"/>
      <c r="L227" s="8"/>
      <c r="M227" s="8">
        <f t="shared" si="28"/>
        <v>0</v>
      </c>
    </row>
    <row r="228" spans="1:13" s="215" customFormat="1" ht="15.75" hidden="1" x14ac:dyDescent="0.25">
      <c r="A228" s="1260"/>
      <c r="B228" s="835"/>
      <c r="C228" s="24" t="s">
        <v>1124</v>
      </c>
      <c r="D228" s="834" t="s">
        <v>52</v>
      </c>
      <c r="E228" s="524"/>
      <c r="F228" s="831"/>
      <c r="G228" s="828">
        <v>5</v>
      </c>
      <c r="H228" s="8">
        <f t="shared" si="30"/>
        <v>0</v>
      </c>
      <c r="I228" s="828"/>
      <c r="J228" s="8"/>
      <c r="K228" s="828"/>
      <c r="L228" s="8"/>
      <c r="M228" s="8">
        <f t="shared" si="28"/>
        <v>0</v>
      </c>
    </row>
    <row r="229" spans="1:13" s="215" customFormat="1" ht="15.75" hidden="1" x14ac:dyDescent="0.25">
      <c r="A229" s="1260"/>
      <c r="B229" s="835"/>
      <c r="C229" s="24" t="s">
        <v>1125</v>
      </c>
      <c r="D229" s="834" t="s">
        <v>52</v>
      </c>
      <c r="E229" s="524"/>
      <c r="F229" s="831"/>
      <c r="G229" s="828">
        <v>5.5</v>
      </c>
      <c r="H229" s="8">
        <f t="shared" si="30"/>
        <v>0</v>
      </c>
      <c r="I229" s="828"/>
      <c r="J229" s="8"/>
      <c r="K229" s="828"/>
      <c r="L229" s="8"/>
      <c r="M229" s="8">
        <f t="shared" si="28"/>
        <v>0</v>
      </c>
    </row>
    <row r="230" spans="1:13" s="215" customFormat="1" ht="15.75" hidden="1" x14ac:dyDescent="0.25">
      <c r="A230" s="1260"/>
      <c r="B230" s="835"/>
      <c r="C230" s="24" t="s">
        <v>1126</v>
      </c>
      <c r="D230" s="834" t="s">
        <v>52</v>
      </c>
      <c r="E230" s="524"/>
      <c r="F230" s="831"/>
      <c r="G230" s="828">
        <v>5.5</v>
      </c>
      <c r="H230" s="8">
        <f t="shared" si="30"/>
        <v>0</v>
      </c>
      <c r="I230" s="828"/>
      <c r="J230" s="8"/>
      <c r="K230" s="828"/>
      <c r="L230" s="8"/>
      <c r="M230" s="8">
        <f t="shared" si="28"/>
        <v>0</v>
      </c>
    </row>
    <row r="231" spans="1:13" s="215" customFormat="1" ht="15.75" hidden="1" x14ac:dyDescent="0.25">
      <c r="A231" s="1260"/>
      <c r="B231" s="835"/>
      <c r="C231" s="24" t="s">
        <v>1127</v>
      </c>
      <c r="D231" s="834" t="s">
        <v>52</v>
      </c>
      <c r="E231" s="524"/>
      <c r="F231" s="831"/>
      <c r="G231" s="828">
        <v>5.5</v>
      </c>
      <c r="H231" s="8">
        <f t="shared" si="30"/>
        <v>0</v>
      </c>
      <c r="I231" s="828"/>
      <c r="J231" s="8"/>
      <c r="K231" s="828"/>
      <c r="L231" s="8"/>
      <c r="M231" s="8">
        <f t="shared" si="28"/>
        <v>0</v>
      </c>
    </row>
    <row r="232" spans="1:13" s="215" customFormat="1" ht="15.75" hidden="1" x14ac:dyDescent="0.25">
      <c r="A232" s="1260"/>
      <c r="B232" s="835"/>
      <c r="C232" s="24" t="s">
        <v>1128</v>
      </c>
      <c r="D232" s="834" t="s">
        <v>52</v>
      </c>
      <c r="E232" s="524"/>
      <c r="F232" s="831"/>
      <c r="G232" s="828">
        <v>6</v>
      </c>
      <c r="H232" s="8">
        <f t="shared" si="30"/>
        <v>0</v>
      </c>
      <c r="I232" s="828"/>
      <c r="J232" s="8"/>
      <c r="K232" s="828"/>
      <c r="L232" s="8"/>
      <c r="M232" s="8">
        <f t="shared" si="28"/>
        <v>0</v>
      </c>
    </row>
    <row r="233" spans="1:13" s="215" customFormat="1" ht="15.75" hidden="1" x14ac:dyDescent="0.25">
      <c r="A233" s="1260"/>
      <c r="B233" s="835"/>
      <c r="C233" s="24" t="s">
        <v>1129</v>
      </c>
      <c r="D233" s="834" t="s">
        <v>52</v>
      </c>
      <c r="E233" s="524"/>
      <c r="F233" s="831"/>
      <c r="G233" s="828">
        <v>6</v>
      </c>
      <c r="H233" s="8">
        <f t="shared" si="30"/>
        <v>0</v>
      </c>
      <c r="I233" s="828"/>
      <c r="J233" s="8"/>
      <c r="K233" s="828"/>
      <c r="L233" s="8"/>
      <c r="M233" s="8">
        <f t="shared" si="28"/>
        <v>0</v>
      </c>
    </row>
    <row r="234" spans="1:13" s="215" customFormat="1" ht="15.75" hidden="1" x14ac:dyDescent="0.25">
      <c r="A234" s="1260"/>
      <c r="B234" s="835"/>
      <c r="C234" s="24" t="s">
        <v>1130</v>
      </c>
      <c r="D234" s="834" t="s">
        <v>52</v>
      </c>
      <c r="E234" s="524"/>
      <c r="F234" s="831"/>
      <c r="G234" s="828">
        <v>6</v>
      </c>
      <c r="H234" s="8">
        <f t="shared" si="30"/>
        <v>0</v>
      </c>
      <c r="I234" s="828"/>
      <c r="J234" s="8"/>
      <c r="K234" s="828"/>
      <c r="L234" s="8"/>
      <c r="M234" s="8">
        <f t="shared" si="28"/>
        <v>0</v>
      </c>
    </row>
    <row r="235" spans="1:13" s="215" customFormat="1" ht="15.75" hidden="1" x14ac:dyDescent="0.25">
      <c r="A235" s="1260"/>
      <c r="B235" s="835"/>
      <c r="C235" s="24" t="s">
        <v>1131</v>
      </c>
      <c r="D235" s="834" t="s">
        <v>52</v>
      </c>
      <c r="E235" s="524"/>
      <c r="F235" s="831"/>
      <c r="G235" s="828">
        <v>6.5</v>
      </c>
      <c r="H235" s="8">
        <f t="shared" si="30"/>
        <v>0</v>
      </c>
      <c r="I235" s="828"/>
      <c r="J235" s="8"/>
      <c r="K235" s="828"/>
      <c r="L235" s="8"/>
      <c r="M235" s="8">
        <f t="shared" si="28"/>
        <v>0</v>
      </c>
    </row>
    <row r="236" spans="1:13" s="215" customFormat="1" ht="31.5" hidden="1" x14ac:dyDescent="0.25">
      <c r="A236" s="1260"/>
      <c r="B236" s="835"/>
      <c r="C236" s="24" t="s">
        <v>1132</v>
      </c>
      <c r="D236" s="834" t="s">
        <v>52</v>
      </c>
      <c r="E236" s="997"/>
      <c r="F236" s="998"/>
      <c r="G236" s="828">
        <v>3.8</v>
      </c>
      <c r="H236" s="8">
        <f t="shared" si="30"/>
        <v>0</v>
      </c>
      <c r="I236" s="828"/>
      <c r="J236" s="8"/>
      <c r="K236" s="828"/>
      <c r="L236" s="8"/>
      <c r="M236" s="8">
        <f t="shared" si="28"/>
        <v>0</v>
      </c>
    </row>
    <row r="237" spans="1:13" s="215" customFormat="1" ht="31.5" hidden="1" x14ac:dyDescent="0.25">
      <c r="A237" s="1260"/>
      <c r="B237" s="835"/>
      <c r="C237" s="24" t="s">
        <v>1133</v>
      </c>
      <c r="D237" s="834" t="s">
        <v>52</v>
      </c>
      <c r="E237" s="524"/>
      <c r="F237" s="831"/>
      <c r="G237" s="828">
        <v>4.88</v>
      </c>
      <c r="H237" s="8">
        <f t="shared" si="30"/>
        <v>0</v>
      </c>
      <c r="I237" s="828"/>
      <c r="J237" s="8"/>
      <c r="K237" s="828"/>
      <c r="L237" s="8"/>
      <c r="M237" s="8">
        <f t="shared" si="28"/>
        <v>0</v>
      </c>
    </row>
    <row r="238" spans="1:13" s="215" customFormat="1" ht="31.5" hidden="1" x14ac:dyDescent="0.25">
      <c r="A238" s="1260"/>
      <c r="B238" s="835"/>
      <c r="C238" s="24" t="s">
        <v>1134</v>
      </c>
      <c r="D238" s="834" t="s">
        <v>52</v>
      </c>
      <c r="E238" s="524"/>
      <c r="F238" s="831"/>
      <c r="G238" s="828">
        <v>6.3</v>
      </c>
      <c r="H238" s="8">
        <f t="shared" si="30"/>
        <v>0</v>
      </c>
      <c r="I238" s="828"/>
      <c r="J238" s="8"/>
      <c r="K238" s="828"/>
      <c r="L238" s="8"/>
      <c r="M238" s="8">
        <f t="shared" si="28"/>
        <v>0</v>
      </c>
    </row>
    <row r="239" spans="1:13" s="215" customFormat="1" ht="31.5" hidden="1" x14ac:dyDescent="0.25">
      <c r="A239" s="1260"/>
      <c r="B239" s="835"/>
      <c r="C239" s="24" t="s">
        <v>1135</v>
      </c>
      <c r="D239" s="834" t="s">
        <v>52</v>
      </c>
      <c r="E239" s="524"/>
      <c r="F239" s="831"/>
      <c r="G239" s="828">
        <v>30</v>
      </c>
      <c r="H239" s="8">
        <f t="shared" si="30"/>
        <v>0</v>
      </c>
      <c r="I239" s="828"/>
      <c r="J239" s="8"/>
      <c r="K239" s="828"/>
      <c r="L239" s="8"/>
      <c r="M239" s="8">
        <f t="shared" si="28"/>
        <v>0</v>
      </c>
    </row>
    <row r="240" spans="1:13" s="215" customFormat="1" ht="47.25" hidden="1" x14ac:dyDescent="0.25">
      <c r="A240" s="1260"/>
      <c r="B240" s="835"/>
      <c r="C240" s="24" t="s">
        <v>1136</v>
      </c>
      <c r="D240" s="834" t="s">
        <v>52</v>
      </c>
      <c r="E240" s="524"/>
      <c r="F240" s="831"/>
      <c r="G240" s="828">
        <v>10</v>
      </c>
      <c r="H240" s="8">
        <f t="shared" si="30"/>
        <v>0</v>
      </c>
      <c r="I240" s="828"/>
      <c r="J240" s="8"/>
      <c r="K240" s="828"/>
      <c r="L240" s="8"/>
      <c r="M240" s="8">
        <f t="shared" si="28"/>
        <v>0</v>
      </c>
    </row>
    <row r="241" spans="1:13" s="215" customFormat="1" ht="15.75" hidden="1" x14ac:dyDescent="0.25">
      <c r="A241" s="1260"/>
      <c r="B241" s="835"/>
      <c r="C241" s="24" t="s">
        <v>1137</v>
      </c>
      <c r="D241" s="834" t="s">
        <v>52</v>
      </c>
      <c r="E241" s="524"/>
      <c r="F241" s="831"/>
      <c r="G241" s="828">
        <v>0.3</v>
      </c>
      <c r="H241" s="8">
        <f t="shared" si="30"/>
        <v>0</v>
      </c>
      <c r="I241" s="828"/>
      <c r="J241" s="8"/>
      <c r="K241" s="828"/>
      <c r="L241" s="8"/>
      <c r="M241" s="8">
        <f t="shared" si="28"/>
        <v>0</v>
      </c>
    </row>
    <row r="242" spans="1:13" s="215" customFormat="1" ht="15.75" hidden="1" x14ac:dyDescent="0.25">
      <c r="A242" s="1260"/>
      <c r="B242" s="835"/>
      <c r="C242" s="24" t="s">
        <v>1138</v>
      </c>
      <c r="D242" s="834" t="s">
        <v>52</v>
      </c>
      <c r="E242" s="524"/>
      <c r="F242" s="831"/>
      <c r="G242" s="828">
        <v>0.5</v>
      </c>
      <c r="H242" s="8">
        <f t="shared" si="30"/>
        <v>0</v>
      </c>
      <c r="I242" s="828"/>
      <c r="J242" s="8"/>
      <c r="K242" s="828"/>
      <c r="L242" s="8"/>
      <c r="M242" s="8">
        <f t="shared" si="28"/>
        <v>0</v>
      </c>
    </row>
    <row r="243" spans="1:13" s="215" customFormat="1" ht="15.75" hidden="1" x14ac:dyDescent="0.25">
      <c r="A243" s="1260"/>
      <c r="B243" s="835"/>
      <c r="C243" s="24" t="s">
        <v>1139</v>
      </c>
      <c r="D243" s="834" t="s">
        <v>52</v>
      </c>
      <c r="E243" s="524"/>
      <c r="F243" s="831"/>
      <c r="G243" s="828">
        <v>1</v>
      </c>
      <c r="H243" s="8">
        <f t="shared" si="30"/>
        <v>0</v>
      </c>
      <c r="I243" s="828"/>
      <c r="J243" s="8"/>
      <c r="K243" s="828"/>
      <c r="L243" s="8"/>
      <c r="M243" s="8">
        <f t="shared" si="28"/>
        <v>0</v>
      </c>
    </row>
    <row r="244" spans="1:13" s="215" customFormat="1" ht="15.75" hidden="1" x14ac:dyDescent="0.25">
      <c r="A244" s="1260"/>
      <c r="B244" s="835"/>
      <c r="C244" s="24" t="s">
        <v>1140</v>
      </c>
      <c r="D244" s="834" t="s">
        <v>52</v>
      </c>
      <c r="E244" s="524"/>
      <c r="F244" s="831"/>
      <c r="G244" s="828">
        <v>2</v>
      </c>
      <c r="H244" s="8">
        <f t="shared" si="30"/>
        <v>0</v>
      </c>
      <c r="I244" s="828"/>
      <c r="J244" s="8"/>
      <c r="K244" s="828"/>
      <c r="L244" s="8"/>
      <c r="M244" s="8">
        <f t="shared" si="28"/>
        <v>0</v>
      </c>
    </row>
    <row r="245" spans="1:13" s="215" customFormat="1" ht="15.75" hidden="1" x14ac:dyDescent="0.25">
      <c r="A245" s="1260"/>
      <c r="B245" s="835"/>
      <c r="C245" s="24" t="s">
        <v>1141</v>
      </c>
      <c r="D245" s="834" t="s">
        <v>52</v>
      </c>
      <c r="E245" s="524"/>
      <c r="F245" s="831"/>
      <c r="G245" s="828">
        <v>3</v>
      </c>
      <c r="H245" s="8">
        <f t="shared" si="30"/>
        <v>0</v>
      </c>
      <c r="I245" s="828"/>
      <c r="J245" s="8"/>
      <c r="K245" s="828"/>
      <c r="L245" s="8"/>
      <c r="M245" s="8">
        <f t="shared" si="28"/>
        <v>0</v>
      </c>
    </row>
    <row r="246" spans="1:13" s="215" customFormat="1" ht="15.75" hidden="1" x14ac:dyDescent="0.25">
      <c r="A246" s="1260"/>
      <c r="B246" s="835"/>
      <c r="C246" s="24" t="s">
        <v>1142</v>
      </c>
      <c r="D246" s="834" t="s">
        <v>52</v>
      </c>
      <c r="E246" s="524"/>
      <c r="F246" s="831"/>
      <c r="G246" s="828">
        <v>4</v>
      </c>
      <c r="H246" s="8">
        <f t="shared" si="30"/>
        <v>0</v>
      </c>
      <c r="I246" s="828"/>
      <c r="J246" s="8"/>
      <c r="K246" s="828"/>
      <c r="L246" s="8"/>
      <c r="M246" s="8">
        <f t="shared" si="28"/>
        <v>0</v>
      </c>
    </row>
    <row r="247" spans="1:13" s="215" customFormat="1" ht="15.75" hidden="1" x14ac:dyDescent="0.25">
      <c r="A247" s="1260"/>
      <c r="B247" s="835"/>
      <c r="C247" s="24" t="s">
        <v>1143</v>
      </c>
      <c r="D247" s="834" t="s">
        <v>52</v>
      </c>
      <c r="E247" s="524"/>
      <c r="F247" s="831"/>
      <c r="G247" s="828">
        <v>20</v>
      </c>
      <c r="H247" s="8">
        <f t="shared" si="30"/>
        <v>0</v>
      </c>
      <c r="I247" s="828"/>
      <c r="J247" s="8"/>
      <c r="K247" s="828"/>
      <c r="L247" s="8"/>
      <c r="M247" s="8">
        <f t="shared" si="28"/>
        <v>0</v>
      </c>
    </row>
    <row r="248" spans="1:13" s="215" customFormat="1" ht="15.75" hidden="1" x14ac:dyDescent="0.25">
      <c r="A248" s="1260"/>
      <c r="B248" s="835"/>
      <c r="C248" s="24" t="s">
        <v>1144</v>
      </c>
      <c r="D248" s="834" t="s">
        <v>52</v>
      </c>
      <c r="E248" s="524"/>
      <c r="F248" s="831"/>
      <c r="G248" s="828">
        <v>27.5</v>
      </c>
      <c r="H248" s="8">
        <f t="shared" si="30"/>
        <v>0</v>
      </c>
      <c r="I248" s="828"/>
      <c r="J248" s="8"/>
      <c r="K248" s="828"/>
      <c r="L248" s="8"/>
      <c r="M248" s="8">
        <f t="shared" si="28"/>
        <v>0</v>
      </c>
    </row>
    <row r="249" spans="1:13" s="215" customFormat="1" ht="15.75" hidden="1" x14ac:dyDescent="0.25">
      <c r="A249" s="1260"/>
      <c r="B249" s="835"/>
      <c r="C249" s="24" t="s">
        <v>1145</v>
      </c>
      <c r="D249" s="834" t="s">
        <v>52</v>
      </c>
      <c r="E249" s="524"/>
      <c r="F249" s="831"/>
      <c r="G249" s="828">
        <v>0.2</v>
      </c>
      <c r="H249" s="8">
        <f t="shared" si="30"/>
        <v>0</v>
      </c>
      <c r="I249" s="828"/>
      <c r="J249" s="8"/>
      <c r="K249" s="828"/>
      <c r="L249" s="8"/>
      <c r="M249" s="8">
        <f t="shared" ref="M249:M270" si="31">H249+J249+L249</f>
        <v>0</v>
      </c>
    </row>
    <row r="250" spans="1:13" s="215" customFormat="1" ht="15.75" hidden="1" x14ac:dyDescent="0.25">
      <c r="A250" s="1260"/>
      <c r="B250" s="835"/>
      <c r="C250" s="24" t="s">
        <v>1146</v>
      </c>
      <c r="D250" s="834" t="s">
        <v>52</v>
      </c>
      <c r="E250" s="524"/>
      <c r="F250" s="831"/>
      <c r="G250" s="828">
        <v>0.25</v>
      </c>
      <c r="H250" s="8">
        <f t="shared" si="30"/>
        <v>0</v>
      </c>
      <c r="I250" s="828"/>
      <c r="J250" s="8"/>
      <c r="K250" s="828"/>
      <c r="L250" s="8"/>
      <c r="M250" s="8">
        <f t="shared" si="31"/>
        <v>0</v>
      </c>
    </row>
    <row r="251" spans="1:13" s="215" customFormat="1" ht="15.75" hidden="1" x14ac:dyDescent="0.25">
      <c r="A251" s="1260"/>
      <c r="B251" s="835"/>
      <c r="C251" s="24" t="s">
        <v>1147</v>
      </c>
      <c r="D251" s="834" t="s">
        <v>52</v>
      </c>
      <c r="E251" s="524"/>
      <c r="F251" s="831"/>
      <c r="G251" s="828">
        <v>0.3</v>
      </c>
      <c r="H251" s="8">
        <f t="shared" si="30"/>
        <v>0</v>
      </c>
      <c r="I251" s="828"/>
      <c r="J251" s="8"/>
      <c r="K251" s="828"/>
      <c r="L251" s="8"/>
      <c r="M251" s="8">
        <f t="shared" si="31"/>
        <v>0</v>
      </c>
    </row>
    <row r="252" spans="1:13" s="215" customFormat="1" ht="15.75" hidden="1" x14ac:dyDescent="0.25">
      <c r="A252" s="1260"/>
      <c r="B252" s="835"/>
      <c r="C252" s="24" t="s">
        <v>1148</v>
      </c>
      <c r="D252" s="834" t="s">
        <v>52</v>
      </c>
      <c r="E252" s="524"/>
      <c r="F252" s="831"/>
      <c r="G252" s="828">
        <v>0.4</v>
      </c>
      <c r="H252" s="8">
        <f t="shared" si="30"/>
        <v>0</v>
      </c>
      <c r="I252" s="828"/>
      <c r="J252" s="8"/>
      <c r="K252" s="828"/>
      <c r="L252" s="8"/>
      <c r="M252" s="8">
        <f t="shared" si="31"/>
        <v>0</v>
      </c>
    </row>
    <row r="253" spans="1:13" s="215" customFormat="1" ht="15.75" hidden="1" x14ac:dyDescent="0.25">
      <c r="A253" s="1260"/>
      <c r="B253" s="835"/>
      <c r="C253" s="24" t="s">
        <v>1149</v>
      </c>
      <c r="D253" s="834" t="s">
        <v>52</v>
      </c>
      <c r="E253" s="524"/>
      <c r="F253" s="831"/>
      <c r="G253" s="828">
        <v>0.5</v>
      </c>
      <c r="H253" s="8">
        <f t="shared" si="30"/>
        <v>0</v>
      </c>
      <c r="I253" s="828"/>
      <c r="J253" s="8"/>
      <c r="K253" s="828"/>
      <c r="L253" s="8"/>
      <c r="M253" s="8">
        <f t="shared" si="31"/>
        <v>0</v>
      </c>
    </row>
    <row r="254" spans="1:13" s="215" customFormat="1" ht="15.75" hidden="1" x14ac:dyDescent="0.25">
      <c r="A254" s="1260"/>
      <c r="B254" s="835"/>
      <c r="C254" s="24" t="s">
        <v>1150</v>
      </c>
      <c r="D254" s="834" t="s">
        <v>52</v>
      </c>
      <c r="E254" s="524"/>
      <c r="F254" s="831"/>
      <c r="G254" s="828">
        <v>0.65</v>
      </c>
      <c r="H254" s="8">
        <f t="shared" si="30"/>
        <v>0</v>
      </c>
      <c r="I254" s="828"/>
      <c r="J254" s="8"/>
      <c r="K254" s="828"/>
      <c r="L254" s="8"/>
      <c r="M254" s="8">
        <f t="shared" si="31"/>
        <v>0</v>
      </c>
    </row>
    <row r="255" spans="1:13" s="215" customFormat="1" ht="15.75" hidden="1" x14ac:dyDescent="0.25">
      <c r="A255" s="1260"/>
      <c r="B255" s="835"/>
      <c r="C255" s="24" t="s">
        <v>1151</v>
      </c>
      <c r="D255" s="834" t="s">
        <v>52</v>
      </c>
      <c r="E255" s="524"/>
      <c r="F255" s="831"/>
      <c r="G255" s="828">
        <v>0.1</v>
      </c>
      <c r="H255" s="8">
        <f t="shared" si="30"/>
        <v>0</v>
      </c>
      <c r="I255" s="828"/>
      <c r="J255" s="8"/>
      <c r="K255" s="828"/>
      <c r="L255" s="8"/>
      <c r="M255" s="8">
        <f t="shared" si="31"/>
        <v>0</v>
      </c>
    </row>
    <row r="256" spans="1:13" s="215" customFormat="1" ht="31.5" hidden="1" x14ac:dyDescent="0.25">
      <c r="A256" s="1260"/>
      <c r="B256" s="835"/>
      <c r="C256" s="24" t="s">
        <v>1152</v>
      </c>
      <c r="D256" s="834" t="s">
        <v>2</v>
      </c>
      <c r="E256" s="524"/>
      <c r="F256" s="831"/>
      <c r="G256" s="828">
        <v>3.5</v>
      </c>
      <c r="H256" s="8">
        <f t="shared" si="30"/>
        <v>0</v>
      </c>
      <c r="I256" s="828"/>
      <c r="J256" s="8"/>
      <c r="K256" s="828"/>
      <c r="L256" s="8"/>
      <c r="M256" s="8">
        <f t="shared" si="31"/>
        <v>0</v>
      </c>
    </row>
    <row r="257" spans="1:15" s="215" customFormat="1" ht="15.75" hidden="1" x14ac:dyDescent="0.25">
      <c r="A257" s="1260"/>
      <c r="B257" s="835"/>
      <c r="C257" s="24" t="s">
        <v>1153</v>
      </c>
      <c r="D257" s="834" t="s">
        <v>52</v>
      </c>
      <c r="E257" s="524"/>
      <c r="F257" s="831"/>
      <c r="G257" s="828">
        <v>3.5</v>
      </c>
      <c r="H257" s="8">
        <f t="shared" si="30"/>
        <v>0</v>
      </c>
      <c r="I257" s="828"/>
      <c r="J257" s="8"/>
      <c r="K257" s="828"/>
      <c r="L257" s="8"/>
      <c r="M257" s="8">
        <f t="shared" si="31"/>
        <v>0</v>
      </c>
    </row>
    <row r="258" spans="1:15" s="215" customFormat="1" ht="31.5" hidden="1" x14ac:dyDescent="0.25">
      <c r="A258" s="1260"/>
      <c r="B258" s="1100"/>
      <c r="C258" s="24" t="s">
        <v>1383</v>
      </c>
      <c r="D258" s="1103" t="s">
        <v>52</v>
      </c>
      <c r="E258" s="524"/>
      <c r="F258" s="1093">
        <f>F184</f>
        <v>0</v>
      </c>
      <c r="G258" s="1091">
        <v>3.5</v>
      </c>
      <c r="H258" s="8">
        <f t="shared" ref="H258" si="32">F258*G258</f>
        <v>0</v>
      </c>
      <c r="I258" s="1091"/>
      <c r="J258" s="8"/>
      <c r="K258" s="1091"/>
      <c r="L258" s="8"/>
      <c r="M258" s="8">
        <f t="shared" ref="M258" si="33">H258+J258+L258</f>
        <v>0</v>
      </c>
    </row>
    <row r="259" spans="1:15" s="215" customFormat="1" ht="15.75" hidden="1" x14ac:dyDescent="0.25">
      <c r="A259" s="1261"/>
      <c r="B259" s="835"/>
      <c r="C259" s="26" t="s">
        <v>105</v>
      </c>
      <c r="D259" s="835" t="s">
        <v>21</v>
      </c>
      <c r="E259" s="524">
        <f>(0.24+0.24+0.24)/3/10</f>
        <v>2.4E-2</v>
      </c>
      <c r="F259" s="831">
        <f>F184*E259</f>
        <v>0</v>
      </c>
      <c r="G259" s="828">
        <v>4</v>
      </c>
      <c r="H259" s="8">
        <f t="shared" si="30"/>
        <v>0</v>
      </c>
      <c r="I259" s="828"/>
      <c r="J259" s="8"/>
      <c r="K259" s="828"/>
      <c r="L259" s="8"/>
      <c r="M259" s="8">
        <f t="shared" si="31"/>
        <v>0</v>
      </c>
    </row>
    <row r="260" spans="1:15" s="215" customFormat="1" ht="94.5" hidden="1" x14ac:dyDescent="0.25">
      <c r="A260" s="822" t="s">
        <v>1011</v>
      </c>
      <c r="B260" s="835"/>
      <c r="C260" s="531" t="s">
        <v>1154</v>
      </c>
      <c r="D260" s="834" t="s">
        <v>1019</v>
      </c>
      <c r="E260" s="2"/>
      <c r="F260" s="293">
        <v>0</v>
      </c>
      <c r="G260" s="828">
        <v>50</v>
      </c>
      <c r="H260" s="8">
        <f t="shared" si="30"/>
        <v>0</v>
      </c>
      <c r="I260" s="828">
        <v>20</v>
      </c>
      <c r="J260" s="8">
        <f t="shared" ref="J260" si="34">F260*I260</f>
        <v>0</v>
      </c>
      <c r="K260" s="8"/>
      <c r="L260" s="8"/>
      <c r="M260" s="8">
        <f t="shared" si="31"/>
        <v>0</v>
      </c>
    </row>
    <row r="261" spans="1:15" s="215" customFormat="1" ht="15.75" hidden="1" x14ac:dyDescent="0.25">
      <c r="A261" s="1088" t="s">
        <v>671</v>
      </c>
      <c r="B261" s="985" t="s">
        <v>1155</v>
      </c>
      <c r="C261" s="307" t="s">
        <v>1156</v>
      </c>
      <c r="D261" s="304" t="s">
        <v>1157</v>
      </c>
      <c r="E261" s="987"/>
      <c r="F261" s="1154">
        <v>0</v>
      </c>
      <c r="G261" s="1091"/>
      <c r="H261" s="8"/>
      <c r="I261" s="8"/>
      <c r="J261" s="8"/>
      <c r="K261" s="8"/>
      <c r="L261" s="8"/>
      <c r="M261" s="8"/>
      <c r="O261" s="215">
        <v>4</v>
      </c>
    </row>
    <row r="262" spans="1:15" s="215" customFormat="1" ht="15.75" hidden="1" x14ac:dyDescent="0.25">
      <c r="A262" s="1089"/>
      <c r="B262" s="304"/>
      <c r="C262" s="999" t="s">
        <v>36</v>
      </c>
      <c r="D262" s="1000" t="s">
        <v>14</v>
      </c>
      <c r="E262" s="1001">
        <v>1.002</v>
      </c>
      <c r="F262" s="1002">
        <f>F261*E262</f>
        <v>0</v>
      </c>
      <c r="G262" s="1091"/>
      <c r="H262" s="8"/>
      <c r="I262" s="8">
        <v>4.5999999999999996</v>
      </c>
      <c r="J262" s="8">
        <f t="shared" ref="J262:J265" si="35">F262*I262</f>
        <v>0</v>
      </c>
      <c r="K262" s="8"/>
      <c r="L262" s="8"/>
      <c r="M262" s="8">
        <f t="shared" si="31"/>
        <v>0</v>
      </c>
    </row>
    <row r="263" spans="1:15" s="215" customFormat="1" ht="15.75" hidden="1" x14ac:dyDescent="0.25">
      <c r="A263" s="1090"/>
      <c r="B263" s="304"/>
      <c r="C263" s="999" t="s">
        <v>1001</v>
      </c>
      <c r="D263" s="1000" t="s">
        <v>4</v>
      </c>
      <c r="E263" s="1001">
        <v>0.49340000000000001</v>
      </c>
      <c r="F263" s="1002">
        <f>F261*E263</f>
        <v>0</v>
      </c>
      <c r="G263" s="1091"/>
      <c r="H263" s="8"/>
      <c r="I263" s="8"/>
      <c r="J263" s="8"/>
      <c r="K263" s="8">
        <v>4</v>
      </c>
      <c r="L263" s="8">
        <f t="shared" ref="L263:L266" si="36">F263*K263</f>
        <v>0</v>
      </c>
      <c r="M263" s="8">
        <f t="shared" si="31"/>
        <v>0</v>
      </c>
    </row>
    <row r="264" spans="1:15" s="215" customFormat="1" ht="31.5" hidden="1" x14ac:dyDescent="0.25">
      <c r="A264" s="1258" t="s">
        <v>676</v>
      </c>
      <c r="B264" s="1003" t="s">
        <v>1158</v>
      </c>
      <c r="C264" s="1004" t="s">
        <v>1159</v>
      </c>
      <c r="D264" s="836" t="s">
        <v>47</v>
      </c>
      <c r="E264" s="1005">
        <f>0.12*0.12</f>
        <v>1.44E-2</v>
      </c>
      <c r="F264" s="1006">
        <f>F261*E264</f>
        <v>0</v>
      </c>
      <c r="G264" s="521"/>
      <c r="H264" s="8"/>
      <c r="I264" s="603"/>
      <c r="J264" s="8"/>
      <c r="K264" s="603"/>
      <c r="L264" s="8"/>
      <c r="M264" s="8"/>
    </row>
    <row r="265" spans="1:15" s="215" customFormat="1" ht="27" hidden="1" x14ac:dyDescent="0.25">
      <c r="A265" s="1258"/>
      <c r="B265" s="304"/>
      <c r="C265" s="671" t="s">
        <v>54</v>
      </c>
      <c r="D265" s="672" t="s">
        <v>6</v>
      </c>
      <c r="E265" s="1007">
        <v>74.2</v>
      </c>
      <c r="F265" s="46">
        <f>F264*E265</f>
        <v>0</v>
      </c>
      <c r="G265" s="19"/>
      <c r="H265" s="8"/>
      <c r="I265" s="8">
        <v>4.5999999999999996</v>
      </c>
      <c r="J265" s="8">
        <f t="shared" si="35"/>
        <v>0</v>
      </c>
      <c r="K265" s="8"/>
      <c r="L265" s="8"/>
      <c r="M265" s="8">
        <f t="shared" si="31"/>
        <v>0</v>
      </c>
    </row>
    <row r="266" spans="1:15" s="215" customFormat="1" ht="15.75" hidden="1" x14ac:dyDescent="0.25">
      <c r="A266" s="1258"/>
      <c r="B266" s="304"/>
      <c r="C266" s="671" t="s">
        <v>1160</v>
      </c>
      <c r="D266" s="48" t="s">
        <v>4</v>
      </c>
      <c r="E266" s="1007">
        <v>1.1000000000000001</v>
      </c>
      <c r="F266" s="46">
        <f>F264*E266</f>
        <v>0</v>
      </c>
      <c r="G266" s="19"/>
      <c r="H266" s="8"/>
      <c r="I266" s="8"/>
      <c r="J266" s="8"/>
      <c r="K266" s="8">
        <v>4</v>
      </c>
      <c r="L266" s="8">
        <f t="shared" si="36"/>
        <v>0</v>
      </c>
      <c r="M266" s="8">
        <f t="shared" si="31"/>
        <v>0</v>
      </c>
    </row>
    <row r="267" spans="1:15" s="215" customFormat="1" ht="31.5" hidden="1" x14ac:dyDescent="0.25">
      <c r="A267" s="1258"/>
      <c r="B267" s="304"/>
      <c r="C267" s="295" t="s">
        <v>1161</v>
      </c>
      <c r="D267" s="672" t="s">
        <v>37</v>
      </c>
      <c r="E267" s="1007">
        <v>1.04</v>
      </c>
      <c r="F267" s="46">
        <f>F264*E267</f>
        <v>0</v>
      </c>
      <c r="G267" s="19">
        <v>131</v>
      </c>
      <c r="H267" s="8">
        <f t="shared" si="30"/>
        <v>0</v>
      </c>
      <c r="I267" s="8"/>
      <c r="J267" s="8"/>
      <c r="K267" s="8"/>
      <c r="L267" s="8"/>
      <c r="M267" s="8">
        <f t="shared" si="31"/>
        <v>0</v>
      </c>
    </row>
    <row r="268" spans="1:15" s="215" customFormat="1" ht="15.75" hidden="1" x14ac:dyDescent="0.25">
      <c r="A268" s="1258"/>
      <c r="B268" s="304"/>
      <c r="C268" s="671" t="s">
        <v>1162</v>
      </c>
      <c r="D268" s="672" t="s">
        <v>2</v>
      </c>
      <c r="E268" s="1007">
        <v>5.9</v>
      </c>
      <c r="F268" s="46">
        <f>F264*E268</f>
        <v>0</v>
      </c>
      <c r="G268" s="19">
        <v>2.2999999999999998</v>
      </c>
      <c r="H268" s="8">
        <f t="shared" si="30"/>
        <v>0</v>
      </c>
      <c r="I268" s="8"/>
      <c r="J268" s="8"/>
      <c r="K268" s="8"/>
      <c r="L268" s="8"/>
      <c r="M268" s="8">
        <f t="shared" si="31"/>
        <v>0</v>
      </c>
    </row>
    <row r="269" spans="1:15" s="215" customFormat="1" ht="15.75" hidden="1" x14ac:dyDescent="0.25">
      <c r="A269" s="1258"/>
      <c r="B269" s="304"/>
      <c r="C269" s="671" t="s">
        <v>39</v>
      </c>
      <c r="D269" s="672" t="s">
        <v>37</v>
      </c>
      <c r="E269" s="1007">
        <f>0.21+0.18</f>
        <v>0.39</v>
      </c>
      <c r="F269" s="46">
        <f>F264*E269</f>
        <v>0</v>
      </c>
      <c r="G269" s="19">
        <v>542</v>
      </c>
      <c r="H269" s="8">
        <f t="shared" si="30"/>
        <v>0</v>
      </c>
      <c r="I269" s="8"/>
      <c r="J269" s="8"/>
      <c r="K269" s="8"/>
      <c r="L269" s="8"/>
      <c r="M269" s="8">
        <f t="shared" si="31"/>
        <v>0</v>
      </c>
    </row>
    <row r="270" spans="1:15" s="215" customFormat="1" ht="15.75" hidden="1" x14ac:dyDescent="0.25">
      <c r="A270" s="1258"/>
      <c r="B270" s="304"/>
      <c r="C270" s="671" t="s">
        <v>50</v>
      </c>
      <c r="D270" s="48" t="s">
        <v>4</v>
      </c>
      <c r="E270" s="1007">
        <v>0</v>
      </c>
      <c r="F270" s="46">
        <f>F264*E270</f>
        <v>0</v>
      </c>
      <c r="G270" s="19">
        <v>4</v>
      </c>
      <c r="H270" s="8">
        <f t="shared" si="30"/>
        <v>0</v>
      </c>
      <c r="I270" s="8"/>
      <c r="J270" s="8"/>
      <c r="K270" s="8"/>
      <c r="L270" s="8"/>
      <c r="M270" s="8">
        <f t="shared" si="31"/>
        <v>0</v>
      </c>
    </row>
    <row r="271" spans="1:15" s="215" customFormat="1" ht="31.5" hidden="1" x14ac:dyDescent="0.25">
      <c r="A271" s="1260" t="s">
        <v>90</v>
      </c>
      <c r="B271" s="1008" t="s">
        <v>106</v>
      </c>
      <c r="C271" s="632" t="s">
        <v>107</v>
      </c>
      <c r="D271" s="838" t="s">
        <v>108</v>
      </c>
      <c r="E271" s="991"/>
      <c r="F271" s="916">
        <f>(F76+F82+F88+F94+F100+F106+F112+F118+F124+F130+F136+F142+F148+F156+F157+F158)/100</f>
        <v>0</v>
      </c>
      <c r="G271" s="522"/>
      <c r="H271" s="8"/>
      <c r="I271" s="522"/>
      <c r="J271" s="8"/>
      <c r="K271" s="522"/>
      <c r="L271" s="8"/>
      <c r="M271" s="8"/>
    </row>
    <row r="272" spans="1:15" s="215" customFormat="1" ht="27" hidden="1" x14ac:dyDescent="0.25">
      <c r="A272" s="1260"/>
      <c r="B272" s="835"/>
      <c r="C272" s="26" t="s">
        <v>100</v>
      </c>
      <c r="D272" s="835" t="s">
        <v>68</v>
      </c>
      <c r="E272" s="524">
        <v>5.16</v>
      </c>
      <c r="F272" s="831">
        <f>F271*E272</f>
        <v>0</v>
      </c>
      <c r="G272" s="828"/>
      <c r="H272" s="8"/>
      <c r="I272" s="828">
        <v>4.5999999999999996</v>
      </c>
      <c r="J272" s="8">
        <f t="shared" ref="J272:J316" si="37">F272*I272</f>
        <v>0</v>
      </c>
      <c r="K272" s="828"/>
      <c r="L272" s="8"/>
      <c r="M272" s="8">
        <f t="shared" ref="M272:M340" si="38">H272+J272+L272</f>
        <v>0</v>
      </c>
    </row>
    <row r="273" spans="1:15" s="215" customFormat="1" ht="15.75" hidden="1" x14ac:dyDescent="0.25">
      <c r="A273" s="1260"/>
      <c r="B273" s="835"/>
      <c r="C273" s="13" t="s">
        <v>101</v>
      </c>
      <c r="D273" s="835" t="s">
        <v>21</v>
      </c>
      <c r="E273" s="524">
        <v>0</v>
      </c>
      <c r="F273" s="831">
        <f>F271*E273</f>
        <v>0</v>
      </c>
      <c r="G273" s="828"/>
      <c r="H273" s="8"/>
      <c r="I273" s="828"/>
      <c r="J273" s="8"/>
      <c r="K273" s="828">
        <v>4</v>
      </c>
      <c r="L273" s="8">
        <f t="shared" ref="L273:L317" si="39">F273*K273</f>
        <v>0</v>
      </c>
      <c r="M273" s="8">
        <f t="shared" si="38"/>
        <v>0</v>
      </c>
    </row>
    <row r="274" spans="1:15" s="215" customFormat="1" ht="15.75" hidden="1" x14ac:dyDescent="0.25">
      <c r="A274" s="1260"/>
      <c r="B274" s="835"/>
      <c r="C274" s="26" t="s">
        <v>109</v>
      </c>
      <c r="D274" s="835" t="s">
        <v>37</v>
      </c>
      <c r="E274" s="524">
        <v>1</v>
      </c>
      <c r="F274" s="831">
        <f>F271*E274</f>
        <v>0</v>
      </c>
      <c r="G274" s="828">
        <f>2.82+0.91</f>
        <v>3.73</v>
      </c>
      <c r="H274" s="8">
        <f t="shared" ref="H274:H340" si="40">F274*G274</f>
        <v>0</v>
      </c>
      <c r="I274" s="828"/>
      <c r="J274" s="8"/>
      <c r="K274" s="828"/>
      <c r="L274" s="8"/>
      <c r="M274" s="8">
        <f t="shared" si="38"/>
        <v>0</v>
      </c>
    </row>
    <row r="275" spans="1:15" s="215" customFormat="1" ht="15.75" hidden="1" x14ac:dyDescent="0.25">
      <c r="A275" s="1261"/>
      <c r="B275" s="835"/>
      <c r="C275" s="26" t="s">
        <v>50</v>
      </c>
      <c r="D275" s="835" t="s">
        <v>4</v>
      </c>
      <c r="E275" s="524">
        <v>0.11</v>
      </c>
      <c r="F275" s="831">
        <f>F271*E275</f>
        <v>0</v>
      </c>
      <c r="G275" s="828">
        <v>4</v>
      </c>
      <c r="H275" s="8">
        <f t="shared" si="40"/>
        <v>0</v>
      </c>
      <c r="I275" s="828"/>
      <c r="J275" s="8"/>
      <c r="K275" s="828"/>
      <c r="L275" s="8"/>
      <c r="M275" s="8">
        <f t="shared" si="38"/>
        <v>0</v>
      </c>
    </row>
    <row r="276" spans="1:15" s="215" customFormat="1" ht="47.25" hidden="1" x14ac:dyDescent="0.25">
      <c r="A276" s="1259" t="s">
        <v>1011</v>
      </c>
      <c r="B276" s="304" t="s">
        <v>23</v>
      </c>
      <c r="C276" s="531" t="s">
        <v>1163</v>
      </c>
      <c r="D276" s="48" t="s">
        <v>47</v>
      </c>
      <c r="E276" s="1007"/>
      <c r="F276" s="23">
        <v>0</v>
      </c>
      <c r="G276" s="19"/>
      <c r="H276" s="8">
        <f t="shared" si="40"/>
        <v>0</v>
      </c>
      <c r="I276" s="8"/>
      <c r="J276" s="8">
        <f t="shared" si="37"/>
        <v>0</v>
      </c>
      <c r="K276" s="8"/>
      <c r="L276" s="8">
        <f t="shared" si="39"/>
        <v>0</v>
      </c>
      <c r="M276" s="8">
        <f t="shared" si="38"/>
        <v>0</v>
      </c>
      <c r="N276" s="215">
        <f>3.14*0.02*14+3.14*0.025*4+3.14*0.032*3+3.14*0.05*3</f>
        <v>1.9656400000000001</v>
      </c>
    </row>
    <row r="277" spans="1:15" s="215" customFormat="1" ht="27" hidden="1" x14ac:dyDescent="0.25">
      <c r="A277" s="1260"/>
      <c r="B277" s="304"/>
      <c r="C277" s="671" t="s">
        <v>54</v>
      </c>
      <c r="D277" s="672" t="s">
        <v>6</v>
      </c>
      <c r="E277" s="1007">
        <v>0.68</v>
      </c>
      <c r="F277" s="46">
        <f>F276*E277</f>
        <v>0</v>
      </c>
      <c r="G277" s="19"/>
      <c r="H277" s="8">
        <f t="shared" si="40"/>
        <v>0</v>
      </c>
      <c r="I277" s="8">
        <v>4.5999999999999996</v>
      </c>
      <c r="J277" s="8">
        <f t="shared" si="37"/>
        <v>0</v>
      </c>
      <c r="K277" s="8"/>
      <c r="L277" s="8">
        <f t="shared" si="39"/>
        <v>0</v>
      </c>
      <c r="M277" s="8">
        <f t="shared" si="38"/>
        <v>0</v>
      </c>
    </row>
    <row r="278" spans="1:15" s="215" customFormat="1" ht="15.75" hidden="1" x14ac:dyDescent="0.25">
      <c r="A278" s="1260"/>
      <c r="B278" s="304"/>
      <c r="C278" s="671" t="s">
        <v>1160</v>
      </c>
      <c r="D278" s="48" t="s">
        <v>4</v>
      </c>
      <c r="E278" s="1007">
        <v>2.9999999999999997E-4</v>
      </c>
      <c r="F278" s="46">
        <f>F276*E278</f>
        <v>0</v>
      </c>
      <c r="G278" s="19"/>
      <c r="H278" s="8">
        <f t="shared" si="40"/>
        <v>0</v>
      </c>
      <c r="I278" s="8"/>
      <c r="J278" s="8">
        <f t="shared" si="37"/>
        <v>0</v>
      </c>
      <c r="K278" s="8">
        <v>4</v>
      </c>
      <c r="L278" s="8">
        <f t="shared" si="39"/>
        <v>0</v>
      </c>
      <c r="M278" s="8">
        <f t="shared" si="38"/>
        <v>0</v>
      </c>
    </row>
    <row r="279" spans="1:15" s="215" customFormat="1" ht="15.75" hidden="1" x14ac:dyDescent="0.25">
      <c r="A279" s="1260"/>
      <c r="B279" s="304"/>
      <c r="C279" s="671" t="s">
        <v>1164</v>
      </c>
      <c r="D279" s="48" t="s">
        <v>2</v>
      </c>
      <c r="E279" s="1007">
        <v>0.35</v>
      </c>
      <c r="F279" s="46">
        <f>F276*E279</f>
        <v>0</v>
      </c>
      <c r="G279" s="19">
        <v>4.8</v>
      </c>
      <c r="H279" s="8">
        <f t="shared" si="40"/>
        <v>0</v>
      </c>
      <c r="I279" s="8"/>
      <c r="J279" s="8">
        <f t="shared" si="37"/>
        <v>0</v>
      </c>
      <c r="K279" s="8"/>
      <c r="L279" s="8">
        <f t="shared" si="39"/>
        <v>0</v>
      </c>
      <c r="M279" s="8">
        <f t="shared" si="38"/>
        <v>0</v>
      </c>
    </row>
    <row r="280" spans="1:15" s="215" customFormat="1" ht="15.75" hidden="1" x14ac:dyDescent="0.25">
      <c r="A280" s="1261"/>
      <c r="B280" s="304"/>
      <c r="C280" s="671" t="s">
        <v>50</v>
      </c>
      <c r="D280" s="48" t="s">
        <v>4</v>
      </c>
      <c r="E280" s="1007">
        <v>1.9E-3</v>
      </c>
      <c r="F280" s="46">
        <f>F276*E280</f>
        <v>0</v>
      </c>
      <c r="G280" s="19">
        <v>4</v>
      </c>
      <c r="H280" s="8">
        <f t="shared" si="40"/>
        <v>0</v>
      </c>
      <c r="I280" s="8"/>
      <c r="J280" s="8">
        <f t="shared" si="37"/>
        <v>0</v>
      </c>
      <c r="K280" s="8"/>
      <c r="L280" s="8">
        <f t="shared" si="39"/>
        <v>0</v>
      </c>
      <c r="M280" s="8">
        <f t="shared" si="38"/>
        <v>0</v>
      </c>
    </row>
    <row r="281" spans="1:15" s="215" customFormat="1" ht="47.25" hidden="1" x14ac:dyDescent="0.25">
      <c r="A281" s="1250" t="s">
        <v>82</v>
      </c>
      <c r="B281" s="700" t="s">
        <v>1165</v>
      </c>
      <c r="C281" s="531" t="s">
        <v>1166</v>
      </c>
      <c r="D281" s="834" t="s">
        <v>1167</v>
      </c>
      <c r="E281" s="533"/>
      <c r="F281" s="11">
        <v>0</v>
      </c>
      <c r="G281" s="8"/>
      <c r="H281" s="8"/>
      <c r="I281" s="8"/>
      <c r="J281" s="8"/>
      <c r="K281" s="8"/>
      <c r="L281" s="8"/>
      <c r="M281" s="8"/>
      <c r="O281" s="215">
        <v>1</v>
      </c>
    </row>
    <row r="282" spans="1:15" s="215" customFormat="1" ht="27" hidden="1" x14ac:dyDescent="0.25">
      <c r="A282" s="1266"/>
      <c r="B282" s="834"/>
      <c r="C282" s="13" t="s">
        <v>100</v>
      </c>
      <c r="D282" s="835" t="s">
        <v>68</v>
      </c>
      <c r="E282" s="524">
        <v>4.9800000000000004</v>
      </c>
      <c r="F282" s="831">
        <f>F281*E282</f>
        <v>0</v>
      </c>
      <c r="G282" s="828"/>
      <c r="H282" s="8"/>
      <c r="I282" s="828">
        <v>6</v>
      </c>
      <c r="J282" s="8">
        <f t="shared" si="37"/>
        <v>0</v>
      </c>
      <c r="K282" s="828"/>
      <c r="L282" s="8"/>
      <c r="M282" s="8">
        <f t="shared" si="38"/>
        <v>0</v>
      </c>
    </row>
    <row r="283" spans="1:15" s="215" customFormat="1" ht="15.75" hidden="1" x14ac:dyDescent="0.25">
      <c r="A283" s="1266"/>
      <c r="B283" s="834"/>
      <c r="C283" s="13" t="s">
        <v>101</v>
      </c>
      <c r="D283" s="835" t="s">
        <v>21</v>
      </c>
      <c r="E283" s="524">
        <v>0.08</v>
      </c>
      <c r="F283" s="831">
        <f>F281*E283</f>
        <v>0</v>
      </c>
      <c r="G283" s="828"/>
      <c r="H283" s="8"/>
      <c r="I283" s="828"/>
      <c r="J283" s="8"/>
      <c r="K283" s="828">
        <v>4</v>
      </c>
      <c r="L283" s="8">
        <f t="shared" si="39"/>
        <v>0</v>
      </c>
      <c r="M283" s="8">
        <f t="shared" si="38"/>
        <v>0</v>
      </c>
    </row>
    <row r="284" spans="1:15" s="215" customFormat="1" ht="15.75" hidden="1" x14ac:dyDescent="0.25">
      <c r="A284" s="1251"/>
      <c r="B284" s="834"/>
      <c r="C284" s="13" t="s">
        <v>105</v>
      </c>
      <c r="D284" s="835" t="s">
        <v>21</v>
      </c>
      <c r="E284" s="524">
        <v>0.23</v>
      </c>
      <c r="F284" s="831">
        <f>F281*E284</f>
        <v>0</v>
      </c>
      <c r="G284" s="828">
        <v>4</v>
      </c>
      <c r="H284" s="8">
        <f t="shared" si="40"/>
        <v>0</v>
      </c>
      <c r="I284" s="828"/>
      <c r="J284" s="8"/>
      <c r="K284" s="828"/>
      <c r="L284" s="8"/>
      <c r="M284" s="8">
        <f t="shared" si="38"/>
        <v>0</v>
      </c>
    </row>
    <row r="285" spans="1:15" s="215" customFormat="1" ht="31.5" hidden="1" x14ac:dyDescent="0.25">
      <c r="A285" s="980" t="s">
        <v>357</v>
      </c>
      <c r="B285" s="981"/>
      <c r="C285" s="1009" t="s">
        <v>1168</v>
      </c>
      <c r="D285" s="981"/>
      <c r="E285" s="983"/>
      <c r="F285" s="984"/>
      <c r="G285" s="8"/>
      <c r="H285" s="8"/>
      <c r="I285" s="8"/>
      <c r="J285" s="8"/>
      <c r="K285" s="8"/>
      <c r="L285" s="8"/>
      <c r="M285" s="223"/>
    </row>
    <row r="286" spans="1:15" s="215" customFormat="1" ht="31.5" hidden="1" x14ac:dyDescent="0.25">
      <c r="A286" s="1259">
        <v>1</v>
      </c>
      <c r="B286" s="985" t="s">
        <v>1169</v>
      </c>
      <c r="C286" s="307" t="s">
        <v>1170</v>
      </c>
      <c r="D286" s="304" t="s">
        <v>41</v>
      </c>
      <c r="E286" s="987"/>
      <c r="F286" s="499">
        <f>F289</f>
        <v>0</v>
      </c>
      <c r="G286" s="988"/>
      <c r="H286" s="8"/>
      <c r="I286" s="988"/>
      <c r="J286" s="8"/>
      <c r="K286" s="988"/>
      <c r="L286" s="8"/>
      <c r="M286" s="8"/>
    </row>
    <row r="287" spans="1:15" s="215" customFormat="1" ht="15.75" hidden="1" x14ac:dyDescent="0.25">
      <c r="A287" s="1260"/>
      <c r="B287" s="304"/>
      <c r="C287" s="26" t="s">
        <v>36</v>
      </c>
      <c r="D287" s="835" t="s">
        <v>14</v>
      </c>
      <c r="E287" s="524">
        <v>0.60899999999999999</v>
      </c>
      <c r="F287" s="831">
        <f>F286*E287</f>
        <v>0</v>
      </c>
      <c r="G287" s="989"/>
      <c r="H287" s="8"/>
      <c r="I287" s="989">
        <v>4.5999999999999996</v>
      </c>
      <c r="J287" s="8">
        <f t="shared" si="37"/>
        <v>0</v>
      </c>
      <c r="K287" s="989"/>
      <c r="L287" s="8"/>
      <c r="M287" s="8">
        <f t="shared" si="38"/>
        <v>0</v>
      </c>
    </row>
    <row r="288" spans="1:15" s="215" customFormat="1" ht="15.75" hidden="1" x14ac:dyDescent="0.25">
      <c r="A288" s="1260"/>
      <c r="B288" s="304"/>
      <c r="C288" s="26" t="s">
        <v>1001</v>
      </c>
      <c r="D288" s="835" t="s">
        <v>1005</v>
      </c>
      <c r="E288" s="524">
        <v>2.0999999999999999E-3</v>
      </c>
      <c r="F288" s="831">
        <f>F286*E288</f>
        <v>0</v>
      </c>
      <c r="G288" s="989"/>
      <c r="H288" s="8"/>
      <c r="I288" s="989"/>
      <c r="J288" s="8"/>
      <c r="K288" s="989">
        <v>4</v>
      </c>
      <c r="L288" s="8">
        <f t="shared" si="39"/>
        <v>0</v>
      </c>
      <c r="M288" s="8">
        <f t="shared" si="38"/>
        <v>0</v>
      </c>
    </row>
    <row r="289" spans="1:15" s="215" customFormat="1" ht="15.75" hidden="1" x14ac:dyDescent="0.25">
      <c r="A289" s="1260"/>
      <c r="B289" s="304"/>
      <c r="C289" s="26" t="s">
        <v>1171</v>
      </c>
      <c r="D289" s="835" t="s">
        <v>1172</v>
      </c>
      <c r="E289" s="524">
        <v>1</v>
      </c>
      <c r="F289" s="1153">
        <v>0</v>
      </c>
      <c r="G289" s="989">
        <v>4.2</v>
      </c>
      <c r="H289" s="8">
        <f t="shared" si="40"/>
        <v>0</v>
      </c>
      <c r="I289" s="989"/>
      <c r="J289" s="8"/>
      <c r="K289" s="989"/>
      <c r="L289" s="8"/>
      <c r="M289" s="8">
        <f t="shared" si="38"/>
        <v>0</v>
      </c>
      <c r="O289" s="215">
        <v>12</v>
      </c>
    </row>
    <row r="290" spans="1:15" s="215" customFormat="1" ht="15.75" hidden="1" x14ac:dyDescent="0.25">
      <c r="A290" s="1260"/>
      <c r="B290" s="304"/>
      <c r="C290" s="1010" t="s">
        <v>1173</v>
      </c>
      <c r="D290" s="1011" t="s">
        <v>110</v>
      </c>
      <c r="E290" s="1012">
        <f>14*0.01</f>
        <v>0.14000000000000001</v>
      </c>
      <c r="F290" s="1013">
        <f>E290*F286</f>
        <v>0</v>
      </c>
      <c r="G290" s="1014">
        <v>2.5</v>
      </c>
      <c r="H290" s="8">
        <f t="shared" si="40"/>
        <v>0</v>
      </c>
      <c r="I290" s="1014"/>
      <c r="J290" s="8"/>
      <c r="K290" s="1014"/>
      <c r="L290" s="8"/>
      <c r="M290" s="8">
        <f t="shared" si="38"/>
        <v>0</v>
      </c>
    </row>
    <row r="291" spans="1:15" s="215" customFormat="1" ht="15.75" hidden="1" x14ac:dyDescent="0.25">
      <c r="A291" s="1261"/>
      <c r="B291" s="304"/>
      <c r="C291" s="26" t="s">
        <v>50</v>
      </c>
      <c r="D291" s="835" t="s">
        <v>1005</v>
      </c>
      <c r="E291" s="524">
        <v>0.156</v>
      </c>
      <c r="F291" s="831">
        <f>F286*E291</f>
        <v>0</v>
      </c>
      <c r="G291" s="989">
        <v>4</v>
      </c>
      <c r="H291" s="8">
        <f t="shared" si="40"/>
        <v>0</v>
      </c>
      <c r="I291" s="989"/>
      <c r="J291" s="8"/>
      <c r="K291" s="989"/>
      <c r="L291" s="8"/>
      <c r="M291" s="8">
        <f t="shared" si="38"/>
        <v>0</v>
      </c>
    </row>
    <row r="292" spans="1:15" s="215" customFormat="1" ht="31.5" hidden="1" x14ac:dyDescent="0.25">
      <c r="A292" s="1259">
        <v>2</v>
      </c>
      <c r="B292" s="985" t="s">
        <v>1174</v>
      </c>
      <c r="C292" s="307" t="s">
        <v>1175</v>
      </c>
      <c r="D292" s="304" t="s">
        <v>41</v>
      </c>
      <c r="E292" s="987"/>
      <c r="F292" s="499">
        <f>F295</f>
        <v>0</v>
      </c>
      <c r="G292" s="988"/>
      <c r="H292" s="8"/>
      <c r="I292" s="988"/>
      <c r="J292" s="8"/>
      <c r="K292" s="988"/>
      <c r="L292" s="8"/>
      <c r="M292" s="8"/>
    </row>
    <row r="293" spans="1:15" s="215" customFormat="1" ht="15.75" hidden="1" x14ac:dyDescent="0.25">
      <c r="A293" s="1260"/>
      <c r="B293" s="304"/>
      <c r="C293" s="26" t="s">
        <v>36</v>
      </c>
      <c r="D293" s="835" t="s">
        <v>14</v>
      </c>
      <c r="E293" s="524">
        <f>58.3*0.01</f>
        <v>0.58299999999999996</v>
      </c>
      <c r="F293" s="831">
        <f>F292*E293</f>
        <v>0</v>
      </c>
      <c r="G293" s="989"/>
      <c r="H293" s="8"/>
      <c r="I293" s="989">
        <v>4.5999999999999996</v>
      </c>
      <c r="J293" s="8">
        <f t="shared" si="37"/>
        <v>0</v>
      </c>
      <c r="K293" s="989"/>
      <c r="L293" s="8"/>
      <c r="M293" s="8">
        <f t="shared" si="38"/>
        <v>0</v>
      </c>
    </row>
    <row r="294" spans="1:15" s="215" customFormat="1" ht="15.75" hidden="1" x14ac:dyDescent="0.25">
      <c r="A294" s="1260"/>
      <c r="B294" s="304"/>
      <c r="C294" s="26" t="s">
        <v>1001</v>
      </c>
      <c r="D294" s="835" t="s">
        <v>1005</v>
      </c>
      <c r="E294" s="524">
        <f>0.46*0.01</f>
        <v>4.5999999999999999E-3</v>
      </c>
      <c r="F294" s="831">
        <f>F292*E294</f>
        <v>0</v>
      </c>
      <c r="G294" s="989"/>
      <c r="H294" s="8"/>
      <c r="I294" s="989"/>
      <c r="J294" s="8"/>
      <c r="K294" s="989">
        <v>4</v>
      </c>
      <c r="L294" s="8">
        <f t="shared" si="39"/>
        <v>0</v>
      </c>
      <c r="M294" s="8">
        <f t="shared" si="38"/>
        <v>0</v>
      </c>
    </row>
    <row r="295" spans="1:15" s="215" customFormat="1" ht="15.75" hidden="1" x14ac:dyDescent="0.25">
      <c r="A295" s="1260"/>
      <c r="B295" s="304"/>
      <c r="C295" s="26" t="s">
        <v>1176</v>
      </c>
      <c r="D295" s="835" t="s">
        <v>1172</v>
      </c>
      <c r="E295" s="524">
        <v>1</v>
      </c>
      <c r="F295" s="1153">
        <v>0</v>
      </c>
      <c r="G295" s="989">
        <v>13.9</v>
      </c>
      <c r="H295" s="8">
        <f t="shared" si="40"/>
        <v>0</v>
      </c>
      <c r="I295" s="989"/>
      <c r="J295" s="8"/>
      <c r="K295" s="989"/>
      <c r="L295" s="8"/>
      <c r="M295" s="8">
        <f t="shared" si="38"/>
        <v>0</v>
      </c>
      <c r="O295" s="215">
        <v>12</v>
      </c>
    </row>
    <row r="296" spans="1:15" s="215" customFormat="1" ht="15.75" hidden="1" x14ac:dyDescent="0.25">
      <c r="A296" s="1260"/>
      <c r="B296" s="304"/>
      <c r="C296" s="1010" t="s">
        <v>1173</v>
      </c>
      <c r="D296" s="1011" t="s">
        <v>110</v>
      </c>
      <c r="E296" s="1012">
        <f>23*0.01</f>
        <v>0.23</v>
      </c>
      <c r="F296" s="1013">
        <f>E296*F292</f>
        <v>0</v>
      </c>
      <c r="G296" s="1014">
        <v>3.5</v>
      </c>
      <c r="H296" s="8">
        <f t="shared" si="40"/>
        <v>0</v>
      </c>
      <c r="I296" s="1014"/>
      <c r="J296" s="8"/>
      <c r="K296" s="1014"/>
      <c r="L296" s="8"/>
      <c r="M296" s="8">
        <f t="shared" si="38"/>
        <v>0</v>
      </c>
    </row>
    <row r="297" spans="1:15" s="215" customFormat="1" ht="15.75" hidden="1" x14ac:dyDescent="0.25">
      <c r="A297" s="1261"/>
      <c r="B297" s="304"/>
      <c r="C297" s="26" t="s">
        <v>50</v>
      </c>
      <c r="D297" s="835" t="s">
        <v>1005</v>
      </c>
      <c r="E297" s="524">
        <f>20.8*0.01</f>
        <v>0.20800000000000002</v>
      </c>
      <c r="F297" s="831">
        <f>F292*E297</f>
        <v>0</v>
      </c>
      <c r="G297" s="989">
        <v>4</v>
      </c>
      <c r="H297" s="8">
        <f t="shared" si="40"/>
        <v>0</v>
      </c>
      <c r="I297" s="989"/>
      <c r="J297" s="8"/>
      <c r="K297" s="989"/>
      <c r="L297" s="8"/>
      <c r="M297" s="8">
        <f t="shared" si="38"/>
        <v>0</v>
      </c>
    </row>
    <row r="298" spans="1:15" s="215" customFormat="1" ht="31.5" hidden="1" x14ac:dyDescent="0.25">
      <c r="A298" s="1259" t="s">
        <v>1011</v>
      </c>
      <c r="B298" s="985" t="s">
        <v>1174</v>
      </c>
      <c r="C298" s="307" t="s">
        <v>1177</v>
      </c>
      <c r="D298" s="304" t="s">
        <v>41</v>
      </c>
      <c r="E298" s="987"/>
      <c r="F298" s="499">
        <f>F301</f>
        <v>0</v>
      </c>
      <c r="G298" s="988"/>
      <c r="H298" s="8"/>
      <c r="I298" s="988"/>
      <c r="J298" s="8"/>
      <c r="K298" s="988"/>
      <c r="L298" s="8"/>
      <c r="M298" s="8"/>
    </row>
    <row r="299" spans="1:15" s="215" customFormat="1" ht="15.75" hidden="1" x14ac:dyDescent="0.25">
      <c r="A299" s="1260"/>
      <c r="B299" s="304"/>
      <c r="C299" s="26" t="s">
        <v>36</v>
      </c>
      <c r="D299" s="835" t="s">
        <v>14</v>
      </c>
      <c r="E299" s="524">
        <f>58.3*0.01</f>
        <v>0.58299999999999996</v>
      </c>
      <c r="F299" s="831">
        <f>F298*E299</f>
        <v>0</v>
      </c>
      <c r="G299" s="989"/>
      <c r="H299" s="8"/>
      <c r="I299" s="989">
        <v>4.5999999999999996</v>
      </c>
      <c r="J299" s="8">
        <f t="shared" si="37"/>
        <v>0</v>
      </c>
      <c r="K299" s="989"/>
      <c r="L299" s="8"/>
      <c r="M299" s="8">
        <f t="shared" si="38"/>
        <v>0</v>
      </c>
    </row>
    <row r="300" spans="1:15" s="215" customFormat="1" ht="15.75" hidden="1" x14ac:dyDescent="0.25">
      <c r="A300" s="1260"/>
      <c r="B300" s="304"/>
      <c r="C300" s="26" t="s">
        <v>1001</v>
      </c>
      <c r="D300" s="835" t="s">
        <v>1005</v>
      </c>
      <c r="E300" s="524">
        <f>0.46*0.01</f>
        <v>4.5999999999999999E-3</v>
      </c>
      <c r="F300" s="831">
        <f>F298*E300</f>
        <v>0</v>
      </c>
      <c r="G300" s="989"/>
      <c r="H300" s="8"/>
      <c r="I300" s="989"/>
      <c r="J300" s="8"/>
      <c r="K300" s="989">
        <v>4</v>
      </c>
      <c r="L300" s="8">
        <f t="shared" si="39"/>
        <v>0</v>
      </c>
      <c r="M300" s="8">
        <f t="shared" si="38"/>
        <v>0</v>
      </c>
    </row>
    <row r="301" spans="1:15" s="215" customFormat="1" ht="15.75" hidden="1" x14ac:dyDescent="0.25">
      <c r="A301" s="1260"/>
      <c r="B301" s="304"/>
      <c r="C301" s="26" t="s">
        <v>1178</v>
      </c>
      <c r="D301" s="835" t="s">
        <v>1172</v>
      </c>
      <c r="E301" s="524">
        <v>1</v>
      </c>
      <c r="F301" s="831">
        <v>0</v>
      </c>
      <c r="G301" s="989">
        <v>20.9</v>
      </c>
      <c r="H301" s="8">
        <f t="shared" si="40"/>
        <v>0</v>
      </c>
      <c r="I301" s="989"/>
      <c r="J301" s="8"/>
      <c r="K301" s="989"/>
      <c r="L301" s="8"/>
      <c r="M301" s="8">
        <f t="shared" si="38"/>
        <v>0</v>
      </c>
    </row>
    <row r="302" spans="1:15" s="215" customFormat="1" ht="15.75" hidden="1" x14ac:dyDescent="0.25">
      <c r="A302" s="1260"/>
      <c r="B302" s="304"/>
      <c r="C302" s="1010" t="s">
        <v>1173</v>
      </c>
      <c r="D302" s="1011" t="s">
        <v>110</v>
      </c>
      <c r="E302" s="1012">
        <f>23*0.01</f>
        <v>0.23</v>
      </c>
      <c r="F302" s="1013">
        <f>E302*F298</f>
        <v>0</v>
      </c>
      <c r="G302" s="1014">
        <v>3.5</v>
      </c>
      <c r="H302" s="8">
        <f t="shared" si="40"/>
        <v>0</v>
      </c>
      <c r="I302" s="1014"/>
      <c r="J302" s="8"/>
      <c r="K302" s="1014"/>
      <c r="L302" s="8"/>
      <c r="M302" s="8">
        <f t="shared" si="38"/>
        <v>0</v>
      </c>
    </row>
    <row r="303" spans="1:15" s="215" customFormat="1" ht="15.75" hidden="1" x14ac:dyDescent="0.25">
      <c r="A303" s="1261"/>
      <c r="B303" s="304"/>
      <c r="C303" s="26" t="s">
        <v>50</v>
      </c>
      <c r="D303" s="835" t="s">
        <v>1005</v>
      </c>
      <c r="E303" s="524">
        <f>20.8*0.01</f>
        <v>0.20800000000000002</v>
      </c>
      <c r="F303" s="831">
        <f>F298*E303</f>
        <v>0</v>
      </c>
      <c r="G303" s="989">
        <v>4</v>
      </c>
      <c r="H303" s="8">
        <f t="shared" si="40"/>
        <v>0</v>
      </c>
      <c r="I303" s="989"/>
      <c r="J303" s="8"/>
      <c r="K303" s="989"/>
      <c r="L303" s="8"/>
      <c r="M303" s="8">
        <f t="shared" si="38"/>
        <v>0</v>
      </c>
    </row>
    <row r="304" spans="1:15" s="215" customFormat="1" ht="15.75" hidden="1" x14ac:dyDescent="0.25">
      <c r="A304" s="1395" t="s">
        <v>87</v>
      </c>
      <c r="B304" s="304" t="s">
        <v>1179</v>
      </c>
      <c r="C304" s="307" t="s">
        <v>1180</v>
      </c>
      <c r="D304" s="304" t="s">
        <v>22</v>
      </c>
      <c r="E304" s="987"/>
      <c r="F304" s="499">
        <f>F307+F308</f>
        <v>0</v>
      </c>
      <c r="G304" s="988"/>
      <c r="H304" s="8"/>
      <c r="I304" s="988"/>
      <c r="J304" s="8"/>
      <c r="K304" s="988"/>
      <c r="L304" s="8"/>
      <c r="M304" s="8"/>
    </row>
    <row r="305" spans="1:15" s="215" customFormat="1" ht="27" hidden="1" x14ac:dyDescent="0.25">
      <c r="A305" s="1396"/>
      <c r="B305" s="304"/>
      <c r="C305" s="26" t="s">
        <v>36</v>
      </c>
      <c r="D305" s="835" t="s">
        <v>6</v>
      </c>
      <c r="E305" s="524">
        <v>1.85</v>
      </c>
      <c r="F305" s="831">
        <f>F304*E305</f>
        <v>0</v>
      </c>
      <c r="G305" s="989"/>
      <c r="H305" s="8"/>
      <c r="I305" s="989">
        <v>6</v>
      </c>
      <c r="J305" s="8">
        <f t="shared" si="37"/>
        <v>0</v>
      </c>
      <c r="K305" s="989"/>
      <c r="L305" s="8"/>
      <c r="M305" s="8">
        <f t="shared" si="38"/>
        <v>0</v>
      </c>
    </row>
    <row r="306" spans="1:15" s="215" customFormat="1" ht="15.75" hidden="1" x14ac:dyDescent="0.25">
      <c r="A306" s="1396"/>
      <c r="B306" s="304"/>
      <c r="C306" s="26" t="s">
        <v>1001</v>
      </c>
      <c r="D306" s="835" t="s">
        <v>1005</v>
      </c>
      <c r="E306" s="524">
        <v>0.03</v>
      </c>
      <c r="F306" s="831">
        <f>F304*E306</f>
        <v>0</v>
      </c>
      <c r="G306" s="989"/>
      <c r="H306" s="8"/>
      <c r="I306" s="989"/>
      <c r="J306" s="8"/>
      <c r="K306" s="989">
        <v>4</v>
      </c>
      <c r="L306" s="8">
        <f t="shared" si="39"/>
        <v>0</v>
      </c>
      <c r="M306" s="8">
        <f t="shared" si="38"/>
        <v>0</v>
      </c>
    </row>
    <row r="307" spans="1:15" s="215" customFormat="1" ht="15.75" hidden="1" x14ac:dyDescent="0.25">
      <c r="A307" s="1396"/>
      <c r="B307" s="304"/>
      <c r="C307" s="26" t="s">
        <v>1181</v>
      </c>
      <c r="D307" s="835" t="s">
        <v>22</v>
      </c>
      <c r="E307" s="524">
        <v>1</v>
      </c>
      <c r="F307" s="831">
        <v>0</v>
      </c>
      <c r="G307" s="989">
        <v>7</v>
      </c>
      <c r="H307" s="8">
        <f t="shared" si="40"/>
        <v>0</v>
      </c>
      <c r="I307" s="989"/>
      <c r="J307" s="8"/>
      <c r="K307" s="989"/>
      <c r="L307" s="8"/>
      <c r="M307" s="8">
        <f t="shared" si="38"/>
        <v>0</v>
      </c>
    </row>
    <row r="308" spans="1:15" s="215" customFormat="1" ht="31.5" hidden="1" x14ac:dyDescent="0.25">
      <c r="A308" s="1396"/>
      <c r="B308" s="304" t="s">
        <v>1182</v>
      </c>
      <c r="C308" s="26" t="s">
        <v>1183</v>
      </c>
      <c r="D308" s="835" t="s">
        <v>22</v>
      </c>
      <c r="E308" s="524">
        <v>1</v>
      </c>
      <c r="F308" s="831">
        <v>0</v>
      </c>
      <c r="G308" s="989">
        <v>7</v>
      </c>
      <c r="H308" s="8">
        <f t="shared" si="40"/>
        <v>0</v>
      </c>
      <c r="I308" s="989"/>
      <c r="J308" s="8"/>
      <c r="K308" s="989"/>
      <c r="L308" s="8"/>
      <c r="M308" s="8">
        <f t="shared" si="38"/>
        <v>0</v>
      </c>
    </row>
    <row r="309" spans="1:15" s="215" customFormat="1" ht="15.75" hidden="1" x14ac:dyDescent="0.25">
      <c r="A309" s="1397"/>
      <c r="B309" s="304"/>
      <c r="C309" s="26" t="s">
        <v>50</v>
      </c>
      <c r="D309" s="835" t="s">
        <v>1005</v>
      </c>
      <c r="E309" s="524">
        <v>0.18</v>
      </c>
      <c r="F309" s="831">
        <f>F304*E309</f>
        <v>0</v>
      </c>
      <c r="G309" s="989">
        <v>4</v>
      </c>
      <c r="H309" s="8">
        <f t="shared" si="40"/>
        <v>0</v>
      </c>
      <c r="I309" s="989"/>
      <c r="J309" s="8"/>
      <c r="K309" s="989"/>
      <c r="L309" s="8"/>
      <c r="M309" s="8">
        <f t="shared" si="38"/>
        <v>0</v>
      </c>
    </row>
    <row r="310" spans="1:15" s="215" customFormat="1" ht="15.75" hidden="1" x14ac:dyDescent="0.25">
      <c r="A310" s="1395" t="s">
        <v>94</v>
      </c>
      <c r="B310" s="985" t="s">
        <v>1184</v>
      </c>
      <c r="C310" s="307" t="s">
        <v>1180</v>
      </c>
      <c r="D310" s="304" t="s">
        <v>22</v>
      </c>
      <c r="E310" s="987"/>
      <c r="F310" s="499">
        <f>F313</f>
        <v>0</v>
      </c>
      <c r="G310" s="988"/>
      <c r="H310" s="8">
        <f t="shared" si="40"/>
        <v>0</v>
      </c>
      <c r="I310" s="988"/>
      <c r="J310" s="8"/>
      <c r="K310" s="988"/>
      <c r="L310" s="8"/>
      <c r="M310" s="8">
        <f t="shared" si="38"/>
        <v>0</v>
      </c>
    </row>
    <row r="311" spans="1:15" s="215" customFormat="1" ht="27" hidden="1" x14ac:dyDescent="0.25">
      <c r="A311" s="1396"/>
      <c r="B311" s="304"/>
      <c r="C311" s="26" t="s">
        <v>36</v>
      </c>
      <c r="D311" s="835" t="s">
        <v>6</v>
      </c>
      <c r="E311" s="524">
        <v>0.46</v>
      </c>
      <c r="F311" s="831">
        <f>F310*E311</f>
        <v>0</v>
      </c>
      <c r="G311" s="989"/>
      <c r="H311" s="8"/>
      <c r="I311" s="989">
        <v>6</v>
      </c>
      <c r="J311" s="8">
        <f t="shared" ref="J311" si="41">F311*I311</f>
        <v>0</v>
      </c>
      <c r="K311" s="989"/>
      <c r="L311" s="8"/>
      <c r="M311" s="8">
        <f t="shared" si="38"/>
        <v>0</v>
      </c>
    </row>
    <row r="312" spans="1:15" s="215" customFormat="1" ht="15.75" hidden="1" x14ac:dyDescent="0.25">
      <c r="A312" s="1396"/>
      <c r="B312" s="304"/>
      <c r="C312" s="26" t="s">
        <v>1001</v>
      </c>
      <c r="D312" s="835" t="s">
        <v>1005</v>
      </c>
      <c r="E312" s="524">
        <v>0.02</v>
      </c>
      <c r="F312" s="831">
        <f>F310*E312</f>
        <v>0</v>
      </c>
      <c r="G312" s="989"/>
      <c r="H312" s="8"/>
      <c r="I312" s="989"/>
      <c r="J312" s="8"/>
      <c r="K312" s="989">
        <v>4</v>
      </c>
      <c r="L312" s="8">
        <f t="shared" ref="L312" si="42">F312*K312</f>
        <v>0</v>
      </c>
      <c r="M312" s="8">
        <f t="shared" si="38"/>
        <v>0</v>
      </c>
    </row>
    <row r="313" spans="1:15" s="215" customFormat="1" ht="15.75" hidden="1" x14ac:dyDescent="0.25">
      <c r="A313" s="1396"/>
      <c r="B313" s="304"/>
      <c r="C313" s="26" t="s">
        <v>1185</v>
      </c>
      <c r="D313" s="835" t="s">
        <v>22</v>
      </c>
      <c r="E313" s="524">
        <v>1</v>
      </c>
      <c r="F313" s="1153">
        <v>0</v>
      </c>
      <c r="G313" s="989">
        <v>5.4</v>
      </c>
      <c r="H313" s="8">
        <f t="shared" si="40"/>
        <v>0</v>
      </c>
      <c r="I313" s="989"/>
      <c r="J313" s="8"/>
      <c r="K313" s="989"/>
      <c r="L313" s="8"/>
      <c r="M313" s="8">
        <f t="shared" si="38"/>
        <v>0</v>
      </c>
    </row>
    <row r="314" spans="1:15" s="215" customFormat="1" ht="15.75" hidden="1" x14ac:dyDescent="0.25">
      <c r="A314" s="1397"/>
      <c r="B314" s="304"/>
      <c r="C314" s="26" t="s">
        <v>50</v>
      </c>
      <c r="D314" s="835" t="s">
        <v>1005</v>
      </c>
      <c r="E314" s="524">
        <v>0.11</v>
      </c>
      <c r="F314" s="831">
        <f>F310*E314</f>
        <v>0</v>
      </c>
      <c r="G314" s="989">
        <v>4</v>
      </c>
      <c r="H314" s="8">
        <f t="shared" si="40"/>
        <v>0</v>
      </c>
      <c r="I314" s="989"/>
      <c r="J314" s="8"/>
      <c r="K314" s="989"/>
      <c r="L314" s="8"/>
      <c r="M314" s="8">
        <f t="shared" si="38"/>
        <v>0</v>
      </c>
    </row>
    <row r="315" spans="1:15" s="215" customFormat="1" ht="40.5" hidden="1" x14ac:dyDescent="0.25">
      <c r="A315" s="1395" t="s">
        <v>87</v>
      </c>
      <c r="B315" s="995" t="s">
        <v>1186</v>
      </c>
      <c r="C315" s="307" t="s">
        <v>1187</v>
      </c>
      <c r="D315" s="304" t="s">
        <v>22</v>
      </c>
      <c r="E315" s="987"/>
      <c r="F315" s="1154">
        <v>0</v>
      </c>
      <c r="G315" s="988"/>
      <c r="H315" s="8"/>
      <c r="I315" s="988"/>
      <c r="J315" s="8"/>
      <c r="K315" s="988"/>
      <c r="L315" s="8"/>
      <c r="M315" s="8">
        <f t="shared" si="38"/>
        <v>0</v>
      </c>
      <c r="O315" s="215">
        <v>20</v>
      </c>
    </row>
    <row r="316" spans="1:15" s="215" customFormat="1" ht="15.75" hidden="1" x14ac:dyDescent="0.25">
      <c r="A316" s="1396"/>
      <c r="B316" s="304"/>
      <c r="C316" s="26" t="s">
        <v>36</v>
      </c>
      <c r="D316" s="835" t="s">
        <v>14</v>
      </c>
      <c r="E316" s="996">
        <f>(3.89+5.84+7.88)/3/10</f>
        <v>0.58699999999999997</v>
      </c>
      <c r="F316" s="831">
        <f>F315*E316</f>
        <v>0</v>
      </c>
      <c r="G316" s="989"/>
      <c r="H316" s="8"/>
      <c r="I316" s="989">
        <v>6</v>
      </c>
      <c r="J316" s="8">
        <f t="shared" si="37"/>
        <v>0</v>
      </c>
      <c r="K316" s="989"/>
      <c r="L316" s="8"/>
      <c r="M316" s="8">
        <f t="shared" si="38"/>
        <v>0</v>
      </c>
    </row>
    <row r="317" spans="1:15" s="215" customFormat="1" ht="15.75" hidden="1" x14ac:dyDescent="0.25">
      <c r="A317" s="1396"/>
      <c r="B317" s="304"/>
      <c r="C317" s="26" t="s">
        <v>1001</v>
      </c>
      <c r="D317" s="835" t="s">
        <v>1005</v>
      </c>
      <c r="E317" s="996">
        <f>(1.51+2.27+3.02)/3/10</f>
        <v>0.22666666666666671</v>
      </c>
      <c r="F317" s="831">
        <f>F315*E317</f>
        <v>0</v>
      </c>
      <c r="G317" s="989"/>
      <c r="H317" s="8"/>
      <c r="I317" s="989"/>
      <c r="J317" s="8"/>
      <c r="K317" s="989">
        <v>4</v>
      </c>
      <c r="L317" s="8">
        <f t="shared" si="39"/>
        <v>0</v>
      </c>
      <c r="M317" s="8">
        <f t="shared" si="38"/>
        <v>0</v>
      </c>
    </row>
    <row r="318" spans="1:15" s="215" customFormat="1" ht="18" hidden="1" x14ac:dyDescent="0.25">
      <c r="A318" s="1396"/>
      <c r="B318" s="304"/>
      <c r="C318" s="24" t="s">
        <v>1188</v>
      </c>
      <c r="D318" s="834" t="s">
        <v>52</v>
      </c>
      <c r="E318" s="2"/>
      <c r="F318" s="831"/>
      <c r="G318" s="989">
        <v>3.5</v>
      </c>
      <c r="H318" s="8">
        <f t="shared" si="40"/>
        <v>0</v>
      </c>
      <c r="I318" s="989"/>
      <c r="J318" s="8"/>
      <c r="K318" s="8"/>
      <c r="L318" s="8"/>
      <c r="M318" s="8">
        <f t="shared" si="38"/>
        <v>0</v>
      </c>
    </row>
    <row r="319" spans="1:15" s="215" customFormat="1" ht="18" hidden="1" x14ac:dyDescent="0.25">
      <c r="A319" s="1396"/>
      <c r="B319" s="304"/>
      <c r="C319" s="24" t="s">
        <v>1189</v>
      </c>
      <c r="D319" s="834" t="s">
        <v>52</v>
      </c>
      <c r="E319" s="2"/>
      <c r="F319" s="831"/>
      <c r="G319" s="989">
        <v>7</v>
      </c>
      <c r="H319" s="8">
        <f t="shared" si="40"/>
        <v>0</v>
      </c>
      <c r="I319" s="989"/>
      <c r="J319" s="8"/>
      <c r="K319" s="8"/>
      <c r="L319" s="8"/>
      <c r="M319" s="8">
        <f t="shared" si="38"/>
        <v>0</v>
      </c>
    </row>
    <row r="320" spans="1:15" s="215" customFormat="1" ht="18" hidden="1" x14ac:dyDescent="0.25">
      <c r="A320" s="1396"/>
      <c r="B320" s="304"/>
      <c r="C320" s="24" t="s">
        <v>1190</v>
      </c>
      <c r="D320" s="834" t="s">
        <v>52</v>
      </c>
      <c r="E320" s="2"/>
      <c r="F320" s="831"/>
      <c r="G320" s="989">
        <v>15</v>
      </c>
      <c r="H320" s="8">
        <f t="shared" si="40"/>
        <v>0</v>
      </c>
      <c r="I320" s="989"/>
      <c r="J320" s="8"/>
      <c r="K320" s="8"/>
      <c r="L320" s="8"/>
      <c r="M320" s="8">
        <f t="shared" si="38"/>
        <v>0</v>
      </c>
    </row>
    <row r="321" spans="1:13" s="215" customFormat="1" ht="18" hidden="1" x14ac:dyDescent="0.25">
      <c r="A321" s="1396"/>
      <c r="B321" s="304"/>
      <c r="C321" s="24" t="s">
        <v>1191</v>
      </c>
      <c r="D321" s="834" t="s">
        <v>52</v>
      </c>
      <c r="E321" s="2"/>
      <c r="F321" s="831"/>
      <c r="G321" s="989">
        <v>3</v>
      </c>
      <c r="H321" s="8">
        <f t="shared" si="40"/>
        <v>0</v>
      </c>
      <c r="I321" s="989"/>
      <c r="J321" s="8"/>
      <c r="K321" s="8"/>
      <c r="L321" s="8"/>
      <c r="M321" s="8">
        <f t="shared" si="38"/>
        <v>0</v>
      </c>
    </row>
    <row r="322" spans="1:13" s="215" customFormat="1" ht="18" hidden="1" x14ac:dyDescent="0.25">
      <c r="A322" s="1396"/>
      <c r="B322" s="304"/>
      <c r="C322" s="24" t="s">
        <v>1192</v>
      </c>
      <c r="D322" s="834" t="s">
        <v>52</v>
      </c>
      <c r="E322" s="2"/>
      <c r="F322" s="831"/>
      <c r="G322" s="989">
        <v>3.5</v>
      </c>
      <c r="H322" s="8">
        <f t="shared" si="40"/>
        <v>0</v>
      </c>
      <c r="I322" s="989"/>
      <c r="J322" s="8"/>
      <c r="K322" s="8"/>
      <c r="L322" s="8"/>
      <c r="M322" s="8">
        <f t="shared" si="38"/>
        <v>0</v>
      </c>
    </row>
    <row r="323" spans="1:13" s="215" customFormat="1" ht="18" hidden="1" x14ac:dyDescent="0.25">
      <c r="A323" s="1396"/>
      <c r="B323" s="304"/>
      <c r="C323" s="24" t="s">
        <v>1193</v>
      </c>
      <c r="D323" s="834" t="s">
        <v>52</v>
      </c>
      <c r="E323" s="2"/>
      <c r="F323" s="831"/>
      <c r="G323" s="989">
        <v>8</v>
      </c>
      <c r="H323" s="8">
        <f t="shared" si="40"/>
        <v>0</v>
      </c>
      <c r="I323" s="989"/>
      <c r="J323" s="8"/>
      <c r="K323" s="8"/>
      <c r="L323" s="8"/>
      <c r="M323" s="8">
        <f t="shared" si="38"/>
        <v>0</v>
      </c>
    </row>
    <row r="324" spans="1:13" s="215" customFormat="1" ht="18" hidden="1" x14ac:dyDescent="0.25">
      <c r="A324" s="1396"/>
      <c r="B324" s="304"/>
      <c r="C324" s="24" t="s">
        <v>1194</v>
      </c>
      <c r="D324" s="834" t="s">
        <v>52</v>
      </c>
      <c r="E324" s="2"/>
      <c r="F324" s="831"/>
      <c r="G324" s="989">
        <v>9</v>
      </c>
      <c r="H324" s="8">
        <f t="shared" si="40"/>
        <v>0</v>
      </c>
      <c r="I324" s="989"/>
      <c r="J324" s="8"/>
      <c r="K324" s="8"/>
      <c r="L324" s="8"/>
      <c r="M324" s="8">
        <f t="shared" si="38"/>
        <v>0</v>
      </c>
    </row>
    <row r="325" spans="1:13" s="215" customFormat="1" ht="18" hidden="1" x14ac:dyDescent="0.25">
      <c r="A325" s="1396"/>
      <c r="B325" s="304"/>
      <c r="C325" s="24" t="s">
        <v>1195</v>
      </c>
      <c r="D325" s="834" t="s">
        <v>52</v>
      </c>
      <c r="E325" s="2"/>
      <c r="F325" s="831"/>
      <c r="G325" s="989">
        <v>12</v>
      </c>
      <c r="H325" s="8">
        <f t="shared" si="40"/>
        <v>0</v>
      </c>
      <c r="I325" s="989"/>
      <c r="J325" s="8"/>
      <c r="K325" s="8"/>
      <c r="L325" s="8"/>
      <c r="M325" s="8">
        <f t="shared" si="38"/>
        <v>0</v>
      </c>
    </row>
    <row r="326" spans="1:13" s="215" customFormat="1" ht="18" hidden="1" x14ac:dyDescent="0.25">
      <c r="A326" s="1396"/>
      <c r="B326" s="304"/>
      <c r="C326" s="24" t="s">
        <v>1196</v>
      </c>
      <c r="D326" s="834" t="s">
        <v>52</v>
      </c>
      <c r="E326" s="2"/>
      <c r="F326" s="831"/>
      <c r="G326" s="989">
        <v>15</v>
      </c>
      <c r="H326" s="8">
        <f t="shared" si="40"/>
        <v>0</v>
      </c>
      <c r="I326" s="989"/>
      <c r="J326" s="8"/>
      <c r="K326" s="8"/>
      <c r="L326" s="8"/>
      <c r="M326" s="8">
        <f t="shared" si="38"/>
        <v>0</v>
      </c>
    </row>
    <row r="327" spans="1:13" s="215" customFormat="1" ht="18" hidden="1" x14ac:dyDescent="0.25">
      <c r="A327" s="1396"/>
      <c r="B327" s="304"/>
      <c r="C327" s="24" t="s">
        <v>1197</v>
      </c>
      <c r="D327" s="834" t="s">
        <v>52</v>
      </c>
      <c r="E327" s="2"/>
      <c r="F327" s="831"/>
      <c r="G327" s="989">
        <v>3.5</v>
      </c>
      <c r="H327" s="8">
        <f t="shared" si="40"/>
        <v>0</v>
      </c>
      <c r="I327" s="989"/>
      <c r="J327" s="8"/>
      <c r="K327" s="8"/>
      <c r="L327" s="8"/>
      <c r="M327" s="8">
        <f t="shared" si="38"/>
        <v>0</v>
      </c>
    </row>
    <row r="328" spans="1:13" s="215" customFormat="1" ht="18" hidden="1" x14ac:dyDescent="0.25">
      <c r="A328" s="1396"/>
      <c r="B328" s="304"/>
      <c r="C328" s="24" t="s">
        <v>1198</v>
      </c>
      <c r="D328" s="834" t="s">
        <v>52</v>
      </c>
      <c r="E328" s="2"/>
      <c r="F328" s="831"/>
      <c r="G328" s="989">
        <v>5</v>
      </c>
      <c r="H328" s="8">
        <f t="shared" si="40"/>
        <v>0</v>
      </c>
      <c r="I328" s="989"/>
      <c r="J328" s="8"/>
      <c r="K328" s="8"/>
      <c r="L328" s="8"/>
      <c r="M328" s="8">
        <f t="shared" si="38"/>
        <v>0</v>
      </c>
    </row>
    <row r="329" spans="1:13" s="215" customFormat="1" ht="18" hidden="1" x14ac:dyDescent="0.25">
      <c r="A329" s="1396"/>
      <c r="B329" s="304"/>
      <c r="C329" s="24" t="s">
        <v>1199</v>
      </c>
      <c r="D329" s="834" t="s">
        <v>52</v>
      </c>
      <c r="E329" s="2"/>
      <c r="F329" s="831"/>
      <c r="G329" s="989">
        <v>8</v>
      </c>
      <c r="H329" s="8">
        <f t="shared" si="40"/>
        <v>0</v>
      </c>
      <c r="I329" s="989"/>
      <c r="J329" s="8"/>
      <c r="K329" s="8"/>
      <c r="L329" s="8"/>
      <c r="M329" s="8">
        <f t="shared" si="38"/>
        <v>0</v>
      </c>
    </row>
    <row r="330" spans="1:13" s="215" customFormat="1" ht="18" hidden="1" x14ac:dyDescent="0.25">
      <c r="A330" s="1396"/>
      <c r="B330" s="304"/>
      <c r="C330" s="24" t="s">
        <v>1200</v>
      </c>
      <c r="D330" s="834" t="s">
        <v>52</v>
      </c>
      <c r="E330" s="2"/>
      <c r="F330" s="831"/>
      <c r="G330" s="989">
        <v>3.5</v>
      </c>
      <c r="H330" s="8">
        <f t="shared" si="40"/>
        <v>0</v>
      </c>
      <c r="I330" s="989"/>
      <c r="J330" s="8"/>
      <c r="K330" s="8"/>
      <c r="L330" s="8"/>
      <c r="M330" s="8">
        <f t="shared" si="38"/>
        <v>0</v>
      </c>
    </row>
    <row r="331" spans="1:13" s="215" customFormat="1" ht="18" hidden="1" x14ac:dyDescent="0.25">
      <c r="A331" s="1396"/>
      <c r="B331" s="304"/>
      <c r="C331" s="24" t="s">
        <v>1201</v>
      </c>
      <c r="D331" s="834" t="s">
        <v>52</v>
      </c>
      <c r="E331" s="2"/>
      <c r="F331" s="831"/>
      <c r="G331" s="989">
        <v>5</v>
      </c>
      <c r="H331" s="8">
        <f t="shared" si="40"/>
        <v>0</v>
      </c>
      <c r="I331" s="989"/>
      <c r="J331" s="8"/>
      <c r="K331" s="8"/>
      <c r="L331" s="8"/>
      <c r="M331" s="8">
        <f t="shared" si="38"/>
        <v>0</v>
      </c>
    </row>
    <row r="332" spans="1:13" s="215" customFormat="1" ht="18" hidden="1" x14ac:dyDescent="0.25">
      <c r="A332" s="1396"/>
      <c r="B332" s="304"/>
      <c r="C332" s="24" t="s">
        <v>1202</v>
      </c>
      <c r="D332" s="834" t="s">
        <v>52</v>
      </c>
      <c r="E332" s="2"/>
      <c r="F332" s="831"/>
      <c r="G332" s="989">
        <v>8</v>
      </c>
      <c r="H332" s="8">
        <f t="shared" si="40"/>
        <v>0</v>
      </c>
      <c r="I332" s="989"/>
      <c r="J332" s="8"/>
      <c r="K332" s="8"/>
      <c r="L332" s="8"/>
      <c r="M332" s="8">
        <f t="shared" si="38"/>
        <v>0</v>
      </c>
    </row>
    <row r="333" spans="1:13" s="215" customFormat="1" ht="18" hidden="1" x14ac:dyDescent="0.25">
      <c r="A333" s="1396"/>
      <c r="B333" s="304"/>
      <c r="C333" s="24" t="s">
        <v>1203</v>
      </c>
      <c r="D333" s="834" t="s">
        <v>52</v>
      </c>
      <c r="E333" s="2"/>
      <c r="F333" s="831"/>
      <c r="G333" s="989">
        <v>15</v>
      </c>
      <c r="H333" s="8">
        <f t="shared" si="40"/>
        <v>0</v>
      </c>
      <c r="I333" s="989"/>
      <c r="J333" s="8"/>
      <c r="K333" s="8"/>
      <c r="L333" s="8"/>
      <c r="M333" s="8">
        <f t="shared" si="38"/>
        <v>0</v>
      </c>
    </row>
    <row r="334" spans="1:13" s="215" customFormat="1" ht="18" hidden="1" x14ac:dyDescent="0.25">
      <c r="A334" s="1396"/>
      <c r="B334" s="304"/>
      <c r="C334" s="24" t="s">
        <v>1204</v>
      </c>
      <c r="D334" s="834" t="s">
        <v>52</v>
      </c>
      <c r="E334" s="2"/>
      <c r="F334" s="831"/>
      <c r="G334" s="989">
        <v>15</v>
      </c>
      <c r="H334" s="8">
        <f t="shared" si="40"/>
        <v>0</v>
      </c>
      <c r="I334" s="989"/>
      <c r="J334" s="8"/>
      <c r="K334" s="8"/>
      <c r="L334" s="8"/>
      <c r="M334" s="8">
        <f t="shared" si="38"/>
        <v>0</v>
      </c>
    </row>
    <row r="335" spans="1:13" s="215" customFormat="1" ht="15.75" hidden="1" x14ac:dyDescent="0.25">
      <c r="A335" s="1396"/>
      <c r="B335" s="304"/>
      <c r="C335" s="24" t="s">
        <v>1205</v>
      </c>
      <c r="D335" s="834" t="s">
        <v>52</v>
      </c>
      <c r="E335" s="2"/>
      <c r="F335" s="831"/>
      <c r="G335" s="989">
        <v>2.5</v>
      </c>
      <c r="H335" s="8">
        <f t="shared" si="40"/>
        <v>0</v>
      </c>
      <c r="I335" s="989"/>
      <c r="J335" s="8"/>
      <c r="K335" s="8"/>
      <c r="L335" s="8"/>
      <c r="M335" s="8">
        <f t="shared" si="38"/>
        <v>0</v>
      </c>
    </row>
    <row r="336" spans="1:13" s="215" customFormat="1" ht="15.75" hidden="1" x14ac:dyDescent="0.25">
      <c r="A336" s="1396"/>
      <c r="B336" s="304"/>
      <c r="C336" s="24" t="s">
        <v>1206</v>
      </c>
      <c r="D336" s="834" t="s">
        <v>52</v>
      </c>
      <c r="E336" s="2"/>
      <c r="F336" s="831"/>
      <c r="G336" s="989">
        <v>4</v>
      </c>
      <c r="H336" s="8">
        <f t="shared" si="40"/>
        <v>0</v>
      </c>
      <c r="I336" s="989"/>
      <c r="J336" s="8"/>
      <c r="K336" s="8"/>
      <c r="L336" s="8"/>
      <c r="M336" s="8">
        <f t="shared" si="38"/>
        <v>0</v>
      </c>
    </row>
    <row r="337" spans="1:13" s="215" customFormat="1" ht="15.75" hidden="1" x14ac:dyDescent="0.25">
      <c r="A337" s="1396"/>
      <c r="B337" s="304"/>
      <c r="C337" s="24" t="s">
        <v>1207</v>
      </c>
      <c r="D337" s="834" t="s">
        <v>52</v>
      </c>
      <c r="E337" s="2"/>
      <c r="F337" s="831"/>
      <c r="G337" s="989">
        <v>5</v>
      </c>
      <c r="H337" s="8">
        <f t="shared" si="40"/>
        <v>0</v>
      </c>
      <c r="I337" s="989"/>
      <c r="J337" s="8"/>
      <c r="K337" s="8"/>
      <c r="L337" s="8"/>
      <c r="M337" s="8">
        <f t="shared" si="38"/>
        <v>0</v>
      </c>
    </row>
    <row r="338" spans="1:13" s="215" customFormat="1" ht="15.75" hidden="1" x14ac:dyDescent="0.25">
      <c r="A338" s="1396"/>
      <c r="B338" s="304"/>
      <c r="C338" s="24" t="s">
        <v>1208</v>
      </c>
      <c r="D338" s="834" t="s">
        <v>52</v>
      </c>
      <c r="E338" s="2"/>
      <c r="F338" s="831"/>
      <c r="G338" s="989">
        <v>2.5</v>
      </c>
      <c r="H338" s="8">
        <f t="shared" si="40"/>
        <v>0</v>
      </c>
      <c r="I338" s="989"/>
      <c r="J338" s="8"/>
      <c r="K338" s="8"/>
      <c r="L338" s="8"/>
      <c r="M338" s="8">
        <f t="shared" si="38"/>
        <v>0</v>
      </c>
    </row>
    <row r="339" spans="1:13" s="215" customFormat="1" ht="15.75" hidden="1" x14ac:dyDescent="0.25">
      <c r="A339" s="1396"/>
      <c r="B339" s="304"/>
      <c r="C339" s="24" t="s">
        <v>1209</v>
      </c>
      <c r="D339" s="834" t="s">
        <v>52</v>
      </c>
      <c r="E339" s="2"/>
      <c r="F339" s="831"/>
      <c r="G339" s="989">
        <v>15</v>
      </c>
      <c r="H339" s="8">
        <f t="shared" si="40"/>
        <v>0</v>
      </c>
      <c r="I339" s="989"/>
      <c r="J339" s="8"/>
      <c r="K339" s="8"/>
      <c r="L339" s="8"/>
      <c r="M339" s="8">
        <f t="shared" si="38"/>
        <v>0</v>
      </c>
    </row>
    <row r="340" spans="1:13" s="215" customFormat="1" ht="31.5" hidden="1" x14ac:dyDescent="0.25">
      <c r="A340" s="1396"/>
      <c r="B340" s="304"/>
      <c r="C340" s="24" t="s">
        <v>1210</v>
      </c>
      <c r="D340" s="834" t="s">
        <v>52</v>
      </c>
      <c r="E340" s="2"/>
      <c r="F340" s="831"/>
      <c r="G340" s="989">
        <v>2</v>
      </c>
      <c r="H340" s="8">
        <f t="shared" si="40"/>
        <v>0</v>
      </c>
      <c r="I340" s="989"/>
      <c r="J340" s="8"/>
      <c r="K340" s="8"/>
      <c r="L340" s="8"/>
      <c r="M340" s="8">
        <f t="shared" si="38"/>
        <v>0</v>
      </c>
    </row>
    <row r="341" spans="1:13" s="215" customFormat="1" ht="31.5" hidden="1" x14ac:dyDescent="0.25">
      <c r="A341" s="1396"/>
      <c r="B341" s="304"/>
      <c r="C341" s="24" t="s">
        <v>1211</v>
      </c>
      <c r="D341" s="834" t="s">
        <v>52</v>
      </c>
      <c r="E341" s="2"/>
      <c r="F341" s="831"/>
      <c r="G341" s="8">
        <v>3.5</v>
      </c>
      <c r="H341" s="8">
        <f t="shared" ref="H341:H366" si="43">F341*G341</f>
        <v>0</v>
      </c>
      <c r="I341" s="989"/>
      <c r="J341" s="8"/>
      <c r="K341" s="8"/>
      <c r="L341" s="8"/>
      <c r="M341" s="8">
        <f t="shared" ref="M341:M366" si="44">H341+J341+L341</f>
        <v>0</v>
      </c>
    </row>
    <row r="342" spans="1:13" s="215" customFormat="1" ht="15.75" hidden="1" x14ac:dyDescent="0.25">
      <c r="A342" s="1396"/>
      <c r="B342" s="304"/>
      <c r="C342" s="24" t="s">
        <v>1141</v>
      </c>
      <c r="D342" s="834" t="s">
        <v>52</v>
      </c>
      <c r="E342" s="2"/>
      <c r="F342" s="831"/>
      <c r="G342" s="8">
        <v>2.5</v>
      </c>
      <c r="H342" s="8">
        <f t="shared" si="43"/>
        <v>0</v>
      </c>
      <c r="I342" s="989"/>
      <c r="J342" s="8"/>
      <c r="K342" s="8"/>
      <c r="L342" s="8"/>
      <c r="M342" s="8">
        <f t="shared" si="44"/>
        <v>0</v>
      </c>
    </row>
    <row r="343" spans="1:13" s="215" customFormat="1" ht="15.75" hidden="1" x14ac:dyDescent="0.25">
      <c r="A343" s="1396"/>
      <c r="B343" s="304"/>
      <c r="C343" s="24" t="s">
        <v>1212</v>
      </c>
      <c r="D343" s="834" t="s">
        <v>52</v>
      </c>
      <c r="E343" s="2"/>
      <c r="F343" s="831"/>
      <c r="G343" s="8">
        <v>4.5</v>
      </c>
      <c r="H343" s="8">
        <f t="shared" si="43"/>
        <v>0</v>
      </c>
      <c r="I343" s="989"/>
      <c r="J343" s="8"/>
      <c r="K343" s="8"/>
      <c r="L343" s="8"/>
      <c r="M343" s="8">
        <f t="shared" si="44"/>
        <v>0</v>
      </c>
    </row>
    <row r="344" spans="1:13" s="215" customFormat="1" ht="15.75" hidden="1" x14ac:dyDescent="0.25">
      <c r="A344" s="1396"/>
      <c r="B344" s="304"/>
      <c r="C344" s="24" t="s">
        <v>1213</v>
      </c>
      <c r="D344" s="834" t="s">
        <v>52</v>
      </c>
      <c r="E344" s="2"/>
      <c r="F344" s="831"/>
      <c r="G344" s="989">
        <v>10</v>
      </c>
      <c r="H344" s="8">
        <f t="shared" si="43"/>
        <v>0</v>
      </c>
      <c r="I344" s="989"/>
      <c r="J344" s="8"/>
      <c r="K344" s="8"/>
      <c r="L344" s="8"/>
      <c r="M344" s="8">
        <f t="shared" si="44"/>
        <v>0</v>
      </c>
    </row>
    <row r="345" spans="1:13" s="215" customFormat="1" ht="15.75" hidden="1" x14ac:dyDescent="0.25">
      <c r="A345" s="1396"/>
      <c r="B345" s="304"/>
      <c r="C345" s="24" t="s">
        <v>1214</v>
      </c>
      <c r="D345" s="834" t="s">
        <v>52</v>
      </c>
      <c r="E345" s="2"/>
      <c r="F345" s="831"/>
      <c r="G345" s="989">
        <v>12</v>
      </c>
      <c r="H345" s="8">
        <f t="shared" si="43"/>
        <v>0</v>
      </c>
      <c r="I345" s="989"/>
      <c r="J345" s="8"/>
      <c r="K345" s="8"/>
      <c r="L345" s="8"/>
      <c r="M345" s="8">
        <f t="shared" si="44"/>
        <v>0</v>
      </c>
    </row>
    <row r="346" spans="1:13" s="215" customFormat="1" ht="31.5" hidden="1" x14ac:dyDescent="0.25">
      <c r="A346" s="1396"/>
      <c r="B346" s="304"/>
      <c r="C346" s="24" t="s">
        <v>1215</v>
      </c>
      <c r="D346" s="834" t="s">
        <v>52</v>
      </c>
      <c r="E346" s="2"/>
      <c r="F346" s="831"/>
      <c r="G346" s="989">
        <v>10</v>
      </c>
      <c r="H346" s="8">
        <f t="shared" si="43"/>
        <v>0</v>
      </c>
      <c r="I346" s="989"/>
      <c r="J346" s="8"/>
      <c r="K346" s="8"/>
      <c r="L346" s="8"/>
      <c r="M346" s="8">
        <f t="shared" si="44"/>
        <v>0</v>
      </c>
    </row>
    <row r="347" spans="1:13" s="215" customFormat="1" ht="33.75" hidden="1" x14ac:dyDescent="0.25">
      <c r="A347" s="1396"/>
      <c r="B347" s="304"/>
      <c r="C347" s="24" t="s">
        <v>1216</v>
      </c>
      <c r="D347" s="834" t="s">
        <v>52</v>
      </c>
      <c r="E347" s="2"/>
      <c r="F347" s="831"/>
      <c r="G347" s="989">
        <v>10</v>
      </c>
      <c r="H347" s="8">
        <f t="shared" si="43"/>
        <v>0</v>
      </c>
      <c r="I347" s="989"/>
      <c r="J347" s="8"/>
      <c r="K347" s="8"/>
      <c r="L347" s="8"/>
      <c r="M347" s="8">
        <f t="shared" si="44"/>
        <v>0</v>
      </c>
    </row>
    <row r="348" spans="1:13" s="215" customFormat="1" ht="15.75" hidden="1" x14ac:dyDescent="0.25">
      <c r="A348" s="1396"/>
      <c r="B348" s="304"/>
      <c r="C348" s="24" t="s">
        <v>1149</v>
      </c>
      <c r="D348" s="834" t="s">
        <v>52</v>
      </c>
      <c r="E348" s="2"/>
      <c r="F348" s="831"/>
      <c r="G348" s="8">
        <v>1</v>
      </c>
      <c r="H348" s="8">
        <f t="shared" si="43"/>
        <v>0</v>
      </c>
      <c r="I348" s="989"/>
      <c r="J348" s="8"/>
      <c r="K348" s="8"/>
      <c r="L348" s="8"/>
      <c r="M348" s="8">
        <f t="shared" si="44"/>
        <v>0</v>
      </c>
    </row>
    <row r="349" spans="1:13" s="215" customFormat="1" ht="15.75" hidden="1" x14ac:dyDescent="0.25">
      <c r="A349" s="1396"/>
      <c r="B349" s="304"/>
      <c r="C349" s="24" t="s">
        <v>1217</v>
      </c>
      <c r="D349" s="834" t="s">
        <v>52</v>
      </c>
      <c r="E349" s="2"/>
      <c r="F349" s="831"/>
      <c r="G349" s="8">
        <v>2</v>
      </c>
      <c r="H349" s="8">
        <f t="shared" si="43"/>
        <v>0</v>
      </c>
      <c r="I349" s="989"/>
      <c r="J349" s="8"/>
      <c r="K349" s="8"/>
      <c r="L349" s="8"/>
      <c r="M349" s="8">
        <f t="shared" si="44"/>
        <v>0</v>
      </c>
    </row>
    <row r="350" spans="1:13" s="215" customFormat="1" ht="15.75" hidden="1" x14ac:dyDescent="0.25">
      <c r="A350" s="1396"/>
      <c r="B350" s="304"/>
      <c r="C350" s="24" t="s">
        <v>1151</v>
      </c>
      <c r="D350" s="834" t="s">
        <v>52</v>
      </c>
      <c r="E350" s="2"/>
      <c r="F350" s="831"/>
      <c r="G350" s="8">
        <v>0.5</v>
      </c>
      <c r="H350" s="8">
        <f t="shared" si="43"/>
        <v>0</v>
      </c>
      <c r="I350" s="989"/>
      <c r="J350" s="8"/>
      <c r="K350" s="8"/>
      <c r="L350" s="8"/>
      <c r="M350" s="8">
        <f t="shared" si="44"/>
        <v>0</v>
      </c>
    </row>
    <row r="351" spans="1:13" s="215" customFormat="1" ht="31.5" hidden="1" x14ac:dyDescent="0.25">
      <c r="A351" s="1396"/>
      <c r="B351" s="304"/>
      <c r="C351" s="24" t="s">
        <v>1218</v>
      </c>
      <c r="D351" s="834" t="s">
        <v>2</v>
      </c>
      <c r="E351" s="2"/>
      <c r="F351" s="831"/>
      <c r="G351" s="8">
        <v>3.5</v>
      </c>
      <c r="H351" s="8">
        <f t="shared" si="43"/>
        <v>0</v>
      </c>
      <c r="I351" s="989"/>
      <c r="J351" s="8"/>
      <c r="K351" s="8"/>
      <c r="L351" s="8"/>
      <c r="M351" s="8">
        <f t="shared" si="44"/>
        <v>0</v>
      </c>
    </row>
    <row r="352" spans="1:13" s="215" customFormat="1" ht="31.5" hidden="1" x14ac:dyDescent="0.25">
      <c r="A352" s="1396"/>
      <c r="B352" s="304"/>
      <c r="C352" s="24" t="s">
        <v>1219</v>
      </c>
      <c r="D352" s="834" t="s">
        <v>52</v>
      </c>
      <c r="E352" s="2"/>
      <c r="F352" s="831"/>
      <c r="G352" s="8">
        <v>8</v>
      </c>
      <c r="H352" s="8">
        <f t="shared" si="43"/>
        <v>0</v>
      </c>
      <c r="I352" s="989"/>
      <c r="J352" s="8"/>
      <c r="K352" s="8"/>
      <c r="L352" s="8"/>
      <c r="M352" s="8">
        <f t="shared" si="44"/>
        <v>0</v>
      </c>
    </row>
    <row r="353" spans="1:15" s="215" customFormat="1" ht="47.25" hidden="1" x14ac:dyDescent="0.25">
      <c r="A353" s="1396"/>
      <c r="B353" s="304"/>
      <c r="C353" s="24" t="s">
        <v>1220</v>
      </c>
      <c r="D353" s="834" t="s">
        <v>52</v>
      </c>
      <c r="E353" s="2"/>
      <c r="F353" s="831"/>
      <c r="G353" s="8">
        <v>7</v>
      </c>
      <c r="H353" s="8">
        <f t="shared" si="43"/>
        <v>0</v>
      </c>
      <c r="I353" s="989"/>
      <c r="J353" s="8"/>
      <c r="K353" s="8"/>
      <c r="L353" s="8"/>
      <c r="M353" s="8">
        <f t="shared" si="44"/>
        <v>0</v>
      </c>
    </row>
    <row r="354" spans="1:15" s="215" customFormat="1" ht="31.5" hidden="1" x14ac:dyDescent="0.25">
      <c r="A354" s="1396"/>
      <c r="B354" s="304"/>
      <c r="C354" s="24" t="s">
        <v>1221</v>
      </c>
      <c r="D354" s="834" t="s">
        <v>52</v>
      </c>
      <c r="E354" s="2"/>
      <c r="F354" s="831"/>
      <c r="G354" s="8">
        <v>20</v>
      </c>
      <c r="H354" s="8">
        <f t="shared" si="43"/>
        <v>0</v>
      </c>
      <c r="I354" s="989"/>
      <c r="J354" s="8"/>
      <c r="K354" s="8"/>
      <c r="L354" s="8"/>
      <c r="M354" s="8">
        <f t="shared" si="44"/>
        <v>0</v>
      </c>
    </row>
    <row r="355" spans="1:15" s="215" customFormat="1" ht="15.75" hidden="1" x14ac:dyDescent="0.25">
      <c r="A355" s="1396"/>
      <c r="B355" s="304"/>
      <c r="C355" s="24" t="s">
        <v>1187</v>
      </c>
      <c r="D355" s="1103" t="s">
        <v>52</v>
      </c>
      <c r="E355" s="2"/>
      <c r="F355" s="1093">
        <f>F315</f>
        <v>0</v>
      </c>
      <c r="G355" s="8"/>
      <c r="H355" s="8"/>
      <c r="I355" s="989"/>
      <c r="J355" s="8"/>
      <c r="K355" s="8"/>
      <c r="L355" s="8"/>
      <c r="M355" s="8"/>
    </row>
    <row r="356" spans="1:15" s="215" customFormat="1" ht="15.75" hidden="1" x14ac:dyDescent="0.25">
      <c r="A356" s="1397"/>
      <c r="B356" s="304"/>
      <c r="C356" s="26" t="s">
        <v>50</v>
      </c>
      <c r="D356" s="835" t="s">
        <v>1005</v>
      </c>
      <c r="E356" s="524">
        <f>(0.24+0.24+0.24)/3/10</f>
        <v>2.4E-2</v>
      </c>
      <c r="F356" s="831">
        <f>F315*E356</f>
        <v>0</v>
      </c>
      <c r="G356" s="989">
        <v>4</v>
      </c>
      <c r="H356" s="8">
        <f t="shared" si="43"/>
        <v>0</v>
      </c>
      <c r="I356" s="989"/>
      <c r="J356" s="8"/>
      <c r="K356" s="989"/>
      <c r="L356" s="8"/>
      <c r="M356" s="8">
        <f t="shared" si="44"/>
        <v>0</v>
      </c>
    </row>
    <row r="357" spans="1:15" s="215" customFormat="1" ht="15.75" hidden="1" x14ac:dyDescent="0.25">
      <c r="A357" s="1259" t="s">
        <v>671</v>
      </c>
      <c r="B357" s="985" t="s">
        <v>1155</v>
      </c>
      <c r="C357" s="307" t="s">
        <v>1156</v>
      </c>
      <c r="D357" s="304" t="s">
        <v>1157</v>
      </c>
      <c r="E357" s="987"/>
      <c r="F357" s="1154">
        <v>0</v>
      </c>
      <c r="G357" s="828"/>
      <c r="H357" s="8"/>
      <c r="I357" s="8"/>
      <c r="J357" s="8"/>
      <c r="K357" s="8"/>
      <c r="L357" s="8"/>
      <c r="M357" s="8"/>
      <c r="O357" s="215">
        <v>4</v>
      </c>
    </row>
    <row r="358" spans="1:15" s="215" customFormat="1" ht="15.75" hidden="1" x14ac:dyDescent="0.25">
      <c r="A358" s="1260"/>
      <c r="B358" s="304"/>
      <c r="C358" s="999" t="s">
        <v>36</v>
      </c>
      <c r="D358" s="1000" t="s">
        <v>14</v>
      </c>
      <c r="E358" s="1001">
        <v>1.002</v>
      </c>
      <c r="F358" s="1002">
        <f>F357*E358</f>
        <v>0</v>
      </c>
      <c r="G358" s="828"/>
      <c r="H358" s="8"/>
      <c r="I358" s="8">
        <v>4.5999999999999996</v>
      </c>
      <c r="J358" s="8">
        <f t="shared" ref="J358:J361" si="45">F358*I358</f>
        <v>0</v>
      </c>
      <c r="K358" s="8"/>
      <c r="L358" s="8"/>
      <c r="M358" s="8">
        <f t="shared" si="44"/>
        <v>0</v>
      </c>
    </row>
    <row r="359" spans="1:15" s="215" customFormat="1" ht="15.75" hidden="1" x14ac:dyDescent="0.25">
      <c r="A359" s="1261"/>
      <c r="B359" s="304"/>
      <c r="C359" s="999" t="s">
        <v>1001</v>
      </c>
      <c r="D359" s="1000" t="s">
        <v>4</v>
      </c>
      <c r="E359" s="1001">
        <v>0.49340000000000001</v>
      </c>
      <c r="F359" s="1002">
        <f>F357*E359</f>
        <v>0</v>
      </c>
      <c r="G359" s="828"/>
      <c r="H359" s="8"/>
      <c r="I359" s="8"/>
      <c r="J359" s="8"/>
      <c r="K359" s="8">
        <v>4</v>
      </c>
      <c r="L359" s="8">
        <f t="shared" ref="L359:L362" si="46">F359*K359</f>
        <v>0</v>
      </c>
      <c r="M359" s="8">
        <f t="shared" si="44"/>
        <v>0</v>
      </c>
    </row>
    <row r="360" spans="1:15" s="215" customFormat="1" ht="31.5" hidden="1" x14ac:dyDescent="0.25">
      <c r="A360" s="1259" t="s">
        <v>676</v>
      </c>
      <c r="B360" s="985" t="s">
        <v>1158</v>
      </c>
      <c r="C360" s="307" t="s">
        <v>1159</v>
      </c>
      <c r="D360" s="835" t="s">
        <v>47</v>
      </c>
      <c r="E360" s="1015">
        <f>0.12*0.12</f>
        <v>1.44E-2</v>
      </c>
      <c r="F360" s="499">
        <f>F357*E360</f>
        <v>0</v>
      </c>
      <c r="G360" s="828"/>
      <c r="H360" s="8"/>
      <c r="I360" s="8"/>
      <c r="J360" s="8"/>
      <c r="K360" s="8"/>
      <c r="L360" s="8"/>
      <c r="M360" s="8">
        <f t="shared" si="44"/>
        <v>0</v>
      </c>
    </row>
    <row r="361" spans="1:15" s="215" customFormat="1" ht="27" hidden="1" x14ac:dyDescent="0.25">
      <c r="A361" s="1260"/>
      <c r="B361" s="304"/>
      <c r="C361" s="671" t="s">
        <v>54</v>
      </c>
      <c r="D361" s="672" t="s">
        <v>6</v>
      </c>
      <c r="E361" s="1007">
        <v>74.2</v>
      </c>
      <c r="F361" s="46">
        <f>F360*E361</f>
        <v>0</v>
      </c>
      <c r="G361" s="19"/>
      <c r="H361" s="8"/>
      <c r="I361" s="8">
        <v>4.5999999999999996</v>
      </c>
      <c r="J361" s="8">
        <f t="shared" si="45"/>
        <v>0</v>
      </c>
      <c r="K361" s="8"/>
      <c r="L361" s="8"/>
      <c r="M361" s="8">
        <f t="shared" si="44"/>
        <v>0</v>
      </c>
    </row>
    <row r="362" spans="1:15" s="215" customFormat="1" ht="15.75" hidden="1" x14ac:dyDescent="0.25">
      <c r="A362" s="1260"/>
      <c r="B362" s="304"/>
      <c r="C362" s="671" t="s">
        <v>1160</v>
      </c>
      <c r="D362" s="48" t="s">
        <v>4</v>
      </c>
      <c r="E362" s="1007">
        <v>1.1000000000000001</v>
      </c>
      <c r="F362" s="46">
        <f>F360*E362</f>
        <v>0</v>
      </c>
      <c r="G362" s="19"/>
      <c r="H362" s="8"/>
      <c r="I362" s="8"/>
      <c r="J362" s="8"/>
      <c r="K362" s="8">
        <v>4</v>
      </c>
      <c r="L362" s="8">
        <f t="shared" si="46"/>
        <v>0</v>
      </c>
      <c r="M362" s="8">
        <f t="shared" si="44"/>
        <v>0</v>
      </c>
    </row>
    <row r="363" spans="1:15" s="215" customFormat="1" ht="31.5" hidden="1" x14ac:dyDescent="0.25">
      <c r="A363" s="1260"/>
      <c r="B363" s="304"/>
      <c r="C363" s="295" t="s">
        <v>1161</v>
      </c>
      <c r="D363" s="672" t="s">
        <v>37</v>
      </c>
      <c r="E363" s="1007">
        <v>1.04</v>
      </c>
      <c r="F363" s="46">
        <f>F360*E363</f>
        <v>0</v>
      </c>
      <c r="G363" s="19">
        <v>131</v>
      </c>
      <c r="H363" s="8">
        <f t="shared" si="43"/>
        <v>0</v>
      </c>
      <c r="I363" s="8"/>
      <c r="J363" s="8"/>
      <c r="K363" s="8"/>
      <c r="L363" s="8"/>
      <c r="M363" s="8">
        <f t="shared" si="44"/>
        <v>0</v>
      </c>
    </row>
    <row r="364" spans="1:15" s="215" customFormat="1" ht="15.75" hidden="1" x14ac:dyDescent="0.25">
      <c r="A364" s="1260"/>
      <c r="B364" s="304"/>
      <c r="C364" s="671" t="s">
        <v>1162</v>
      </c>
      <c r="D364" s="672" t="s">
        <v>2</v>
      </c>
      <c r="E364" s="1007">
        <v>5.9</v>
      </c>
      <c r="F364" s="46">
        <f>F360*E364</f>
        <v>0</v>
      </c>
      <c r="G364" s="19">
        <v>2.2999999999999998</v>
      </c>
      <c r="H364" s="8">
        <f t="shared" si="43"/>
        <v>0</v>
      </c>
      <c r="I364" s="8"/>
      <c r="J364" s="8"/>
      <c r="K364" s="8"/>
      <c r="L364" s="8"/>
      <c r="M364" s="8">
        <f t="shared" si="44"/>
        <v>0</v>
      </c>
    </row>
    <row r="365" spans="1:15" s="215" customFormat="1" ht="15.75" hidden="1" x14ac:dyDescent="0.25">
      <c r="A365" s="1260"/>
      <c r="B365" s="304"/>
      <c r="C365" s="671" t="s">
        <v>39</v>
      </c>
      <c r="D365" s="672" t="s">
        <v>37</v>
      </c>
      <c r="E365" s="1007">
        <f>0.21+0.18</f>
        <v>0.39</v>
      </c>
      <c r="F365" s="46">
        <f>F360*E365</f>
        <v>0</v>
      </c>
      <c r="G365" s="19">
        <v>542</v>
      </c>
      <c r="H365" s="8">
        <f t="shared" si="43"/>
        <v>0</v>
      </c>
      <c r="I365" s="8"/>
      <c r="J365" s="8"/>
      <c r="K365" s="8"/>
      <c r="L365" s="8"/>
      <c r="M365" s="8">
        <f t="shared" si="44"/>
        <v>0</v>
      </c>
    </row>
    <row r="366" spans="1:15" s="215" customFormat="1" ht="15.75" hidden="1" x14ac:dyDescent="0.25">
      <c r="A366" s="1261"/>
      <c r="B366" s="304"/>
      <c r="C366" s="671" t="s">
        <v>50</v>
      </c>
      <c r="D366" s="48" t="s">
        <v>4</v>
      </c>
      <c r="E366" s="1007">
        <v>0</v>
      </c>
      <c r="F366" s="46">
        <f>F360*E366</f>
        <v>0</v>
      </c>
      <c r="G366" s="19">
        <v>4</v>
      </c>
      <c r="H366" s="8">
        <f t="shared" si="43"/>
        <v>0</v>
      </c>
      <c r="I366" s="8"/>
      <c r="J366" s="8"/>
      <c r="K366" s="8"/>
      <c r="L366" s="8"/>
      <c r="M366" s="8">
        <f t="shared" si="44"/>
        <v>0</v>
      </c>
    </row>
    <row r="367" spans="1:15" s="215" customFormat="1" ht="15.75" hidden="1" x14ac:dyDescent="0.25">
      <c r="A367" s="1016"/>
      <c r="B367" s="304"/>
      <c r="C367" s="26"/>
      <c r="D367" s="835"/>
      <c r="E367" s="524"/>
      <c r="F367" s="831"/>
      <c r="G367" s="828"/>
      <c r="H367" s="8"/>
      <c r="I367" s="989"/>
      <c r="J367" s="8"/>
      <c r="K367" s="989"/>
      <c r="L367" s="8"/>
      <c r="M367" s="223"/>
    </row>
    <row r="368" spans="1:15" s="215" customFormat="1" ht="15.75" x14ac:dyDescent="0.25">
      <c r="A368" s="1016"/>
      <c r="B368" s="304"/>
      <c r="C368" s="26"/>
      <c r="D368" s="835"/>
      <c r="E368" s="524"/>
      <c r="F368" s="831"/>
      <c r="G368" s="828"/>
      <c r="H368" s="8"/>
      <c r="I368" s="989"/>
      <c r="J368" s="8"/>
      <c r="K368" s="989"/>
      <c r="L368" s="8"/>
      <c r="M368" s="223"/>
    </row>
    <row r="369" spans="1:14" s="215" customFormat="1" ht="31.5" x14ac:dyDescent="0.25">
      <c r="A369" s="1017"/>
      <c r="B369" s="1018"/>
      <c r="C369" s="972" t="s">
        <v>993</v>
      </c>
      <c r="D369" s="121"/>
      <c r="E369" s="961"/>
      <c r="F369" s="122"/>
      <c r="G369" s="962"/>
      <c r="H369" s="975">
        <f>SUM(H12:H368)</f>
        <v>0</v>
      </c>
      <c r="I369" s="975"/>
      <c r="J369" s="975">
        <f>SUM(J12:J368)</f>
        <v>0</v>
      </c>
      <c r="K369" s="975"/>
      <c r="L369" s="975">
        <f>SUM(L12:L368)</f>
        <v>0</v>
      </c>
      <c r="M369" s="975">
        <f>SUM(M12:M368)</f>
        <v>0</v>
      </c>
      <c r="N369" s="216">
        <f>H369+J369+L369</f>
        <v>0</v>
      </c>
    </row>
    <row r="370" spans="1:14" s="215" customFormat="1" ht="47.25" x14ac:dyDescent="0.25">
      <c r="A370" s="1019"/>
      <c r="B370" s="585"/>
      <c r="C370" s="963" t="s">
        <v>994</v>
      </c>
      <c r="D370" s="585"/>
      <c r="E370" s="964"/>
      <c r="F370" s="1432"/>
      <c r="G370" s="64"/>
      <c r="H370" s="64"/>
      <c r="I370" s="64"/>
      <c r="J370" s="64"/>
      <c r="K370" s="64"/>
      <c r="L370" s="64"/>
      <c r="M370" s="832">
        <f>H369*F370</f>
        <v>0</v>
      </c>
    </row>
    <row r="371" spans="1:14" s="215" customFormat="1" ht="15.75" x14ac:dyDescent="0.25">
      <c r="A371" s="1019"/>
      <c r="B371" s="585"/>
      <c r="C371" s="965" t="s">
        <v>19</v>
      </c>
      <c r="D371" s="585"/>
      <c r="E371" s="964"/>
      <c r="F371" s="63"/>
      <c r="G371" s="64"/>
      <c r="H371" s="64"/>
      <c r="I371" s="64"/>
      <c r="J371" s="88"/>
      <c r="K371" s="64"/>
      <c r="L371" s="64"/>
      <c r="M371" s="832">
        <f>M369+M370</f>
        <v>0</v>
      </c>
    </row>
    <row r="372" spans="1:14" s="215" customFormat="1" ht="15.75" x14ac:dyDescent="0.25">
      <c r="A372" s="825"/>
      <c r="B372" s="834"/>
      <c r="C372" s="966" t="s">
        <v>302</v>
      </c>
      <c r="D372" s="834"/>
      <c r="E372" s="2"/>
      <c r="F372" s="1432"/>
      <c r="G372" s="223"/>
      <c r="H372" s="223"/>
      <c r="I372" s="223"/>
      <c r="J372" s="223"/>
      <c r="K372" s="223"/>
      <c r="L372" s="223"/>
      <c r="M372" s="223">
        <f>M369*F372</f>
        <v>0</v>
      </c>
    </row>
    <row r="373" spans="1:14" s="215" customFormat="1" ht="15.75" x14ac:dyDescent="0.25">
      <c r="A373" s="825"/>
      <c r="B373" s="834"/>
      <c r="C373" s="965" t="s">
        <v>19</v>
      </c>
      <c r="D373" s="834"/>
      <c r="E373" s="2"/>
      <c r="F373" s="840"/>
      <c r="G373" s="223"/>
      <c r="H373" s="223"/>
      <c r="I373" s="223"/>
      <c r="J373" s="223"/>
      <c r="K373" s="223"/>
      <c r="L373" s="223"/>
      <c r="M373" s="223">
        <f>M371+M372</f>
        <v>0</v>
      </c>
    </row>
    <row r="374" spans="1:14" s="215" customFormat="1" ht="15.75" x14ac:dyDescent="0.25">
      <c r="A374" s="825"/>
      <c r="B374" s="834"/>
      <c r="C374" s="966" t="s">
        <v>78</v>
      </c>
      <c r="D374" s="834"/>
      <c r="E374" s="2"/>
      <c r="F374" s="1432"/>
      <c r="G374" s="223"/>
      <c r="H374" s="223"/>
      <c r="I374" s="223"/>
      <c r="J374" s="223"/>
      <c r="K374" s="223"/>
      <c r="L374" s="223"/>
      <c r="M374" s="223">
        <f>M373*F374</f>
        <v>0</v>
      </c>
    </row>
    <row r="375" spans="1:14" s="215" customFormat="1" ht="19.5" customHeight="1" x14ac:dyDescent="0.25">
      <c r="A375" s="1021"/>
      <c r="B375" s="967"/>
      <c r="C375" s="972" t="s">
        <v>1222</v>
      </c>
      <c r="D375" s="967"/>
      <c r="E375" s="968"/>
      <c r="F375" s="969"/>
      <c r="G375" s="970"/>
      <c r="H375" s="970"/>
      <c r="I375" s="970"/>
      <c r="J375" s="970"/>
      <c r="K375" s="970"/>
      <c r="L375" s="970"/>
      <c r="M375" s="975">
        <f>M373+M374</f>
        <v>0</v>
      </c>
    </row>
    <row r="376" spans="1:14" s="215" customFormat="1" ht="15.75" x14ac:dyDescent="0.25">
      <c r="A376" s="1016"/>
      <c r="B376" s="985"/>
      <c r="C376" s="62"/>
      <c r="D376" s="484"/>
      <c r="E376" s="10"/>
      <c r="F376" s="23"/>
      <c r="G376" s="916"/>
      <c r="H376" s="350"/>
      <c r="I376" s="988"/>
      <c r="J376" s="350"/>
      <c r="K376" s="988"/>
      <c r="L376" s="350"/>
      <c r="M376" s="350"/>
    </row>
    <row r="377" spans="1:14" s="215" customFormat="1" ht="31.5" x14ac:dyDescent="0.25">
      <c r="A377" s="980" t="s">
        <v>9</v>
      </c>
      <c r="B377" s="981"/>
      <c r="C377" s="1009" t="s">
        <v>1223</v>
      </c>
      <c r="D377" s="1022" t="s">
        <v>41</v>
      </c>
      <c r="E377" s="983"/>
      <c r="F377" s="1023">
        <v>30</v>
      </c>
      <c r="G377" s="40"/>
      <c r="H377" s="8"/>
      <c r="I377" s="1024"/>
      <c r="J377" s="8"/>
      <c r="K377" s="32"/>
      <c r="L377" s="8"/>
      <c r="M377" s="223"/>
    </row>
    <row r="378" spans="1:14" s="215" customFormat="1" ht="47.25" hidden="1" x14ac:dyDescent="0.25">
      <c r="A378" s="1398" t="s">
        <v>1011</v>
      </c>
      <c r="B378" s="108" t="s">
        <v>565</v>
      </c>
      <c r="C378" s="1025" t="s">
        <v>1224</v>
      </c>
      <c r="D378" s="1026" t="s">
        <v>1225</v>
      </c>
      <c r="E378" s="1027"/>
      <c r="F378" s="23">
        <v>0</v>
      </c>
      <c r="G378" s="106"/>
      <c r="H378" s="8"/>
      <c r="I378" s="106"/>
      <c r="J378" s="8"/>
      <c r="K378" s="106"/>
      <c r="L378" s="8"/>
      <c r="M378" s="8"/>
    </row>
    <row r="379" spans="1:14" s="215" customFormat="1" ht="15.75" hidden="1" x14ac:dyDescent="0.25">
      <c r="A379" s="1399"/>
      <c r="B379" s="110"/>
      <c r="C379" s="105" t="s">
        <v>36</v>
      </c>
      <c r="D379" s="839" t="s">
        <v>29</v>
      </c>
      <c r="E379" s="245">
        <v>20</v>
      </c>
      <c r="F379" s="109">
        <f>E379*F378</f>
        <v>0</v>
      </c>
      <c r="G379" s="40"/>
      <c r="H379" s="8"/>
      <c r="I379" s="40">
        <v>6</v>
      </c>
      <c r="J379" s="8">
        <f t="shared" ref="J379:J468" si="47">F379*I379</f>
        <v>0</v>
      </c>
      <c r="K379" s="32"/>
      <c r="L379" s="8"/>
      <c r="M379" s="8">
        <f t="shared" ref="M379:M464" si="48">H379+J379+L379</f>
        <v>0</v>
      </c>
    </row>
    <row r="380" spans="1:14" s="215" customFormat="1" ht="27" hidden="1" x14ac:dyDescent="0.25">
      <c r="A380" s="1399"/>
      <c r="B380" s="110" t="s">
        <v>568</v>
      </c>
      <c r="C380" s="105" t="s">
        <v>1226</v>
      </c>
      <c r="D380" s="839" t="s">
        <v>43</v>
      </c>
      <c r="E380" s="245">
        <v>44.8</v>
      </c>
      <c r="F380" s="109">
        <f>F378*E380</f>
        <v>0</v>
      </c>
      <c r="G380" s="40"/>
      <c r="H380" s="8"/>
      <c r="I380" s="828"/>
      <c r="J380" s="8"/>
      <c r="K380" s="32">
        <v>19.71</v>
      </c>
      <c r="L380" s="8">
        <f t="shared" ref="L380:L455" si="49">F380*K380</f>
        <v>0</v>
      </c>
      <c r="M380" s="8">
        <f t="shared" si="48"/>
        <v>0</v>
      </c>
    </row>
    <row r="381" spans="1:14" s="215" customFormat="1" ht="15.75" hidden="1" x14ac:dyDescent="0.25">
      <c r="A381" s="1399"/>
      <c r="B381" s="110"/>
      <c r="C381" s="105" t="s">
        <v>5</v>
      </c>
      <c r="D381" s="839" t="s">
        <v>4</v>
      </c>
      <c r="E381" s="245">
        <v>2.1</v>
      </c>
      <c r="F381" s="109">
        <f>F378*E381</f>
        <v>0</v>
      </c>
      <c r="G381" s="40"/>
      <c r="H381" s="8"/>
      <c r="I381" s="828"/>
      <c r="J381" s="8"/>
      <c r="K381" s="32">
        <v>4</v>
      </c>
      <c r="L381" s="8">
        <f t="shared" si="49"/>
        <v>0</v>
      </c>
      <c r="M381" s="8">
        <f t="shared" si="48"/>
        <v>0</v>
      </c>
    </row>
    <row r="382" spans="1:14" s="215" customFormat="1" ht="15.75" hidden="1" x14ac:dyDescent="0.25">
      <c r="A382" s="1400"/>
      <c r="B382" s="110"/>
      <c r="C382" s="105" t="s">
        <v>30</v>
      </c>
      <c r="D382" s="839" t="s">
        <v>37</v>
      </c>
      <c r="E382" s="245">
        <v>0.05</v>
      </c>
      <c r="F382" s="109">
        <f>F378*E382</f>
        <v>0</v>
      </c>
      <c r="G382" s="40">
        <v>16.899999999999999</v>
      </c>
      <c r="H382" s="8">
        <f t="shared" ref="H382:H471" si="50">F382*G382</f>
        <v>0</v>
      </c>
      <c r="I382" s="828"/>
      <c r="J382" s="8"/>
      <c r="K382" s="32"/>
      <c r="L382" s="8"/>
      <c r="M382" s="8">
        <f t="shared" si="48"/>
        <v>0</v>
      </c>
    </row>
    <row r="383" spans="1:14" s="215" customFormat="1" ht="15.75" x14ac:dyDescent="0.25">
      <c r="A383" s="1398" t="s">
        <v>93</v>
      </c>
      <c r="B383" s="484" t="s">
        <v>59</v>
      </c>
      <c r="C383" s="531" t="s">
        <v>1227</v>
      </c>
      <c r="D383" s="933" t="s">
        <v>37</v>
      </c>
      <c r="E383" s="1027"/>
      <c r="F383" s="23">
        <f>0.7*1*F377</f>
        <v>21</v>
      </c>
      <c r="G383" s="40"/>
      <c r="H383" s="8"/>
      <c r="I383" s="8"/>
      <c r="J383" s="8"/>
      <c r="K383" s="32"/>
      <c r="L383" s="8"/>
      <c r="M383" s="8"/>
    </row>
    <row r="384" spans="1:14" s="215" customFormat="1" ht="15.75" x14ac:dyDescent="0.25">
      <c r="A384" s="1400"/>
      <c r="B384" s="484"/>
      <c r="C384" s="26" t="s">
        <v>13</v>
      </c>
      <c r="D384" s="835" t="s">
        <v>14</v>
      </c>
      <c r="E384" s="524">
        <v>2.06</v>
      </c>
      <c r="F384" s="831">
        <f>E384*F383</f>
        <v>43.26</v>
      </c>
      <c r="G384" s="828"/>
      <c r="H384" s="8"/>
      <c r="I384" s="828"/>
      <c r="J384" s="8">
        <f t="shared" si="47"/>
        <v>0</v>
      </c>
      <c r="K384" s="828"/>
      <c r="L384" s="8"/>
      <c r="M384" s="8">
        <f t="shared" si="48"/>
        <v>0</v>
      </c>
    </row>
    <row r="385" spans="1:13" s="215" customFormat="1" ht="63" x14ac:dyDescent="0.25">
      <c r="A385" s="1401" t="s">
        <v>72</v>
      </c>
      <c r="B385" s="601" t="s">
        <v>112</v>
      </c>
      <c r="C385" s="1028" t="s">
        <v>1228</v>
      </c>
      <c r="D385" s="601" t="s">
        <v>32</v>
      </c>
      <c r="E385" s="1029"/>
      <c r="F385" s="23">
        <f>0.7*0.2*F377</f>
        <v>4.1999999999999993</v>
      </c>
      <c r="G385" s="101"/>
      <c r="H385" s="8"/>
      <c r="I385" s="32"/>
      <c r="J385" s="8"/>
      <c r="K385" s="32"/>
      <c r="L385" s="8"/>
      <c r="M385" s="8"/>
    </row>
    <row r="386" spans="1:13" s="215" customFormat="1" ht="27" x14ac:dyDescent="0.25">
      <c r="A386" s="1401"/>
      <c r="B386" s="622"/>
      <c r="C386" s="299" t="s">
        <v>13</v>
      </c>
      <c r="D386" s="622" t="s">
        <v>6</v>
      </c>
      <c r="E386" s="615">
        <f>18/10</f>
        <v>1.8</v>
      </c>
      <c r="F386" s="831">
        <f>E386*F385</f>
        <v>7.5599999999999987</v>
      </c>
      <c r="G386" s="32"/>
      <c r="H386" s="8"/>
      <c r="I386" s="32"/>
      <c r="J386" s="8">
        <f t="shared" si="47"/>
        <v>0</v>
      </c>
      <c r="K386" s="32"/>
      <c r="L386" s="8"/>
      <c r="M386" s="8">
        <f t="shared" si="48"/>
        <v>0</v>
      </c>
    </row>
    <row r="387" spans="1:13" s="215" customFormat="1" ht="15.75" x14ac:dyDescent="0.25">
      <c r="A387" s="1401"/>
      <c r="B387" s="622"/>
      <c r="C387" s="299" t="s">
        <v>114</v>
      </c>
      <c r="D387" s="622" t="s">
        <v>29</v>
      </c>
      <c r="E387" s="615">
        <v>1.1000000000000001</v>
      </c>
      <c r="F387" s="831">
        <f>F385*E387</f>
        <v>4.6199999999999992</v>
      </c>
      <c r="G387" s="32"/>
      <c r="H387" s="8">
        <f t="shared" si="50"/>
        <v>0</v>
      </c>
      <c r="I387" s="32"/>
      <c r="J387" s="8"/>
      <c r="K387" s="32"/>
      <c r="L387" s="8"/>
      <c r="M387" s="8">
        <f t="shared" si="48"/>
        <v>0</v>
      </c>
    </row>
    <row r="388" spans="1:13" s="215" customFormat="1" ht="47.25" x14ac:dyDescent="0.25">
      <c r="A388" s="1401" t="s">
        <v>94</v>
      </c>
      <c r="B388" s="1030" t="s">
        <v>63</v>
      </c>
      <c r="C388" s="1031" t="s">
        <v>1229</v>
      </c>
      <c r="D388" s="601" t="s">
        <v>32</v>
      </c>
      <c r="E388" s="1032"/>
      <c r="F388" s="23">
        <f>0.7*(1-0.2)*F377</f>
        <v>16.799999999999997</v>
      </c>
      <c r="G388" s="101"/>
      <c r="H388" s="8"/>
      <c r="I388" s="101"/>
      <c r="J388" s="8"/>
      <c r="K388" s="101"/>
      <c r="L388" s="8"/>
      <c r="M388" s="8"/>
    </row>
    <row r="389" spans="1:13" s="215" customFormat="1" ht="27" x14ac:dyDescent="0.25">
      <c r="A389" s="1401"/>
      <c r="B389" s="622"/>
      <c r="C389" s="299" t="s">
        <v>13</v>
      </c>
      <c r="D389" s="622" t="s">
        <v>6</v>
      </c>
      <c r="E389" s="615">
        <v>1.21</v>
      </c>
      <c r="F389" s="831">
        <f>E389*F388</f>
        <v>20.327999999999996</v>
      </c>
      <c r="G389" s="32"/>
      <c r="H389" s="8"/>
      <c r="I389" s="32"/>
      <c r="J389" s="8">
        <f t="shared" si="47"/>
        <v>0</v>
      </c>
      <c r="K389" s="32"/>
      <c r="L389" s="8"/>
      <c r="M389" s="8">
        <f t="shared" si="48"/>
        <v>0</v>
      </c>
    </row>
    <row r="390" spans="1:13" s="215" customFormat="1" ht="47.25" x14ac:dyDescent="0.25">
      <c r="A390" s="1259" t="s">
        <v>87</v>
      </c>
      <c r="B390" s="1033" t="s">
        <v>91</v>
      </c>
      <c r="C390" s="1034" t="s">
        <v>269</v>
      </c>
      <c r="D390" s="275" t="s">
        <v>294</v>
      </c>
      <c r="E390" s="276"/>
      <c r="F390" s="277">
        <f>F391*1.95</f>
        <v>14.332499999999998</v>
      </c>
      <c r="G390" s="828"/>
      <c r="H390" s="8"/>
      <c r="I390" s="828"/>
      <c r="J390" s="8"/>
      <c r="K390" s="828"/>
      <c r="L390" s="8"/>
      <c r="M390" s="8"/>
    </row>
    <row r="391" spans="1:13" s="215" customFormat="1" ht="15.75" x14ac:dyDescent="0.25">
      <c r="A391" s="1260"/>
      <c r="B391" s="1035"/>
      <c r="C391" s="1036"/>
      <c r="D391" s="275" t="s">
        <v>37</v>
      </c>
      <c r="E391" s="276"/>
      <c r="F391" s="277">
        <f>0.7*0.35*F377</f>
        <v>7.3499999999999988</v>
      </c>
      <c r="G391" s="828"/>
      <c r="H391" s="8"/>
      <c r="I391" s="828"/>
      <c r="J391" s="8"/>
      <c r="K391" s="828"/>
      <c r="L391" s="8"/>
      <c r="M391" s="8"/>
    </row>
    <row r="392" spans="1:13" s="215" customFormat="1" ht="27" x14ac:dyDescent="0.25">
      <c r="A392" s="1261"/>
      <c r="B392" s="835"/>
      <c r="C392" s="80" t="s">
        <v>54</v>
      </c>
      <c r="D392" s="48" t="s">
        <v>6</v>
      </c>
      <c r="E392" s="49">
        <v>0.53</v>
      </c>
      <c r="F392" s="520">
        <f>F390*E392</f>
        <v>7.5962249999999996</v>
      </c>
      <c r="G392" s="828"/>
      <c r="H392" s="8"/>
      <c r="I392" s="828"/>
      <c r="J392" s="8">
        <f t="shared" ref="J392" si="51">F392*I392</f>
        <v>0</v>
      </c>
      <c r="K392" s="828"/>
      <c r="L392" s="8"/>
      <c r="M392" s="8">
        <f t="shared" ref="M392:M393" si="52">H392+J392+L392</f>
        <v>0</v>
      </c>
    </row>
    <row r="393" spans="1:13" s="215" customFormat="1" ht="27" x14ac:dyDescent="0.25">
      <c r="A393" s="823" t="s">
        <v>89</v>
      </c>
      <c r="B393" s="484" t="s">
        <v>633</v>
      </c>
      <c r="C393" s="758" t="s">
        <v>819</v>
      </c>
      <c r="D393" s="484" t="s">
        <v>38</v>
      </c>
      <c r="E393" s="390"/>
      <c r="F393" s="277">
        <f>F390</f>
        <v>14.332499999999998</v>
      </c>
      <c r="G393" s="828"/>
      <c r="H393" s="8"/>
      <c r="I393" s="828"/>
      <c r="J393" s="8"/>
      <c r="K393" s="682"/>
      <c r="L393" s="8">
        <f t="shared" ref="L393" si="53">F393*K393</f>
        <v>0</v>
      </c>
      <c r="M393" s="8">
        <f t="shared" si="52"/>
        <v>0</v>
      </c>
    </row>
    <row r="394" spans="1:13" s="215" customFormat="1" ht="54" x14ac:dyDescent="0.25">
      <c r="A394" s="1259" t="s">
        <v>90</v>
      </c>
      <c r="B394" s="484" t="s">
        <v>1230</v>
      </c>
      <c r="C394" s="62" t="s">
        <v>1231</v>
      </c>
      <c r="D394" s="484" t="s">
        <v>41</v>
      </c>
      <c r="E394" s="10"/>
      <c r="F394" s="23">
        <f>SUM(F397:F401)</f>
        <v>30</v>
      </c>
      <c r="G394" s="12"/>
      <c r="H394" s="8"/>
      <c r="I394" s="12"/>
      <c r="J394" s="8"/>
      <c r="K394" s="12"/>
      <c r="L394" s="8"/>
      <c r="M394" s="8"/>
    </row>
    <row r="395" spans="1:13" s="215" customFormat="1" ht="27" x14ac:dyDescent="0.25">
      <c r="A395" s="1260"/>
      <c r="B395" s="835"/>
      <c r="C395" s="26" t="s">
        <v>100</v>
      </c>
      <c r="D395" s="835" t="s">
        <v>68</v>
      </c>
      <c r="E395" s="524">
        <v>1.5</v>
      </c>
      <c r="F395" s="831">
        <f>F394*E395</f>
        <v>45</v>
      </c>
      <c r="G395" s="828"/>
      <c r="H395" s="8"/>
      <c r="I395" s="828"/>
      <c r="J395" s="8">
        <f t="shared" si="47"/>
        <v>0</v>
      </c>
      <c r="K395" s="828"/>
      <c r="L395" s="8"/>
      <c r="M395" s="8">
        <f t="shared" si="48"/>
        <v>0</v>
      </c>
    </row>
    <row r="396" spans="1:13" s="215" customFormat="1" ht="15.75" x14ac:dyDescent="0.25">
      <c r="A396" s="1260"/>
      <c r="B396" s="835"/>
      <c r="C396" s="26" t="s">
        <v>103</v>
      </c>
      <c r="D396" s="835" t="s">
        <v>21</v>
      </c>
      <c r="E396" s="524">
        <v>3.1399999999999997E-2</v>
      </c>
      <c r="F396" s="831">
        <f>F394*E396</f>
        <v>0.94199999999999995</v>
      </c>
      <c r="G396" s="828"/>
      <c r="H396" s="8"/>
      <c r="I396" s="828"/>
      <c r="J396" s="8"/>
      <c r="K396" s="828"/>
      <c r="L396" s="8">
        <f t="shared" si="49"/>
        <v>0</v>
      </c>
      <c r="M396" s="8">
        <f t="shared" si="48"/>
        <v>0</v>
      </c>
    </row>
    <row r="397" spans="1:13" s="215" customFormat="1" ht="31.5" x14ac:dyDescent="0.25">
      <c r="A397" s="1260"/>
      <c r="B397" s="835"/>
      <c r="C397" s="26" t="s">
        <v>1232</v>
      </c>
      <c r="D397" s="835" t="s">
        <v>41</v>
      </c>
      <c r="E397" s="524">
        <v>0</v>
      </c>
      <c r="F397" s="831">
        <v>30</v>
      </c>
      <c r="G397" s="828"/>
      <c r="H397" s="8">
        <f t="shared" ref="H397" si="54">F397*G397</f>
        <v>0</v>
      </c>
      <c r="I397" s="828"/>
      <c r="J397" s="8"/>
      <c r="K397" s="828"/>
      <c r="L397" s="8"/>
      <c r="M397" s="8">
        <f t="shared" si="48"/>
        <v>0</v>
      </c>
    </row>
    <row r="398" spans="1:13" s="215" customFormat="1" ht="30.75" hidden="1" x14ac:dyDescent="0.25">
      <c r="A398" s="1260"/>
      <c r="B398" s="835"/>
      <c r="C398" s="26" t="s">
        <v>1233</v>
      </c>
      <c r="D398" s="835" t="s">
        <v>41</v>
      </c>
      <c r="E398" s="524">
        <v>1</v>
      </c>
      <c r="F398" s="831"/>
      <c r="G398" s="828"/>
      <c r="H398" s="8">
        <f t="shared" si="50"/>
        <v>0</v>
      </c>
      <c r="I398" s="828"/>
      <c r="J398" s="8"/>
      <c r="K398" s="828"/>
      <c r="L398" s="8"/>
      <c r="M398" s="8">
        <f t="shared" si="48"/>
        <v>0</v>
      </c>
    </row>
    <row r="399" spans="1:13" s="215" customFormat="1" ht="31.5" hidden="1" x14ac:dyDescent="0.25">
      <c r="A399" s="1260"/>
      <c r="B399" s="835"/>
      <c r="C399" s="26" t="s">
        <v>1234</v>
      </c>
      <c r="D399" s="835" t="s">
        <v>41</v>
      </c>
      <c r="E399" s="524">
        <v>1</v>
      </c>
      <c r="F399" s="831"/>
      <c r="G399" s="828"/>
      <c r="H399" s="8">
        <f t="shared" si="50"/>
        <v>0</v>
      </c>
      <c r="I399" s="828"/>
      <c r="J399" s="8"/>
      <c r="K399" s="828"/>
      <c r="L399" s="8"/>
      <c r="M399" s="8">
        <f t="shared" si="48"/>
        <v>0</v>
      </c>
    </row>
    <row r="400" spans="1:13" s="215" customFormat="1" ht="31.5" hidden="1" x14ac:dyDescent="0.25">
      <c r="A400" s="1260"/>
      <c r="B400" s="835"/>
      <c r="C400" s="26" t="s">
        <v>1235</v>
      </c>
      <c r="D400" s="835" t="s">
        <v>41</v>
      </c>
      <c r="E400" s="524">
        <v>1</v>
      </c>
      <c r="F400" s="831"/>
      <c r="G400" s="828"/>
      <c r="H400" s="8">
        <f t="shared" si="50"/>
        <v>0</v>
      </c>
      <c r="I400" s="828"/>
      <c r="J400" s="8"/>
      <c r="K400" s="828"/>
      <c r="L400" s="8"/>
      <c r="M400" s="8">
        <f t="shared" si="48"/>
        <v>0</v>
      </c>
    </row>
    <row r="401" spans="1:13" s="215" customFormat="1" ht="31.5" hidden="1" x14ac:dyDescent="0.25">
      <c r="A401" s="1260"/>
      <c r="B401" s="835"/>
      <c r="C401" s="26" t="s">
        <v>1236</v>
      </c>
      <c r="D401" s="835" t="s">
        <v>41</v>
      </c>
      <c r="E401" s="524">
        <v>1</v>
      </c>
      <c r="F401" s="831"/>
      <c r="G401" s="828"/>
      <c r="H401" s="8">
        <f t="shared" si="50"/>
        <v>0</v>
      </c>
      <c r="I401" s="828"/>
      <c r="J401" s="8"/>
      <c r="K401" s="828"/>
      <c r="L401" s="8"/>
      <c r="M401" s="8">
        <f t="shared" si="48"/>
        <v>0</v>
      </c>
    </row>
    <row r="402" spans="1:13" s="215" customFormat="1" ht="31.5" x14ac:dyDescent="0.25">
      <c r="A402" s="1260"/>
      <c r="B402" s="835"/>
      <c r="C402" s="26" t="s">
        <v>1035</v>
      </c>
      <c r="D402" s="835" t="s">
        <v>52</v>
      </c>
      <c r="E402" s="524">
        <v>0.152</v>
      </c>
      <c r="F402" s="831">
        <f>F394*E402</f>
        <v>4.5599999999999996</v>
      </c>
      <c r="G402" s="828"/>
      <c r="H402" s="8">
        <f t="shared" si="50"/>
        <v>0</v>
      </c>
      <c r="I402" s="828"/>
      <c r="J402" s="8"/>
      <c r="K402" s="828"/>
      <c r="L402" s="8"/>
      <c r="M402" s="8">
        <f t="shared" si="48"/>
        <v>0</v>
      </c>
    </row>
    <row r="403" spans="1:13" s="215" customFormat="1" ht="31.5" x14ac:dyDescent="0.25">
      <c r="A403" s="1260"/>
      <c r="B403" s="835"/>
      <c r="C403" s="26" t="s">
        <v>1237</v>
      </c>
      <c r="D403" s="835" t="s">
        <v>41</v>
      </c>
      <c r="E403" s="524"/>
      <c r="F403" s="831">
        <v>30</v>
      </c>
      <c r="G403" s="828"/>
      <c r="H403" s="8">
        <f t="shared" si="50"/>
        <v>0</v>
      </c>
      <c r="I403" s="828"/>
      <c r="J403" s="8"/>
      <c r="K403" s="828"/>
      <c r="L403" s="8"/>
      <c r="M403" s="8">
        <f t="shared" si="48"/>
        <v>0</v>
      </c>
    </row>
    <row r="404" spans="1:13" s="215" customFormat="1" ht="15.75" x14ac:dyDescent="0.25">
      <c r="A404" s="1261"/>
      <c r="B404" s="835"/>
      <c r="C404" s="26" t="s">
        <v>97</v>
      </c>
      <c r="D404" s="835" t="s">
        <v>21</v>
      </c>
      <c r="E404" s="524">
        <v>6.5199999999999994E-2</v>
      </c>
      <c r="F404" s="831">
        <f>F394*E404</f>
        <v>1.9559999999999997</v>
      </c>
      <c r="G404" s="828"/>
      <c r="H404" s="8">
        <f t="shared" si="50"/>
        <v>0</v>
      </c>
      <c r="I404" s="828"/>
      <c r="J404" s="8"/>
      <c r="K404" s="828"/>
      <c r="L404" s="8"/>
      <c r="M404" s="8">
        <f t="shared" si="48"/>
        <v>0</v>
      </c>
    </row>
    <row r="405" spans="1:13" s="215" customFormat="1" ht="15.75" x14ac:dyDescent="0.25">
      <c r="A405" s="1259" t="s">
        <v>82</v>
      </c>
      <c r="B405" s="484" t="s">
        <v>104</v>
      </c>
      <c r="C405" s="62" t="s">
        <v>1238</v>
      </c>
      <c r="D405" s="484" t="s">
        <v>66</v>
      </c>
      <c r="E405" s="10"/>
      <c r="F405" s="23">
        <f>F408+F409+F410</f>
        <v>1</v>
      </c>
      <c r="G405" s="12"/>
      <c r="H405" s="8"/>
      <c r="I405" s="12"/>
      <c r="J405" s="8"/>
      <c r="K405" s="12"/>
      <c r="L405" s="8"/>
      <c r="M405" s="8"/>
    </row>
    <row r="406" spans="1:13" s="215" customFormat="1" ht="27" x14ac:dyDescent="0.25">
      <c r="A406" s="1260"/>
      <c r="B406" s="835"/>
      <c r="C406" s="26" t="s">
        <v>100</v>
      </c>
      <c r="D406" s="835" t="s">
        <v>68</v>
      </c>
      <c r="E406" s="524">
        <v>1.51</v>
      </c>
      <c r="F406" s="831">
        <f>F405*E406</f>
        <v>1.51</v>
      </c>
      <c r="G406" s="828"/>
      <c r="H406" s="8"/>
      <c r="I406" s="828"/>
      <c r="J406" s="8">
        <f t="shared" si="47"/>
        <v>0</v>
      </c>
      <c r="K406" s="828"/>
      <c r="L406" s="8"/>
      <c r="M406" s="8">
        <f t="shared" si="48"/>
        <v>0</v>
      </c>
    </row>
    <row r="407" spans="1:13" s="215" customFormat="1" ht="15.75" x14ac:dyDescent="0.25">
      <c r="A407" s="1260"/>
      <c r="B407" s="835"/>
      <c r="C407" s="26" t="s">
        <v>103</v>
      </c>
      <c r="D407" s="835" t="s">
        <v>21</v>
      </c>
      <c r="E407" s="524">
        <v>0.13</v>
      </c>
      <c r="F407" s="831">
        <f>F405*E407</f>
        <v>0.13</v>
      </c>
      <c r="G407" s="828"/>
      <c r="H407" s="8"/>
      <c r="I407" s="828"/>
      <c r="J407" s="8"/>
      <c r="K407" s="828"/>
      <c r="L407" s="8">
        <f t="shared" si="49"/>
        <v>0</v>
      </c>
      <c r="M407" s="8">
        <f t="shared" si="48"/>
        <v>0</v>
      </c>
    </row>
    <row r="408" spans="1:13" s="215" customFormat="1" ht="15.75" x14ac:dyDescent="0.25">
      <c r="A408" s="1260"/>
      <c r="B408" s="835"/>
      <c r="C408" s="26" t="s">
        <v>1239</v>
      </c>
      <c r="D408" s="835" t="s">
        <v>66</v>
      </c>
      <c r="E408" s="524">
        <v>1</v>
      </c>
      <c r="F408" s="831">
        <v>1</v>
      </c>
      <c r="G408" s="828"/>
      <c r="H408" s="8">
        <f t="shared" ref="H408" si="55">F408*G408</f>
        <v>0</v>
      </c>
      <c r="I408" s="828"/>
      <c r="J408" s="8"/>
      <c r="K408" s="828"/>
      <c r="L408" s="8"/>
      <c r="M408" s="8">
        <f t="shared" si="48"/>
        <v>0</v>
      </c>
    </row>
    <row r="409" spans="1:13" s="215" customFormat="1" ht="15.75" hidden="1" x14ac:dyDescent="0.25">
      <c r="A409" s="1260"/>
      <c r="B409" s="835"/>
      <c r="C409" s="26" t="s">
        <v>1240</v>
      </c>
      <c r="D409" s="835" t="s">
        <v>66</v>
      </c>
      <c r="E409" s="524" t="s">
        <v>93</v>
      </c>
      <c r="F409" s="831"/>
      <c r="G409" s="828">
        <v>15.1</v>
      </c>
      <c r="H409" s="8">
        <f t="shared" si="50"/>
        <v>0</v>
      </c>
      <c r="I409" s="828"/>
      <c r="J409" s="8"/>
      <c r="K409" s="828"/>
      <c r="L409" s="8"/>
      <c r="M409" s="8">
        <f t="shared" si="48"/>
        <v>0</v>
      </c>
    </row>
    <row r="410" spans="1:13" s="215" customFormat="1" ht="15.75" hidden="1" x14ac:dyDescent="0.25">
      <c r="A410" s="1260"/>
      <c r="B410" s="835"/>
      <c r="C410" s="26" t="s">
        <v>1241</v>
      </c>
      <c r="D410" s="835" t="s">
        <v>66</v>
      </c>
      <c r="E410" s="524">
        <v>1</v>
      </c>
      <c r="F410" s="831"/>
      <c r="G410" s="828">
        <v>106.7</v>
      </c>
      <c r="H410" s="8">
        <f t="shared" si="50"/>
        <v>0</v>
      </c>
      <c r="I410" s="828"/>
      <c r="J410" s="8"/>
      <c r="K410" s="828"/>
      <c r="L410" s="8"/>
      <c r="M410" s="8">
        <f t="shared" si="48"/>
        <v>0</v>
      </c>
    </row>
    <row r="411" spans="1:13" s="215" customFormat="1" ht="15.75" x14ac:dyDescent="0.25">
      <c r="A411" s="1261"/>
      <c r="B411" s="835"/>
      <c r="C411" s="26" t="s">
        <v>97</v>
      </c>
      <c r="D411" s="835" t="s">
        <v>21</v>
      </c>
      <c r="E411" s="524">
        <v>7.0000000000000007E-2</v>
      </c>
      <c r="F411" s="831">
        <f>F405*E411</f>
        <v>7.0000000000000007E-2</v>
      </c>
      <c r="G411" s="828"/>
      <c r="H411" s="8">
        <f t="shared" si="50"/>
        <v>0</v>
      </c>
      <c r="I411" s="828"/>
      <c r="J411" s="8"/>
      <c r="K411" s="828"/>
      <c r="L411" s="8"/>
      <c r="M411" s="8">
        <f t="shared" si="48"/>
        <v>0</v>
      </c>
    </row>
    <row r="412" spans="1:13" s="215" customFormat="1" ht="27" x14ac:dyDescent="0.25">
      <c r="A412" s="1398" t="s">
        <v>40</v>
      </c>
      <c r="B412" s="985" t="s">
        <v>1242</v>
      </c>
      <c r="C412" s="307" t="s">
        <v>1187</v>
      </c>
      <c r="D412" s="304" t="s">
        <v>22</v>
      </c>
      <c r="E412" s="987"/>
      <c r="F412" s="499">
        <v>10</v>
      </c>
      <c r="G412" s="988"/>
      <c r="H412" s="8"/>
      <c r="I412" s="988"/>
      <c r="J412" s="8"/>
      <c r="K412" s="988"/>
      <c r="L412" s="8"/>
      <c r="M412" s="8"/>
    </row>
    <row r="413" spans="1:13" s="215" customFormat="1" ht="15.75" x14ac:dyDescent="0.25">
      <c r="A413" s="1399"/>
      <c r="B413" s="304"/>
      <c r="C413" s="26" t="s">
        <v>36</v>
      </c>
      <c r="D413" s="835" t="s">
        <v>14</v>
      </c>
      <c r="E413" s="996">
        <f>(3.89+5.84+7.88)/3/10</f>
        <v>0.58699999999999997</v>
      </c>
      <c r="F413" s="831">
        <f>F412*E413</f>
        <v>5.8699999999999992</v>
      </c>
      <c r="G413" s="989"/>
      <c r="H413" s="8"/>
      <c r="I413" s="989"/>
      <c r="J413" s="8">
        <f t="shared" ref="J413" si="56">F413*I413</f>
        <v>0</v>
      </c>
      <c r="K413" s="989"/>
      <c r="L413" s="8"/>
      <c r="M413" s="8">
        <f t="shared" ref="M413:M414" si="57">H413+J413+L413</f>
        <v>0</v>
      </c>
    </row>
    <row r="414" spans="1:13" s="215" customFormat="1" ht="15.75" x14ac:dyDescent="0.25">
      <c r="A414" s="1399"/>
      <c r="B414" s="304"/>
      <c r="C414" s="26" t="s">
        <v>1001</v>
      </c>
      <c r="D414" s="835" t="s">
        <v>1005</v>
      </c>
      <c r="E414" s="996">
        <f>(1.51+2.27+3.02)/3/10</f>
        <v>0.22666666666666671</v>
      </c>
      <c r="F414" s="831">
        <f>F412*E414</f>
        <v>2.2666666666666671</v>
      </c>
      <c r="G414" s="989"/>
      <c r="H414" s="8"/>
      <c r="I414" s="989"/>
      <c r="J414" s="8"/>
      <c r="K414" s="989"/>
      <c r="L414" s="8">
        <f t="shared" ref="L414" si="58">F414*K414</f>
        <v>0</v>
      </c>
      <c r="M414" s="8">
        <f t="shared" si="57"/>
        <v>0</v>
      </c>
    </row>
    <row r="415" spans="1:13" s="215" customFormat="1" ht="15.75" hidden="1" x14ac:dyDescent="0.25">
      <c r="A415" s="1399"/>
      <c r="B415" s="304"/>
      <c r="C415" s="24" t="s">
        <v>1243</v>
      </c>
      <c r="D415" s="834" t="s">
        <v>52</v>
      </c>
      <c r="E415" s="2"/>
      <c r="F415" s="831"/>
      <c r="G415" s="989">
        <v>6</v>
      </c>
      <c r="H415" s="8">
        <f t="shared" si="50"/>
        <v>0</v>
      </c>
      <c r="I415" s="989"/>
      <c r="J415" s="8"/>
      <c r="K415" s="8"/>
      <c r="L415" s="8"/>
      <c r="M415" s="8">
        <f t="shared" si="48"/>
        <v>0</v>
      </c>
    </row>
    <row r="416" spans="1:13" s="215" customFormat="1" ht="15.75" hidden="1" x14ac:dyDescent="0.25">
      <c r="A416" s="1399"/>
      <c r="B416" s="304"/>
      <c r="C416" s="24" t="s">
        <v>1244</v>
      </c>
      <c r="D416" s="834" t="s">
        <v>52</v>
      </c>
      <c r="E416" s="2"/>
      <c r="F416" s="831"/>
      <c r="G416" s="989">
        <v>6</v>
      </c>
      <c r="H416" s="8">
        <f t="shared" si="50"/>
        <v>0</v>
      </c>
      <c r="I416" s="989"/>
      <c r="J416" s="8"/>
      <c r="K416" s="8"/>
      <c r="L416" s="8"/>
      <c r="M416" s="8">
        <f t="shared" si="48"/>
        <v>0</v>
      </c>
    </row>
    <row r="417" spans="1:13" s="215" customFormat="1" ht="15.75" hidden="1" x14ac:dyDescent="0.25">
      <c r="A417" s="1399"/>
      <c r="B417" s="304"/>
      <c r="C417" s="24" t="s">
        <v>1245</v>
      </c>
      <c r="D417" s="834" t="s">
        <v>52</v>
      </c>
      <c r="E417" s="2"/>
      <c r="F417" s="831"/>
      <c r="G417" s="989">
        <v>1</v>
      </c>
      <c r="H417" s="8">
        <f t="shared" si="50"/>
        <v>0</v>
      </c>
      <c r="I417" s="989"/>
      <c r="J417" s="8"/>
      <c r="K417" s="8"/>
      <c r="L417" s="8"/>
      <c r="M417" s="8">
        <f t="shared" si="48"/>
        <v>0</v>
      </c>
    </row>
    <row r="418" spans="1:13" s="215" customFormat="1" ht="15.75" hidden="1" x14ac:dyDescent="0.25">
      <c r="A418" s="1399"/>
      <c r="B418" s="304"/>
      <c r="C418" s="24" t="s">
        <v>1246</v>
      </c>
      <c r="D418" s="834" t="s">
        <v>52</v>
      </c>
      <c r="E418" s="2"/>
      <c r="F418" s="831"/>
      <c r="G418" s="989">
        <v>1.2</v>
      </c>
      <c r="H418" s="8">
        <f t="shared" si="50"/>
        <v>0</v>
      </c>
      <c r="I418" s="989"/>
      <c r="J418" s="8"/>
      <c r="K418" s="8"/>
      <c r="L418" s="8"/>
      <c r="M418" s="8">
        <f t="shared" si="48"/>
        <v>0</v>
      </c>
    </row>
    <row r="419" spans="1:13" s="215" customFormat="1" ht="15.75" hidden="1" x14ac:dyDescent="0.25">
      <c r="A419" s="1399"/>
      <c r="B419" s="304"/>
      <c r="C419" s="24" t="s">
        <v>1247</v>
      </c>
      <c r="D419" s="834" t="s">
        <v>52</v>
      </c>
      <c r="E419" s="2"/>
      <c r="F419" s="831"/>
      <c r="G419" s="989">
        <v>3</v>
      </c>
      <c r="H419" s="8">
        <f t="shared" si="50"/>
        <v>0</v>
      </c>
      <c r="I419" s="989"/>
      <c r="J419" s="8"/>
      <c r="K419" s="8"/>
      <c r="L419" s="8"/>
      <c r="M419" s="8">
        <f t="shared" si="48"/>
        <v>0</v>
      </c>
    </row>
    <row r="420" spans="1:13" s="215" customFormat="1" ht="15.75" hidden="1" x14ac:dyDescent="0.25">
      <c r="A420" s="1399"/>
      <c r="B420" s="304"/>
      <c r="C420" s="24" t="s">
        <v>1248</v>
      </c>
      <c r="D420" s="834" t="s">
        <v>52</v>
      </c>
      <c r="E420" s="2"/>
      <c r="F420" s="831"/>
      <c r="G420" s="989">
        <v>4</v>
      </c>
      <c r="H420" s="8">
        <f t="shared" si="50"/>
        <v>0</v>
      </c>
      <c r="I420" s="989"/>
      <c r="J420" s="8"/>
      <c r="K420" s="8"/>
      <c r="L420" s="8"/>
      <c r="M420" s="8">
        <f t="shared" si="48"/>
        <v>0</v>
      </c>
    </row>
    <row r="421" spans="1:13" s="215" customFormat="1" ht="15.75" hidden="1" x14ac:dyDescent="0.25">
      <c r="A421" s="1399"/>
      <c r="B421" s="304"/>
      <c r="C421" s="24" t="s">
        <v>1249</v>
      </c>
      <c r="D421" s="834" t="s">
        <v>52</v>
      </c>
      <c r="E421" s="2"/>
      <c r="F421" s="831"/>
      <c r="G421" s="989">
        <v>50</v>
      </c>
      <c r="H421" s="8">
        <f t="shared" si="50"/>
        <v>0</v>
      </c>
      <c r="I421" s="989"/>
      <c r="J421" s="8"/>
      <c r="K421" s="8"/>
      <c r="L421" s="8"/>
      <c r="M421" s="8">
        <f t="shared" si="48"/>
        <v>0</v>
      </c>
    </row>
    <row r="422" spans="1:13" s="215" customFormat="1" ht="15.75" hidden="1" x14ac:dyDescent="0.25">
      <c r="A422" s="1399"/>
      <c r="B422" s="304"/>
      <c r="C422" s="24" t="s">
        <v>1250</v>
      </c>
      <c r="D422" s="834" t="s">
        <v>52</v>
      </c>
      <c r="E422" s="2"/>
      <c r="F422" s="831"/>
      <c r="G422" s="1037">
        <v>65</v>
      </c>
      <c r="H422" s="8">
        <f t="shared" si="50"/>
        <v>0</v>
      </c>
      <c r="I422" s="989"/>
      <c r="J422" s="8"/>
      <c r="K422" s="8"/>
      <c r="L422" s="8"/>
      <c r="M422" s="8">
        <f t="shared" si="48"/>
        <v>0</v>
      </c>
    </row>
    <row r="423" spans="1:13" s="215" customFormat="1" ht="15.75" hidden="1" x14ac:dyDescent="0.25">
      <c r="A423" s="1399"/>
      <c r="B423" s="304"/>
      <c r="C423" s="24" t="s">
        <v>1251</v>
      </c>
      <c r="D423" s="834" t="s">
        <v>52</v>
      </c>
      <c r="E423" s="2"/>
      <c r="F423" s="831"/>
      <c r="G423" s="989">
        <v>1.5</v>
      </c>
      <c r="H423" s="8">
        <f t="shared" si="50"/>
        <v>0</v>
      </c>
      <c r="I423" s="989"/>
      <c r="J423" s="8"/>
      <c r="K423" s="8"/>
      <c r="L423" s="8"/>
      <c r="M423" s="8">
        <f t="shared" si="48"/>
        <v>0</v>
      </c>
    </row>
    <row r="424" spans="1:13" s="215" customFormat="1" ht="33.75" hidden="1" x14ac:dyDescent="0.25">
      <c r="A424" s="1399"/>
      <c r="B424" s="304"/>
      <c r="C424" s="24" t="s">
        <v>1252</v>
      </c>
      <c r="D424" s="834" t="s">
        <v>52</v>
      </c>
      <c r="E424" s="2"/>
      <c r="F424" s="831"/>
      <c r="G424" s="989">
        <v>1.5</v>
      </c>
      <c r="H424" s="8">
        <f t="shared" si="50"/>
        <v>0</v>
      </c>
      <c r="I424" s="989"/>
      <c r="J424" s="8"/>
      <c r="K424" s="8"/>
      <c r="L424" s="8"/>
      <c r="M424" s="8">
        <f t="shared" si="48"/>
        <v>0</v>
      </c>
    </row>
    <row r="425" spans="1:13" s="215" customFormat="1" ht="15.75" hidden="1" x14ac:dyDescent="0.25">
      <c r="A425" s="1399"/>
      <c r="B425" s="304"/>
      <c r="C425" s="24" t="s">
        <v>1253</v>
      </c>
      <c r="D425" s="834" t="s">
        <v>52</v>
      </c>
      <c r="E425" s="2"/>
      <c r="F425" s="831"/>
      <c r="G425" s="989">
        <v>45</v>
      </c>
      <c r="H425" s="8">
        <f t="shared" si="50"/>
        <v>0</v>
      </c>
      <c r="I425" s="989"/>
      <c r="J425" s="8"/>
      <c r="K425" s="8"/>
      <c r="L425" s="8"/>
      <c r="M425" s="8">
        <f t="shared" si="48"/>
        <v>0</v>
      </c>
    </row>
    <row r="426" spans="1:13" s="215" customFormat="1" ht="15.75" x14ac:dyDescent="0.25">
      <c r="A426" s="1400"/>
      <c r="B426" s="304"/>
      <c r="C426" s="26" t="s">
        <v>105</v>
      </c>
      <c r="D426" s="835" t="s">
        <v>21</v>
      </c>
      <c r="E426" s="524">
        <f>(0.24+0.24+0.24)/3/10</f>
        <v>2.4E-2</v>
      </c>
      <c r="F426" s="831">
        <f>F412*E426</f>
        <v>0.24</v>
      </c>
      <c r="G426" s="828"/>
      <c r="H426" s="8">
        <f t="shared" si="50"/>
        <v>0</v>
      </c>
      <c r="I426" s="828"/>
      <c r="J426" s="8"/>
      <c r="K426" s="828"/>
      <c r="L426" s="8"/>
      <c r="M426" s="8">
        <f t="shared" si="48"/>
        <v>0</v>
      </c>
    </row>
    <row r="427" spans="1:13" s="215" customFormat="1" ht="15.75" hidden="1" x14ac:dyDescent="0.25">
      <c r="A427" s="1259" t="s">
        <v>1011</v>
      </c>
      <c r="B427" s="484" t="s">
        <v>1254</v>
      </c>
      <c r="C427" s="62" t="s">
        <v>1255</v>
      </c>
      <c r="D427" s="484" t="s">
        <v>224</v>
      </c>
      <c r="E427" s="10"/>
      <c r="F427" s="23">
        <f>F430</f>
        <v>0</v>
      </c>
      <c r="G427" s="12"/>
      <c r="H427" s="12"/>
      <c r="I427" s="12"/>
      <c r="J427" s="12"/>
      <c r="K427" s="12"/>
      <c r="L427" s="12"/>
      <c r="M427" s="12"/>
    </row>
    <row r="428" spans="1:13" s="215" customFormat="1" ht="27" hidden="1" x14ac:dyDescent="0.25">
      <c r="A428" s="1260"/>
      <c r="B428" s="835"/>
      <c r="C428" s="26" t="s">
        <v>1256</v>
      </c>
      <c r="D428" s="835" t="s">
        <v>6</v>
      </c>
      <c r="E428" s="524">
        <v>15.3</v>
      </c>
      <c r="F428" s="1038">
        <f>F427*E428</f>
        <v>0</v>
      </c>
      <c r="G428" s="989"/>
      <c r="H428" s="989"/>
      <c r="I428" s="828">
        <v>6</v>
      </c>
      <c r="J428" s="989">
        <f>F428*I428</f>
        <v>0</v>
      </c>
      <c r="K428" s="989"/>
      <c r="L428" s="989"/>
      <c r="M428" s="828">
        <f t="shared" ref="M428:M431" si="59">L428+J428+H428</f>
        <v>0</v>
      </c>
    </row>
    <row r="429" spans="1:13" s="215" customFormat="1" ht="15.75" hidden="1" x14ac:dyDescent="0.25">
      <c r="A429" s="1260"/>
      <c r="B429" s="835"/>
      <c r="C429" s="26" t="s">
        <v>334</v>
      </c>
      <c r="D429" s="835" t="s">
        <v>4</v>
      </c>
      <c r="E429" s="524">
        <v>0.45</v>
      </c>
      <c r="F429" s="1038">
        <f>F427*E429</f>
        <v>0</v>
      </c>
      <c r="G429" s="989"/>
      <c r="H429" s="989"/>
      <c r="I429" s="989"/>
      <c r="J429" s="989"/>
      <c r="K429" s="989">
        <v>3.2</v>
      </c>
      <c r="L429" s="989">
        <f>F429*K429</f>
        <v>0</v>
      </c>
      <c r="M429" s="989">
        <f t="shared" si="59"/>
        <v>0</v>
      </c>
    </row>
    <row r="430" spans="1:13" s="215" customFormat="1" ht="47.25" hidden="1" x14ac:dyDescent="0.25">
      <c r="A430" s="1260"/>
      <c r="B430" s="835"/>
      <c r="C430" s="24" t="s">
        <v>1257</v>
      </c>
      <c r="D430" s="835" t="s">
        <v>224</v>
      </c>
      <c r="E430" s="524"/>
      <c r="F430" s="831">
        <v>0</v>
      </c>
      <c r="G430" s="828">
        <v>1400</v>
      </c>
      <c r="H430" s="989">
        <f>F430*G430</f>
        <v>0</v>
      </c>
      <c r="I430" s="828"/>
      <c r="J430" s="828"/>
      <c r="K430" s="828"/>
      <c r="L430" s="828"/>
      <c r="M430" s="989">
        <f t="shared" si="59"/>
        <v>0</v>
      </c>
    </row>
    <row r="431" spans="1:13" s="215" customFormat="1" ht="15.75" hidden="1" x14ac:dyDescent="0.25">
      <c r="A431" s="1261"/>
      <c r="B431" s="835"/>
      <c r="C431" s="26" t="s">
        <v>1258</v>
      </c>
      <c r="D431" s="835" t="s">
        <v>4</v>
      </c>
      <c r="E431" s="524">
        <v>1.1200000000000001</v>
      </c>
      <c r="F431" s="831">
        <f>F427*E431</f>
        <v>0</v>
      </c>
      <c r="G431" s="828">
        <v>3.2</v>
      </c>
      <c r="H431" s="989">
        <f>F431*G431</f>
        <v>0</v>
      </c>
      <c r="I431" s="828"/>
      <c r="J431" s="828"/>
      <c r="K431" s="828"/>
      <c r="L431" s="828"/>
      <c r="M431" s="989">
        <f t="shared" si="59"/>
        <v>0</v>
      </c>
    </row>
    <row r="432" spans="1:13" s="215" customFormat="1" ht="31.5" hidden="1" x14ac:dyDescent="0.25">
      <c r="A432" s="1259" t="s">
        <v>46</v>
      </c>
      <c r="B432" s="484" t="s">
        <v>1259</v>
      </c>
      <c r="C432" s="62" t="s">
        <v>1260</v>
      </c>
      <c r="D432" s="835"/>
      <c r="E432" s="524"/>
      <c r="F432" s="23">
        <f>F435</f>
        <v>0</v>
      </c>
      <c r="G432" s="828"/>
      <c r="H432" s="989"/>
      <c r="I432" s="828"/>
      <c r="J432" s="828"/>
      <c r="K432" s="828"/>
      <c r="L432" s="828"/>
      <c r="M432" s="989"/>
    </row>
    <row r="433" spans="1:13" s="215" customFormat="1" ht="27" hidden="1" x14ac:dyDescent="0.25">
      <c r="A433" s="1260"/>
      <c r="B433" s="835"/>
      <c r="C433" s="26" t="s">
        <v>13</v>
      </c>
      <c r="D433" s="835" t="s">
        <v>6</v>
      </c>
      <c r="E433" s="524">
        <v>1.06</v>
      </c>
      <c r="F433" s="831">
        <f>F432*E433</f>
        <v>0</v>
      </c>
      <c r="G433" s="828"/>
      <c r="H433" s="8"/>
      <c r="I433" s="828">
        <v>6</v>
      </c>
      <c r="J433" s="989">
        <f>F433*I433</f>
        <v>0</v>
      </c>
      <c r="K433" s="989"/>
      <c r="L433" s="989"/>
      <c r="M433" s="828">
        <f t="shared" ref="M433:M434" si="60">L433+J433+H433</f>
        <v>0</v>
      </c>
    </row>
    <row r="434" spans="1:13" s="215" customFormat="1" ht="15.75" hidden="1" x14ac:dyDescent="0.25">
      <c r="A434" s="1260"/>
      <c r="B434" s="835"/>
      <c r="C434" s="26" t="s">
        <v>17</v>
      </c>
      <c r="D434" s="835" t="s">
        <v>4</v>
      </c>
      <c r="E434" s="524">
        <v>0.16</v>
      </c>
      <c r="F434" s="831">
        <f>F432*E434</f>
        <v>0</v>
      </c>
      <c r="G434" s="828"/>
      <c r="H434" s="8"/>
      <c r="I434" s="989"/>
      <c r="J434" s="989"/>
      <c r="K434" s="989">
        <v>4</v>
      </c>
      <c r="L434" s="989">
        <f>F434*K434</f>
        <v>0</v>
      </c>
      <c r="M434" s="989">
        <f t="shared" si="60"/>
        <v>0</v>
      </c>
    </row>
    <row r="435" spans="1:13" s="215" customFormat="1" ht="31.5" hidden="1" x14ac:dyDescent="0.25">
      <c r="A435" s="1260"/>
      <c r="B435" s="835"/>
      <c r="C435" s="24" t="s">
        <v>1261</v>
      </c>
      <c r="D435" s="834" t="s">
        <v>22</v>
      </c>
      <c r="E435" s="2">
        <v>1</v>
      </c>
      <c r="F435" s="831">
        <v>0</v>
      </c>
      <c r="G435" s="828">
        <v>88.6</v>
      </c>
      <c r="H435" s="8">
        <f t="shared" ref="H435:H436" si="61">F435*G435</f>
        <v>0</v>
      </c>
      <c r="I435" s="989"/>
      <c r="J435" s="8"/>
      <c r="K435" s="8"/>
      <c r="L435" s="8"/>
      <c r="M435" s="8">
        <f t="shared" ref="M435:M436" si="62">H435+J435+L435</f>
        <v>0</v>
      </c>
    </row>
    <row r="436" spans="1:13" s="215" customFormat="1" ht="15.75" hidden="1" x14ac:dyDescent="0.25">
      <c r="A436" s="1261"/>
      <c r="B436" s="835"/>
      <c r="C436" s="26" t="s">
        <v>1258</v>
      </c>
      <c r="D436" s="834" t="s">
        <v>4</v>
      </c>
      <c r="E436" s="2">
        <v>0.02</v>
      </c>
      <c r="F436" s="831">
        <f>F432*E436</f>
        <v>0</v>
      </c>
      <c r="G436" s="828">
        <v>4</v>
      </c>
      <c r="H436" s="8">
        <f t="shared" si="61"/>
        <v>0</v>
      </c>
      <c r="I436" s="989"/>
      <c r="J436" s="8"/>
      <c r="K436" s="8"/>
      <c r="L436" s="8"/>
      <c r="M436" s="8">
        <f t="shared" si="62"/>
        <v>0</v>
      </c>
    </row>
    <row r="437" spans="1:13" s="215" customFormat="1" ht="31.5" hidden="1" x14ac:dyDescent="0.25">
      <c r="A437" s="1401" t="s">
        <v>48</v>
      </c>
      <c r="B437" s="985" t="s">
        <v>1262</v>
      </c>
      <c r="C437" s="307" t="s">
        <v>1263</v>
      </c>
      <c r="D437" s="304" t="s">
        <v>80</v>
      </c>
      <c r="E437" s="987"/>
      <c r="F437" s="499">
        <v>0</v>
      </c>
      <c r="G437" s="988"/>
      <c r="H437" s="8"/>
      <c r="I437" s="988"/>
      <c r="J437" s="8"/>
      <c r="K437" s="988"/>
      <c r="L437" s="8"/>
      <c r="M437" s="8"/>
    </row>
    <row r="438" spans="1:13" s="215" customFormat="1" ht="27" hidden="1" x14ac:dyDescent="0.25">
      <c r="A438" s="1401"/>
      <c r="B438" s="304"/>
      <c r="C438" s="26" t="s">
        <v>36</v>
      </c>
      <c r="D438" s="835" t="s">
        <v>6</v>
      </c>
      <c r="E438" s="524">
        <v>5.68</v>
      </c>
      <c r="F438" s="831">
        <f>F437*E438</f>
        <v>0</v>
      </c>
      <c r="G438" s="989"/>
      <c r="H438" s="8"/>
      <c r="I438" s="989">
        <v>6</v>
      </c>
      <c r="J438" s="8">
        <f t="shared" si="47"/>
        <v>0</v>
      </c>
      <c r="K438" s="989"/>
      <c r="L438" s="8">
        <f t="shared" si="49"/>
        <v>0</v>
      </c>
      <c r="M438" s="8">
        <f t="shared" si="48"/>
        <v>0</v>
      </c>
    </row>
    <row r="439" spans="1:13" s="215" customFormat="1" ht="15.75" hidden="1" x14ac:dyDescent="0.25">
      <c r="A439" s="1401"/>
      <c r="B439" s="304"/>
      <c r="C439" s="26" t="s">
        <v>5</v>
      </c>
      <c r="D439" s="835" t="s">
        <v>4</v>
      </c>
      <c r="E439" s="524">
        <v>0.33</v>
      </c>
      <c r="F439" s="831">
        <f>F437*E439</f>
        <v>0</v>
      </c>
      <c r="G439" s="989"/>
      <c r="H439" s="8"/>
      <c r="I439" s="989"/>
      <c r="J439" s="8"/>
      <c r="K439" s="989">
        <v>4</v>
      </c>
      <c r="L439" s="8">
        <f t="shared" si="49"/>
        <v>0</v>
      </c>
      <c r="M439" s="8">
        <f t="shared" si="48"/>
        <v>0</v>
      </c>
    </row>
    <row r="440" spans="1:13" s="215" customFormat="1" ht="15.75" hidden="1" x14ac:dyDescent="0.25">
      <c r="A440" s="1401"/>
      <c r="B440" s="304"/>
      <c r="C440" s="24" t="s">
        <v>1264</v>
      </c>
      <c r="D440" s="834" t="s">
        <v>22</v>
      </c>
      <c r="E440" s="2"/>
      <c r="F440" s="63">
        <v>0</v>
      </c>
      <c r="G440" s="989">
        <v>237.3</v>
      </c>
      <c r="H440" s="8">
        <f t="shared" si="50"/>
        <v>0</v>
      </c>
      <c r="I440" s="989"/>
      <c r="J440" s="8"/>
      <c r="K440" s="8"/>
      <c r="L440" s="8"/>
      <c r="M440" s="8">
        <f t="shared" si="48"/>
        <v>0</v>
      </c>
    </row>
    <row r="441" spans="1:13" s="215" customFormat="1" ht="15.75" hidden="1" x14ac:dyDescent="0.25">
      <c r="A441" s="1401"/>
      <c r="B441" s="304"/>
      <c r="C441" s="24" t="s">
        <v>1265</v>
      </c>
      <c r="D441" s="834" t="s">
        <v>22</v>
      </c>
      <c r="E441" s="2"/>
      <c r="F441" s="831"/>
      <c r="G441" s="989">
        <v>4.2</v>
      </c>
      <c r="H441" s="8">
        <f t="shared" si="50"/>
        <v>0</v>
      </c>
      <c r="I441" s="989"/>
      <c r="J441" s="8"/>
      <c r="K441" s="8"/>
      <c r="L441" s="8"/>
      <c r="M441" s="8">
        <f t="shared" si="48"/>
        <v>0</v>
      </c>
    </row>
    <row r="442" spans="1:13" s="215" customFormat="1" ht="15.75" hidden="1" x14ac:dyDescent="0.25">
      <c r="A442" s="1401"/>
      <c r="B442" s="304"/>
      <c r="C442" s="24" t="s">
        <v>1266</v>
      </c>
      <c r="D442" s="834" t="s">
        <v>52</v>
      </c>
      <c r="E442" s="524"/>
      <c r="F442" s="831"/>
      <c r="G442" s="828">
        <v>6</v>
      </c>
      <c r="H442" s="8">
        <f t="shared" si="50"/>
        <v>0</v>
      </c>
      <c r="I442" s="828"/>
      <c r="J442" s="8"/>
      <c r="K442" s="828"/>
      <c r="L442" s="8"/>
      <c r="M442" s="8">
        <f t="shared" si="48"/>
        <v>0</v>
      </c>
    </row>
    <row r="443" spans="1:13" s="215" customFormat="1" ht="15.75" hidden="1" x14ac:dyDescent="0.25">
      <c r="A443" s="1401"/>
      <c r="B443" s="304"/>
      <c r="C443" s="24" t="s">
        <v>1267</v>
      </c>
      <c r="D443" s="834" t="s">
        <v>52</v>
      </c>
      <c r="E443" s="524"/>
      <c r="F443" s="831"/>
      <c r="G443" s="828">
        <v>90.6</v>
      </c>
      <c r="H443" s="8">
        <f t="shared" si="50"/>
        <v>0</v>
      </c>
      <c r="I443" s="828"/>
      <c r="J443" s="8"/>
      <c r="K443" s="828"/>
      <c r="L443" s="8"/>
      <c r="M443" s="8">
        <f t="shared" si="48"/>
        <v>0</v>
      </c>
    </row>
    <row r="444" spans="1:13" s="215" customFormat="1" ht="15.75" hidden="1" x14ac:dyDescent="0.25">
      <c r="A444" s="1401"/>
      <c r="B444" s="304"/>
      <c r="C444" s="24" t="s">
        <v>1268</v>
      </c>
      <c r="D444" s="834" t="s">
        <v>52</v>
      </c>
      <c r="E444" s="524"/>
      <c r="F444" s="831"/>
      <c r="G444" s="828">
        <v>5</v>
      </c>
      <c r="H444" s="8">
        <f t="shared" si="50"/>
        <v>0</v>
      </c>
      <c r="I444" s="828"/>
      <c r="J444" s="8"/>
      <c r="K444" s="828"/>
      <c r="L444" s="8"/>
      <c r="M444" s="8">
        <f t="shared" si="48"/>
        <v>0</v>
      </c>
    </row>
    <row r="445" spans="1:13" s="215" customFormat="1" ht="15.75" hidden="1" x14ac:dyDescent="0.25">
      <c r="A445" s="1401"/>
      <c r="B445" s="304"/>
      <c r="C445" s="24" t="s">
        <v>1269</v>
      </c>
      <c r="D445" s="834" t="s">
        <v>52</v>
      </c>
      <c r="E445" s="524"/>
      <c r="F445" s="831"/>
      <c r="G445" s="828">
        <v>5</v>
      </c>
      <c r="H445" s="8">
        <f t="shared" si="50"/>
        <v>0</v>
      </c>
      <c r="I445" s="828"/>
      <c r="J445" s="8"/>
      <c r="K445" s="828"/>
      <c r="L445" s="8"/>
      <c r="M445" s="8">
        <f t="shared" si="48"/>
        <v>0</v>
      </c>
    </row>
    <row r="446" spans="1:13" s="215" customFormat="1" ht="15.75" hidden="1" x14ac:dyDescent="0.25">
      <c r="A446" s="1401"/>
      <c r="B446" s="304"/>
      <c r="C446" s="24" t="s">
        <v>1270</v>
      </c>
      <c r="D446" s="834" t="s">
        <v>52</v>
      </c>
      <c r="E446" s="524"/>
      <c r="F446" s="831"/>
      <c r="G446" s="828">
        <v>10</v>
      </c>
      <c r="H446" s="8">
        <f t="shared" si="50"/>
        <v>0</v>
      </c>
      <c r="I446" s="828"/>
      <c r="J446" s="8"/>
      <c r="K446" s="828"/>
      <c r="L446" s="8"/>
      <c r="M446" s="8">
        <f t="shared" si="48"/>
        <v>0</v>
      </c>
    </row>
    <row r="447" spans="1:13" s="215" customFormat="1" ht="15.75" hidden="1" x14ac:dyDescent="0.25">
      <c r="A447" s="1401"/>
      <c r="B447" s="304"/>
      <c r="C447" s="24" t="s">
        <v>1271</v>
      </c>
      <c r="D447" s="834" t="s">
        <v>2</v>
      </c>
      <c r="E447" s="524">
        <v>2.6</v>
      </c>
      <c r="F447" s="831">
        <f>F437*E447</f>
        <v>0</v>
      </c>
      <c r="G447" s="828">
        <v>4</v>
      </c>
      <c r="H447" s="8">
        <f t="shared" si="50"/>
        <v>0</v>
      </c>
      <c r="I447" s="828"/>
      <c r="J447" s="8"/>
      <c r="K447" s="828"/>
      <c r="L447" s="8"/>
      <c r="M447" s="8">
        <f t="shared" si="48"/>
        <v>0</v>
      </c>
    </row>
    <row r="448" spans="1:13" s="215" customFormat="1" ht="15.75" hidden="1" x14ac:dyDescent="0.25">
      <c r="A448" s="1401"/>
      <c r="B448" s="304"/>
      <c r="C448" s="24" t="s">
        <v>1272</v>
      </c>
      <c r="D448" s="834" t="s">
        <v>2</v>
      </c>
      <c r="E448" s="524">
        <v>10</v>
      </c>
      <c r="F448" s="831">
        <f>F437*E448</f>
        <v>0</v>
      </c>
      <c r="G448" s="828">
        <v>5</v>
      </c>
      <c r="H448" s="8">
        <f t="shared" si="50"/>
        <v>0</v>
      </c>
      <c r="I448" s="828"/>
      <c r="J448" s="8"/>
      <c r="K448" s="828"/>
      <c r="L448" s="8"/>
      <c r="M448" s="8">
        <f t="shared" si="48"/>
        <v>0</v>
      </c>
    </row>
    <row r="449" spans="1:13" s="215" customFormat="1" ht="15.75" hidden="1" x14ac:dyDescent="0.25">
      <c r="A449" s="1401"/>
      <c r="B449" s="304"/>
      <c r="C449" s="26" t="s">
        <v>7</v>
      </c>
      <c r="D449" s="835" t="s">
        <v>4</v>
      </c>
      <c r="E449" s="524">
        <v>1.3</v>
      </c>
      <c r="F449" s="831">
        <f>F437*E449</f>
        <v>0</v>
      </c>
      <c r="G449" s="828">
        <v>4</v>
      </c>
      <c r="H449" s="8">
        <f t="shared" si="50"/>
        <v>0</v>
      </c>
      <c r="I449" s="828"/>
      <c r="J449" s="8"/>
      <c r="K449" s="828"/>
      <c r="L449" s="8"/>
      <c r="M449" s="8">
        <f t="shared" si="48"/>
        <v>0</v>
      </c>
    </row>
    <row r="450" spans="1:13" s="215" customFormat="1" ht="31.5" hidden="1" x14ac:dyDescent="0.25">
      <c r="A450" s="833" t="s">
        <v>553</v>
      </c>
      <c r="B450" s="304"/>
      <c r="C450" s="62" t="s">
        <v>1273</v>
      </c>
      <c r="D450" s="835" t="s">
        <v>80</v>
      </c>
      <c r="E450" s="524"/>
      <c r="F450" s="499">
        <v>0</v>
      </c>
      <c r="G450" s="101"/>
      <c r="H450" s="8"/>
      <c r="I450" s="828"/>
      <c r="J450" s="8"/>
      <c r="K450" s="828"/>
      <c r="L450" s="8"/>
      <c r="M450" s="8"/>
    </row>
    <row r="451" spans="1:13" s="215" customFormat="1" ht="47.25" hidden="1" x14ac:dyDescent="0.25">
      <c r="A451" s="1278" t="s">
        <v>1274</v>
      </c>
      <c r="B451" s="108" t="s">
        <v>31</v>
      </c>
      <c r="C451" s="107" t="s">
        <v>1275</v>
      </c>
      <c r="D451" s="839" t="s">
        <v>37</v>
      </c>
      <c r="E451" s="261"/>
      <c r="F451" s="23">
        <f>1.3*1.3*1.2*F450</f>
        <v>0</v>
      </c>
      <c r="G451" s="32"/>
      <c r="H451" s="8"/>
      <c r="I451" s="32"/>
      <c r="J451" s="8"/>
      <c r="K451" s="32"/>
      <c r="L451" s="8"/>
      <c r="M451" s="8"/>
    </row>
    <row r="452" spans="1:13" s="215" customFormat="1" ht="15.75" hidden="1" x14ac:dyDescent="0.25">
      <c r="A452" s="1280"/>
      <c r="B452" s="839"/>
      <c r="C452" s="105" t="s">
        <v>36</v>
      </c>
      <c r="D452" s="839" t="s">
        <v>29</v>
      </c>
      <c r="E452" s="245">
        <v>3.88</v>
      </c>
      <c r="F452" s="109">
        <f>E452*F451</f>
        <v>0</v>
      </c>
      <c r="G452" s="32"/>
      <c r="H452" s="8"/>
      <c r="I452" s="32">
        <v>6</v>
      </c>
      <c r="J452" s="8">
        <f t="shared" si="47"/>
        <v>0</v>
      </c>
      <c r="K452" s="32"/>
      <c r="L452" s="8"/>
      <c r="M452" s="8">
        <f t="shared" si="48"/>
        <v>0</v>
      </c>
    </row>
    <row r="453" spans="1:13" s="215" customFormat="1" ht="31.5" hidden="1" x14ac:dyDescent="0.25">
      <c r="A453" s="1278" t="s">
        <v>1276</v>
      </c>
      <c r="B453" s="108" t="s">
        <v>1277</v>
      </c>
      <c r="C453" s="100" t="s">
        <v>1278</v>
      </c>
      <c r="D453" s="108" t="s">
        <v>22</v>
      </c>
      <c r="E453" s="260"/>
      <c r="F453" s="23">
        <f>F450</f>
        <v>0</v>
      </c>
      <c r="G453" s="1039"/>
      <c r="H453" s="8"/>
      <c r="I453" s="935"/>
      <c r="J453" s="8"/>
      <c r="K453" s="935"/>
      <c r="L453" s="8"/>
      <c r="M453" s="8">
        <f t="shared" si="48"/>
        <v>0</v>
      </c>
    </row>
    <row r="454" spans="1:13" s="215" customFormat="1" ht="27" hidden="1" x14ac:dyDescent="0.25">
      <c r="A454" s="1279"/>
      <c r="B454" s="839"/>
      <c r="C454" s="105" t="s">
        <v>54</v>
      </c>
      <c r="D454" s="839" t="s">
        <v>6</v>
      </c>
      <c r="E454" s="261">
        <v>14.6</v>
      </c>
      <c r="F454" s="103">
        <f>F453*E454</f>
        <v>0</v>
      </c>
      <c r="G454" s="1040"/>
      <c r="H454" s="8"/>
      <c r="I454" s="935">
        <v>6</v>
      </c>
      <c r="J454" s="8">
        <f t="shared" si="47"/>
        <v>0</v>
      </c>
      <c r="K454" s="935"/>
      <c r="L454" s="8"/>
      <c r="M454" s="8">
        <f t="shared" si="48"/>
        <v>0</v>
      </c>
    </row>
    <row r="455" spans="1:13" s="215" customFormat="1" ht="15.75" hidden="1" x14ac:dyDescent="0.25">
      <c r="A455" s="1279"/>
      <c r="B455" s="839"/>
      <c r="C455" s="105" t="s">
        <v>5</v>
      </c>
      <c r="D455" s="839" t="s">
        <v>4</v>
      </c>
      <c r="E455" s="261">
        <v>5.5</v>
      </c>
      <c r="F455" s="103">
        <f>F453*E455</f>
        <v>0</v>
      </c>
      <c r="G455" s="935"/>
      <c r="H455" s="8"/>
      <c r="I455" s="935"/>
      <c r="J455" s="8"/>
      <c r="K455" s="935">
        <v>4</v>
      </c>
      <c r="L455" s="8">
        <f t="shared" si="49"/>
        <v>0</v>
      </c>
      <c r="M455" s="8">
        <f t="shared" si="48"/>
        <v>0</v>
      </c>
    </row>
    <row r="456" spans="1:13" s="215" customFormat="1" ht="31.5" hidden="1" x14ac:dyDescent="0.25">
      <c r="A456" s="1279"/>
      <c r="B456" s="839"/>
      <c r="C456" s="105" t="s">
        <v>1279</v>
      </c>
      <c r="D456" s="839" t="s">
        <v>22</v>
      </c>
      <c r="E456" s="261">
        <v>1</v>
      </c>
      <c r="F456" s="103">
        <f>F453</f>
        <v>0</v>
      </c>
      <c r="G456" s="935">
        <v>97</v>
      </c>
      <c r="H456" s="8">
        <f t="shared" si="50"/>
        <v>0</v>
      </c>
      <c r="I456" s="935"/>
      <c r="J456" s="8"/>
      <c r="K456" s="828"/>
      <c r="L456" s="8"/>
      <c r="M456" s="8">
        <f t="shared" si="48"/>
        <v>0</v>
      </c>
    </row>
    <row r="457" spans="1:13" s="215" customFormat="1" ht="15.75" hidden="1" x14ac:dyDescent="0.25">
      <c r="A457" s="1279"/>
      <c r="B457" s="839"/>
      <c r="C457" s="105" t="s">
        <v>1280</v>
      </c>
      <c r="D457" s="839" t="s">
        <v>22</v>
      </c>
      <c r="E457" s="261">
        <v>1</v>
      </c>
      <c r="F457" s="103">
        <f>F453*E457</f>
        <v>0</v>
      </c>
      <c r="G457" s="935">
        <v>128</v>
      </c>
      <c r="H457" s="8">
        <f t="shared" si="50"/>
        <v>0</v>
      </c>
      <c r="I457" s="935"/>
      <c r="J457" s="8"/>
      <c r="K457" s="828"/>
      <c r="L457" s="8"/>
      <c r="M457" s="8">
        <f t="shared" si="48"/>
        <v>0</v>
      </c>
    </row>
    <row r="458" spans="1:13" s="215" customFormat="1" ht="15.75" hidden="1" x14ac:dyDescent="0.25">
      <c r="A458" s="1279"/>
      <c r="B458" s="839"/>
      <c r="C458" s="105" t="s">
        <v>1281</v>
      </c>
      <c r="D458" s="839" t="s">
        <v>22</v>
      </c>
      <c r="E458" s="261">
        <v>1</v>
      </c>
      <c r="F458" s="103">
        <f>F453*E458</f>
        <v>0</v>
      </c>
      <c r="G458" s="935">
        <v>316</v>
      </c>
      <c r="H458" s="8">
        <f t="shared" si="50"/>
        <v>0</v>
      </c>
      <c r="I458" s="935"/>
      <c r="J458" s="8"/>
      <c r="K458" s="828"/>
      <c r="L458" s="8"/>
      <c r="M458" s="8">
        <f t="shared" si="48"/>
        <v>0</v>
      </c>
    </row>
    <row r="459" spans="1:13" s="215" customFormat="1" ht="15.75" hidden="1" x14ac:dyDescent="0.25">
      <c r="A459" s="1279"/>
      <c r="B459" s="839"/>
      <c r="C459" s="105" t="s">
        <v>1282</v>
      </c>
      <c r="D459" s="839" t="s">
        <v>29</v>
      </c>
      <c r="E459" s="261">
        <f>(4.13+1.24)/10</f>
        <v>0.53700000000000003</v>
      </c>
      <c r="F459" s="109">
        <f>F453*E459</f>
        <v>0</v>
      </c>
      <c r="G459" s="935">
        <v>106</v>
      </c>
      <c r="H459" s="8">
        <f t="shared" si="50"/>
        <v>0</v>
      </c>
      <c r="I459" s="935"/>
      <c r="J459" s="8"/>
      <c r="K459" s="828"/>
      <c r="L459" s="8"/>
      <c r="M459" s="8">
        <f t="shared" si="48"/>
        <v>0</v>
      </c>
    </row>
    <row r="460" spans="1:13" s="215" customFormat="1" ht="15.75" hidden="1" x14ac:dyDescent="0.25">
      <c r="A460" s="1279"/>
      <c r="B460" s="839"/>
      <c r="C460" s="105" t="s">
        <v>1283</v>
      </c>
      <c r="D460" s="839" t="s">
        <v>38</v>
      </c>
      <c r="E460" s="261">
        <v>7.0000000000000001E-3</v>
      </c>
      <c r="F460" s="109">
        <f>F453*E460</f>
        <v>0</v>
      </c>
      <c r="G460" s="935">
        <v>1288</v>
      </c>
      <c r="H460" s="8">
        <f t="shared" si="50"/>
        <v>0</v>
      </c>
      <c r="I460" s="935"/>
      <c r="J460" s="8"/>
      <c r="K460" s="828"/>
      <c r="L460" s="8"/>
      <c r="M460" s="8">
        <f t="shared" si="48"/>
        <v>0</v>
      </c>
    </row>
    <row r="461" spans="1:13" s="215" customFormat="1" ht="15.75" hidden="1" x14ac:dyDescent="0.25">
      <c r="A461" s="1279"/>
      <c r="B461" s="839"/>
      <c r="C461" s="26" t="s">
        <v>118</v>
      </c>
      <c r="D461" s="835" t="s">
        <v>2</v>
      </c>
      <c r="E461" s="261">
        <v>7.85</v>
      </c>
      <c r="F461" s="109">
        <f>F453*E461</f>
        <v>0</v>
      </c>
      <c r="G461" s="935">
        <v>3</v>
      </c>
      <c r="H461" s="8">
        <f t="shared" si="50"/>
        <v>0</v>
      </c>
      <c r="I461" s="935"/>
      <c r="J461" s="8"/>
      <c r="K461" s="828"/>
      <c r="L461" s="8"/>
      <c r="M461" s="8">
        <f t="shared" si="48"/>
        <v>0</v>
      </c>
    </row>
    <row r="462" spans="1:13" s="215" customFormat="1" ht="15.75" hidden="1" x14ac:dyDescent="0.25">
      <c r="A462" s="1280"/>
      <c r="B462" s="839"/>
      <c r="C462" s="105" t="s">
        <v>7</v>
      </c>
      <c r="D462" s="839" t="s">
        <v>4</v>
      </c>
      <c r="E462" s="261">
        <v>6.77</v>
      </c>
      <c r="F462" s="103">
        <f>F453*E462</f>
        <v>0</v>
      </c>
      <c r="G462" s="935">
        <v>4</v>
      </c>
      <c r="H462" s="8">
        <f t="shared" si="50"/>
        <v>0</v>
      </c>
      <c r="I462" s="935"/>
      <c r="J462" s="8"/>
      <c r="K462" s="935"/>
      <c r="L462" s="8"/>
      <c r="M462" s="8">
        <f t="shared" si="48"/>
        <v>0</v>
      </c>
    </row>
    <row r="463" spans="1:13" s="215" customFormat="1" ht="31.5" hidden="1" x14ac:dyDescent="0.25">
      <c r="A463" s="1402" t="s">
        <v>1284</v>
      </c>
      <c r="B463" s="1033" t="s">
        <v>91</v>
      </c>
      <c r="C463" s="1041" t="s">
        <v>1285</v>
      </c>
      <c r="D463" s="294" t="s">
        <v>38</v>
      </c>
      <c r="E463" s="418"/>
      <c r="F463" s="23">
        <f>F464*1.95</f>
        <v>0</v>
      </c>
      <c r="G463" s="19"/>
      <c r="H463" s="8"/>
      <c r="I463" s="19"/>
      <c r="J463" s="8"/>
      <c r="K463" s="19"/>
      <c r="L463" s="8"/>
      <c r="M463" s="223"/>
    </row>
    <row r="464" spans="1:13" s="215" customFormat="1" ht="15.75" hidden="1" x14ac:dyDescent="0.25">
      <c r="A464" s="1402"/>
      <c r="B464" s="47"/>
      <c r="C464" s="1042"/>
      <c r="D464" s="294" t="s">
        <v>37</v>
      </c>
      <c r="E464" s="418"/>
      <c r="F464" s="23">
        <f>F451</f>
        <v>0</v>
      </c>
      <c r="G464" s="19"/>
      <c r="H464" s="8"/>
      <c r="I464" s="19"/>
      <c r="J464" s="8"/>
      <c r="K464" s="19"/>
      <c r="L464" s="8"/>
      <c r="M464" s="223">
        <f t="shared" si="48"/>
        <v>0</v>
      </c>
    </row>
    <row r="465" spans="1:13" s="215" customFormat="1" ht="27" hidden="1" x14ac:dyDescent="0.25">
      <c r="A465" s="1402"/>
      <c r="B465" s="47"/>
      <c r="C465" s="125" t="s">
        <v>56</v>
      </c>
      <c r="D465" s="45" t="s">
        <v>6</v>
      </c>
      <c r="E465" s="418">
        <v>0.53</v>
      </c>
      <c r="F465" s="46">
        <f>F463*E465</f>
        <v>0</v>
      </c>
      <c r="G465" s="19"/>
      <c r="H465" s="8"/>
      <c r="I465" s="19">
        <v>6</v>
      </c>
      <c r="J465" s="8">
        <f t="shared" si="47"/>
        <v>0</v>
      </c>
      <c r="K465" s="19"/>
      <c r="L465" s="8"/>
      <c r="M465" s="223">
        <f t="shared" ref="M465:M515" si="63">H465+J465+L465</f>
        <v>0</v>
      </c>
    </row>
    <row r="466" spans="1:13" s="215" customFormat="1" ht="31.5" hidden="1" x14ac:dyDescent="0.25">
      <c r="A466" s="1402"/>
      <c r="B466" s="492" t="s">
        <v>795</v>
      </c>
      <c r="C466" s="758" t="s">
        <v>1286</v>
      </c>
      <c r="D466" s="294" t="s">
        <v>38</v>
      </c>
      <c r="E466" s="418"/>
      <c r="F466" s="23">
        <f>F463</f>
        <v>0</v>
      </c>
      <c r="G466" s="19"/>
      <c r="H466" s="8"/>
      <c r="I466" s="19"/>
      <c r="J466" s="8"/>
      <c r="K466" s="682">
        <v>5.64</v>
      </c>
      <c r="L466" s="8">
        <f t="shared" ref="L466:L507" si="64">F466*K466</f>
        <v>0</v>
      </c>
      <c r="M466" s="223">
        <f t="shared" si="63"/>
        <v>0</v>
      </c>
    </row>
    <row r="467" spans="1:13" s="215" customFormat="1" ht="47.25" x14ac:dyDescent="0.25">
      <c r="A467" s="1398" t="s">
        <v>1287</v>
      </c>
      <c r="B467" s="1026" t="s">
        <v>119</v>
      </c>
      <c r="C467" s="1043" t="s">
        <v>222</v>
      </c>
      <c r="D467" s="1026" t="s">
        <v>22</v>
      </c>
      <c r="E467" s="1044"/>
      <c r="F467" s="51">
        <v>1</v>
      </c>
      <c r="G467" s="101"/>
      <c r="H467" s="8"/>
      <c r="I467" s="32"/>
      <c r="J467" s="8"/>
      <c r="K467" s="32"/>
      <c r="L467" s="8"/>
      <c r="M467" s="223">
        <f t="shared" si="63"/>
        <v>0</v>
      </c>
    </row>
    <row r="468" spans="1:13" s="215" customFormat="1" ht="27" x14ac:dyDescent="0.25">
      <c r="A468" s="1399"/>
      <c r="B468" s="933"/>
      <c r="C468" s="299" t="s">
        <v>36</v>
      </c>
      <c r="D468" s="622" t="s">
        <v>6</v>
      </c>
      <c r="E468" s="615">
        <v>3.15</v>
      </c>
      <c r="F468" s="831">
        <f>F467*E468</f>
        <v>3.15</v>
      </c>
      <c r="G468" s="32"/>
      <c r="H468" s="8"/>
      <c r="I468" s="32"/>
      <c r="J468" s="8">
        <f t="shared" si="47"/>
        <v>0</v>
      </c>
      <c r="K468" s="32"/>
      <c r="L468" s="8"/>
      <c r="M468" s="223">
        <f t="shared" si="63"/>
        <v>0</v>
      </c>
    </row>
    <row r="469" spans="1:13" s="215" customFormat="1" ht="15.75" x14ac:dyDescent="0.25">
      <c r="A469" s="1399"/>
      <c r="B469" s="933"/>
      <c r="C469" s="945" t="s">
        <v>5</v>
      </c>
      <c r="D469" s="933" t="s">
        <v>4</v>
      </c>
      <c r="E469" s="1045">
        <v>0.84</v>
      </c>
      <c r="F469" s="103">
        <f>F467*E469</f>
        <v>0.84</v>
      </c>
      <c r="G469" s="32"/>
      <c r="H469" s="8"/>
      <c r="I469" s="32"/>
      <c r="J469" s="8"/>
      <c r="K469" s="32"/>
      <c r="L469" s="8">
        <f t="shared" si="64"/>
        <v>0</v>
      </c>
      <c r="M469" s="223">
        <f t="shared" si="63"/>
        <v>0</v>
      </c>
    </row>
    <row r="470" spans="1:13" s="215" customFormat="1" ht="15.75" x14ac:dyDescent="0.25">
      <c r="A470" s="1399"/>
      <c r="B470" s="933"/>
      <c r="C470" s="945" t="s">
        <v>120</v>
      </c>
      <c r="D470" s="933" t="s">
        <v>110</v>
      </c>
      <c r="E470" s="1045">
        <v>20</v>
      </c>
      <c r="F470" s="109">
        <f>E470*F467</f>
        <v>20</v>
      </c>
      <c r="G470" s="32"/>
      <c r="H470" s="8">
        <f t="shared" si="50"/>
        <v>0</v>
      </c>
      <c r="I470" s="32"/>
      <c r="J470" s="8"/>
      <c r="K470" s="32"/>
      <c r="L470" s="8"/>
      <c r="M470" s="223">
        <f t="shared" si="63"/>
        <v>0</v>
      </c>
    </row>
    <row r="471" spans="1:13" s="215" customFormat="1" ht="15.75" x14ac:dyDescent="0.25">
      <c r="A471" s="1400"/>
      <c r="B471" s="933"/>
      <c r="C471" s="945" t="s">
        <v>7</v>
      </c>
      <c r="D471" s="933" t="s">
        <v>4</v>
      </c>
      <c r="E471" s="1045">
        <v>0.47</v>
      </c>
      <c r="F471" s="103">
        <f>F467*E471</f>
        <v>0.47</v>
      </c>
      <c r="G471" s="32"/>
      <c r="H471" s="8">
        <f t="shared" si="50"/>
        <v>0</v>
      </c>
      <c r="I471" s="32"/>
      <c r="J471" s="8"/>
      <c r="K471" s="32"/>
      <c r="L471" s="8"/>
      <c r="M471" s="223">
        <f t="shared" si="63"/>
        <v>0</v>
      </c>
    </row>
    <row r="472" spans="1:13" s="215" customFormat="1" ht="15.75" x14ac:dyDescent="0.25">
      <c r="A472" s="1046"/>
      <c r="B472" s="933"/>
      <c r="C472" s="1047"/>
      <c r="D472" s="1026"/>
      <c r="E472" s="1027"/>
      <c r="F472" s="1048"/>
      <c r="G472" s="1049"/>
      <c r="H472" s="8"/>
      <c r="I472" s="1049"/>
      <c r="J472" s="8"/>
      <c r="K472" s="1049"/>
      <c r="L472" s="8"/>
      <c r="M472" s="223">
        <f t="shared" si="63"/>
        <v>0</v>
      </c>
    </row>
    <row r="473" spans="1:13" s="215" customFormat="1" ht="15.75" x14ac:dyDescent="0.25">
      <c r="A473" s="980" t="s">
        <v>358</v>
      </c>
      <c r="B473" s="981"/>
      <c r="C473" s="1009" t="s">
        <v>1288</v>
      </c>
      <c r="D473" s="1022" t="s">
        <v>41</v>
      </c>
      <c r="E473" s="1050"/>
      <c r="F473" s="1023">
        <v>30</v>
      </c>
      <c r="G473" s="40"/>
      <c r="H473" s="8"/>
      <c r="I473" s="1024"/>
      <c r="J473" s="8"/>
      <c r="K473" s="32"/>
      <c r="L473" s="8"/>
      <c r="M473" s="223"/>
    </row>
    <row r="474" spans="1:13" s="215" customFormat="1" ht="47.25" hidden="1" x14ac:dyDescent="0.25">
      <c r="A474" s="1278" t="s">
        <v>1011</v>
      </c>
      <c r="B474" s="839" t="s">
        <v>565</v>
      </c>
      <c r="C474" s="1051" t="s">
        <v>1289</v>
      </c>
      <c r="D474" s="108" t="s">
        <v>32</v>
      </c>
      <c r="E474" s="245"/>
      <c r="F474" s="23">
        <v>0</v>
      </c>
      <c r="G474" s="106"/>
      <c r="H474" s="8"/>
      <c r="I474" s="106"/>
      <c r="J474" s="8"/>
      <c r="K474" s="106"/>
      <c r="L474" s="8"/>
      <c r="M474" s="8"/>
    </row>
    <row r="475" spans="1:13" s="215" customFormat="1" ht="15.75" hidden="1" x14ac:dyDescent="0.25">
      <c r="A475" s="1279"/>
      <c r="B475" s="110"/>
      <c r="C475" s="494" t="s">
        <v>36</v>
      </c>
      <c r="D475" s="839" t="s">
        <v>29</v>
      </c>
      <c r="E475" s="245">
        <v>20</v>
      </c>
      <c r="F475" s="109">
        <f>E475*F474</f>
        <v>0</v>
      </c>
      <c r="G475" s="40"/>
      <c r="H475" s="8"/>
      <c r="I475" s="40">
        <v>6</v>
      </c>
      <c r="J475" s="8">
        <f t="shared" ref="J475:J521" si="65">F475*I475</f>
        <v>0</v>
      </c>
      <c r="K475" s="32"/>
      <c r="L475" s="8"/>
      <c r="M475" s="8">
        <f t="shared" si="63"/>
        <v>0</v>
      </c>
    </row>
    <row r="476" spans="1:13" s="215" customFormat="1" ht="27" hidden="1" x14ac:dyDescent="0.25">
      <c r="A476" s="1279"/>
      <c r="B476" s="110">
        <v>926</v>
      </c>
      <c r="C476" s="494" t="s">
        <v>1226</v>
      </c>
      <c r="D476" s="839" t="s">
        <v>43</v>
      </c>
      <c r="E476" s="245">
        <v>44.8</v>
      </c>
      <c r="F476" s="109">
        <f>F474*E476</f>
        <v>0</v>
      </c>
      <c r="G476" s="40"/>
      <c r="H476" s="8"/>
      <c r="I476" s="828"/>
      <c r="J476" s="8"/>
      <c r="K476" s="32">
        <v>18.22</v>
      </c>
      <c r="L476" s="8">
        <f t="shared" si="64"/>
        <v>0</v>
      </c>
      <c r="M476" s="8">
        <f t="shared" si="63"/>
        <v>0</v>
      </c>
    </row>
    <row r="477" spans="1:13" s="215" customFormat="1" ht="15.75" hidden="1" x14ac:dyDescent="0.25">
      <c r="A477" s="1279"/>
      <c r="B477" s="110"/>
      <c r="C477" s="494" t="s">
        <v>5</v>
      </c>
      <c r="D477" s="839" t="s">
        <v>4</v>
      </c>
      <c r="E477" s="245">
        <v>2.1</v>
      </c>
      <c r="F477" s="109">
        <f>F474*E477</f>
        <v>0</v>
      </c>
      <c r="G477" s="40"/>
      <c r="H477" s="8"/>
      <c r="I477" s="828"/>
      <c r="J477" s="8"/>
      <c r="K477" s="32">
        <v>3.2</v>
      </c>
      <c r="L477" s="8">
        <f t="shared" si="64"/>
        <v>0</v>
      </c>
      <c r="M477" s="8">
        <f t="shared" si="63"/>
        <v>0</v>
      </c>
    </row>
    <row r="478" spans="1:13" s="215" customFormat="1" ht="15.75" hidden="1" x14ac:dyDescent="0.25">
      <c r="A478" s="1280"/>
      <c r="B478" s="110" t="s">
        <v>1290</v>
      </c>
      <c r="C478" s="494" t="s">
        <v>30</v>
      </c>
      <c r="D478" s="839" t="s">
        <v>37</v>
      </c>
      <c r="E478" s="245">
        <v>0.05</v>
      </c>
      <c r="F478" s="109">
        <f>F474*E478</f>
        <v>0</v>
      </c>
      <c r="G478" s="40">
        <v>18.600000000000001</v>
      </c>
      <c r="H478" s="8">
        <f t="shared" ref="H472:H532" si="66">F478*G478</f>
        <v>0</v>
      </c>
      <c r="I478" s="828"/>
      <c r="J478" s="8"/>
      <c r="K478" s="32"/>
      <c r="L478" s="8"/>
      <c r="M478" s="8">
        <f t="shared" si="63"/>
        <v>0</v>
      </c>
    </row>
    <row r="479" spans="1:13" s="215" customFormat="1" ht="15.75" x14ac:dyDescent="0.25">
      <c r="A479" s="1278" t="s">
        <v>93</v>
      </c>
      <c r="B479" s="484" t="s">
        <v>59</v>
      </c>
      <c r="C479" s="425" t="s">
        <v>1227</v>
      </c>
      <c r="D479" s="108" t="s">
        <v>37</v>
      </c>
      <c r="E479" s="245"/>
      <c r="F479" s="23">
        <f>1*0.7*F473</f>
        <v>21</v>
      </c>
      <c r="G479" s="40"/>
      <c r="H479" s="8"/>
      <c r="I479" s="8"/>
      <c r="J479" s="8"/>
      <c r="K479" s="32"/>
      <c r="L479" s="8"/>
      <c r="M479" s="8"/>
    </row>
    <row r="480" spans="1:13" s="215" customFormat="1" ht="15.75" x14ac:dyDescent="0.25">
      <c r="A480" s="1280"/>
      <c r="B480" s="484"/>
      <c r="C480" s="13" t="s">
        <v>13</v>
      </c>
      <c r="D480" s="835" t="s">
        <v>14</v>
      </c>
      <c r="E480" s="524">
        <v>2.06</v>
      </c>
      <c r="F480" s="831">
        <f>E480*F479</f>
        <v>43.26</v>
      </c>
      <c r="G480" s="828"/>
      <c r="H480" s="8"/>
      <c r="I480" s="828"/>
      <c r="J480" s="8">
        <f t="shared" si="65"/>
        <v>0</v>
      </c>
      <c r="K480" s="828"/>
      <c r="L480" s="8"/>
      <c r="M480" s="8">
        <f t="shared" si="63"/>
        <v>0</v>
      </c>
    </row>
    <row r="481" spans="1:13" s="215" customFormat="1" ht="63" x14ac:dyDescent="0.25">
      <c r="A481" s="1402">
        <v>2</v>
      </c>
      <c r="B481" s="484" t="s">
        <v>112</v>
      </c>
      <c r="C481" s="422" t="s">
        <v>1228</v>
      </c>
      <c r="D481" s="484" t="s">
        <v>32</v>
      </c>
      <c r="E481" s="10"/>
      <c r="F481" s="23">
        <f>0.7*0.35*F473-3.14*0.075*0.075*F473</f>
        <v>6.8201249999999991</v>
      </c>
      <c r="G481" s="40"/>
      <c r="H481" s="8"/>
      <c r="I481" s="40"/>
      <c r="J481" s="8"/>
      <c r="K481" s="32"/>
      <c r="L481" s="8"/>
      <c r="M481" s="8"/>
    </row>
    <row r="482" spans="1:13" s="215" customFormat="1" ht="27" x14ac:dyDescent="0.25">
      <c r="A482" s="1402"/>
      <c r="B482" s="835"/>
      <c r="C482" s="13" t="s">
        <v>13</v>
      </c>
      <c r="D482" s="835" t="s">
        <v>6</v>
      </c>
      <c r="E482" s="524">
        <f>18/10</f>
        <v>1.8</v>
      </c>
      <c r="F482" s="831">
        <f>E482*F481</f>
        <v>12.276224999999998</v>
      </c>
      <c r="G482" s="40"/>
      <c r="H482" s="8"/>
      <c r="I482" s="40"/>
      <c r="J482" s="8">
        <f t="shared" si="65"/>
        <v>0</v>
      </c>
      <c r="K482" s="32"/>
      <c r="L482" s="8"/>
      <c r="M482" s="8">
        <f t="shared" si="63"/>
        <v>0</v>
      </c>
    </row>
    <row r="483" spans="1:13" s="215" customFormat="1" ht="15.75" x14ac:dyDescent="0.25">
      <c r="A483" s="1402"/>
      <c r="B483" s="835"/>
      <c r="C483" s="13" t="s">
        <v>114</v>
      </c>
      <c r="D483" s="835" t="s">
        <v>29</v>
      </c>
      <c r="E483" s="524">
        <v>1.1000000000000001</v>
      </c>
      <c r="F483" s="831">
        <f>F481*E483</f>
        <v>7.5021374999999999</v>
      </c>
      <c r="G483" s="40"/>
      <c r="H483" s="8">
        <f t="shared" si="66"/>
        <v>0</v>
      </c>
      <c r="I483" s="40"/>
      <c r="J483" s="8"/>
      <c r="K483" s="32"/>
      <c r="L483" s="8"/>
      <c r="M483" s="8">
        <f t="shared" si="63"/>
        <v>0</v>
      </c>
    </row>
    <row r="484" spans="1:13" s="215" customFormat="1" ht="47.25" x14ac:dyDescent="0.25">
      <c r="A484" s="1402">
        <v>3</v>
      </c>
      <c r="B484" s="498" t="s">
        <v>63</v>
      </c>
      <c r="C484" s="361" t="s">
        <v>1229</v>
      </c>
      <c r="D484" s="484" t="s">
        <v>32</v>
      </c>
      <c r="E484" s="262"/>
      <c r="F484" s="23">
        <f>0.7*(1-0.35)*F473</f>
        <v>13.649999999999999</v>
      </c>
      <c r="G484" s="101"/>
      <c r="H484" s="8"/>
      <c r="I484" s="101"/>
      <c r="J484" s="8"/>
      <c r="K484" s="101"/>
      <c r="L484" s="8"/>
      <c r="M484" s="8"/>
    </row>
    <row r="485" spans="1:13" s="215" customFormat="1" ht="27" x14ac:dyDescent="0.25">
      <c r="A485" s="1402"/>
      <c r="B485" s="835"/>
      <c r="C485" s="13" t="s">
        <v>13</v>
      </c>
      <c r="D485" s="835" t="s">
        <v>6</v>
      </c>
      <c r="E485" s="524">
        <v>1.21</v>
      </c>
      <c r="F485" s="831">
        <f>E485*F484</f>
        <v>16.516499999999997</v>
      </c>
      <c r="G485" s="32"/>
      <c r="H485" s="8"/>
      <c r="I485" s="32"/>
      <c r="J485" s="8">
        <f t="shared" si="65"/>
        <v>0</v>
      </c>
      <c r="K485" s="32"/>
      <c r="L485" s="8"/>
      <c r="M485" s="8">
        <f t="shared" si="63"/>
        <v>0</v>
      </c>
    </row>
    <row r="486" spans="1:13" s="215" customFormat="1" ht="46.5" x14ac:dyDescent="0.25">
      <c r="A486" s="1278">
        <v>4</v>
      </c>
      <c r="B486" s="108" t="s">
        <v>1291</v>
      </c>
      <c r="C486" s="422" t="s">
        <v>1292</v>
      </c>
      <c r="D486" s="108" t="s">
        <v>62</v>
      </c>
      <c r="E486" s="260"/>
      <c r="F486" s="23">
        <f>F489+F490</f>
        <v>30</v>
      </c>
      <c r="G486" s="101"/>
      <c r="H486" s="8"/>
      <c r="I486" s="32"/>
      <c r="J486" s="8"/>
      <c r="K486" s="32"/>
      <c r="L486" s="8"/>
      <c r="M486" s="8"/>
    </row>
    <row r="487" spans="1:13" s="215" customFormat="1" ht="27" x14ac:dyDescent="0.25">
      <c r="A487" s="1279"/>
      <c r="B487" s="839"/>
      <c r="C487" s="13" t="s">
        <v>36</v>
      </c>
      <c r="D487" s="835" t="s">
        <v>6</v>
      </c>
      <c r="E487" s="261">
        <f>245*0.001</f>
        <v>0.245</v>
      </c>
      <c r="F487" s="103">
        <f>F486*E487</f>
        <v>7.35</v>
      </c>
      <c r="G487" s="32"/>
      <c r="H487" s="8"/>
      <c r="I487" s="32"/>
      <c r="J487" s="8">
        <f t="shared" si="65"/>
        <v>0</v>
      </c>
      <c r="K487" s="32"/>
      <c r="L487" s="8"/>
      <c r="M487" s="8">
        <f t="shared" si="63"/>
        <v>0</v>
      </c>
    </row>
    <row r="488" spans="1:13" s="215" customFormat="1" ht="15.75" x14ac:dyDescent="0.25">
      <c r="A488" s="1279"/>
      <c r="B488" s="839"/>
      <c r="C488" s="494" t="s">
        <v>5</v>
      </c>
      <c r="D488" s="839" t="s">
        <v>4</v>
      </c>
      <c r="E488" s="261">
        <v>0.84</v>
      </c>
      <c r="F488" s="103">
        <f>F486*E488</f>
        <v>25.2</v>
      </c>
      <c r="G488" s="111"/>
      <c r="H488" s="8"/>
      <c r="I488" s="111"/>
      <c r="J488" s="8"/>
      <c r="K488" s="111"/>
      <c r="L488" s="8">
        <f t="shared" si="64"/>
        <v>0</v>
      </c>
      <c r="M488" s="8">
        <f t="shared" si="63"/>
        <v>0</v>
      </c>
    </row>
    <row r="489" spans="1:13" s="215" customFormat="1" ht="15.75" hidden="1" x14ac:dyDescent="0.25">
      <c r="A489" s="1279"/>
      <c r="B489" s="839" t="s">
        <v>1293</v>
      </c>
      <c r="C489" s="105" t="s">
        <v>1294</v>
      </c>
      <c r="D489" s="839" t="str">
        <f>D486</f>
        <v>grZ.m.</v>
      </c>
      <c r="E489" s="261"/>
      <c r="F489" s="103"/>
      <c r="G489" s="32">
        <v>9.3000000000000007</v>
      </c>
      <c r="H489" s="8">
        <f t="shared" si="66"/>
        <v>0</v>
      </c>
      <c r="I489" s="32"/>
      <c r="J489" s="8"/>
      <c r="K489" s="32"/>
      <c r="L489" s="8"/>
      <c r="M489" s="8">
        <f t="shared" si="63"/>
        <v>0</v>
      </c>
    </row>
    <row r="490" spans="1:13" s="215" customFormat="1" ht="27" x14ac:dyDescent="0.25">
      <c r="A490" s="1279"/>
      <c r="B490" s="839"/>
      <c r="C490" s="105" t="s">
        <v>1295</v>
      </c>
      <c r="D490" s="839" t="str">
        <f>D487</f>
        <v>kac/sT</v>
      </c>
      <c r="E490" s="261"/>
      <c r="F490" s="103">
        <v>30</v>
      </c>
      <c r="G490" s="32"/>
      <c r="H490" s="8">
        <f t="shared" si="66"/>
        <v>0</v>
      </c>
      <c r="I490" s="32"/>
      <c r="J490" s="8"/>
      <c r="K490" s="32"/>
      <c r="L490" s="8"/>
      <c r="M490" s="8">
        <f t="shared" si="63"/>
        <v>0</v>
      </c>
    </row>
    <row r="491" spans="1:13" s="215" customFormat="1" ht="15.75" hidden="1" x14ac:dyDescent="0.25">
      <c r="A491" s="1279"/>
      <c r="B491" s="839"/>
      <c r="C491" s="281" t="s">
        <v>1296</v>
      </c>
      <c r="D491" s="48" t="s">
        <v>52</v>
      </c>
      <c r="E491" s="261"/>
      <c r="F491" s="103"/>
      <c r="G491" s="32">
        <v>4.5</v>
      </c>
      <c r="H491" s="8">
        <f t="shared" si="66"/>
        <v>0</v>
      </c>
      <c r="I491" s="32"/>
      <c r="J491" s="8"/>
      <c r="K491" s="32"/>
      <c r="L491" s="8"/>
      <c r="M491" s="8">
        <f t="shared" si="63"/>
        <v>0</v>
      </c>
    </row>
    <row r="492" spans="1:13" s="215" customFormat="1" ht="15.75" hidden="1" x14ac:dyDescent="0.25">
      <c r="A492" s="1279"/>
      <c r="B492" s="839"/>
      <c r="C492" s="281" t="s">
        <v>1297</v>
      </c>
      <c r="D492" s="48" t="s">
        <v>52</v>
      </c>
      <c r="E492" s="261"/>
      <c r="F492" s="103"/>
      <c r="G492" s="32">
        <v>6</v>
      </c>
      <c r="H492" s="8">
        <f t="shared" si="66"/>
        <v>0</v>
      </c>
      <c r="I492" s="32"/>
      <c r="J492" s="8"/>
      <c r="K492" s="32"/>
      <c r="L492" s="8"/>
      <c r="M492" s="8">
        <f t="shared" si="63"/>
        <v>0</v>
      </c>
    </row>
    <row r="493" spans="1:13" s="215" customFormat="1" ht="31.5" hidden="1" x14ac:dyDescent="0.25">
      <c r="A493" s="1279"/>
      <c r="B493" s="839"/>
      <c r="C493" s="281" t="s">
        <v>1298</v>
      </c>
      <c r="D493" s="48" t="s">
        <v>52</v>
      </c>
      <c r="E493" s="261"/>
      <c r="F493" s="103"/>
      <c r="G493" s="32">
        <v>153</v>
      </c>
      <c r="H493" s="8">
        <f t="shared" si="66"/>
        <v>0</v>
      </c>
      <c r="I493" s="32"/>
      <c r="J493" s="8"/>
      <c r="K493" s="32"/>
      <c r="L493" s="8"/>
      <c r="M493" s="8">
        <f t="shared" si="63"/>
        <v>0</v>
      </c>
    </row>
    <row r="494" spans="1:13" s="215" customFormat="1" ht="15.75" hidden="1" x14ac:dyDescent="0.25">
      <c r="A494" s="1279"/>
      <c r="B494" s="839"/>
      <c r="C494" s="281" t="s">
        <v>1299</v>
      </c>
      <c r="D494" s="48" t="s">
        <v>52</v>
      </c>
      <c r="E494" s="261"/>
      <c r="F494" s="103"/>
      <c r="G494" s="32">
        <v>150</v>
      </c>
      <c r="H494" s="8">
        <f t="shared" si="66"/>
        <v>0</v>
      </c>
      <c r="I494" s="32"/>
      <c r="J494" s="8"/>
      <c r="K494" s="32"/>
      <c r="L494" s="8"/>
      <c r="M494" s="8">
        <f t="shared" si="63"/>
        <v>0</v>
      </c>
    </row>
    <row r="495" spans="1:13" s="215" customFormat="1" ht="15.75" x14ac:dyDescent="0.25">
      <c r="A495" s="1280"/>
      <c r="B495" s="839"/>
      <c r="C495" s="494" t="s">
        <v>7</v>
      </c>
      <c r="D495" s="839" t="s">
        <v>4</v>
      </c>
      <c r="E495" s="261">
        <f>8.88*0.001</f>
        <v>8.8800000000000007E-3</v>
      </c>
      <c r="F495" s="103">
        <f>F486*E495</f>
        <v>0.26640000000000003</v>
      </c>
      <c r="G495" s="32"/>
      <c r="H495" s="8">
        <f t="shared" si="66"/>
        <v>0</v>
      </c>
      <c r="I495" s="32"/>
      <c r="J495" s="8"/>
      <c r="K495" s="32"/>
      <c r="L495" s="8"/>
      <c r="M495" s="8">
        <f t="shared" si="63"/>
        <v>0</v>
      </c>
    </row>
    <row r="496" spans="1:13" s="215" customFormat="1" ht="31.5" x14ac:dyDescent="0.25">
      <c r="A496" s="1401" t="s">
        <v>90</v>
      </c>
      <c r="B496" s="1033" t="s">
        <v>91</v>
      </c>
      <c r="C496" s="1052" t="s">
        <v>1285</v>
      </c>
      <c r="D496" s="294" t="s">
        <v>38</v>
      </c>
      <c r="E496" s="418"/>
      <c r="F496" s="23">
        <f>F497*1.95</f>
        <v>14.332499999999998</v>
      </c>
      <c r="G496" s="19"/>
      <c r="H496" s="8"/>
      <c r="I496" s="19"/>
      <c r="J496" s="8"/>
      <c r="K496" s="19"/>
      <c r="L496" s="8"/>
      <c r="M496" s="8">
        <f t="shared" si="63"/>
        <v>0</v>
      </c>
    </row>
    <row r="497" spans="1:13" s="215" customFormat="1" ht="15.75" x14ac:dyDescent="0.25">
      <c r="A497" s="1401"/>
      <c r="B497" s="47"/>
      <c r="C497" s="1053"/>
      <c r="D497" s="294" t="s">
        <v>37</v>
      </c>
      <c r="E497" s="418"/>
      <c r="F497" s="23">
        <f>0.7*0.35*F473</f>
        <v>7.3499999999999988</v>
      </c>
      <c r="G497" s="19"/>
      <c r="H497" s="8"/>
      <c r="I497" s="19"/>
      <c r="J497" s="8"/>
      <c r="K497" s="19"/>
      <c r="L497" s="8"/>
      <c r="M497" s="8"/>
    </row>
    <row r="498" spans="1:13" s="215" customFormat="1" ht="27" x14ac:dyDescent="0.25">
      <c r="A498" s="1401"/>
      <c r="B498" s="47"/>
      <c r="C498" s="44" t="s">
        <v>56</v>
      </c>
      <c r="D498" s="45" t="s">
        <v>6</v>
      </c>
      <c r="E498" s="418">
        <v>0.53</v>
      </c>
      <c r="F498" s="46">
        <f>F496*E498</f>
        <v>7.5962249999999996</v>
      </c>
      <c r="G498" s="19"/>
      <c r="H498" s="8"/>
      <c r="I498" s="19"/>
      <c r="J498" s="8">
        <f t="shared" si="65"/>
        <v>0</v>
      </c>
      <c r="K498" s="19"/>
      <c r="L498" s="8"/>
      <c r="M498" s="8">
        <f t="shared" si="63"/>
        <v>0</v>
      </c>
    </row>
    <row r="499" spans="1:13" s="215" customFormat="1" ht="31.5" x14ac:dyDescent="0.25">
      <c r="A499" s="1401"/>
      <c r="B499" s="294" t="s">
        <v>795</v>
      </c>
      <c r="C499" s="758" t="s">
        <v>822</v>
      </c>
      <c r="D499" s="294" t="s">
        <v>38</v>
      </c>
      <c r="E499" s="418"/>
      <c r="F499" s="23">
        <f>F496</f>
        <v>14.332499999999998</v>
      </c>
      <c r="G499" s="19"/>
      <c r="H499" s="8"/>
      <c r="I499" s="19"/>
      <c r="J499" s="8"/>
      <c r="K499" s="682"/>
      <c r="L499" s="8">
        <f t="shared" si="64"/>
        <v>0</v>
      </c>
      <c r="M499" s="8">
        <f t="shared" si="63"/>
        <v>0</v>
      </c>
    </row>
    <row r="500" spans="1:13" s="215" customFormat="1" ht="31.5" x14ac:dyDescent="0.25">
      <c r="A500" s="833" t="s">
        <v>90</v>
      </c>
      <c r="B500" s="304"/>
      <c r="C500" s="827" t="s">
        <v>1300</v>
      </c>
      <c r="D500" s="835" t="s">
        <v>80</v>
      </c>
      <c r="E500" s="524"/>
      <c r="F500" s="499">
        <v>1</v>
      </c>
      <c r="G500" s="101"/>
      <c r="H500" s="8"/>
      <c r="I500" s="828"/>
      <c r="J500" s="8"/>
      <c r="K500" s="828"/>
      <c r="L500" s="8"/>
      <c r="M500" s="8">
        <f t="shared" si="63"/>
        <v>0</v>
      </c>
    </row>
    <row r="501" spans="1:13" s="215" customFormat="1" ht="15.75" x14ac:dyDescent="0.25">
      <c r="A501" s="833"/>
      <c r="B501" s="304"/>
      <c r="C501" s="827" t="s">
        <v>1301</v>
      </c>
      <c r="D501" s="835" t="s">
        <v>52</v>
      </c>
      <c r="E501" s="524"/>
      <c r="F501" s="831">
        <v>1</v>
      </c>
      <c r="G501" s="101"/>
      <c r="H501" s="8"/>
      <c r="I501" s="828"/>
      <c r="J501" s="8"/>
      <c r="K501" s="828"/>
      <c r="L501" s="8"/>
      <c r="M501" s="8">
        <f t="shared" si="63"/>
        <v>0</v>
      </c>
    </row>
    <row r="502" spans="1:13" s="215" customFormat="1" ht="15.75" hidden="1" x14ac:dyDescent="0.25">
      <c r="A502" s="833"/>
      <c r="B502" s="304"/>
      <c r="C502" s="827" t="s">
        <v>1302</v>
      </c>
      <c r="D502" s="835" t="s">
        <v>52</v>
      </c>
      <c r="E502" s="524"/>
      <c r="F502" s="831"/>
      <c r="G502" s="101"/>
      <c r="H502" s="8"/>
      <c r="I502" s="828"/>
      <c r="J502" s="8"/>
      <c r="K502" s="828"/>
      <c r="L502" s="8"/>
      <c r="M502" s="8">
        <f t="shared" si="63"/>
        <v>0</v>
      </c>
    </row>
    <row r="503" spans="1:13" s="215" customFormat="1" ht="47.25" x14ac:dyDescent="0.25">
      <c r="A503" s="1278" t="s">
        <v>415</v>
      </c>
      <c r="B503" s="839" t="s">
        <v>31</v>
      </c>
      <c r="C503" s="493" t="s">
        <v>1275</v>
      </c>
      <c r="D503" s="839" t="s">
        <v>37</v>
      </c>
      <c r="E503" s="261"/>
      <c r="F503" s="23">
        <f>1.3*1.3*1.2*F501+1.3*1.3*1.7*F502</f>
        <v>2.028</v>
      </c>
      <c r="G503" s="32"/>
      <c r="H503" s="8"/>
      <c r="I503" s="32"/>
      <c r="J503" s="8"/>
      <c r="K503" s="32"/>
      <c r="L503" s="8"/>
      <c r="M503" s="8"/>
    </row>
    <row r="504" spans="1:13" s="215" customFormat="1" ht="15.75" x14ac:dyDescent="0.25">
      <c r="A504" s="1280"/>
      <c r="B504" s="839"/>
      <c r="C504" s="494" t="s">
        <v>36</v>
      </c>
      <c r="D504" s="839" t="s">
        <v>29</v>
      </c>
      <c r="E504" s="245">
        <v>3.88</v>
      </c>
      <c r="F504" s="109">
        <f>E504*F503</f>
        <v>7.8686400000000001</v>
      </c>
      <c r="G504" s="32"/>
      <c r="H504" s="8"/>
      <c r="I504" s="32"/>
      <c r="J504" s="8">
        <f t="shared" si="65"/>
        <v>0</v>
      </c>
      <c r="K504" s="32"/>
      <c r="L504" s="8"/>
      <c r="M504" s="8">
        <f t="shared" si="63"/>
        <v>0</v>
      </c>
    </row>
    <row r="505" spans="1:13" s="215" customFormat="1" ht="31.5" x14ac:dyDescent="0.25">
      <c r="A505" s="1278" t="s">
        <v>416</v>
      </c>
      <c r="B505" s="839" t="s">
        <v>1277</v>
      </c>
      <c r="C505" s="422" t="s">
        <v>1278</v>
      </c>
      <c r="D505" s="108" t="s">
        <v>22</v>
      </c>
      <c r="E505" s="260"/>
      <c r="F505" s="23">
        <f>F500</f>
        <v>1</v>
      </c>
      <c r="G505" s="1039"/>
      <c r="H505" s="8"/>
      <c r="I505" s="935"/>
      <c r="J505" s="8"/>
      <c r="K505" s="935"/>
      <c r="L505" s="8"/>
      <c r="M505" s="8">
        <f t="shared" si="63"/>
        <v>0</v>
      </c>
    </row>
    <row r="506" spans="1:13" s="215" customFormat="1" ht="27" x14ac:dyDescent="0.25">
      <c r="A506" s="1279"/>
      <c r="B506" s="839"/>
      <c r="C506" s="494" t="s">
        <v>54</v>
      </c>
      <c r="D506" s="839" t="s">
        <v>6</v>
      </c>
      <c r="E506" s="261">
        <v>14.6</v>
      </c>
      <c r="F506" s="103">
        <f>F505*E506</f>
        <v>14.6</v>
      </c>
      <c r="G506" s="1040"/>
      <c r="H506" s="8"/>
      <c r="I506" s="935"/>
      <c r="J506" s="8">
        <f t="shared" si="65"/>
        <v>0</v>
      </c>
      <c r="K506" s="935"/>
      <c r="L506" s="8"/>
      <c r="M506" s="8">
        <f t="shared" si="63"/>
        <v>0</v>
      </c>
    </row>
    <row r="507" spans="1:13" s="215" customFormat="1" ht="15.75" x14ac:dyDescent="0.25">
      <c r="A507" s="1279"/>
      <c r="B507" s="839"/>
      <c r="C507" s="494" t="s">
        <v>5</v>
      </c>
      <c r="D507" s="839" t="s">
        <v>4</v>
      </c>
      <c r="E507" s="261">
        <v>5.5</v>
      </c>
      <c r="F507" s="103">
        <f>F505*E507</f>
        <v>5.5</v>
      </c>
      <c r="G507" s="935"/>
      <c r="H507" s="8"/>
      <c r="I507" s="935"/>
      <c r="J507" s="8"/>
      <c r="K507" s="935"/>
      <c r="L507" s="8">
        <f t="shared" si="64"/>
        <v>0</v>
      </c>
      <c r="M507" s="8">
        <f t="shared" si="63"/>
        <v>0</v>
      </c>
    </row>
    <row r="508" spans="1:13" s="215" customFormat="1" ht="31.5" x14ac:dyDescent="0.25">
      <c r="A508" s="1279"/>
      <c r="B508" s="839"/>
      <c r="C508" s="494" t="s">
        <v>1279</v>
      </c>
      <c r="D508" s="839" t="s">
        <v>22</v>
      </c>
      <c r="E508" s="261">
        <v>1</v>
      </c>
      <c r="F508" s="103">
        <f>F501</f>
        <v>1</v>
      </c>
      <c r="G508" s="935"/>
      <c r="H508" s="8">
        <f t="shared" si="66"/>
        <v>0</v>
      </c>
      <c r="I508" s="935"/>
      <c r="J508" s="8"/>
      <c r="K508" s="828"/>
      <c r="L508" s="8"/>
      <c r="M508" s="8">
        <f t="shared" si="63"/>
        <v>0</v>
      </c>
    </row>
    <row r="509" spans="1:13" s="215" customFormat="1" ht="31.5" hidden="1" x14ac:dyDescent="0.25">
      <c r="A509" s="1279"/>
      <c r="B509" s="839"/>
      <c r="C509" s="494" t="s">
        <v>1303</v>
      </c>
      <c r="D509" s="839" t="s">
        <v>22</v>
      </c>
      <c r="E509" s="261">
        <v>1</v>
      </c>
      <c r="F509" s="103"/>
      <c r="G509" s="935"/>
      <c r="H509" s="8">
        <f t="shared" si="66"/>
        <v>0</v>
      </c>
      <c r="I509" s="935"/>
      <c r="J509" s="8"/>
      <c r="K509" s="828"/>
      <c r="L509" s="8"/>
      <c r="M509" s="8">
        <f t="shared" si="63"/>
        <v>0</v>
      </c>
    </row>
    <row r="510" spans="1:13" s="215" customFormat="1" ht="15.75" x14ac:dyDescent="0.25">
      <c r="A510" s="1279"/>
      <c r="B510" s="839"/>
      <c r="C510" s="494" t="s">
        <v>1280</v>
      </c>
      <c r="D510" s="839" t="s">
        <v>22</v>
      </c>
      <c r="E510" s="261">
        <v>1</v>
      </c>
      <c r="F510" s="103">
        <f>F505*E510</f>
        <v>1</v>
      </c>
      <c r="G510" s="935"/>
      <c r="H510" s="8">
        <f t="shared" si="66"/>
        <v>0</v>
      </c>
      <c r="I510" s="935"/>
      <c r="J510" s="8"/>
      <c r="K510" s="828"/>
      <c r="L510" s="8"/>
      <c r="M510" s="8">
        <f t="shared" si="63"/>
        <v>0</v>
      </c>
    </row>
    <row r="511" spans="1:13" s="215" customFormat="1" ht="15.75" x14ac:dyDescent="0.25">
      <c r="A511" s="1279"/>
      <c r="B511" s="839"/>
      <c r="C511" s="494" t="s">
        <v>1281</v>
      </c>
      <c r="D511" s="839" t="s">
        <v>22</v>
      </c>
      <c r="E511" s="261">
        <v>1</v>
      </c>
      <c r="F511" s="103">
        <f>F505*E511</f>
        <v>1</v>
      </c>
      <c r="G511" s="935"/>
      <c r="H511" s="8">
        <f t="shared" si="66"/>
        <v>0</v>
      </c>
      <c r="I511" s="935"/>
      <c r="J511" s="8"/>
      <c r="K511" s="828"/>
      <c r="L511" s="8"/>
      <c r="M511" s="8">
        <f t="shared" si="63"/>
        <v>0</v>
      </c>
    </row>
    <row r="512" spans="1:13" s="215" customFormat="1" ht="15.75" x14ac:dyDescent="0.25">
      <c r="A512" s="1279"/>
      <c r="B512" s="839"/>
      <c r="C512" s="494" t="s">
        <v>1282</v>
      </c>
      <c r="D512" s="839" t="s">
        <v>29</v>
      </c>
      <c r="E512" s="261">
        <f>(4.13+1.24)/10</f>
        <v>0.53700000000000003</v>
      </c>
      <c r="F512" s="109">
        <f>F505*E512</f>
        <v>0.53700000000000003</v>
      </c>
      <c r="G512" s="935"/>
      <c r="H512" s="8">
        <f t="shared" si="66"/>
        <v>0</v>
      </c>
      <c r="I512" s="935"/>
      <c r="J512" s="8"/>
      <c r="K512" s="828"/>
      <c r="L512" s="8"/>
      <c r="M512" s="8">
        <f t="shared" si="63"/>
        <v>0</v>
      </c>
    </row>
    <row r="513" spans="1:13" s="215" customFormat="1" ht="15.75" x14ac:dyDescent="0.25">
      <c r="A513" s="1279"/>
      <c r="B513" s="839"/>
      <c r="C513" s="494" t="s">
        <v>1283</v>
      </c>
      <c r="D513" s="839" t="s">
        <v>38</v>
      </c>
      <c r="E513" s="261">
        <v>7.0000000000000001E-3</v>
      </c>
      <c r="F513" s="109">
        <f>F505*E513</f>
        <v>7.0000000000000001E-3</v>
      </c>
      <c r="G513" s="935"/>
      <c r="H513" s="8">
        <f t="shared" si="66"/>
        <v>0</v>
      </c>
      <c r="I513" s="935"/>
      <c r="J513" s="8"/>
      <c r="K513" s="828"/>
      <c r="L513" s="8"/>
      <c r="M513" s="8">
        <f t="shared" si="63"/>
        <v>0</v>
      </c>
    </row>
    <row r="514" spans="1:13" s="215" customFormat="1" ht="15.75" x14ac:dyDescent="0.25">
      <c r="A514" s="1279"/>
      <c r="B514" s="839"/>
      <c r="C514" s="13" t="s">
        <v>118</v>
      </c>
      <c r="D514" s="835" t="s">
        <v>2</v>
      </c>
      <c r="E514" s="261">
        <v>7.85</v>
      </c>
      <c r="F514" s="109">
        <f>F505*E514</f>
        <v>7.85</v>
      </c>
      <c r="G514" s="935"/>
      <c r="H514" s="8">
        <f t="shared" si="66"/>
        <v>0</v>
      </c>
      <c r="I514" s="935"/>
      <c r="J514" s="8"/>
      <c r="K514" s="828"/>
      <c r="L514" s="8"/>
      <c r="M514" s="8">
        <f t="shared" si="63"/>
        <v>0</v>
      </c>
    </row>
    <row r="515" spans="1:13" s="215" customFormat="1" ht="15.75" x14ac:dyDescent="0.25">
      <c r="A515" s="1280"/>
      <c r="B515" s="839"/>
      <c r="C515" s="494" t="s">
        <v>7</v>
      </c>
      <c r="D515" s="839" t="s">
        <v>4</v>
      </c>
      <c r="E515" s="261">
        <v>6.77</v>
      </c>
      <c r="F515" s="103">
        <f>F505*E515</f>
        <v>6.77</v>
      </c>
      <c r="G515" s="935"/>
      <c r="H515" s="8">
        <f t="shared" si="66"/>
        <v>0</v>
      </c>
      <c r="I515" s="935"/>
      <c r="J515" s="8"/>
      <c r="K515" s="935"/>
      <c r="L515" s="8"/>
      <c r="M515" s="8">
        <f t="shared" si="63"/>
        <v>0</v>
      </c>
    </row>
    <row r="516" spans="1:13" s="215" customFormat="1" ht="31.5" x14ac:dyDescent="0.25">
      <c r="A516" s="1402" t="s">
        <v>1304</v>
      </c>
      <c r="B516" s="47"/>
      <c r="C516" s="1052" t="s">
        <v>1285</v>
      </c>
      <c r="D516" s="294" t="s">
        <v>38</v>
      </c>
      <c r="E516" s="418"/>
      <c r="F516" s="23">
        <f>F517*1.95</f>
        <v>3.9546000000000001</v>
      </c>
      <c r="G516" s="19"/>
      <c r="H516" s="8"/>
      <c r="I516" s="19"/>
      <c r="J516" s="8"/>
      <c r="K516" s="19"/>
      <c r="L516" s="8"/>
      <c r="M516" s="8"/>
    </row>
    <row r="517" spans="1:13" s="215" customFormat="1" ht="15.75" x14ac:dyDescent="0.25">
      <c r="A517" s="1402"/>
      <c r="B517" s="47"/>
      <c r="C517" s="1053"/>
      <c r="D517" s="294" t="s">
        <v>37</v>
      </c>
      <c r="E517" s="418"/>
      <c r="F517" s="23">
        <f>F503</f>
        <v>2.028</v>
      </c>
      <c r="G517" s="19"/>
      <c r="H517" s="8"/>
      <c r="I517" s="19"/>
      <c r="J517" s="8"/>
      <c r="K517" s="19"/>
      <c r="L517" s="8"/>
      <c r="M517" s="8"/>
    </row>
    <row r="518" spans="1:13" s="215" customFormat="1" ht="27" x14ac:dyDescent="0.25">
      <c r="A518" s="1402"/>
      <c r="B518" s="47"/>
      <c r="C518" s="44" t="s">
        <v>56</v>
      </c>
      <c r="D518" s="45" t="s">
        <v>6</v>
      </c>
      <c r="E518" s="418">
        <v>0.53</v>
      </c>
      <c r="F518" s="46">
        <f>F516*E518</f>
        <v>2.0959380000000003</v>
      </c>
      <c r="G518" s="19"/>
      <c r="H518" s="8"/>
      <c r="I518" s="19"/>
      <c r="J518" s="8">
        <f t="shared" si="65"/>
        <v>0</v>
      </c>
      <c r="K518" s="19"/>
      <c r="L518" s="8"/>
      <c r="M518" s="8">
        <f t="shared" ref="M518:M532" si="67">H518+J518+L518</f>
        <v>0</v>
      </c>
    </row>
    <row r="519" spans="1:13" s="215" customFormat="1" ht="31.5" x14ac:dyDescent="0.25">
      <c r="A519" s="1402"/>
      <c r="B519" s="294" t="s">
        <v>795</v>
      </c>
      <c r="C519" s="758" t="s">
        <v>822</v>
      </c>
      <c r="D519" s="294" t="s">
        <v>38</v>
      </c>
      <c r="E519" s="418"/>
      <c r="F519" s="23">
        <f>F516</f>
        <v>3.9546000000000001</v>
      </c>
      <c r="G519" s="19"/>
      <c r="H519" s="8"/>
      <c r="I519" s="19"/>
      <c r="J519" s="8"/>
      <c r="K519" s="682"/>
      <c r="L519" s="8">
        <f t="shared" ref="L519:L522" si="68">F519*K519</f>
        <v>0</v>
      </c>
      <c r="M519" s="8">
        <f t="shared" si="67"/>
        <v>0</v>
      </c>
    </row>
    <row r="520" spans="1:13" s="215" customFormat="1" ht="78.75" hidden="1" x14ac:dyDescent="0.25">
      <c r="A520" s="1278" t="s">
        <v>1305</v>
      </c>
      <c r="B520" s="294" t="s">
        <v>1306</v>
      </c>
      <c r="C520" s="127" t="s">
        <v>1307</v>
      </c>
      <c r="D520" s="294" t="s">
        <v>37</v>
      </c>
      <c r="E520" s="418"/>
      <c r="F520" s="23">
        <v>0</v>
      </c>
      <c r="G520" s="19"/>
      <c r="H520" s="8"/>
      <c r="I520" s="19"/>
      <c r="J520" s="8"/>
      <c r="K520" s="19"/>
      <c r="L520" s="8"/>
      <c r="M520" s="8">
        <f t="shared" si="67"/>
        <v>0</v>
      </c>
    </row>
    <row r="521" spans="1:13" s="215" customFormat="1" ht="27" hidden="1" x14ac:dyDescent="0.25">
      <c r="A521" s="1279"/>
      <c r="B521" s="294"/>
      <c r="C521" s="281" t="s">
        <v>36</v>
      </c>
      <c r="D521" s="294" t="s">
        <v>6</v>
      </c>
      <c r="E521" s="418" t="s">
        <v>1308</v>
      </c>
      <c r="F521" s="831">
        <f>F520*E521</f>
        <v>0</v>
      </c>
      <c r="G521" s="19"/>
      <c r="H521" s="8"/>
      <c r="I521" s="19">
        <v>6</v>
      </c>
      <c r="J521" s="8">
        <f t="shared" si="65"/>
        <v>0</v>
      </c>
      <c r="K521" s="19"/>
      <c r="L521" s="8"/>
      <c r="M521" s="8">
        <f t="shared" si="67"/>
        <v>0</v>
      </c>
    </row>
    <row r="522" spans="1:13" s="215" customFormat="1" ht="15.75" hidden="1" x14ac:dyDescent="0.25">
      <c r="A522" s="1279"/>
      <c r="B522" s="294"/>
      <c r="C522" s="281" t="s">
        <v>17</v>
      </c>
      <c r="D522" s="294" t="s">
        <v>4</v>
      </c>
      <c r="E522" s="418" t="s">
        <v>1058</v>
      </c>
      <c r="F522" s="831">
        <f>F520*E522</f>
        <v>0</v>
      </c>
      <c r="G522" s="19"/>
      <c r="H522" s="8"/>
      <c r="I522" s="19"/>
      <c r="J522" s="8"/>
      <c r="K522" s="19">
        <v>3.2</v>
      </c>
      <c r="L522" s="8">
        <f t="shared" si="68"/>
        <v>0</v>
      </c>
      <c r="M522" s="8">
        <f t="shared" si="67"/>
        <v>0</v>
      </c>
    </row>
    <row r="523" spans="1:13" s="215" customFormat="1" ht="15.75" hidden="1" x14ac:dyDescent="0.25">
      <c r="A523" s="1279"/>
      <c r="B523" s="294"/>
      <c r="C523" s="281" t="s">
        <v>1309</v>
      </c>
      <c r="D523" s="294" t="s">
        <v>37</v>
      </c>
      <c r="E523" s="418" t="s">
        <v>1310</v>
      </c>
      <c r="F523" s="831">
        <f>F520*E523</f>
        <v>0</v>
      </c>
      <c r="G523" s="19">
        <v>104</v>
      </c>
      <c r="H523" s="8">
        <f t="shared" si="66"/>
        <v>0</v>
      </c>
      <c r="I523" s="19"/>
      <c r="J523" s="8"/>
      <c r="K523" s="19"/>
      <c r="L523" s="8"/>
      <c r="M523" s="8">
        <f t="shared" si="67"/>
        <v>0</v>
      </c>
    </row>
    <row r="524" spans="1:13" s="215" customFormat="1" ht="15.75" hidden="1" x14ac:dyDescent="0.25">
      <c r="A524" s="1279"/>
      <c r="B524" s="294"/>
      <c r="C524" s="281" t="s">
        <v>336</v>
      </c>
      <c r="D524" s="294" t="s">
        <v>47</v>
      </c>
      <c r="E524" s="418" t="s">
        <v>1311</v>
      </c>
      <c r="F524" s="831">
        <f>F520*E524</f>
        <v>0</v>
      </c>
      <c r="G524" s="19">
        <v>12</v>
      </c>
      <c r="H524" s="8">
        <f t="shared" si="66"/>
        <v>0</v>
      </c>
      <c r="I524" s="19"/>
      <c r="J524" s="8"/>
      <c r="K524" s="19"/>
      <c r="L524" s="8"/>
      <c r="M524" s="8">
        <f t="shared" si="67"/>
        <v>0</v>
      </c>
    </row>
    <row r="525" spans="1:13" s="215" customFormat="1" ht="15.75" hidden="1" x14ac:dyDescent="0.25">
      <c r="A525" s="1279"/>
      <c r="B525" s="294"/>
      <c r="C525" s="281" t="s">
        <v>577</v>
      </c>
      <c r="D525" s="294" t="s">
        <v>37</v>
      </c>
      <c r="E525" s="418" t="s">
        <v>1312</v>
      </c>
      <c r="F525" s="831">
        <f>F520*E525</f>
        <v>0</v>
      </c>
      <c r="G525" s="19">
        <v>538</v>
      </c>
      <c r="H525" s="8">
        <f t="shared" si="66"/>
        <v>0</v>
      </c>
      <c r="I525" s="19"/>
      <c r="J525" s="8"/>
      <c r="K525" s="19"/>
      <c r="L525" s="8"/>
      <c r="M525" s="8">
        <f t="shared" si="67"/>
        <v>0</v>
      </c>
    </row>
    <row r="526" spans="1:13" s="215" customFormat="1" ht="15.75" hidden="1" x14ac:dyDescent="0.25">
      <c r="A526" s="1280"/>
      <c r="B526" s="294"/>
      <c r="C526" s="281" t="s">
        <v>50</v>
      </c>
      <c r="D526" s="294" t="s">
        <v>4</v>
      </c>
      <c r="E526" s="418" t="s">
        <v>1313</v>
      </c>
      <c r="F526" s="831">
        <f>F520*E526</f>
        <v>0</v>
      </c>
      <c r="G526" s="19">
        <v>3.2</v>
      </c>
      <c r="H526" s="8">
        <f t="shared" si="66"/>
        <v>0</v>
      </c>
      <c r="I526" s="19"/>
      <c r="J526" s="8"/>
      <c r="K526" s="19"/>
      <c r="L526" s="8"/>
      <c r="M526" s="8">
        <f t="shared" si="67"/>
        <v>0</v>
      </c>
    </row>
    <row r="527" spans="1:13" s="215" customFormat="1" ht="78.75" x14ac:dyDescent="0.25">
      <c r="A527" s="1407" t="s">
        <v>82</v>
      </c>
      <c r="B527" s="112" t="s">
        <v>125</v>
      </c>
      <c r="C527" s="361" t="s">
        <v>1314</v>
      </c>
      <c r="D527" s="112" t="s">
        <v>126</v>
      </c>
      <c r="E527" s="262"/>
      <c r="F527" s="23">
        <v>1</v>
      </c>
      <c r="G527" s="113"/>
      <c r="H527" s="8"/>
      <c r="I527" s="113"/>
      <c r="J527" s="8"/>
      <c r="K527" s="113"/>
      <c r="L527" s="8"/>
      <c r="M527" s="8"/>
    </row>
    <row r="528" spans="1:13" s="215" customFormat="1" ht="27" x14ac:dyDescent="0.25">
      <c r="A528" s="1408"/>
      <c r="B528" s="114"/>
      <c r="C528" s="13" t="s">
        <v>13</v>
      </c>
      <c r="D528" s="835" t="s">
        <v>6</v>
      </c>
      <c r="E528" s="524">
        <v>17</v>
      </c>
      <c r="F528" s="831">
        <f>F527*E528</f>
        <v>17</v>
      </c>
      <c r="G528" s="828"/>
      <c r="H528" s="8"/>
      <c r="I528" s="828"/>
      <c r="J528" s="8">
        <f t="shared" ref="J528" si="69">F528*I528</f>
        <v>0</v>
      </c>
      <c r="K528" s="828"/>
      <c r="L528" s="8"/>
      <c r="M528" s="8">
        <f t="shared" si="67"/>
        <v>0</v>
      </c>
    </row>
    <row r="529" spans="1:13" s="215" customFormat="1" ht="15.75" x14ac:dyDescent="0.25">
      <c r="A529" s="1408"/>
      <c r="B529" s="835"/>
      <c r="C529" s="13" t="s">
        <v>1315</v>
      </c>
      <c r="D529" s="835" t="s">
        <v>11</v>
      </c>
      <c r="E529" s="524">
        <v>0.05</v>
      </c>
      <c r="F529" s="831">
        <f>E529*F527</f>
        <v>0.05</v>
      </c>
      <c r="G529" s="32"/>
      <c r="H529" s="8">
        <f t="shared" si="66"/>
        <v>0</v>
      </c>
      <c r="I529" s="32"/>
      <c r="J529" s="8"/>
      <c r="K529" s="32"/>
      <c r="L529" s="8"/>
      <c r="M529" s="8">
        <f t="shared" si="67"/>
        <v>0</v>
      </c>
    </row>
    <row r="530" spans="1:13" s="215" customFormat="1" ht="15.75" x14ac:dyDescent="0.25">
      <c r="A530" s="1408"/>
      <c r="B530" s="835"/>
      <c r="C530" s="13" t="s">
        <v>1316</v>
      </c>
      <c r="D530" s="835" t="s">
        <v>29</v>
      </c>
      <c r="E530" s="524">
        <v>0.2</v>
      </c>
      <c r="F530" s="831">
        <f>E530*F528</f>
        <v>3.4000000000000004</v>
      </c>
      <c r="G530" s="32"/>
      <c r="H530" s="8">
        <f t="shared" si="66"/>
        <v>0</v>
      </c>
      <c r="I530" s="32"/>
      <c r="J530" s="8"/>
      <c r="K530" s="32"/>
      <c r="L530" s="8"/>
      <c r="M530" s="8">
        <f t="shared" si="67"/>
        <v>0</v>
      </c>
    </row>
    <row r="531" spans="1:13" s="215" customFormat="1" ht="15.75" x14ac:dyDescent="0.25">
      <c r="A531" s="1408"/>
      <c r="B531" s="114"/>
      <c r="C531" s="13" t="s">
        <v>118</v>
      </c>
      <c r="D531" s="835" t="s">
        <v>2</v>
      </c>
      <c r="E531" s="524">
        <v>7.8</v>
      </c>
      <c r="F531" s="831">
        <f>E531*F527</f>
        <v>7.8</v>
      </c>
      <c r="G531" s="828"/>
      <c r="H531" s="8">
        <f t="shared" si="66"/>
        <v>0</v>
      </c>
      <c r="I531" s="828"/>
      <c r="J531" s="8"/>
      <c r="K531" s="32"/>
      <c r="L531" s="8"/>
      <c r="M531" s="8">
        <f t="shared" si="67"/>
        <v>0</v>
      </c>
    </row>
    <row r="532" spans="1:13" s="215" customFormat="1" ht="15.75" x14ac:dyDescent="0.25">
      <c r="A532" s="1409"/>
      <c r="B532" s="114"/>
      <c r="C532" s="26" t="s">
        <v>50</v>
      </c>
      <c r="D532" s="835" t="s">
        <v>4</v>
      </c>
      <c r="E532" s="524">
        <v>1.08</v>
      </c>
      <c r="F532" s="831">
        <f>E532*F527</f>
        <v>1.08</v>
      </c>
      <c r="G532" s="828"/>
      <c r="H532" s="8">
        <f t="shared" si="66"/>
        <v>0</v>
      </c>
      <c r="I532" s="828"/>
      <c r="J532" s="8"/>
      <c r="K532" s="32"/>
      <c r="L532" s="8"/>
      <c r="M532" s="8">
        <f t="shared" si="67"/>
        <v>0</v>
      </c>
    </row>
    <row r="533" spans="1:13" s="215" customFormat="1" ht="15.75" hidden="1" x14ac:dyDescent="0.25">
      <c r="A533" s="1054"/>
      <c r="B533" s="114"/>
      <c r="C533" s="26"/>
      <c r="D533" s="835"/>
      <c r="E533" s="524"/>
      <c r="F533" s="831"/>
      <c r="G533" s="828"/>
      <c r="H533" s="8"/>
      <c r="I533" s="828"/>
      <c r="J533" s="8"/>
      <c r="K533" s="32"/>
      <c r="L533" s="8"/>
      <c r="M533" s="8"/>
    </row>
    <row r="534" spans="1:13" s="215" customFormat="1" ht="31.5" hidden="1" x14ac:dyDescent="0.25">
      <c r="A534" s="980" t="s">
        <v>10</v>
      </c>
      <c r="B534" s="981"/>
      <c r="C534" s="1009" t="s">
        <v>1317</v>
      </c>
      <c r="D534" s="1022" t="s">
        <v>52</v>
      </c>
      <c r="E534" s="1050"/>
      <c r="F534" s="1023">
        <v>0</v>
      </c>
      <c r="G534" s="989"/>
      <c r="H534" s="8"/>
      <c r="I534" s="989"/>
      <c r="J534" s="8"/>
      <c r="K534" s="989"/>
      <c r="L534" s="8"/>
      <c r="M534" s="223"/>
    </row>
    <row r="535" spans="1:13" s="215" customFormat="1" ht="31.5" hidden="1" x14ac:dyDescent="0.25">
      <c r="A535" s="1404">
        <v>1</v>
      </c>
      <c r="B535" s="1055" t="s">
        <v>565</v>
      </c>
      <c r="C535" s="1056" t="s">
        <v>1318</v>
      </c>
      <c r="D535" s="524" t="s">
        <v>37</v>
      </c>
      <c r="E535" s="524"/>
      <c r="F535" s="12">
        <f>(   3*2*2+1*0.5*2   )*F534</f>
        <v>0</v>
      </c>
      <c r="G535" s="989"/>
      <c r="H535" s="8"/>
      <c r="I535" s="989"/>
      <c r="J535" s="8"/>
      <c r="K535" s="989"/>
      <c r="L535" s="8"/>
      <c r="M535" s="8"/>
    </row>
    <row r="536" spans="1:13" s="215" customFormat="1" ht="15.75" hidden="1" x14ac:dyDescent="0.25">
      <c r="A536" s="1405"/>
      <c r="B536" s="835"/>
      <c r="C536" s="423" t="s">
        <v>13</v>
      </c>
      <c r="D536" s="835" t="s">
        <v>14</v>
      </c>
      <c r="E536" s="524">
        <f>20/1000</f>
        <v>0.02</v>
      </c>
      <c r="F536" s="831">
        <f>F535*E536</f>
        <v>0</v>
      </c>
      <c r="G536" s="828"/>
      <c r="H536" s="8"/>
      <c r="I536" s="828">
        <v>6</v>
      </c>
      <c r="J536" s="8">
        <f t="shared" ref="J536:J571" si="70">F536*I536</f>
        <v>0</v>
      </c>
      <c r="K536" s="828"/>
      <c r="L536" s="8"/>
      <c r="M536" s="8">
        <f t="shared" ref="M536:M571" si="71">H536+J536+L536</f>
        <v>0</v>
      </c>
    </row>
    <row r="537" spans="1:13" s="215" customFormat="1" ht="18" hidden="1" x14ac:dyDescent="0.25">
      <c r="A537" s="1405"/>
      <c r="B537" s="835" t="s">
        <v>568</v>
      </c>
      <c r="C537" s="423" t="s">
        <v>569</v>
      </c>
      <c r="D537" s="835" t="s">
        <v>15</v>
      </c>
      <c r="E537" s="524">
        <f>44.8*0.001</f>
        <v>4.48E-2</v>
      </c>
      <c r="F537" s="831">
        <f>F535*E537</f>
        <v>0</v>
      </c>
      <c r="G537" s="828"/>
      <c r="H537" s="8"/>
      <c r="I537" s="828"/>
      <c r="J537" s="8"/>
      <c r="K537" s="828">
        <v>19.71</v>
      </c>
      <c r="L537" s="8">
        <f t="shared" ref="L537:L568" si="72">F537*K537</f>
        <v>0</v>
      </c>
      <c r="M537" s="8">
        <f t="shared" si="71"/>
        <v>0</v>
      </c>
    </row>
    <row r="538" spans="1:13" s="215" customFormat="1" ht="15.75" hidden="1" x14ac:dyDescent="0.25">
      <c r="A538" s="1405"/>
      <c r="B538" s="835"/>
      <c r="C538" s="1057" t="s">
        <v>5</v>
      </c>
      <c r="D538" s="1058" t="s">
        <v>4</v>
      </c>
      <c r="E538" s="524">
        <f>2.1/1000</f>
        <v>2.1000000000000003E-3</v>
      </c>
      <c r="F538" s="831">
        <f>F535*E538</f>
        <v>0</v>
      </c>
      <c r="G538" s="828"/>
      <c r="H538" s="8"/>
      <c r="I538" s="828"/>
      <c r="J538" s="8"/>
      <c r="K538" s="828">
        <v>4</v>
      </c>
      <c r="L538" s="8">
        <f t="shared" si="72"/>
        <v>0</v>
      </c>
      <c r="M538" s="8">
        <f t="shared" si="71"/>
        <v>0</v>
      </c>
    </row>
    <row r="539" spans="1:13" s="215" customFormat="1" ht="15.75" hidden="1" x14ac:dyDescent="0.25">
      <c r="A539" s="1406"/>
      <c r="B539" s="835"/>
      <c r="C539" s="423" t="s">
        <v>30</v>
      </c>
      <c r="D539" s="835" t="s">
        <v>29</v>
      </c>
      <c r="E539" s="524">
        <f>0.05/1000</f>
        <v>5.0000000000000002E-5</v>
      </c>
      <c r="F539" s="831">
        <f>F535*E539</f>
        <v>0</v>
      </c>
      <c r="G539" s="828">
        <v>16.899999999999999</v>
      </c>
      <c r="H539" s="8">
        <f t="shared" ref="H539:H571" si="73">F539*G539</f>
        <v>0</v>
      </c>
      <c r="I539" s="828"/>
      <c r="J539" s="8"/>
      <c r="K539" s="828"/>
      <c r="L539" s="8"/>
      <c r="M539" s="8">
        <f t="shared" si="71"/>
        <v>0</v>
      </c>
    </row>
    <row r="540" spans="1:13" s="215" customFormat="1" ht="47.25" hidden="1" x14ac:dyDescent="0.25">
      <c r="A540" s="1349" t="s">
        <v>72</v>
      </c>
      <c r="B540" s="1059" t="s">
        <v>91</v>
      </c>
      <c r="C540" s="280" t="s">
        <v>269</v>
      </c>
      <c r="D540" s="275" t="s">
        <v>294</v>
      </c>
      <c r="E540" s="276"/>
      <c r="F540" s="277">
        <f>F535*1.95</f>
        <v>0</v>
      </c>
      <c r="G540" s="828"/>
      <c r="H540" s="8"/>
      <c r="I540" s="828"/>
      <c r="J540" s="8"/>
      <c r="K540" s="828"/>
      <c r="L540" s="8"/>
      <c r="M540" s="8"/>
    </row>
    <row r="541" spans="1:13" s="215" customFormat="1" ht="27" hidden="1" x14ac:dyDescent="0.25">
      <c r="A541" s="1349"/>
      <c r="B541" s="484"/>
      <c r="C541" s="281" t="s">
        <v>54</v>
      </c>
      <c r="D541" s="48" t="s">
        <v>6</v>
      </c>
      <c r="E541" s="49">
        <v>0.53</v>
      </c>
      <c r="F541" s="520">
        <f>F540*E541</f>
        <v>0</v>
      </c>
      <c r="G541" s="828"/>
      <c r="H541" s="8"/>
      <c r="I541" s="828">
        <v>4.5999999999999996</v>
      </c>
      <c r="J541" s="8">
        <f t="shared" ref="J541" si="74">F541*I541</f>
        <v>0</v>
      </c>
      <c r="K541" s="828"/>
      <c r="L541" s="8"/>
      <c r="M541" s="8">
        <f t="shared" ref="M541:M542" si="75">H541+J541+L541</f>
        <v>0</v>
      </c>
    </row>
    <row r="542" spans="1:13" s="215" customFormat="1" ht="47.25" hidden="1" x14ac:dyDescent="0.25">
      <c r="A542" s="835" t="s">
        <v>94</v>
      </c>
      <c r="B542" s="484" t="s">
        <v>633</v>
      </c>
      <c r="C542" s="826" t="s">
        <v>1319</v>
      </c>
      <c r="D542" s="484" t="s">
        <v>38</v>
      </c>
      <c r="E542" s="390"/>
      <c r="F542" s="277">
        <f>F540</f>
        <v>0</v>
      </c>
      <c r="G542" s="828"/>
      <c r="H542" s="8"/>
      <c r="I542" s="828"/>
      <c r="J542" s="8"/>
      <c r="K542" s="19">
        <v>5.64</v>
      </c>
      <c r="L542" s="8">
        <f t="shared" ref="L542" si="76">F542*K542</f>
        <v>0</v>
      </c>
      <c r="M542" s="8">
        <f t="shared" si="75"/>
        <v>0</v>
      </c>
    </row>
    <row r="543" spans="1:13" s="215" customFormat="1" ht="47.25" hidden="1" x14ac:dyDescent="0.25">
      <c r="A543" s="1410">
        <v>2</v>
      </c>
      <c r="B543" s="835" t="s">
        <v>1320</v>
      </c>
      <c r="C543" s="1060" t="s">
        <v>1321</v>
      </c>
      <c r="D543" s="484" t="s">
        <v>32</v>
      </c>
      <c r="E543" s="484"/>
      <c r="F543" s="12">
        <f>F535*0.1</f>
        <v>0</v>
      </c>
      <c r="G543" s="12"/>
      <c r="H543" s="8"/>
      <c r="I543" s="12"/>
      <c r="J543" s="8"/>
      <c r="K543" s="12"/>
      <c r="L543" s="8"/>
      <c r="M543" s="8"/>
    </row>
    <row r="544" spans="1:13" s="215" customFormat="1" ht="15.75" hidden="1" x14ac:dyDescent="0.25">
      <c r="A544" s="1410"/>
      <c r="B544" s="835"/>
      <c r="C544" s="423" t="s">
        <v>13</v>
      </c>
      <c r="D544" s="835" t="s">
        <v>14</v>
      </c>
      <c r="E544" s="835">
        <v>3.37</v>
      </c>
      <c r="F544" s="831">
        <f>E544*F543</f>
        <v>0</v>
      </c>
      <c r="G544" s="828"/>
      <c r="H544" s="8"/>
      <c r="I544" s="828">
        <v>6</v>
      </c>
      <c r="J544" s="8">
        <f t="shared" si="70"/>
        <v>0</v>
      </c>
      <c r="K544" s="828"/>
      <c r="L544" s="8"/>
      <c r="M544" s="8">
        <f t="shared" si="71"/>
        <v>0</v>
      </c>
    </row>
    <row r="545" spans="1:13" s="215" customFormat="1" ht="47.25" hidden="1" x14ac:dyDescent="0.25">
      <c r="A545" s="1404">
        <v>3</v>
      </c>
      <c r="B545" s="835" t="s">
        <v>35</v>
      </c>
      <c r="C545" s="1056" t="s">
        <v>1322</v>
      </c>
      <c r="D545" s="524" t="s">
        <v>37</v>
      </c>
      <c r="E545" s="524"/>
      <c r="F545" s="12">
        <f>2*  F534</f>
        <v>0</v>
      </c>
      <c r="G545" s="989"/>
      <c r="H545" s="8"/>
      <c r="I545" s="989"/>
      <c r="J545" s="8"/>
      <c r="K545" s="989"/>
      <c r="L545" s="8"/>
      <c r="M545" s="8"/>
    </row>
    <row r="546" spans="1:13" s="215" customFormat="1" ht="27" hidden="1" x14ac:dyDescent="0.25">
      <c r="A546" s="1405"/>
      <c r="B546" s="834"/>
      <c r="C546" s="428" t="s">
        <v>36</v>
      </c>
      <c r="D546" s="294" t="s">
        <v>6</v>
      </c>
      <c r="E546" s="533">
        <v>3.52</v>
      </c>
      <c r="F546" s="831">
        <f>F545*E546</f>
        <v>0</v>
      </c>
      <c r="G546" s="8"/>
      <c r="H546" s="8"/>
      <c r="I546" s="8">
        <v>6</v>
      </c>
      <c r="J546" s="8">
        <f t="shared" si="70"/>
        <v>0</v>
      </c>
      <c r="K546" s="8"/>
      <c r="L546" s="8"/>
      <c r="M546" s="8">
        <f t="shared" si="71"/>
        <v>0</v>
      </c>
    </row>
    <row r="547" spans="1:13" s="215" customFormat="1" ht="15.75" hidden="1" x14ac:dyDescent="0.25">
      <c r="A547" s="1405"/>
      <c r="B547" s="834"/>
      <c r="C547" s="428" t="s">
        <v>17</v>
      </c>
      <c r="D547" s="294" t="s">
        <v>4</v>
      </c>
      <c r="E547" s="533">
        <v>1.06</v>
      </c>
      <c r="F547" s="831">
        <f>F545*E547</f>
        <v>0</v>
      </c>
      <c r="G547" s="8"/>
      <c r="H547" s="8"/>
      <c r="I547" s="8"/>
      <c r="J547" s="8"/>
      <c r="K547" s="8">
        <v>4</v>
      </c>
      <c r="L547" s="8">
        <f t="shared" si="72"/>
        <v>0</v>
      </c>
      <c r="M547" s="8">
        <f t="shared" si="71"/>
        <v>0</v>
      </c>
    </row>
    <row r="548" spans="1:13" s="215" customFormat="1" ht="15.75" hidden="1" x14ac:dyDescent="0.25">
      <c r="A548" s="1405"/>
      <c r="B548" s="834"/>
      <c r="C548" s="428" t="s">
        <v>30</v>
      </c>
      <c r="D548" s="294" t="s">
        <v>37</v>
      </c>
      <c r="E548" s="533">
        <f>0.18+0.09+0.97</f>
        <v>1.24</v>
      </c>
      <c r="F548" s="831">
        <f>F545*E548</f>
        <v>0</v>
      </c>
      <c r="G548" s="8">
        <v>16.899999999999999</v>
      </c>
      <c r="H548" s="8">
        <f t="shared" si="73"/>
        <v>0</v>
      </c>
      <c r="I548" s="8"/>
      <c r="J548" s="8"/>
      <c r="K548" s="8"/>
      <c r="L548" s="8"/>
      <c r="M548" s="8">
        <f t="shared" si="71"/>
        <v>0</v>
      </c>
    </row>
    <row r="549" spans="1:13" s="215" customFormat="1" ht="15.75" hidden="1" x14ac:dyDescent="0.25">
      <c r="A549" s="1406"/>
      <c r="B549" s="834"/>
      <c r="C549" s="428" t="s">
        <v>7</v>
      </c>
      <c r="D549" s="294" t="s">
        <v>4</v>
      </c>
      <c r="E549" s="533">
        <v>0.02</v>
      </c>
      <c r="F549" s="831">
        <f>F545*E549</f>
        <v>0</v>
      </c>
      <c r="G549" s="8">
        <v>4</v>
      </c>
      <c r="H549" s="8">
        <f t="shared" si="73"/>
        <v>0</v>
      </c>
      <c r="I549" s="8"/>
      <c r="J549" s="8"/>
      <c r="K549" s="8"/>
      <c r="L549" s="8"/>
      <c r="M549" s="8">
        <f t="shared" si="71"/>
        <v>0</v>
      </c>
    </row>
    <row r="550" spans="1:13" s="215" customFormat="1" ht="63" hidden="1" x14ac:dyDescent="0.25">
      <c r="A550" s="1404">
        <v>4</v>
      </c>
      <c r="B550" s="835" t="s">
        <v>378</v>
      </c>
      <c r="C550" s="1056" t="s">
        <v>1323</v>
      </c>
      <c r="D550" s="524" t="s">
        <v>37</v>
      </c>
      <c r="E550" s="524"/>
      <c r="F550" s="12">
        <f>6 *F534</f>
        <v>0</v>
      </c>
      <c r="G550" s="989"/>
      <c r="H550" s="8"/>
      <c r="I550" s="989"/>
      <c r="J550" s="8"/>
      <c r="K550" s="989"/>
      <c r="L550" s="8"/>
      <c r="M550" s="223"/>
    </row>
    <row r="551" spans="1:13" s="215" customFormat="1" ht="27" hidden="1" x14ac:dyDescent="0.25">
      <c r="A551" s="1405"/>
      <c r="B551" s="1055"/>
      <c r="C551" s="428" t="s">
        <v>36</v>
      </c>
      <c r="D551" s="834" t="s">
        <v>6</v>
      </c>
      <c r="E551" s="2">
        <v>8.44</v>
      </c>
      <c r="F551" s="831">
        <f>F550*E551</f>
        <v>0</v>
      </c>
      <c r="G551" s="8"/>
      <c r="H551" s="8"/>
      <c r="I551" s="8">
        <v>6</v>
      </c>
      <c r="J551" s="8">
        <f t="shared" si="70"/>
        <v>0</v>
      </c>
      <c r="K551" s="8"/>
      <c r="L551" s="8"/>
      <c r="M551" s="223">
        <f t="shared" si="71"/>
        <v>0</v>
      </c>
    </row>
    <row r="552" spans="1:13" s="215" customFormat="1" ht="15.75" hidden="1" x14ac:dyDescent="0.25">
      <c r="A552" s="1405"/>
      <c r="B552" s="1055"/>
      <c r="C552" s="428" t="s">
        <v>17</v>
      </c>
      <c r="D552" s="834" t="s">
        <v>4</v>
      </c>
      <c r="E552" s="2">
        <v>1.1000000000000001</v>
      </c>
      <c r="F552" s="831">
        <f>F550*E552</f>
        <v>0</v>
      </c>
      <c r="G552" s="8"/>
      <c r="H552" s="8"/>
      <c r="I552" s="8"/>
      <c r="J552" s="8"/>
      <c r="K552" s="8">
        <v>4</v>
      </c>
      <c r="L552" s="8">
        <f t="shared" si="72"/>
        <v>0</v>
      </c>
      <c r="M552" s="223">
        <f t="shared" si="71"/>
        <v>0</v>
      </c>
    </row>
    <row r="553" spans="1:13" s="215" customFormat="1" ht="15.75" hidden="1" x14ac:dyDescent="0.25">
      <c r="A553" s="1405"/>
      <c r="B553" s="1055"/>
      <c r="C553" s="861" t="s">
        <v>1324</v>
      </c>
      <c r="D553" s="524" t="s">
        <v>37</v>
      </c>
      <c r="E553" s="524">
        <v>1.0149999999999999</v>
      </c>
      <c r="F553" s="831">
        <f>F550*E553</f>
        <v>0</v>
      </c>
      <c r="G553" s="989">
        <v>116</v>
      </c>
      <c r="H553" s="8">
        <f t="shared" si="73"/>
        <v>0</v>
      </c>
      <c r="I553" s="989"/>
      <c r="J553" s="8"/>
      <c r="K553" s="989"/>
      <c r="L553" s="8"/>
      <c r="M553" s="223">
        <f t="shared" si="71"/>
        <v>0</v>
      </c>
    </row>
    <row r="554" spans="1:13" s="215" customFormat="1" ht="15.75" hidden="1" x14ac:dyDescent="0.25">
      <c r="A554" s="1405"/>
      <c r="B554" s="1055"/>
      <c r="C554" s="861" t="s">
        <v>336</v>
      </c>
      <c r="D554" s="524" t="s">
        <v>47</v>
      </c>
      <c r="E554" s="524">
        <v>1.84</v>
      </c>
      <c r="F554" s="831">
        <f>F550*E554</f>
        <v>0</v>
      </c>
      <c r="G554" s="989">
        <v>16</v>
      </c>
      <c r="H554" s="8">
        <f t="shared" si="73"/>
        <v>0</v>
      </c>
      <c r="I554" s="989"/>
      <c r="J554" s="8"/>
      <c r="K554" s="989"/>
      <c r="L554" s="8"/>
      <c r="M554" s="223">
        <f t="shared" si="71"/>
        <v>0</v>
      </c>
    </row>
    <row r="555" spans="1:13" s="215" customFormat="1" ht="15.75" hidden="1" x14ac:dyDescent="0.25">
      <c r="A555" s="1405"/>
      <c r="B555" s="1055"/>
      <c r="C555" s="861" t="s">
        <v>577</v>
      </c>
      <c r="D555" s="524" t="s">
        <v>37</v>
      </c>
      <c r="E555" s="524">
        <f>(0.34+3.91)/100</f>
        <v>4.2500000000000003E-2</v>
      </c>
      <c r="F555" s="831">
        <f>F550*E555</f>
        <v>0</v>
      </c>
      <c r="G555" s="989">
        <v>542</v>
      </c>
      <c r="H555" s="8">
        <f t="shared" si="73"/>
        <v>0</v>
      </c>
      <c r="I555" s="989"/>
      <c r="J555" s="8"/>
      <c r="K555" s="989"/>
      <c r="L555" s="8"/>
      <c r="M555" s="223">
        <f t="shared" si="71"/>
        <v>0</v>
      </c>
    </row>
    <row r="556" spans="1:13" s="215" customFormat="1" ht="15.75" hidden="1" x14ac:dyDescent="0.25">
      <c r="A556" s="1405"/>
      <c r="B556" s="1055"/>
      <c r="C556" s="861" t="s">
        <v>1325</v>
      </c>
      <c r="D556" s="524" t="s">
        <v>2</v>
      </c>
      <c r="E556" s="524">
        <f>0.22/100</f>
        <v>2.2000000000000001E-3</v>
      </c>
      <c r="F556" s="831">
        <f>F550*E556</f>
        <v>0</v>
      </c>
      <c r="G556" s="989">
        <v>3.6</v>
      </c>
      <c r="H556" s="8">
        <f t="shared" si="73"/>
        <v>0</v>
      </c>
      <c r="I556" s="989"/>
      <c r="J556" s="8"/>
      <c r="K556" s="989"/>
      <c r="L556" s="8"/>
      <c r="M556" s="223">
        <f t="shared" si="71"/>
        <v>0</v>
      </c>
    </row>
    <row r="557" spans="1:13" s="215" customFormat="1" ht="15.75" hidden="1" x14ac:dyDescent="0.25">
      <c r="A557" s="1405"/>
      <c r="B557" s="1055"/>
      <c r="C557" s="861" t="s">
        <v>45</v>
      </c>
      <c r="D557" s="524" t="s">
        <v>2</v>
      </c>
      <c r="E557" s="525">
        <f>0.1*1000/100</f>
        <v>1</v>
      </c>
      <c r="F557" s="831">
        <f>F550*E557</f>
        <v>0</v>
      </c>
      <c r="G557" s="989">
        <v>3.7</v>
      </c>
      <c r="H557" s="8">
        <f t="shared" si="73"/>
        <v>0</v>
      </c>
      <c r="I557" s="989"/>
      <c r="J557" s="8"/>
      <c r="K557" s="989"/>
      <c r="L557" s="8"/>
      <c r="M557" s="223">
        <f t="shared" si="71"/>
        <v>0</v>
      </c>
    </row>
    <row r="558" spans="1:13" s="215" customFormat="1" ht="15.75" hidden="1" x14ac:dyDescent="0.25">
      <c r="A558" s="1405"/>
      <c r="B558" s="1055"/>
      <c r="C558" s="861" t="s">
        <v>50</v>
      </c>
      <c r="D558" s="524" t="s">
        <v>4</v>
      </c>
      <c r="E558" s="524">
        <f>46/100</f>
        <v>0.46</v>
      </c>
      <c r="F558" s="831">
        <f>F550*E558</f>
        <v>0</v>
      </c>
      <c r="G558" s="989">
        <v>4</v>
      </c>
      <c r="H558" s="8">
        <f t="shared" si="73"/>
        <v>0</v>
      </c>
      <c r="I558" s="989"/>
      <c r="J558" s="8"/>
      <c r="K558" s="989"/>
      <c r="L558" s="8"/>
      <c r="M558" s="223">
        <f t="shared" si="71"/>
        <v>0</v>
      </c>
    </row>
    <row r="559" spans="1:13" s="215" customFormat="1" ht="15.75" hidden="1" x14ac:dyDescent="0.25">
      <c r="A559" s="1405"/>
      <c r="B559" s="297"/>
      <c r="C559" s="1061" t="s">
        <v>1326</v>
      </c>
      <c r="D559" s="297" t="s">
        <v>571</v>
      </c>
      <c r="E559" s="20"/>
      <c r="F559" s="21">
        <f>(  0.381+0.121  )*F534</f>
        <v>0</v>
      </c>
      <c r="G559" s="1062">
        <v>1475</v>
      </c>
      <c r="H559" s="8">
        <f t="shared" si="73"/>
        <v>0</v>
      </c>
      <c r="I559" s="989"/>
      <c r="J559" s="8"/>
      <c r="K559" s="989"/>
      <c r="L559" s="8"/>
      <c r="M559" s="223">
        <f t="shared" si="71"/>
        <v>0</v>
      </c>
    </row>
    <row r="560" spans="1:13" s="215" customFormat="1" ht="15.75" hidden="1" x14ac:dyDescent="0.25">
      <c r="A560" s="1406"/>
      <c r="B560" s="297"/>
      <c r="C560" s="1061" t="s">
        <v>1327</v>
      </c>
      <c r="D560" s="297" t="s">
        <v>571</v>
      </c>
      <c r="E560" s="20"/>
      <c r="F560" s="21">
        <f>0.022  *F534</f>
        <v>0</v>
      </c>
      <c r="G560" s="1062">
        <v>1729</v>
      </c>
      <c r="H560" s="8">
        <f t="shared" si="73"/>
        <v>0</v>
      </c>
      <c r="I560" s="989"/>
      <c r="J560" s="8"/>
      <c r="K560" s="989"/>
      <c r="L560" s="8"/>
      <c r="M560" s="223">
        <f t="shared" si="71"/>
        <v>0</v>
      </c>
    </row>
    <row r="561" spans="1:14" s="215" customFormat="1" ht="94.5" hidden="1" x14ac:dyDescent="0.25">
      <c r="A561" s="1403">
        <v>5</v>
      </c>
      <c r="B561" s="297" t="s">
        <v>708</v>
      </c>
      <c r="C561" s="1063" t="s">
        <v>1328</v>
      </c>
      <c r="D561" s="220" t="s">
        <v>27</v>
      </c>
      <c r="E561" s="220"/>
      <c r="F561" s="78">
        <f>(  (3+2)*2*2 + 2*(0.8+0.2+0.8)   )*F534</f>
        <v>0</v>
      </c>
      <c r="G561" s="12"/>
      <c r="H561" s="8"/>
      <c r="I561" s="12"/>
      <c r="J561" s="8"/>
      <c r="K561" s="12"/>
      <c r="L561" s="8"/>
      <c r="M561" s="8"/>
    </row>
    <row r="562" spans="1:14" s="215" customFormat="1" ht="15.75" hidden="1" x14ac:dyDescent="0.25">
      <c r="A562" s="1403"/>
      <c r="B562" s="297"/>
      <c r="C562" s="423" t="s">
        <v>494</v>
      </c>
      <c r="D562" s="835" t="s">
        <v>14</v>
      </c>
      <c r="E562" s="835">
        <v>0.33600000000000002</v>
      </c>
      <c r="F562" s="831">
        <f>F561*E562</f>
        <v>0</v>
      </c>
      <c r="G562" s="828"/>
      <c r="H562" s="8"/>
      <c r="I562" s="828">
        <v>7.8</v>
      </c>
      <c r="J562" s="8">
        <f t="shared" si="70"/>
        <v>0</v>
      </c>
      <c r="K562" s="828"/>
      <c r="L562" s="8"/>
      <c r="M562" s="8">
        <f t="shared" si="71"/>
        <v>0</v>
      </c>
    </row>
    <row r="563" spans="1:14" s="215" customFormat="1" ht="15.75" hidden="1" x14ac:dyDescent="0.25">
      <c r="A563" s="1403"/>
      <c r="B563" s="297"/>
      <c r="C563" s="1064" t="s">
        <v>5</v>
      </c>
      <c r="D563" s="584" t="s">
        <v>4</v>
      </c>
      <c r="E563" s="835">
        <v>1.4999999999999999E-2</v>
      </c>
      <c r="F563" s="831">
        <f>F561*E563</f>
        <v>0</v>
      </c>
      <c r="G563" s="828"/>
      <c r="H563" s="8"/>
      <c r="I563" s="828"/>
      <c r="J563" s="8"/>
      <c r="K563" s="828">
        <v>4</v>
      </c>
      <c r="L563" s="8">
        <f t="shared" si="72"/>
        <v>0</v>
      </c>
      <c r="M563" s="8">
        <f t="shared" si="71"/>
        <v>0</v>
      </c>
    </row>
    <row r="564" spans="1:14" s="215" customFormat="1" ht="15.75" hidden="1" x14ac:dyDescent="0.25">
      <c r="A564" s="1403"/>
      <c r="B564" s="297"/>
      <c r="C564" s="423" t="s">
        <v>1283</v>
      </c>
      <c r="D564" s="835" t="s">
        <v>81</v>
      </c>
      <c r="E564" s="835">
        <v>2.4</v>
      </c>
      <c r="F564" s="831">
        <f>F561*E564</f>
        <v>0</v>
      </c>
      <c r="G564" s="828">
        <v>1.5</v>
      </c>
      <c r="H564" s="8">
        <f t="shared" si="73"/>
        <v>0</v>
      </c>
      <c r="I564" s="828"/>
      <c r="J564" s="8"/>
      <c r="K564" s="828"/>
      <c r="L564" s="8"/>
      <c r="M564" s="8">
        <f t="shared" si="71"/>
        <v>0</v>
      </c>
    </row>
    <row r="565" spans="1:14" s="215" customFormat="1" ht="15.75" hidden="1" x14ac:dyDescent="0.25">
      <c r="A565" s="1403"/>
      <c r="B565" s="297"/>
      <c r="C565" s="1064" t="s">
        <v>7</v>
      </c>
      <c r="D565" s="598" t="s">
        <v>4</v>
      </c>
      <c r="E565" s="835">
        <v>2.2800000000000001E-2</v>
      </c>
      <c r="F565" s="831">
        <f>E565*F561</f>
        <v>0</v>
      </c>
      <c r="G565" s="828">
        <v>4</v>
      </c>
      <c r="H565" s="8">
        <f t="shared" si="73"/>
        <v>0</v>
      </c>
      <c r="I565" s="828"/>
      <c r="J565" s="8"/>
      <c r="K565" s="828"/>
      <c r="L565" s="8"/>
      <c r="M565" s="8">
        <f t="shared" si="71"/>
        <v>0</v>
      </c>
    </row>
    <row r="566" spans="1:14" s="215" customFormat="1" ht="31.5" hidden="1" x14ac:dyDescent="0.25">
      <c r="A566" s="1404">
        <v>6</v>
      </c>
      <c r="B566" s="835" t="s">
        <v>35</v>
      </c>
      <c r="C566" s="1056" t="s">
        <v>1329</v>
      </c>
      <c r="D566" s="524"/>
      <c r="E566" s="524"/>
      <c r="F566" s="23">
        <f>0.65*2*1.2*   F534</f>
        <v>0</v>
      </c>
      <c r="G566" s="989"/>
      <c r="H566" s="8"/>
      <c r="I566" s="989"/>
      <c r="J566" s="8"/>
      <c r="K566" s="989"/>
      <c r="L566" s="8"/>
      <c r="M566" s="8"/>
    </row>
    <row r="567" spans="1:14" s="215" customFormat="1" ht="27" hidden="1" x14ac:dyDescent="0.25">
      <c r="A567" s="1405"/>
      <c r="B567" s="834"/>
      <c r="C567" s="428" t="s">
        <v>36</v>
      </c>
      <c r="D567" s="834" t="s">
        <v>6</v>
      </c>
      <c r="E567" s="2">
        <v>3.52</v>
      </c>
      <c r="F567" s="831">
        <f>F566*E567</f>
        <v>0</v>
      </c>
      <c r="G567" s="8"/>
      <c r="H567" s="8"/>
      <c r="I567" s="8">
        <v>6</v>
      </c>
      <c r="J567" s="8">
        <f t="shared" si="70"/>
        <v>0</v>
      </c>
      <c r="K567" s="8"/>
      <c r="L567" s="8"/>
      <c r="M567" s="8">
        <f t="shared" si="71"/>
        <v>0</v>
      </c>
    </row>
    <row r="568" spans="1:14" s="215" customFormat="1" ht="15.75" hidden="1" x14ac:dyDescent="0.25">
      <c r="A568" s="1405"/>
      <c r="B568" s="834"/>
      <c r="C568" s="428" t="s">
        <v>17</v>
      </c>
      <c r="D568" s="834" t="s">
        <v>4</v>
      </c>
      <c r="E568" s="2">
        <v>1.06</v>
      </c>
      <c r="F568" s="831">
        <f>F566*E568</f>
        <v>0</v>
      </c>
      <c r="G568" s="8"/>
      <c r="H568" s="8"/>
      <c r="I568" s="8"/>
      <c r="J568" s="8"/>
      <c r="K568" s="8">
        <v>4</v>
      </c>
      <c r="L568" s="8">
        <f t="shared" si="72"/>
        <v>0</v>
      </c>
      <c r="M568" s="8">
        <f t="shared" si="71"/>
        <v>0</v>
      </c>
    </row>
    <row r="569" spans="1:14" s="215" customFormat="1" ht="15.75" hidden="1" x14ac:dyDescent="0.25">
      <c r="A569" s="1405"/>
      <c r="B569" s="834"/>
      <c r="C569" s="428" t="s">
        <v>30</v>
      </c>
      <c r="D569" s="834" t="s">
        <v>37</v>
      </c>
      <c r="E569" s="2">
        <f>0.18+0.09+0.97</f>
        <v>1.24</v>
      </c>
      <c r="F569" s="831">
        <f>F566*E569</f>
        <v>0</v>
      </c>
      <c r="G569" s="8">
        <v>16.899999999999999</v>
      </c>
      <c r="H569" s="8">
        <f t="shared" si="73"/>
        <v>0</v>
      </c>
      <c r="I569" s="8"/>
      <c r="J569" s="8"/>
      <c r="K569" s="8"/>
      <c r="L569" s="8"/>
      <c r="M569" s="8">
        <f t="shared" si="71"/>
        <v>0</v>
      </c>
    </row>
    <row r="570" spans="1:14" s="215" customFormat="1" ht="15.75" hidden="1" x14ac:dyDescent="0.25">
      <c r="A570" s="1406"/>
      <c r="B570" s="834"/>
      <c r="C570" s="428" t="s">
        <v>7</v>
      </c>
      <c r="D570" s="834" t="s">
        <v>4</v>
      </c>
      <c r="E570" s="2">
        <v>0.02</v>
      </c>
      <c r="F570" s="831">
        <f>F566*E570</f>
        <v>0</v>
      </c>
      <c r="G570" s="8">
        <v>4</v>
      </c>
      <c r="H570" s="8">
        <f t="shared" si="73"/>
        <v>0</v>
      </c>
      <c r="I570" s="8"/>
      <c r="J570" s="8"/>
      <c r="K570" s="8"/>
      <c r="L570" s="8"/>
      <c r="M570" s="8">
        <f t="shared" si="71"/>
        <v>0</v>
      </c>
    </row>
    <row r="571" spans="1:14" s="215" customFormat="1" ht="15.75" hidden="1" x14ac:dyDescent="0.25">
      <c r="A571" s="1065">
        <v>7</v>
      </c>
      <c r="B571" s="1045" t="s">
        <v>1330</v>
      </c>
      <c r="C571" s="1066" t="s">
        <v>1331</v>
      </c>
      <c r="D571" s="1045" t="s">
        <v>22</v>
      </c>
      <c r="E571" s="1045"/>
      <c r="F571" s="51">
        <f>2  *F534</f>
        <v>0</v>
      </c>
      <c r="G571" s="935">
        <v>316</v>
      </c>
      <c r="H571" s="8">
        <f t="shared" si="73"/>
        <v>0</v>
      </c>
      <c r="I571" s="8">
        <v>6</v>
      </c>
      <c r="J571" s="8">
        <f t="shared" si="70"/>
        <v>0</v>
      </c>
      <c r="K571" s="989"/>
      <c r="L571" s="8"/>
      <c r="M571" s="8">
        <f t="shared" si="71"/>
        <v>0</v>
      </c>
    </row>
    <row r="572" spans="1:14" s="215" customFormat="1" ht="15.75" hidden="1" x14ac:dyDescent="0.25">
      <c r="A572" s="1054"/>
      <c r="B572" s="114"/>
      <c r="C572" s="26"/>
      <c r="D572" s="835"/>
      <c r="E572" s="524"/>
      <c r="F572" s="831"/>
      <c r="G572" s="828"/>
      <c r="H572" s="8"/>
      <c r="I572" s="828"/>
      <c r="J572" s="8"/>
      <c r="K572" s="32"/>
      <c r="L572" s="8"/>
      <c r="M572" s="8"/>
    </row>
    <row r="573" spans="1:14" s="992" customFormat="1" ht="15.75" hidden="1" x14ac:dyDescent="0.25">
      <c r="A573" s="1067"/>
      <c r="B573" s="839"/>
      <c r="C573" s="107"/>
      <c r="D573" s="839"/>
      <c r="E573" s="261"/>
      <c r="F573" s="51"/>
      <c r="G573" s="935"/>
      <c r="H573" s="8"/>
      <c r="I573" s="875"/>
      <c r="J573" s="8"/>
      <c r="K573" s="1068"/>
      <c r="L573" s="8"/>
      <c r="M573" s="223"/>
    </row>
    <row r="574" spans="1:14" s="215" customFormat="1" ht="31.5" x14ac:dyDescent="0.25">
      <c r="A574" s="1021"/>
      <c r="B574" s="967"/>
      <c r="C574" s="972" t="s">
        <v>1367</v>
      </c>
      <c r="D574" s="967"/>
      <c r="E574" s="968"/>
      <c r="F574" s="969"/>
      <c r="G574" s="970"/>
      <c r="H574" s="975">
        <f>SUM(H377:H573)</f>
        <v>0</v>
      </c>
      <c r="I574" s="975"/>
      <c r="J574" s="975">
        <f>SUM(J377:J573)</f>
        <v>0</v>
      </c>
      <c r="K574" s="975"/>
      <c r="L574" s="975">
        <f>SUM(L377:L573)</f>
        <v>0</v>
      </c>
      <c r="M574" s="975">
        <f>SUM(M377:M573)</f>
        <v>0</v>
      </c>
      <c r="N574" s="216">
        <f>H574+J574+L574</f>
        <v>0</v>
      </c>
    </row>
    <row r="575" spans="1:14" s="215" customFormat="1" ht="47.25" x14ac:dyDescent="0.25">
      <c r="A575" s="1019"/>
      <c r="B575" s="585"/>
      <c r="C575" s="963" t="s">
        <v>994</v>
      </c>
      <c r="D575" s="585"/>
      <c r="E575" s="964"/>
      <c r="F575" s="1432"/>
      <c r="G575" s="64"/>
      <c r="H575" s="64"/>
      <c r="I575" s="64"/>
      <c r="J575" s="64"/>
      <c r="K575" s="64"/>
      <c r="L575" s="64"/>
      <c r="M575" s="832">
        <f>H574*F575</f>
        <v>0</v>
      </c>
    </row>
    <row r="576" spans="1:14" s="215" customFormat="1" ht="15.75" x14ac:dyDescent="0.25">
      <c r="A576" s="1019"/>
      <c r="B576" s="585"/>
      <c r="C576" s="965" t="s">
        <v>19</v>
      </c>
      <c r="D576" s="585"/>
      <c r="E576" s="964"/>
      <c r="F576" s="1020"/>
      <c r="G576" s="64"/>
      <c r="H576" s="64"/>
      <c r="I576" s="64"/>
      <c r="J576" s="88"/>
      <c r="K576" s="64"/>
      <c r="L576" s="64"/>
      <c r="M576" s="832">
        <f>M574+M575</f>
        <v>0</v>
      </c>
    </row>
    <row r="577" spans="1:13" s="215" customFormat="1" ht="15.75" x14ac:dyDescent="0.25">
      <c r="A577" s="825"/>
      <c r="B577" s="834"/>
      <c r="C577" s="966" t="s">
        <v>302</v>
      </c>
      <c r="D577" s="834"/>
      <c r="E577" s="2"/>
      <c r="F577" s="1432"/>
      <c r="G577" s="223"/>
      <c r="H577" s="223"/>
      <c r="I577" s="223"/>
      <c r="J577" s="223"/>
      <c r="K577" s="223"/>
      <c r="L577" s="223"/>
      <c r="M577" s="223">
        <f>M574*F577</f>
        <v>0</v>
      </c>
    </row>
    <row r="578" spans="1:13" s="215" customFormat="1" ht="15.75" x14ac:dyDescent="0.25">
      <c r="A578" s="825"/>
      <c r="B578" s="834"/>
      <c r="C578" s="965" t="s">
        <v>19</v>
      </c>
      <c r="D578" s="834"/>
      <c r="E578" s="2"/>
      <c r="F578" s="840"/>
      <c r="G578" s="223"/>
      <c r="H578" s="223"/>
      <c r="I578" s="223"/>
      <c r="J578" s="223"/>
      <c r="K578" s="223"/>
      <c r="L578" s="223"/>
      <c r="M578" s="223">
        <f>M576+M577</f>
        <v>0</v>
      </c>
    </row>
    <row r="579" spans="1:13" s="215" customFormat="1" ht="15.75" x14ac:dyDescent="0.25">
      <c r="A579" s="825"/>
      <c r="B579" s="834"/>
      <c r="C579" s="966" t="s">
        <v>78</v>
      </c>
      <c r="D579" s="834"/>
      <c r="E579" s="2"/>
      <c r="F579" s="1432"/>
      <c r="G579" s="223"/>
      <c r="H579" s="223"/>
      <c r="I579" s="223"/>
      <c r="J579" s="223"/>
      <c r="K579" s="223"/>
      <c r="L579" s="223"/>
      <c r="M579" s="223">
        <f>M578*F579</f>
        <v>0</v>
      </c>
    </row>
    <row r="580" spans="1:13" s="215" customFormat="1" ht="20.25" customHeight="1" x14ac:dyDescent="0.25">
      <c r="A580" s="1021"/>
      <c r="B580" s="967"/>
      <c r="C580" s="972" t="s">
        <v>1332</v>
      </c>
      <c r="D580" s="967"/>
      <c r="E580" s="968"/>
      <c r="F580" s="969"/>
      <c r="G580" s="970"/>
      <c r="H580" s="970"/>
      <c r="I580" s="970"/>
      <c r="J580" s="970"/>
      <c r="K580" s="970"/>
      <c r="L580" s="970"/>
      <c r="M580" s="975">
        <f>M578+M579</f>
        <v>0</v>
      </c>
    </row>
    <row r="581" spans="1:13" s="215" customFormat="1" ht="15.75" x14ac:dyDescent="0.25">
      <c r="A581" s="825"/>
      <c r="B581" s="834"/>
      <c r="C581" s="966"/>
      <c r="D581" s="834"/>
      <c r="E581" s="2"/>
      <c r="F581" s="840"/>
      <c r="G581" s="223"/>
      <c r="H581" s="223"/>
      <c r="I581" s="223"/>
      <c r="J581" s="223"/>
      <c r="K581" s="223"/>
      <c r="L581" s="223"/>
      <c r="M581" s="223"/>
    </row>
    <row r="582" spans="1:13" s="215" customFormat="1" ht="21" customHeight="1" x14ac:dyDescent="0.25">
      <c r="A582" s="1021"/>
      <c r="B582" s="971"/>
      <c r="C582" s="972" t="s">
        <v>1333</v>
      </c>
      <c r="D582" s="971"/>
      <c r="E582" s="973"/>
      <c r="F582" s="122"/>
      <c r="G582" s="975"/>
      <c r="H582" s="975"/>
      <c r="I582" s="975"/>
      <c r="J582" s="975"/>
      <c r="K582" s="975"/>
      <c r="L582" s="975"/>
      <c r="M582" s="975">
        <f>M375+M580</f>
        <v>0</v>
      </c>
    </row>
    <row r="583" spans="1:13" s="215" customFormat="1" ht="15.75" x14ac:dyDescent="0.25">
      <c r="A583" s="484"/>
      <c r="B583" s="835"/>
      <c r="C583" s="13" t="s">
        <v>1</v>
      </c>
      <c r="D583" s="484"/>
      <c r="E583" s="831"/>
      <c r="F583" s="11" t="s">
        <v>57</v>
      </c>
      <c r="G583" s="828"/>
      <c r="H583" s="828"/>
      <c r="I583" s="828"/>
      <c r="J583" s="828"/>
      <c r="K583" s="828"/>
      <c r="L583" s="828"/>
      <c r="M583" s="828">
        <f>M582*F583</f>
        <v>0</v>
      </c>
    </row>
    <row r="584" spans="1:13" s="215" customFormat="1" ht="15.75" x14ac:dyDescent="0.25">
      <c r="A584" s="484"/>
      <c r="B584" s="835"/>
      <c r="C584" s="314" t="s">
        <v>19</v>
      </c>
      <c r="D584" s="484"/>
      <c r="E584" s="831"/>
      <c r="F584" s="23"/>
      <c r="G584" s="828"/>
      <c r="H584" s="828"/>
      <c r="I584" s="828"/>
      <c r="J584" s="828"/>
      <c r="K584" s="828"/>
      <c r="L584" s="828"/>
      <c r="M584" s="828">
        <f>M582+M583</f>
        <v>0</v>
      </c>
    </row>
    <row r="585" spans="1:13" s="215" customFormat="1" ht="31.5" x14ac:dyDescent="0.25">
      <c r="A585" s="321"/>
      <c r="B585" s="322"/>
      <c r="C585" s="336" t="s">
        <v>303</v>
      </c>
      <c r="D585" s="323"/>
      <c r="E585" s="324"/>
      <c r="F585" s="337">
        <v>0.02</v>
      </c>
      <c r="G585" s="306"/>
      <c r="H585" s="306"/>
      <c r="I585" s="306"/>
      <c r="J585" s="345"/>
      <c r="K585" s="306"/>
      <c r="L585" s="306"/>
      <c r="M585" s="306">
        <f>(J369+J574)*F585</f>
        <v>0</v>
      </c>
    </row>
    <row r="586" spans="1:13" s="215" customFormat="1" ht="15.75" x14ac:dyDescent="0.25">
      <c r="A586" s="321"/>
      <c r="B586" s="322"/>
      <c r="C586" s="314" t="s">
        <v>19</v>
      </c>
      <c r="D586" s="323"/>
      <c r="E586" s="324"/>
      <c r="F586" s="335"/>
      <c r="G586" s="306"/>
      <c r="H586" s="306"/>
      <c r="I586" s="306"/>
      <c r="J586" s="314"/>
      <c r="K586" s="306"/>
      <c r="L586" s="306"/>
      <c r="M586" s="306">
        <f>M584+M585</f>
        <v>0</v>
      </c>
    </row>
    <row r="587" spans="1:13" s="215" customFormat="1" ht="15.75" x14ac:dyDescent="0.25">
      <c r="A587" s="484"/>
      <c r="B587" s="835"/>
      <c r="C587" s="13"/>
      <c r="D587" s="484"/>
      <c r="E587" s="831"/>
      <c r="F587" s="11" t="s">
        <v>58</v>
      </c>
      <c r="G587" s="828"/>
      <c r="H587" s="828"/>
      <c r="I587" s="828"/>
      <c r="J587" s="828"/>
      <c r="K587" s="828"/>
      <c r="L587" s="828"/>
      <c r="M587" s="828">
        <f>M586*F587</f>
        <v>0</v>
      </c>
    </row>
    <row r="588" spans="1:13" s="215" customFormat="1" ht="31.5" x14ac:dyDescent="0.25">
      <c r="A588" s="967"/>
      <c r="B588" s="971"/>
      <c r="C588" s="972" t="s">
        <v>1366</v>
      </c>
      <c r="D588" s="971"/>
      <c r="E588" s="973"/>
      <c r="F588" s="974"/>
      <c r="G588" s="975"/>
      <c r="H588" s="975"/>
      <c r="I588" s="975"/>
      <c r="J588" s="975"/>
      <c r="K588" s="975"/>
      <c r="L588" s="975"/>
      <c r="M588" s="1433">
        <f>M586+M587</f>
        <v>0</v>
      </c>
    </row>
    <row r="589" spans="1:13" s="215" customFormat="1" x14ac:dyDescent="0.25">
      <c r="A589" s="1069"/>
      <c r="B589" s="1070"/>
      <c r="C589" s="1071"/>
      <c r="D589" s="1070"/>
      <c r="E589" s="580"/>
      <c r="F589" s="1072"/>
      <c r="G589" s="50"/>
      <c r="H589" s="50"/>
      <c r="I589" s="50"/>
      <c r="J589" s="50"/>
      <c r="K589" s="50"/>
      <c r="L589" s="50"/>
      <c r="M589" s="50"/>
    </row>
    <row r="590" spans="1:13" s="215" customFormat="1" ht="15.75" x14ac:dyDescent="0.25">
      <c r="A590" s="1069"/>
      <c r="B590" s="976"/>
      <c r="C590" s="197"/>
      <c r="D590" s="74"/>
      <c r="E590" s="978"/>
      <c r="F590" s="977"/>
      <c r="G590" s="356"/>
      <c r="H590" s="356"/>
      <c r="I590" s="979"/>
      <c r="J590" s="979"/>
      <c r="K590" s="979"/>
      <c r="L590" s="979"/>
      <c r="M590" s="979"/>
    </row>
    <row r="591" spans="1:13" s="215" customFormat="1" x14ac:dyDescent="0.25">
      <c r="A591" s="1069"/>
      <c r="B591" s="976"/>
      <c r="C591" s="208"/>
      <c r="D591" s="209"/>
      <c r="E591" s="1073"/>
      <c r="F591" s="1072"/>
      <c r="G591" s="50"/>
      <c r="H591" s="50"/>
      <c r="I591" s="50"/>
      <c r="J591" s="50"/>
      <c r="K591" s="50"/>
      <c r="L591" s="50"/>
      <c r="M591" s="50"/>
    </row>
  </sheetData>
  <mergeCells count="85">
    <mergeCell ref="A561:A565"/>
    <mergeCell ref="A566:A570"/>
    <mergeCell ref="A19:A23"/>
    <mergeCell ref="A527:A532"/>
    <mergeCell ref="A535:A539"/>
    <mergeCell ref="A540:A541"/>
    <mergeCell ref="A543:A544"/>
    <mergeCell ref="A545:A549"/>
    <mergeCell ref="A550:A560"/>
    <mergeCell ref="A486:A495"/>
    <mergeCell ref="A496:A499"/>
    <mergeCell ref="A503:A504"/>
    <mergeCell ref="A505:A515"/>
    <mergeCell ref="A516:A519"/>
    <mergeCell ref="A520:A526"/>
    <mergeCell ref="A463:A466"/>
    <mergeCell ref="A467:A471"/>
    <mergeCell ref="A474:A478"/>
    <mergeCell ref="A479:A480"/>
    <mergeCell ref="A481:A483"/>
    <mergeCell ref="A484:A485"/>
    <mergeCell ref="A453:A462"/>
    <mergeCell ref="A383:A384"/>
    <mergeCell ref="A385:A387"/>
    <mergeCell ref="A388:A389"/>
    <mergeCell ref="A390:A392"/>
    <mergeCell ref="A394:A404"/>
    <mergeCell ref="A405:A411"/>
    <mergeCell ref="A412:A426"/>
    <mergeCell ref="A427:A431"/>
    <mergeCell ref="A432:A436"/>
    <mergeCell ref="A437:A449"/>
    <mergeCell ref="A451:A452"/>
    <mergeCell ref="A378:A382"/>
    <mergeCell ref="A271:A275"/>
    <mergeCell ref="A276:A280"/>
    <mergeCell ref="A281:A284"/>
    <mergeCell ref="A286:A291"/>
    <mergeCell ref="A292:A297"/>
    <mergeCell ref="A298:A303"/>
    <mergeCell ref="A304:A309"/>
    <mergeCell ref="A310:A314"/>
    <mergeCell ref="A315:A356"/>
    <mergeCell ref="A357:A359"/>
    <mergeCell ref="A360:A366"/>
    <mergeCell ref="A264:A270"/>
    <mergeCell ref="A118:A123"/>
    <mergeCell ref="A124:A129"/>
    <mergeCell ref="A130:A135"/>
    <mergeCell ref="A136:A141"/>
    <mergeCell ref="A142:A147"/>
    <mergeCell ref="A148:A152"/>
    <mergeCell ref="A153:A159"/>
    <mergeCell ref="A160:A169"/>
    <mergeCell ref="A170:A183"/>
    <mergeCell ref="A184:A259"/>
    <mergeCell ref="A112:A117"/>
    <mergeCell ref="A31:A35"/>
    <mergeCell ref="A36:A40"/>
    <mergeCell ref="A41:A46"/>
    <mergeCell ref="A47:A53"/>
    <mergeCell ref="A76:A81"/>
    <mergeCell ref="A82:A87"/>
    <mergeCell ref="A88:A93"/>
    <mergeCell ref="A94:A99"/>
    <mergeCell ref="A100:A105"/>
    <mergeCell ref="A106:A111"/>
    <mergeCell ref="A69:A73"/>
    <mergeCell ref="A55:A67"/>
    <mergeCell ref="A29:A30"/>
    <mergeCell ref="A1:M1"/>
    <mergeCell ref="A2:M2"/>
    <mergeCell ref="A3:M3"/>
    <mergeCell ref="A5:M5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A13:A18"/>
    <mergeCell ref="A24:A28"/>
  </mergeCells>
  <pageMargins left="0.70866141732283472" right="0.15" top="0.39" bottom="0.45" header="0.31496062992125984" footer="0.31496062992125984"/>
  <pageSetup paperSize="9" orientation="landscape" horizontalDpi="1200" verticalDpi="1200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krebsiti</vt:lpstr>
      <vt:lpstr>#1-1</vt:lpstr>
      <vt:lpstr>#1-2</vt:lpstr>
      <vt:lpstr>#1-3</vt:lpstr>
      <vt:lpstr>#1-4</vt:lpstr>
      <vt:lpstr>#2-1</vt:lpstr>
      <vt:lpstr>#2-2</vt:lpstr>
      <vt:lpstr>#2-3</vt:lpstr>
      <vt:lpstr>'#1-1'!Print_Area</vt:lpstr>
      <vt:lpstr>'#1-2'!Print_Area</vt:lpstr>
      <vt:lpstr>'#1-3'!Print_Area</vt:lpstr>
      <vt:lpstr>'#1-4'!Print_Area</vt:lpstr>
      <vt:lpstr>'#2-2'!Print_Area</vt:lpstr>
      <vt:lpstr>'#2-3'!Print_Area</vt:lpstr>
      <vt:lpstr>krebsiti!Print_Area</vt:lpstr>
      <vt:lpstr>'#1-1'!Print_Titles</vt:lpstr>
      <vt:lpstr>'#1-2'!Print_Titles</vt:lpstr>
      <vt:lpstr>'#1-3'!Print_Titles</vt:lpstr>
      <vt:lpstr>'#1-4'!Print_Titles</vt:lpstr>
      <vt:lpstr>'#2-2'!Print_Titles</vt:lpstr>
      <vt:lpstr>'#2-3'!Print_Titles</vt:lpstr>
      <vt:lpstr>krebsiti!Print_Titles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2021-03-09T10:46:18Z</dcterms:modified>
</cp:coreProperties>
</file>