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 tabRatio="661" activeTab="3"/>
  </bookViews>
  <sheets>
    <sheet name="krebsiti" sheetId="8" r:id="rId1"/>
    <sheet name="#1" sheetId="16" r:id="rId2"/>
    <sheet name="#2" sheetId="17" r:id="rId3"/>
    <sheet name="#3" sheetId="22" r:id="rId4"/>
    <sheet name="ინვენტარი" sheetId="21" r:id="rId5"/>
  </sheets>
  <definedNames>
    <definedName name="_xlnm._FilterDatabase" localSheetId="1" hidden="1">'#1'!$A$8:$M$361</definedName>
    <definedName name="_xlnm._FilterDatabase" localSheetId="2" hidden="1">'#2'!$A$9:$M$44</definedName>
    <definedName name="_xlnm.Print_Area" localSheetId="1">'#1'!$A$1:$M$370</definedName>
    <definedName name="_xlnm.Print_Area" localSheetId="2">'#2'!$A$1:$M$55</definedName>
    <definedName name="_xlnm.Print_Area" localSheetId="0">krebsiti!$A$1:$G$19</definedName>
    <definedName name="_xlnm.Print_Area" localSheetId="4">ინვენტარი!$A$1:$M$29</definedName>
    <definedName name="_xlnm.Print_Titles" localSheetId="1">'#1'!$8:$8</definedName>
    <definedName name="_xlnm.Print_Titles" localSheetId="2">'#2'!$9:$9</definedName>
    <definedName name="_xlnm.Print_Titles" localSheetId="4">ინვენტარი!$8:$8</definedName>
  </definedNames>
  <calcPr calcId="152511"/>
</workbook>
</file>

<file path=xl/calcChain.xml><?xml version="1.0" encoding="utf-8"?>
<calcChain xmlns="http://schemas.openxmlformats.org/spreadsheetml/2006/main">
  <c r="F10" i="22" l="1"/>
  <c r="F11" i="22" s="1"/>
  <c r="F13" i="22"/>
  <c r="F16" i="22"/>
  <c r="F17" i="22"/>
  <c r="F89" i="16" l="1"/>
  <c r="F34" i="16" l="1"/>
  <c r="F36" i="16" s="1"/>
  <c r="F35" i="16" l="1"/>
  <c r="H13" i="22"/>
  <c r="F19" i="22"/>
  <c r="H19" i="22" s="1"/>
  <c r="H21" i="22"/>
  <c r="H17" i="22"/>
  <c r="H14" i="22"/>
  <c r="H10" i="22"/>
  <c r="H18" i="22"/>
  <c r="H15" i="22"/>
  <c r="H12" i="22"/>
  <c r="H9" i="22"/>
  <c r="F20" i="22" l="1"/>
  <c r="H20" i="22" s="1"/>
  <c r="H11" i="22"/>
  <c r="H16" i="22"/>
  <c r="H40" i="17"/>
  <c r="M40" i="17" s="1"/>
  <c r="F109" i="16"/>
  <c r="F29" i="17"/>
  <c r="F17" i="17"/>
  <c r="F27" i="17" s="1"/>
  <c r="F12" i="17"/>
  <c r="F326" i="16"/>
  <c r="F209" i="16"/>
  <c r="F188" i="16"/>
  <c r="F103" i="16"/>
  <c r="F102" i="16"/>
  <c r="F101" i="16"/>
  <c r="H101" i="16" s="1"/>
  <c r="M101" i="16" s="1"/>
  <c r="F100" i="16"/>
  <c r="H100" i="16" s="1"/>
  <c r="M100" i="16" s="1"/>
  <c r="F99" i="16"/>
  <c r="H99" i="16" s="1"/>
  <c r="F85" i="16"/>
  <c r="F83" i="16"/>
  <c r="F82" i="16"/>
  <c r="F115" i="16" s="1"/>
  <c r="F116" i="16" s="1"/>
  <c r="F119" i="16" s="1"/>
  <c r="F39" i="16"/>
  <c r="F17" i="16"/>
  <c r="F16" i="16"/>
  <c r="L16" i="16" s="1"/>
  <c r="F15" i="16"/>
  <c r="J15" i="16" s="1"/>
  <c r="A15" i="16"/>
  <c r="A16" i="16" s="1"/>
  <c r="A17" i="16" s="1"/>
  <c r="H22" i="22" l="1"/>
  <c r="H23" i="22" s="1"/>
  <c r="H24" i="22" s="1"/>
  <c r="L17" i="16"/>
  <c r="H25" i="22" l="1"/>
  <c r="H26" i="22" s="1"/>
  <c r="M17" i="16"/>
  <c r="M15" i="16"/>
  <c r="M16" i="16"/>
  <c r="H27" i="22" l="1"/>
  <c r="F184" i="16"/>
  <c r="E135" i="16"/>
  <c r="F135" i="16" s="1"/>
  <c r="H135" i="16" s="1"/>
  <c r="M135" i="16" s="1"/>
  <c r="F134" i="16"/>
  <c r="H134" i="16" s="1"/>
  <c r="M134" i="16" s="1"/>
  <c r="E133" i="16"/>
  <c r="F133" i="16" s="1"/>
  <c r="H133" i="16" s="1"/>
  <c r="M133" i="16" s="1"/>
  <c r="F132" i="16"/>
  <c r="H132" i="16" s="1"/>
  <c r="M132" i="16" s="1"/>
  <c r="E131" i="16"/>
  <c r="F131" i="16" s="1"/>
  <c r="L131" i="16" s="1"/>
  <c r="M131" i="16" s="1"/>
  <c r="E130" i="16"/>
  <c r="F130" i="16" s="1"/>
  <c r="J130" i="16" s="1"/>
  <c r="M130" i="16" s="1"/>
  <c r="M129" i="16"/>
  <c r="F59" i="16"/>
  <c r="H28" i="22" l="1"/>
  <c r="E11" i="8" s="1"/>
  <c r="G11" i="8" s="1"/>
  <c r="F190" i="16" l="1"/>
  <c r="F193" i="16" l="1"/>
  <c r="H193" i="16" s="1"/>
  <c r="M193" i="16" s="1"/>
  <c r="F196" i="16"/>
  <c r="F192" i="16"/>
  <c r="L192" i="16" s="1"/>
  <c r="M192" i="16" s="1"/>
  <c r="F191" i="16"/>
  <c r="J191" i="16" s="1"/>
  <c r="M191" i="16" s="1"/>
  <c r="F194" i="16"/>
  <c r="H194" i="16" s="1"/>
  <c r="M194" i="16" s="1"/>
  <c r="F195" i="16"/>
  <c r="H195" i="16" s="1"/>
  <c r="M195" i="16" s="1"/>
  <c r="H102" i="16"/>
  <c r="M102" i="16" s="1"/>
  <c r="H97" i="16"/>
  <c r="M97" i="16" s="1"/>
  <c r="F197" i="16" l="1"/>
  <c r="J197" i="16" s="1"/>
  <c r="M197" i="16" s="1"/>
  <c r="F200" i="16"/>
  <c r="H200" i="16" s="1"/>
  <c r="M200" i="16" s="1"/>
  <c r="F199" i="16"/>
  <c r="H199" i="16" s="1"/>
  <c r="M199" i="16" s="1"/>
  <c r="F198" i="16"/>
  <c r="L198" i="16" s="1"/>
  <c r="M198" i="16" s="1"/>
  <c r="M99" i="16"/>
  <c r="F58" i="16"/>
  <c r="F213" i="16" l="1"/>
  <c r="H188" i="16"/>
  <c r="M188" i="16" s="1"/>
  <c r="F187" i="16"/>
  <c r="H187" i="16" s="1"/>
  <c r="M187" i="16" s="1"/>
  <c r="F179" i="16"/>
  <c r="F181" i="16" s="1"/>
  <c r="L181" i="16" s="1"/>
  <c r="M181" i="16" s="1"/>
  <c r="F177" i="16"/>
  <c r="F178" i="16" s="1"/>
  <c r="J178" i="16" s="1"/>
  <c r="M178" i="16" s="1"/>
  <c r="F182" i="16" l="1"/>
  <c r="H182" i="16" s="1"/>
  <c r="M182" i="16" s="1"/>
  <c r="F183" i="16"/>
  <c r="H183" i="16" s="1"/>
  <c r="M183" i="16" s="1"/>
  <c r="F180" i="16"/>
  <c r="J180" i="16" s="1"/>
  <c r="M180" i="16" s="1"/>
  <c r="F186" i="16"/>
  <c r="L186" i="16" s="1"/>
  <c r="M186" i="16" s="1"/>
  <c r="F189" i="16"/>
  <c r="H189" i="16" s="1"/>
  <c r="M189" i="16" s="1"/>
  <c r="F185" i="16"/>
  <c r="J185" i="16" s="1"/>
  <c r="M185" i="16" s="1"/>
  <c r="E173" i="16"/>
  <c r="F19" i="16"/>
  <c r="F33" i="16" l="1"/>
  <c r="E251" i="16" l="1"/>
  <c r="F34" i="17" l="1"/>
  <c r="F38" i="17" l="1"/>
  <c r="F41" i="17"/>
  <c r="F37" i="17"/>
  <c r="L37" i="17" s="1"/>
  <c r="M37" i="17" s="1"/>
  <c r="O38" i="17" l="1"/>
  <c r="O39" i="17"/>
  <c r="F33" i="17"/>
  <c r="F287" i="16" l="1"/>
  <c r="E267" i="16"/>
  <c r="E217" i="16" l="1"/>
  <c r="F319" i="16" l="1"/>
  <c r="F289" i="16" l="1"/>
  <c r="L289" i="16" s="1"/>
  <c r="M289" i="16" s="1"/>
  <c r="F282" i="16"/>
  <c r="F284" i="16" s="1"/>
  <c r="L284" i="16" s="1"/>
  <c r="M284" i="16" s="1"/>
  <c r="F278" i="16"/>
  <c r="F279" i="16" s="1"/>
  <c r="J279" i="16" s="1"/>
  <c r="M279" i="16" s="1"/>
  <c r="F271" i="16"/>
  <c r="F276" i="16" s="1"/>
  <c r="H276" i="16" s="1"/>
  <c r="M276" i="16" s="1"/>
  <c r="F263" i="16"/>
  <c r="F262" i="16"/>
  <c r="H262" i="16" s="1"/>
  <c r="M262" i="16" s="1"/>
  <c r="F261" i="16"/>
  <c r="H261" i="16" s="1"/>
  <c r="M261" i="16" s="1"/>
  <c r="F260" i="16"/>
  <c r="H260" i="16" s="1"/>
  <c r="M260" i="16" s="1"/>
  <c r="F259" i="16"/>
  <c r="L259" i="16" s="1"/>
  <c r="M259" i="16" s="1"/>
  <c r="F258" i="16"/>
  <c r="J258" i="16" s="1"/>
  <c r="M258" i="16" s="1"/>
  <c r="F248" i="16"/>
  <c r="F250" i="16" s="1"/>
  <c r="L250" i="16" s="1"/>
  <c r="M250" i="16" s="1"/>
  <c r="F238" i="16"/>
  <c r="H238" i="16" s="1"/>
  <c r="M238" i="16" s="1"/>
  <c r="F237" i="16"/>
  <c r="H237" i="16" s="1"/>
  <c r="M237" i="16" s="1"/>
  <c r="F236" i="16"/>
  <c r="H236" i="16" s="1"/>
  <c r="M236" i="16" s="1"/>
  <c r="F235" i="16"/>
  <c r="H235" i="16" s="1"/>
  <c r="M235" i="16" s="1"/>
  <c r="F234" i="16"/>
  <c r="H234" i="16" s="1"/>
  <c r="M234" i="16" s="1"/>
  <c r="F233" i="16"/>
  <c r="H233" i="16" s="1"/>
  <c r="M233" i="16" s="1"/>
  <c r="F232" i="16"/>
  <c r="H232" i="16" s="1"/>
  <c r="M232" i="16" s="1"/>
  <c r="F231" i="16"/>
  <c r="H231" i="16" s="1"/>
  <c r="M231" i="16" s="1"/>
  <c r="E226" i="16"/>
  <c r="F223" i="16"/>
  <c r="F224" i="16" s="1"/>
  <c r="J224" i="16" s="1"/>
  <c r="M224" i="16" s="1"/>
  <c r="F286" i="16" l="1"/>
  <c r="H286" i="16" s="1"/>
  <c r="M286" i="16" s="1"/>
  <c r="F270" i="16"/>
  <c r="H270" i="16" s="1"/>
  <c r="M270" i="16" s="1"/>
  <c r="F267" i="16"/>
  <c r="H267" i="16" s="1"/>
  <c r="M267" i="16" s="1"/>
  <c r="F268" i="16"/>
  <c r="H268" i="16" s="1"/>
  <c r="M268" i="16" s="1"/>
  <c r="F252" i="16"/>
  <c r="F253" i="16" s="1"/>
  <c r="J253" i="16" s="1"/>
  <c r="M253" i="16" s="1"/>
  <c r="F251" i="16"/>
  <c r="H251" i="16" s="1"/>
  <c r="M251" i="16" s="1"/>
  <c r="F290" i="16"/>
  <c r="H290" i="16" s="1"/>
  <c r="M290" i="16" s="1"/>
  <c r="F285" i="16"/>
  <c r="H285" i="16" s="1"/>
  <c r="M285" i="16" s="1"/>
  <c r="F291" i="16"/>
  <c r="H291" i="16" s="1"/>
  <c r="M291" i="16" s="1"/>
  <c r="F292" i="16"/>
  <c r="H292" i="16" s="1"/>
  <c r="M292" i="16" s="1"/>
  <c r="F288" i="16"/>
  <c r="J288" i="16" s="1"/>
  <c r="M288" i="16" s="1"/>
  <c r="F228" i="16"/>
  <c r="H228" i="16" s="1"/>
  <c r="M228" i="16" s="1"/>
  <c r="F227" i="16"/>
  <c r="H227" i="16" s="1"/>
  <c r="M227" i="16" s="1"/>
  <c r="F241" i="16"/>
  <c r="F249" i="16"/>
  <c r="J249" i="16" s="1"/>
  <c r="M249" i="16" s="1"/>
  <c r="F269" i="16"/>
  <c r="H269" i="16" s="1"/>
  <c r="M269" i="16" s="1"/>
  <c r="F275" i="16"/>
  <c r="H275" i="16" s="1"/>
  <c r="M275" i="16" s="1"/>
  <c r="F281" i="16"/>
  <c r="H281" i="16" s="1"/>
  <c r="M281" i="16" s="1"/>
  <c r="F283" i="16"/>
  <c r="J283" i="16" s="1"/>
  <c r="M283" i="16" s="1"/>
  <c r="F226" i="16"/>
  <c r="H226" i="16" s="1"/>
  <c r="M226" i="16" s="1"/>
  <c r="F230" i="16"/>
  <c r="H230" i="16" s="1"/>
  <c r="M230" i="16" s="1"/>
  <c r="F266" i="16"/>
  <c r="H266" i="16" s="1"/>
  <c r="M266" i="16" s="1"/>
  <c r="F274" i="16"/>
  <c r="H274" i="16" s="1"/>
  <c r="M274" i="16" s="1"/>
  <c r="F280" i="16"/>
  <c r="L280" i="16" s="1"/>
  <c r="M280" i="16" s="1"/>
  <c r="F225" i="16"/>
  <c r="L225" i="16" s="1"/>
  <c r="M225" i="16" s="1"/>
  <c r="F229" i="16"/>
  <c r="H229" i="16" s="1"/>
  <c r="M229" i="16" s="1"/>
  <c r="F265" i="16"/>
  <c r="L265" i="16" s="1"/>
  <c r="M265" i="16" s="1"/>
  <c r="F273" i="16"/>
  <c r="L273" i="16" s="1"/>
  <c r="M273" i="16" s="1"/>
  <c r="F277" i="16"/>
  <c r="H277" i="16" s="1"/>
  <c r="M277" i="16" s="1"/>
  <c r="F264" i="16"/>
  <c r="J264" i="16" s="1"/>
  <c r="M264" i="16" s="1"/>
  <c r="F272" i="16"/>
  <c r="J272" i="16" s="1"/>
  <c r="M272" i="16" s="1"/>
  <c r="F254" i="16" l="1"/>
  <c r="H254" i="16" s="1"/>
  <c r="M254" i="16" s="1"/>
  <c r="F255" i="16"/>
  <c r="H255" i="16" s="1"/>
  <c r="M255" i="16" s="1"/>
  <c r="F245" i="16"/>
  <c r="H245" i="16" s="1"/>
  <c r="M245" i="16" s="1"/>
  <c r="F246" i="16"/>
  <c r="H246" i="16" s="1"/>
  <c r="M246" i="16" s="1"/>
  <c r="F242" i="16"/>
  <c r="J242" i="16" s="1"/>
  <c r="M242" i="16" s="1"/>
  <c r="F247" i="16"/>
  <c r="H247" i="16" s="1"/>
  <c r="M247" i="16" s="1"/>
  <c r="F243" i="16"/>
  <c r="L243" i="16" s="1"/>
  <c r="M243" i="16" s="1"/>
  <c r="F244" i="16"/>
  <c r="H244" i="16" s="1"/>
  <c r="M244" i="16" s="1"/>
  <c r="F204" i="16" l="1"/>
  <c r="F206" i="16" l="1"/>
  <c r="L206" i="16" s="1"/>
  <c r="M206" i="16" s="1"/>
  <c r="F208" i="16"/>
  <c r="H208" i="16" s="1"/>
  <c r="M208" i="16" s="1"/>
  <c r="F205" i="16"/>
  <c r="J205" i="16" s="1"/>
  <c r="M205" i="16" s="1"/>
  <c r="F207" i="16"/>
  <c r="H207" i="16" s="1"/>
  <c r="M207" i="16" s="1"/>
  <c r="H13" i="21"/>
  <c r="J13" i="21"/>
  <c r="E218" i="16"/>
  <c r="F215" i="16"/>
  <c r="F220" i="16" s="1"/>
  <c r="H220" i="16" s="1"/>
  <c r="M220" i="16" s="1"/>
  <c r="H213" i="16"/>
  <c r="M213" i="16" s="1"/>
  <c r="F211" i="16"/>
  <c r="L211" i="16" s="1"/>
  <c r="M211" i="16" s="1"/>
  <c r="F202" i="16"/>
  <c r="F203" i="16" s="1"/>
  <c r="J203" i="16" s="1"/>
  <c r="M203" i="16" s="1"/>
  <c r="M13" i="21" l="1"/>
  <c r="F212" i="16"/>
  <c r="H212" i="16" s="1"/>
  <c r="M212" i="16" s="1"/>
  <c r="F210" i="16"/>
  <c r="J210" i="16" s="1"/>
  <c r="M210" i="16" s="1"/>
  <c r="F219" i="16"/>
  <c r="H219" i="16" s="1"/>
  <c r="M219" i="16" s="1"/>
  <c r="F216" i="16"/>
  <c r="J216" i="16" s="1"/>
  <c r="M216" i="16" s="1"/>
  <c r="F217" i="16"/>
  <c r="L217" i="16" s="1"/>
  <c r="M217" i="16" s="1"/>
  <c r="F214" i="16"/>
  <c r="H214" i="16" s="1"/>
  <c r="M214" i="16" s="1"/>
  <c r="F218" i="16"/>
  <c r="H218" i="16" s="1"/>
  <c r="M218" i="16" s="1"/>
  <c r="F44" i="16" l="1"/>
  <c r="F46" i="16"/>
  <c r="F29" i="16"/>
  <c r="F31" i="16" s="1"/>
  <c r="F352" i="16" l="1"/>
  <c r="F127" i="16" l="1"/>
  <c r="F107" i="16"/>
  <c r="H107" i="16" s="1"/>
  <c r="M107" i="16" s="1"/>
  <c r="F125" i="16" l="1"/>
  <c r="F123" i="16"/>
  <c r="F126" i="16"/>
  <c r="F124" i="16"/>
  <c r="J18" i="21" l="1"/>
  <c r="H18" i="21"/>
  <c r="J17" i="21"/>
  <c r="H17" i="21"/>
  <c r="J15" i="21"/>
  <c r="H15" i="21"/>
  <c r="J14" i="21"/>
  <c r="H14" i="21"/>
  <c r="J12" i="21"/>
  <c r="H12" i="21"/>
  <c r="J11" i="21"/>
  <c r="H11" i="21"/>
  <c r="L9" i="21"/>
  <c r="J9" i="21"/>
  <c r="H9" i="21"/>
  <c r="A1" i="21"/>
  <c r="H39" i="17"/>
  <c r="M39" i="17" s="1"/>
  <c r="H33" i="17"/>
  <c r="M33" i="17" s="1"/>
  <c r="F30" i="17"/>
  <c r="J30" i="17" s="1"/>
  <c r="M30" i="17" s="1"/>
  <c r="F28" i="17"/>
  <c r="J28" i="17" s="1"/>
  <c r="M28" i="17" s="1"/>
  <c r="E25" i="17"/>
  <c r="F26" i="17"/>
  <c r="F23" i="17"/>
  <c r="H23" i="17" s="1"/>
  <c r="M23" i="17" s="1"/>
  <c r="F15" i="17"/>
  <c r="F14" i="17"/>
  <c r="L14" i="17" s="1"/>
  <c r="A1" i="17"/>
  <c r="F409" i="16"/>
  <c r="F414" i="16" s="1"/>
  <c r="F404" i="16"/>
  <c r="F406" i="16" s="1"/>
  <c r="F402" i="16"/>
  <c r="L402" i="16" s="1"/>
  <c r="L401" i="16"/>
  <c r="J401" i="16"/>
  <c r="H401" i="16"/>
  <c r="L400" i="16"/>
  <c r="J400" i="16"/>
  <c r="H400" i="16"/>
  <c r="L399" i="16"/>
  <c r="J399" i="16"/>
  <c r="H399" i="16"/>
  <c r="L398" i="16"/>
  <c r="J398" i="16"/>
  <c r="H398" i="16"/>
  <c r="L397" i="16"/>
  <c r="J397" i="16"/>
  <c r="H397" i="16"/>
  <c r="L396" i="16"/>
  <c r="J396" i="16"/>
  <c r="H396" i="16"/>
  <c r="F390" i="16"/>
  <c r="J390" i="16" s="1"/>
  <c r="L389" i="16"/>
  <c r="J389" i="16"/>
  <c r="H389" i="16"/>
  <c r="L388" i="16"/>
  <c r="J388" i="16"/>
  <c r="H388" i="16"/>
  <c r="L387" i="16"/>
  <c r="J387" i="16"/>
  <c r="H387" i="16"/>
  <c r="L386" i="16"/>
  <c r="J386" i="16"/>
  <c r="H386" i="16"/>
  <c r="L385" i="16"/>
  <c r="J385" i="16"/>
  <c r="H385" i="16"/>
  <c r="L384" i="16"/>
  <c r="J384" i="16"/>
  <c r="H384" i="16"/>
  <c r="L383" i="16"/>
  <c r="J383" i="16"/>
  <c r="H383" i="16"/>
  <c r="L382" i="16"/>
  <c r="J382" i="16"/>
  <c r="H382" i="16"/>
  <c r="F381" i="16"/>
  <c r="L381" i="16" s="1"/>
  <c r="E380" i="16"/>
  <c r="F380" i="16" s="1"/>
  <c r="E379" i="16"/>
  <c r="F379" i="16" s="1"/>
  <c r="J379" i="16" s="1"/>
  <c r="E378" i="16"/>
  <c r="F378" i="16" s="1"/>
  <c r="E377" i="16"/>
  <c r="F377" i="16" s="1"/>
  <c r="J377" i="16" s="1"/>
  <c r="E376" i="16"/>
  <c r="F376" i="16" s="1"/>
  <c r="E375" i="16"/>
  <c r="F375" i="16" s="1"/>
  <c r="J375" i="16" s="1"/>
  <c r="L374" i="16"/>
  <c r="J374" i="16"/>
  <c r="H374" i="16"/>
  <c r="L373" i="16"/>
  <c r="J373" i="16"/>
  <c r="H373" i="16"/>
  <c r="F354" i="16"/>
  <c r="L354" i="16" s="1"/>
  <c r="M354" i="16" s="1"/>
  <c r="F353" i="16"/>
  <c r="J353" i="16" s="1"/>
  <c r="M353" i="16" s="1"/>
  <c r="F351" i="16"/>
  <c r="J351" i="16" s="1"/>
  <c r="M351" i="16" s="1"/>
  <c r="F347" i="16"/>
  <c r="H347" i="16" s="1"/>
  <c r="M347" i="16" s="1"/>
  <c r="F346" i="16"/>
  <c r="H346" i="16" s="1"/>
  <c r="M346" i="16" s="1"/>
  <c r="F345" i="16"/>
  <c r="H345" i="16" s="1"/>
  <c r="M345" i="16" s="1"/>
  <c r="F344" i="16"/>
  <c r="H344" i="16" s="1"/>
  <c r="M344" i="16" s="1"/>
  <c r="F343" i="16"/>
  <c r="H343" i="16" s="1"/>
  <c r="M343" i="16" s="1"/>
  <c r="F342" i="16"/>
  <c r="H342" i="16" s="1"/>
  <c r="M342" i="16" s="1"/>
  <c r="F341" i="16"/>
  <c r="H341" i="16" s="1"/>
  <c r="M341" i="16" s="1"/>
  <c r="F340" i="16"/>
  <c r="H340" i="16" s="1"/>
  <c r="M340" i="16" s="1"/>
  <c r="F339" i="16"/>
  <c r="H339" i="16" s="1"/>
  <c r="M339" i="16" s="1"/>
  <c r="F338" i="16"/>
  <c r="H338" i="16" s="1"/>
  <c r="M338" i="16" s="1"/>
  <c r="F337" i="16"/>
  <c r="H337" i="16" s="1"/>
  <c r="M337" i="16" s="1"/>
  <c r="F336" i="16"/>
  <c r="H336" i="16" s="1"/>
  <c r="M336" i="16" s="1"/>
  <c r="F335" i="16"/>
  <c r="H335" i="16" s="1"/>
  <c r="M335" i="16" s="1"/>
  <c r="F334" i="16"/>
  <c r="H334" i="16" s="1"/>
  <c r="M334" i="16" s="1"/>
  <c r="F333" i="16"/>
  <c r="H333" i="16" s="1"/>
  <c r="M333" i="16" s="1"/>
  <c r="F332" i="16"/>
  <c r="H332" i="16" s="1"/>
  <c r="M332" i="16" s="1"/>
  <c r="F331" i="16"/>
  <c r="H331" i="16" s="1"/>
  <c r="M331" i="16" s="1"/>
  <c r="F330" i="16"/>
  <c r="H330" i="16" s="1"/>
  <c r="M330" i="16" s="1"/>
  <c r="F329" i="16"/>
  <c r="H329" i="16" s="1"/>
  <c r="M329" i="16" s="1"/>
  <c r="F328" i="16"/>
  <c r="H328" i="16" s="1"/>
  <c r="M328" i="16" s="1"/>
  <c r="F327" i="16"/>
  <c r="H327" i="16" s="1"/>
  <c r="M327" i="16" s="1"/>
  <c r="H326" i="16"/>
  <c r="M326" i="16" s="1"/>
  <c r="F325" i="16"/>
  <c r="H325" i="16" s="1"/>
  <c r="M325" i="16" s="1"/>
  <c r="J319" i="16"/>
  <c r="M319" i="16" s="1"/>
  <c r="E175" i="16"/>
  <c r="E174" i="16"/>
  <c r="E171" i="16"/>
  <c r="F169" i="16"/>
  <c r="F172" i="16" s="1"/>
  <c r="H172" i="16" s="1"/>
  <c r="M172" i="16" s="1"/>
  <c r="F168" i="16"/>
  <c r="H168" i="16" s="1"/>
  <c r="M168" i="16" s="1"/>
  <c r="F167" i="16"/>
  <c r="H167" i="16" s="1"/>
  <c r="M167" i="16" s="1"/>
  <c r="F166" i="16"/>
  <c r="L166" i="16" s="1"/>
  <c r="M166" i="16" s="1"/>
  <c r="F165" i="16"/>
  <c r="J165" i="16" s="1"/>
  <c r="M165" i="16" s="1"/>
  <c r="F159" i="16"/>
  <c r="F157" i="16"/>
  <c r="F158" i="16" s="1"/>
  <c r="J158" i="16" s="1"/>
  <c r="E155" i="16"/>
  <c r="E154" i="16"/>
  <c r="E153" i="16"/>
  <c r="E151" i="16"/>
  <c r="F149" i="16"/>
  <c r="F148" i="16"/>
  <c r="H148" i="16" s="1"/>
  <c r="M148" i="16" s="1"/>
  <c r="F147" i="16"/>
  <c r="H147" i="16" s="1"/>
  <c r="M147" i="16" s="1"/>
  <c r="F146" i="16"/>
  <c r="L146" i="16" s="1"/>
  <c r="M146" i="16" s="1"/>
  <c r="F145" i="16"/>
  <c r="J145" i="16" s="1"/>
  <c r="M145" i="16" s="1"/>
  <c r="E143" i="16"/>
  <c r="F140" i="16"/>
  <c r="F141" i="16" s="1"/>
  <c r="J141" i="16" s="1"/>
  <c r="M141" i="16" s="1"/>
  <c r="F138" i="16"/>
  <c r="F139" i="16" s="1"/>
  <c r="J139" i="16" s="1"/>
  <c r="M139" i="16" s="1"/>
  <c r="F114" i="16"/>
  <c r="H114" i="16" s="1"/>
  <c r="M114" i="16" s="1"/>
  <c r="F104" i="16"/>
  <c r="F446" i="16"/>
  <c r="H446" i="16" s="1"/>
  <c r="M446" i="16" s="1"/>
  <c r="F445" i="16"/>
  <c r="H445" i="16" s="1"/>
  <c r="M445" i="16" s="1"/>
  <c r="E442" i="16"/>
  <c r="F437" i="16"/>
  <c r="F443" i="16" s="1"/>
  <c r="H443" i="16" s="1"/>
  <c r="M443" i="16" s="1"/>
  <c r="E435" i="16"/>
  <c r="F432" i="16"/>
  <c r="F430" i="16"/>
  <c r="F431" i="16" s="1"/>
  <c r="J431" i="16" s="1"/>
  <c r="E94" i="16"/>
  <c r="F98" i="16"/>
  <c r="H98" i="16" s="1"/>
  <c r="M98" i="16" s="1"/>
  <c r="E88" i="16"/>
  <c r="F88" i="16" s="1"/>
  <c r="F87" i="16"/>
  <c r="L87" i="16" s="1"/>
  <c r="M87" i="16" s="1"/>
  <c r="F84" i="16"/>
  <c r="J84" i="16" s="1"/>
  <c r="E77" i="16"/>
  <c r="E76" i="16"/>
  <c r="E73" i="16"/>
  <c r="F73" i="16" s="1"/>
  <c r="H73" i="16" s="1"/>
  <c r="M73" i="16" s="1"/>
  <c r="F72" i="16"/>
  <c r="H72" i="16" s="1"/>
  <c r="M72" i="16" s="1"/>
  <c r="E71" i="16"/>
  <c r="F71" i="16" s="1"/>
  <c r="H71" i="16" s="1"/>
  <c r="M71" i="16" s="1"/>
  <c r="F70" i="16"/>
  <c r="E69" i="16"/>
  <c r="F69" i="16" s="1"/>
  <c r="L69" i="16" s="1"/>
  <c r="M69" i="16" s="1"/>
  <c r="E68" i="16"/>
  <c r="F68" i="16" s="1"/>
  <c r="J68" i="16" s="1"/>
  <c r="M68" i="16" s="1"/>
  <c r="M67" i="16"/>
  <c r="E66" i="16"/>
  <c r="E65" i="16"/>
  <c r="D64" i="16"/>
  <c r="E63" i="16"/>
  <c r="E62" i="16"/>
  <c r="E61" i="16"/>
  <c r="H58" i="16"/>
  <c r="M58" i="16" s="1"/>
  <c r="J36" i="16"/>
  <c r="M36" i="16" s="1"/>
  <c r="J33" i="16"/>
  <c r="M33" i="16" s="1"/>
  <c r="L31" i="16"/>
  <c r="E30" i="16"/>
  <c r="F30" i="16" s="1"/>
  <c r="J30" i="16" s="1"/>
  <c r="F27" i="16"/>
  <c r="L27" i="16" s="1"/>
  <c r="M27" i="16" s="1"/>
  <c r="F26" i="16"/>
  <c r="L26" i="16" s="1"/>
  <c r="M26" i="16" s="1"/>
  <c r="F25" i="16"/>
  <c r="L25" i="16" s="1"/>
  <c r="M25" i="16" s="1"/>
  <c r="F24" i="16"/>
  <c r="L24" i="16" s="1"/>
  <c r="M24" i="16" s="1"/>
  <c r="F23" i="16"/>
  <c r="L23" i="16" s="1"/>
  <c r="M23" i="16" s="1"/>
  <c r="F22" i="16"/>
  <c r="L22" i="16" s="1"/>
  <c r="M22" i="16" s="1"/>
  <c r="F21" i="16"/>
  <c r="J21" i="16" s="1"/>
  <c r="M21" i="16" s="1"/>
  <c r="J19" i="16"/>
  <c r="M19" i="16" s="1"/>
  <c r="J11" i="16"/>
  <c r="M11" i="16" s="1"/>
  <c r="A1" i="16"/>
  <c r="H19" i="21" l="1"/>
  <c r="H23" i="21" s="1"/>
  <c r="M84" i="16"/>
  <c r="J104" i="16"/>
  <c r="M104" i="16" s="1"/>
  <c r="H70" i="16"/>
  <c r="M70" i="16" s="1"/>
  <c r="F75" i="16"/>
  <c r="F163" i="16"/>
  <c r="H163" i="16" s="1"/>
  <c r="M163" i="16" s="1"/>
  <c r="F160" i="16"/>
  <c r="J160" i="16" s="1"/>
  <c r="M160" i="16" s="1"/>
  <c r="F162" i="16"/>
  <c r="H162" i="16" s="1"/>
  <c r="M162" i="16" s="1"/>
  <c r="F161" i="16"/>
  <c r="L161" i="16" s="1"/>
  <c r="M161" i="16" s="1"/>
  <c r="M17" i="21"/>
  <c r="F16" i="17"/>
  <c r="F18" i="17"/>
  <c r="J18" i="17" s="1"/>
  <c r="M18" i="17" s="1"/>
  <c r="L19" i="21"/>
  <c r="M18" i="21"/>
  <c r="M9" i="21"/>
  <c r="M12" i="21"/>
  <c r="M14" i="21"/>
  <c r="F22" i="17"/>
  <c r="H22" i="17" s="1"/>
  <c r="F13" i="17"/>
  <c r="J13" i="17" s="1"/>
  <c r="F20" i="17"/>
  <c r="J20" i="17" s="1"/>
  <c r="M20" i="17" s="1"/>
  <c r="F25" i="17"/>
  <c r="J25" i="17" s="1"/>
  <c r="M25" i="17" s="1"/>
  <c r="H26" i="17"/>
  <c r="M26" i="17" s="1"/>
  <c r="F435" i="16"/>
  <c r="H435" i="16" s="1"/>
  <c r="M435" i="16" s="1"/>
  <c r="F171" i="16"/>
  <c r="L171" i="16" s="1"/>
  <c r="M171" i="16" s="1"/>
  <c r="M389" i="16"/>
  <c r="F38" i="16"/>
  <c r="J38" i="16" s="1"/>
  <c r="M38" i="16" s="1"/>
  <c r="M14" i="17"/>
  <c r="F21" i="17"/>
  <c r="L21" i="17" s="1"/>
  <c r="M21" i="17" s="1"/>
  <c r="F32" i="17"/>
  <c r="H32" i="17" s="1"/>
  <c r="M32" i="17" s="1"/>
  <c r="F154" i="16"/>
  <c r="H154" i="16" s="1"/>
  <c r="M154" i="16" s="1"/>
  <c r="F31" i="17"/>
  <c r="L31" i="17" s="1"/>
  <c r="M31" i="17" s="1"/>
  <c r="M11" i="21"/>
  <c r="M386" i="16"/>
  <c r="M397" i="16"/>
  <c r="H402" i="16"/>
  <c r="M15" i="21"/>
  <c r="J19" i="21"/>
  <c r="M21" i="21" s="1"/>
  <c r="M374" i="16"/>
  <c r="F49" i="16"/>
  <c r="H49" i="16" s="1"/>
  <c r="M49" i="16" s="1"/>
  <c r="M396" i="16"/>
  <c r="F433" i="16"/>
  <c r="J433" i="16" s="1"/>
  <c r="M433" i="16" s="1"/>
  <c r="F143" i="16"/>
  <c r="H143" i="16" s="1"/>
  <c r="M143" i="16" s="1"/>
  <c r="M382" i="16"/>
  <c r="M385" i="16"/>
  <c r="F436" i="16"/>
  <c r="H436" i="16" s="1"/>
  <c r="M436" i="16" s="1"/>
  <c r="F51" i="16"/>
  <c r="F53" i="16" s="1"/>
  <c r="L53" i="16" s="1"/>
  <c r="M53" i="16" s="1"/>
  <c r="M401" i="16"/>
  <c r="J402" i="16"/>
  <c r="F45" i="16"/>
  <c r="J45" i="16" s="1"/>
  <c r="M45" i="16" s="1"/>
  <c r="F153" i="16"/>
  <c r="H153" i="16" s="1"/>
  <c r="M153" i="16" s="1"/>
  <c r="F155" i="16"/>
  <c r="H155" i="16" s="1"/>
  <c r="M155" i="16" s="1"/>
  <c r="F175" i="16"/>
  <c r="H175" i="16" s="1"/>
  <c r="M175" i="16" s="1"/>
  <c r="M373" i="16"/>
  <c r="H381" i="16"/>
  <c r="M384" i="16"/>
  <c r="M388" i="16"/>
  <c r="M400" i="16"/>
  <c r="F66" i="16"/>
  <c r="H66" i="16" s="1"/>
  <c r="M66" i="16" s="1"/>
  <c r="F151" i="16"/>
  <c r="L151" i="16" s="1"/>
  <c r="M151" i="16" s="1"/>
  <c r="F170" i="16"/>
  <c r="J170" i="16" s="1"/>
  <c r="J381" i="16"/>
  <c r="M383" i="16"/>
  <c r="M387" i="16"/>
  <c r="M398" i="16"/>
  <c r="M399" i="16"/>
  <c r="F40" i="16"/>
  <c r="J40" i="16" s="1"/>
  <c r="M40" i="16" s="1"/>
  <c r="F41" i="16"/>
  <c r="L41" i="16" s="1"/>
  <c r="M41" i="16" s="1"/>
  <c r="M431" i="16"/>
  <c r="F93" i="16"/>
  <c r="H93" i="16" s="1"/>
  <c r="M93" i="16" s="1"/>
  <c r="F94" i="16"/>
  <c r="H94" i="16" s="1"/>
  <c r="M94" i="16" s="1"/>
  <c r="F441" i="16"/>
  <c r="H441" i="16" s="1"/>
  <c r="M441" i="16" s="1"/>
  <c r="F442" i="16"/>
  <c r="H442" i="16" s="1"/>
  <c r="M442" i="16" s="1"/>
  <c r="F50" i="16"/>
  <c r="H50" i="16" s="1"/>
  <c r="M50" i="16" s="1"/>
  <c r="F92" i="16"/>
  <c r="H92" i="16" s="1"/>
  <c r="M92" i="16" s="1"/>
  <c r="F440" i="16"/>
  <c r="H440" i="16" s="1"/>
  <c r="M440" i="16" s="1"/>
  <c r="F47" i="16"/>
  <c r="J47" i="16" s="1"/>
  <c r="F48" i="16"/>
  <c r="L48" i="16" s="1"/>
  <c r="M48" i="16" s="1"/>
  <c r="F86" i="16"/>
  <c r="J86" i="16" s="1"/>
  <c r="F90" i="16"/>
  <c r="J90" i="16" s="1"/>
  <c r="F91" i="16"/>
  <c r="L91" i="16" s="1"/>
  <c r="M91" i="16" s="1"/>
  <c r="F96" i="16"/>
  <c r="H96" i="16" s="1"/>
  <c r="M96" i="16" s="1"/>
  <c r="F438" i="16"/>
  <c r="J438" i="16" s="1"/>
  <c r="F439" i="16"/>
  <c r="L439" i="16" s="1"/>
  <c r="M439" i="16" s="1"/>
  <c r="F444" i="16"/>
  <c r="H444" i="16" s="1"/>
  <c r="M444" i="16" s="1"/>
  <c r="H119" i="16"/>
  <c r="M119" i="16" s="1"/>
  <c r="F120" i="16"/>
  <c r="H120" i="16" s="1"/>
  <c r="M120" i="16" s="1"/>
  <c r="F121" i="16"/>
  <c r="H121" i="16" s="1"/>
  <c r="M121" i="16" s="1"/>
  <c r="F118" i="16"/>
  <c r="L118" i="16" s="1"/>
  <c r="M118" i="16" s="1"/>
  <c r="F117" i="16"/>
  <c r="F95" i="16"/>
  <c r="H95" i="16" s="1"/>
  <c r="M95" i="16" s="1"/>
  <c r="F434" i="16"/>
  <c r="L434" i="16" s="1"/>
  <c r="M434" i="16" s="1"/>
  <c r="F106" i="16"/>
  <c r="H106" i="16" s="1"/>
  <c r="M106" i="16" s="1"/>
  <c r="F108" i="16"/>
  <c r="H108" i="16" s="1"/>
  <c r="M108" i="16" s="1"/>
  <c r="F105" i="16"/>
  <c r="L105" i="16" s="1"/>
  <c r="M105" i="16" s="1"/>
  <c r="M158" i="16"/>
  <c r="F113" i="16"/>
  <c r="H113" i="16" s="1"/>
  <c r="M113" i="16" s="1"/>
  <c r="F142" i="16"/>
  <c r="L142" i="16" s="1"/>
  <c r="M142" i="16" s="1"/>
  <c r="F150" i="16"/>
  <c r="J150" i="16" s="1"/>
  <c r="M150" i="16" s="1"/>
  <c r="F173" i="16"/>
  <c r="H173" i="16" s="1"/>
  <c r="M173" i="16" s="1"/>
  <c r="F174" i="16"/>
  <c r="H174" i="16" s="1"/>
  <c r="M174" i="16" s="1"/>
  <c r="L380" i="16"/>
  <c r="J380" i="16"/>
  <c r="H380" i="16"/>
  <c r="L414" i="16"/>
  <c r="J414" i="16"/>
  <c r="H414" i="16"/>
  <c r="F112" i="16"/>
  <c r="H112" i="16" s="1"/>
  <c r="M112" i="16" s="1"/>
  <c r="L378" i="16"/>
  <c r="J378" i="16"/>
  <c r="H378" i="16"/>
  <c r="F110" i="16"/>
  <c r="J110" i="16" s="1"/>
  <c r="M110" i="16" s="1"/>
  <c r="F111" i="16"/>
  <c r="L111" i="16" s="1"/>
  <c r="M111" i="16" s="1"/>
  <c r="L376" i="16"/>
  <c r="J376" i="16"/>
  <c r="H376" i="16"/>
  <c r="F152" i="16"/>
  <c r="H152" i="16" s="1"/>
  <c r="M152" i="16" s="1"/>
  <c r="L406" i="16"/>
  <c r="J406" i="16"/>
  <c r="H406" i="16"/>
  <c r="L375" i="16"/>
  <c r="L377" i="16"/>
  <c r="L379" i="16"/>
  <c r="L390" i="16"/>
  <c r="L404" i="16"/>
  <c r="F407" i="16"/>
  <c r="J409" i="16"/>
  <c r="F411" i="16"/>
  <c r="F415" i="16"/>
  <c r="F320" i="16"/>
  <c r="F408" i="16"/>
  <c r="L409" i="16"/>
  <c r="F412" i="16"/>
  <c r="H375" i="16"/>
  <c r="H377" i="16"/>
  <c r="H379" i="16"/>
  <c r="H390" i="16"/>
  <c r="F391" i="16"/>
  <c r="H404" i="16"/>
  <c r="F405" i="16"/>
  <c r="F413" i="16"/>
  <c r="J404" i="16"/>
  <c r="H409" i="16"/>
  <c r="F410" i="16"/>
  <c r="M31" i="16"/>
  <c r="M30" i="16"/>
  <c r="J117" i="16" l="1"/>
  <c r="M117" i="16" s="1"/>
  <c r="M90" i="16"/>
  <c r="M86" i="16"/>
  <c r="M13" i="17"/>
  <c r="M22" i="17"/>
  <c r="N19" i="21"/>
  <c r="M27" i="21"/>
  <c r="F10" i="8" s="1"/>
  <c r="M19" i="21"/>
  <c r="M381" i="16"/>
  <c r="M402" i="16"/>
  <c r="F55" i="16"/>
  <c r="H55" i="16" s="1"/>
  <c r="M55" i="16" s="1"/>
  <c r="F54" i="16"/>
  <c r="H54" i="16" s="1"/>
  <c r="M54" i="16" s="1"/>
  <c r="F64" i="16"/>
  <c r="H64" i="16" s="1"/>
  <c r="M64" i="16" s="1"/>
  <c r="F57" i="16"/>
  <c r="H57" i="16" s="1"/>
  <c r="M57" i="16" s="1"/>
  <c r="F52" i="16"/>
  <c r="J52" i="16" s="1"/>
  <c r="M52" i="16" s="1"/>
  <c r="F56" i="16"/>
  <c r="H56" i="16" s="1"/>
  <c r="M56" i="16" s="1"/>
  <c r="M170" i="16"/>
  <c r="F63" i="16"/>
  <c r="H63" i="16" s="1"/>
  <c r="M63" i="16" s="1"/>
  <c r="F78" i="16"/>
  <c r="H78" i="16" s="1"/>
  <c r="M20" i="21"/>
  <c r="F62" i="16"/>
  <c r="L62" i="16" s="1"/>
  <c r="M62" i="16" s="1"/>
  <c r="F60" i="16"/>
  <c r="J60" i="16" s="1"/>
  <c r="M60" i="16" s="1"/>
  <c r="F65" i="16"/>
  <c r="H65" i="16" s="1"/>
  <c r="M65" i="16" s="1"/>
  <c r="F61" i="16"/>
  <c r="L61" i="16" s="1"/>
  <c r="M61" i="16" s="1"/>
  <c r="M380" i="16"/>
  <c r="M375" i="16"/>
  <c r="M378" i="16"/>
  <c r="M414" i="16"/>
  <c r="F392" i="16"/>
  <c r="H391" i="16"/>
  <c r="F395" i="16"/>
  <c r="F394" i="16"/>
  <c r="L391" i="16"/>
  <c r="F403" i="16"/>
  <c r="F393" i="16"/>
  <c r="J391" i="16"/>
  <c r="M390" i="16"/>
  <c r="F321" i="16"/>
  <c r="J321" i="16" s="1"/>
  <c r="M321" i="16" s="1"/>
  <c r="F348" i="16"/>
  <c r="H348" i="16" s="1"/>
  <c r="M348" i="16" s="1"/>
  <c r="F322" i="16"/>
  <c r="L322" i="16" s="1"/>
  <c r="M322" i="16" s="1"/>
  <c r="F349" i="16"/>
  <c r="H349" i="16" s="1"/>
  <c r="M349" i="16" s="1"/>
  <c r="F323" i="16"/>
  <c r="L323" i="16" s="1"/>
  <c r="M323" i="16" s="1"/>
  <c r="M47" i="16"/>
  <c r="J408" i="16"/>
  <c r="H408" i="16"/>
  <c r="L408" i="16"/>
  <c r="M379" i="16"/>
  <c r="J412" i="16"/>
  <c r="H412" i="16"/>
  <c r="L412" i="16"/>
  <c r="L407" i="16"/>
  <c r="J407" i="16"/>
  <c r="H407" i="16"/>
  <c r="M406" i="16"/>
  <c r="M376" i="16"/>
  <c r="M438" i="16"/>
  <c r="L411" i="16"/>
  <c r="J411" i="16"/>
  <c r="H411" i="16"/>
  <c r="H413" i="16"/>
  <c r="L413" i="16"/>
  <c r="J413" i="16"/>
  <c r="L410" i="16"/>
  <c r="J410" i="16"/>
  <c r="H410" i="16"/>
  <c r="H405" i="16"/>
  <c r="L405" i="16"/>
  <c r="J405" i="16"/>
  <c r="M409" i="16"/>
  <c r="M404" i="16"/>
  <c r="M377" i="16"/>
  <c r="L415" i="16"/>
  <c r="J415" i="16"/>
  <c r="H415" i="16"/>
  <c r="M22" i="21" l="1"/>
  <c r="F80" i="16"/>
  <c r="H80" i="16" s="1"/>
  <c r="M80" i="16" s="1"/>
  <c r="F79" i="16"/>
  <c r="H79" i="16" s="1"/>
  <c r="M79" i="16" s="1"/>
  <c r="F76" i="16"/>
  <c r="J76" i="16" s="1"/>
  <c r="M76" i="16" s="1"/>
  <c r="F77" i="16"/>
  <c r="L77" i="16" s="1"/>
  <c r="L355" i="16" s="1"/>
  <c r="M415" i="16"/>
  <c r="M411" i="16"/>
  <c r="M412" i="16"/>
  <c r="M408" i="16"/>
  <c r="L393" i="16"/>
  <c r="J393" i="16"/>
  <c r="H393" i="16"/>
  <c r="H395" i="16"/>
  <c r="L395" i="16"/>
  <c r="J395" i="16"/>
  <c r="M405" i="16"/>
  <c r="M78" i="16"/>
  <c r="L403" i="16"/>
  <c r="J403" i="16"/>
  <c r="H403" i="16"/>
  <c r="M391" i="16"/>
  <c r="M407" i="16"/>
  <c r="L392" i="16"/>
  <c r="J392" i="16"/>
  <c r="H392" i="16"/>
  <c r="M410" i="16"/>
  <c r="M413" i="16"/>
  <c r="J394" i="16"/>
  <c r="H394" i="16"/>
  <c r="L394" i="16"/>
  <c r="M23" i="21" l="1"/>
  <c r="M24" i="21" s="1"/>
  <c r="M77" i="16"/>
  <c r="M355" i="16" s="1"/>
  <c r="J355" i="16"/>
  <c r="H355" i="16"/>
  <c r="M356" i="16" s="1"/>
  <c r="M395" i="16"/>
  <c r="M394" i="16"/>
  <c r="M392" i="16"/>
  <c r="M393" i="16"/>
  <c r="M403" i="16"/>
  <c r="M25" i="21" l="1"/>
  <c r="M26" i="21" s="1"/>
  <c r="M28" i="21" s="1"/>
  <c r="E10" i="8" s="1"/>
  <c r="G10" i="8" s="1"/>
  <c r="M357" i="16"/>
  <c r="M358" i="16" s="1"/>
  <c r="M359" i="16" s="1"/>
  <c r="M360" i="16" s="1"/>
  <c r="M361" i="16" s="1"/>
  <c r="M362" i="16" l="1"/>
  <c r="M363" i="16" s="1"/>
  <c r="D8" i="8" s="1"/>
  <c r="G8" i="8" s="1"/>
  <c r="H41" i="17"/>
  <c r="M41" i="17" s="1"/>
  <c r="F36" i="17"/>
  <c r="L36" i="17" s="1"/>
  <c r="L42" i="17" s="1"/>
  <c r="H38" i="17"/>
  <c r="F35" i="17"/>
  <c r="J35" i="17" s="1"/>
  <c r="J42" i="17" l="1"/>
  <c r="M45" i="17" s="1"/>
  <c r="H42" i="17"/>
  <c r="M43" i="17" s="1"/>
  <c r="M35" i="17"/>
  <c r="M38" i="17"/>
  <c r="M36" i="17"/>
  <c r="M42" i="17" l="1"/>
  <c r="M44" i="17" s="1"/>
  <c r="M46" i="17" s="1"/>
  <c r="M47" i="17" l="1"/>
  <c r="M48" i="17" s="1"/>
  <c r="M49" i="17" l="1"/>
  <c r="M50" i="17" s="1"/>
  <c r="E9" i="8" s="1"/>
  <c r="G9" i="8" s="1"/>
  <c r="G12" i="8" l="1"/>
  <c r="G13" i="8" s="1"/>
  <c r="G14" i="8" s="1"/>
</calcChain>
</file>

<file path=xl/sharedStrings.xml><?xml version="1.0" encoding="utf-8"?>
<sst xmlns="http://schemas.openxmlformats.org/spreadsheetml/2006/main" count="1228" uniqueCount="508">
  <si>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</si>
  <si>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</si>
  <si>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</si>
  <si>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</si>
  <si>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</si>
  <si>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</si>
  <si>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</si>
  <si>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</si>
  <si>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</si>
  <si>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</si>
  <si>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</si>
  <si>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</si>
  <si>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</si>
  <si>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 xml:space="preserve">გეგმიური დაგროვება  </t>
  </si>
  <si>
    <t xml:space="preserve">ზედნადები ხარჯები  </t>
  </si>
  <si>
    <t>c</t>
  </si>
  <si>
    <t>lokaluri ხ ა რ ჯ თ ა ღ რ ი ც ვ ხ ვ ა #1</t>
  </si>
  <si>
    <t>kbm</t>
  </si>
  <si>
    <t>kvm</t>
  </si>
  <si>
    <t>kg</t>
  </si>
  <si>
    <t>tn</t>
  </si>
  <si>
    <t>sul</t>
  </si>
  <si>
    <t>lari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</si>
  <si>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</si>
  <si>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</si>
  <si>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</si>
  <si>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</si>
  <si>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</si>
  <si>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</si>
  <si>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</si>
  <si>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manqanebi</t>
  </si>
  <si>
    <t>sxva masalebi</t>
  </si>
  <si>
    <t xml:space="preserve">Sromis danaxarjebi  </t>
  </si>
  <si>
    <t>sabazro</t>
  </si>
  <si>
    <t>gegmiuri dagroveba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</si>
  <si>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</si>
  <si>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</si>
  <si>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</si>
  <si>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</si>
  <si>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</si>
  <si>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</si>
  <si>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</si>
  <si>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lk 1</t>
  </si>
  <si>
    <t>lk 2</t>
  </si>
  <si>
    <t>sul xarjTaRricxviT</t>
  </si>
  <si>
    <t>Sromis danaxarji</t>
  </si>
  <si>
    <t>eleqtrodi</t>
  </si>
  <si>
    <t>lokaluri ხ ა რ ჯ თ ა ღ რ ი ც ვ ხ ვ ა #2</t>
  </si>
  <si>
    <t>saerTo samSeneblo samuSaoebi</t>
  </si>
  <si>
    <t>samSeneblo nagvis datvirTva xeliT avtoTviTmclelze</t>
  </si>
  <si>
    <t>k/sT</t>
  </si>
  <si>
    <t>grZ.m.</t>
  </si>
  <si>
    <t>SromiTi resursebi</t>
  </si>
  <si>
    <t>normatiuli resursi</t>
  </si>
  <si>
    <t>erTeulze</t>
  </si>
  <si>
    <t>teritoriis mosworeba-planireba avtogreiderebiT arsebuli gruntis gadaadgilebiT</t>
  </si>
  <si>
    <t>avtogreideri saSualo tipis 79 kvt.</t>
  </si>
  <si>
    <t>m/sT</t>
  </si>
  <si>
    <t>satkepni sagz. TviTmavali gluvi 5 tn.</t>
  </si>
  <si>
    <t>satkepni sagz. TviTmavali gluvi 10 tn.</t>
  </si>
  <si>
    <t>traqtori muxluxa svlaze 79 kvt.</t>
  </si>
  <si>
    <t>mosarwyav-mosarecxi manqana 6000l.</t>
  </si>
  <si>
    <t>tn.</t>
  </si>
  <si>
    <t>RorRi</t>
  </si>
  <si>
    <t>yalibis fari</t>
  </si>
  <si>
    <t>xe masala</t>
  </si>
  <si>
    <r>
      <t>m</t>
    </r>
    <r>
      <rPr>
        <vertAlign val="superscript"/>
        <sz val="10"/>
        <rFont val="AcadNusx"/>
      </rPr>
      <t>2</t>
    </r>
  </si>
  <si>
    <t>1-80-3</t>
  </si>
  <si>
    <t>11-1-6</t>
  </si>
  <si>
    <t>5,1,1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</si>
  <si>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</si>
  <si>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</si>
  <si>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</si>
  <si>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1-80-7</t>
  </si>
  <si>
    <t>antikoroziuli saRebavi</t>
  </si>
  <si>
    <t>1504</t>
  </si>
  <si>
    <t>0209</t>
  </si>
  <si>
    <t>1554</t>
  </si>
  <si>
    <t>0471</t>
  </si>
  <si>
    <t>1,1,12</t>
  </si>
  <si>
    <t>1,1,10</t>
  </si>
  <si>
    <t xml:space="preserve">SromiTi resursebi                                                </t>
  </si>
  <si>
    <t xml:space="preserve">kac/sT                                                               </t>
  </si>
  <si>
    <t>1</t>
  </si>
  <si>
    <t>avtoamwe krani 30-40tn</t>
  </si>
  <si>
    <t>avtoamwe krani 25tn</t>
  </si>
  <si>
    <t>4,1,344</t>
  </si>
  <si>
    <t>1-12-6.</t>
  </si>
  <si>
    <t>1-81-3</t>
  </si>
  <si>
    <t>inventaris SeZena montaJi</t>
  </si>
  <si>
    <t>m3</t>
  </si>
  <si>
    <t>4,1,235</t>
  </si>
  <si>
    <t>skveris teritoriaze demontaJis   samuSaoebi</t>
  </si>
  <si>
    <t>tranSeas mowyoba monoliTuri rk/betonis cokolis mosawyobad xeliT</t>
  </si>
  <si>
    <t>6-1-22</t>
  </si>
  <si>
    <t>0470</t>
  </si>
  <si>
    <t>amwe - kranis momsaxureoba 10t</t>
  </si>
  <si>
    <t>liTonis Robe</t>
  </si>
  <si>
    <t>liTonis konstruqcia samontaJo</t>
  </si>
  <si>
    <t>kg.</t>
  </si>
  <si>
    <t>15-164-8</t>
  </si>
  <si>
    <t>liTonis konstruqciebis SeRebva antikoroziuli saRebaviT</t>
  </si>
  <si>
    <t>sxva xarjebi</t>
  </si>
  <si>
    <t>100 kvm</t>
  </si>
  <si>
    <t>cementis xsnari m-200</t>
  </si>
  <si>
    <t>27-19-2</t>
  </si>
  <si>
    <t>qviSa-cementis xsnari  m.100</t>
  </si>
  <si>
    <t>qviSa-RorRis fenilis mowyoba anakrebi betonis bordiuris qveS</t>
  </si>
  <si>
    <t>qviSa-RorRi</t>
  </si>
  <si>
    <t>6-1-1</t>
  </si>
  <si>
    <t>monoliTuri betonis fenilis mowyoba dekoratiuli anakrebi betonis bordiuris qveS</t>
  </si>
  <si>
    <t>4</t>
  </si>
  <si>
    <t>snf 15</t>
  </si>
  <si>
    <t>5,1,138</t>
  </si>
  <si>
    <t>4,1,165</t>
  </si>
  <si>
    <t>4,1,341</t>
  </si>
  <si>
    <t>4,1,370</t>
  </si>
  <si>
    <t>4,1,339</t>
  </si>
  <si>
    <t>kalaTburTis farebi  SeZena montaJi  (orgminiT)</t>
  </si>
  <si>
    <t>2</t>
  </si>
  <si>
    <t>3</t>
  </si>
  <si>
    <t>teritoriis keTilmowyoba</t>
  </si>
  <si>
    <t>miwis samuSaoebi</t>
  </si>
  <si>
    <t>srf 15</t>
  </si>
  <si>
    <t xml:space="preserve">RorRi </t>
  </si>
  <si>
    <t>gruntis damuSaveba xeliT, liTonis moajiris rk.betonis cokolis saZirkbvlis mosawyobad</t>
  </si>
  <si>
    <t>RorRis safuZvlis mowyoba liTonis moajiris rk.betonis  cokolis qveS</t>
  </si>
  <si>
    <t>lokaluri ხ ა რ ჯ თ ა ღ რ ი ც ვ ხ ვ ა #4</t>
  </si>
  <si>
    <t>კაც/სთ</t>
  </si>
  <si>
    <t>ლარი</t>
  </si>
  <si>
    <t>ც</t>
  </si>
  <si>
    <t>wyali</t>
  </si>
  <si>
    <t>კგ</t>
  </si>
  <si>
    <t>6-1-5</t>
  </si>
  <si>
    <t>9-10-2</t>
  </si>
  <si>
    <t>sWvali Tunuqis</t>
  </si>
  <si>
    <t>1,10,24</t>
  </si>
  <si>
    <t>12</t>
  </si>
  <si>
    <t>12,1</t>
  </si>
  <si>
    <t>12,2</t>
  </si>
  <si>
    <t>12,3</t>
  </si>
  <si>
    <t>12,4</t>
  </si>
  <si>
    <t>lk 4</t>
  </si>
  <si>
    <t>urnebi SeZena montaJi</t>
  </si>
  <si>
    <t>Е20-1-255</t>
  </si>
  <si>
    <t>Е1-22</t>
  </si>
  <si>
    <t>komp.</t>
  </si>
  <si>
    <t>betonis anakrebi bordiuris montaJi  300*150</t>
  </si>
  <si>
    <t>betonis anakrebi bordiuris montaJi  200*100</t>
  </si>
  <si>
    <t>anakrebi betonis bordiurebis mowyoba 300X150</t>
  </si>
  <si>
    <t>betonis bordiurebi 300X150</t>
  </si>
  <si>
    <t>anakrebi betonis bordiurebis mowyoba 200X100</t>
  </si>
  <si>
    <t>betonis bordiurebi 200X100</t>
  </si>
  <si>
    <t>5</t>
  </si>
  <si>
    <t>1000 კბმ</t>
  </si>
  <si>
    <t>შრომითი რესურსები</t>
  </si>
  <si>
    <t>ექსკავატორის ექსპლუატაცია</t>
  </si>
  <si>
    <t>მ/სთ</t>
  </si>
  <si>
    <t>ქვაბულის მოწყობა სკვერის განათების ანძების ჩასაბეტონებლად (ხელით)</t>
  </si>
  <si>
    <t>კბმ</t>
  </si>
  <si>
    <t>გრუნტის შემდგომი დამუშავება ხელით</t>
  </si>
  <si>
    <t>კუბ.მ</t>
  </si>
  <si>
    <t>გრძ/მ</t>
  </si>
  <si>
    <t>მანქანები</t>
  </si>
  <si>
    <t>სხვა მასალა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</si>
  <si>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</si>
  <si>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</si>
  <si>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</si>
  <si>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</si>
  <si>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არმატურა Ф8 АIII ბ.150</t>
  </si>
  <si>
    <t>ტნ</t>
  </si>
  <si>
    <t>კომპლ.</t>
  </si>
  <si>
    <t>საკაბელო თხრილის მოწყობა ექსკავატორით, ჩამჩის მოც. 0,25 კუბ.მ. (კაბელებისთვის)</t>
  </si>
  <si>
    <t>0926</t>
  </si>
  <si>
    <t>მოცულობების ექსპერტიზა სსიპ "ლევან სამხარაულის სახელობის სასამართლო ექსპერტიზის ეროვნული ბიუროს" ან აკრედიტაციის მქონე სხვა საექსპერტო იურიდიული პირის მიერ</t>
  </si>
  <si>
    <t>saRebavis gamxsneli</t>
  </si>
  <si>
    <t>I სამშენებლო სამუSაოები</t>
  </si>
  <si>
    <t>zednadebi xarjebi                       (muSa mosamsaxureTa ZiriTadi xelfasidan)</t>
  </si>
  <si>
    <t>2,1</t>
  </si>
  <si>
    <t>2,2</t>
  </si>
  <si>
    <t>skveris teritoriis gare el montaJi</t>
  </si>
  <si>
    <t>sul xarjTaTricxva #1</t>
  </si>
  <si>
    <t>damatebiTi gruntisGgaSla skveris teritoriaze</t>
  </si>
  <si>
    <t>6</t>
  </si>
  <si>
    <t>6,1</t>
  </si>
  <si>
    <t>6,2</t>
  </si>
  <si>
    <t>7</t>
  </si>
  <si>
    <t>7,1</t>
  </si>
  <si>
    <t>7,2</t>
  </si>
  <si>
    <t>7,3</t>
  </si>
  <si>
    <t>xis masala</t>
  </si>
  <si>
    <t>*</t>
  </si>
  <si>
    <t>10</t>
  </si>
  <si>
    <t>gruntis xeliT datvirTva</t>
  </si>
  <si>
    <t>5,2</t>
  </si>
  <si>
    <t>5,3</t>
  </si>
  <si>
    <t>5,4</t>
  </si>
  <si>
    <t>4,3</t>
  </si>
  <si>
    <t xml:space="preserve">betoni b-15 </t>
  </si>
  <si>
    <t xml:space="preserve">betoni b-7,5  </t>
  </si>
  <si>
    <t xml:space="preserve">betoni m-7,5 </t>
  </si>
  <si>
    <t>7,4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</si>
  <si>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</si>
  <si>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betonis fenilis mowyoba dekoratiuli anakrebi betonis bordiuris qveS</t>
  </si>
  <si>
    <t>trenaJorebis gadaxurvis mowyoba</t>
  </si>
  <si>
    <t>liTonis dgarebis wertilovani saZirkvlebis mowyoba</t>
  </si>
  <si>
    <t>betoni b.25</t>
  </si>
  <si>
    <t>gadaxurvis liTonis konstruqciis montaJi</t>
  </si>
  <si>
    <t>liTonis kv mili 110*110*6 20g/m</t>
  </si>
  <si>
    <t>liTonis kv mili 40*40*3  80g/m</t>
  </si>
  <si>
    <t>foladis furceli  6mm 0,53kvm</t>
  </si>
  <si>
    <t>liTonis marTkuTxa mili 80*60*3  72m</t>
  </si>
  <si>
    <t>foladis furceli  3mm 0,10kvm</t>
  </si>
  <si>
    <t xml:space="preserve">sul liTonis konstruqcia </t>
  </si>
  <si>
    <t>liTonis svetebisa da
fermebis damontaJeba (proeqtiT)</t>
  </si>
  <si>
    <t>gafarToebadTaviani ankeri, diametriT 12 mm, sigrZiT 150 mm</t>
  </si>
  <si>
    <t>15-164-7</t>
  </si>
  <si>
    <t>liTonis konstruqciebis antikoroziuli
damuSaveba</t>
  </si>
  <si>
    <t>4,2,13</t>
  </si>
  <si>
    <t>antikoroziuli laqi</t>
  </si>
  <si>
    <t>12-6-3</t>
  </si>
  <si>
    <t>4,3,8</t>
  </si>
  <si>
    <t>karboluqsis  furceli (nacrisferi, 8-10mm sisqis)</t>
  </si>
  <si>
    <t>1,10,28</t>
  </si>
  <si>
    <t>samSeneblo WanWiki</t>
  </si>
  <si>
    <t>1522</t>
  </si>
  <si>
    <t>tona</t>
  </si>
  <si>
    <t>atraqcionebis montaJi (ix.eskizebi)</t>
  </si>
  <si>
    <t>5,1</t>
  </si>
  <si>
    <t xml:space="preserve">sayrdeni kedlis Tavze bazaltis filiT qudis mowyoba  </t>
  </si>
  <si>
    <t>გარე განათების ლამპიონების მონტაჟი  h=2,5-3,3</t>
  </si>
  <si>
    <t>gadaxurvis mowyoba gamWvirvale karboluqsis  furcliT (nacrisferi,      8-10mm sisqis)</t>
  </si>
  <si>
    <t>rk.betonis filisa da safexurebis mowyoba</t>
  </si>
  <si>
    <t>6-16-5</t>
  </si>
  <si>
    <t>kac/st</t>
  </si>
  <si>
    <t>sayalibe fari</t>
  </si>
  <si>
    <t>teritoriis dasufTaveba, samSeneblo narCenebis Segroveba, gamotana,                 (50m gadaadgilebiT) avtoTviTmclelze dasatvirTavad</t>
  </si>
  <si>
    <t xml:space="preserve">samSeneblo nagvis gatana 20 km-ze </t>
  </si>
  <si>
    <t>damatebiTi noyieri gruntis Semotana skveris teritoriaze</t>
  </si>
  <si>
    <t xml:space="preserve">skveris teritoriis planireba, saproeqto niSnulamde gruntis damuSaveba xeliT.   </t>
  </si>
  <si>
    <t>1521</t>
  </si>
  <si>
    <t>27-8-2</t>
  </si>
  <si>
    <t xml:space="preserve">სკვერის გარე განათების დეკორატიული ლამპიონების მონტაჟი </t>
  </si>
  <si>
    <t>15-5-6</t>
  </si>
  <si>
    <t>dekoratiuli Robis qveS rk/betonis lenturi saZirkvelisa da cokolis mowyoba</t>
  </si>
  <si>
    <t>masalis transportirebis xarjebi (samSeneblo masalebis Rirebulebidan)</t>
  </si>
  <si>
    <t>sul xarjTaTricxva #4</t>
  </si>
  <si>
    <t>sul xarjTaRricxva #2</t>
  </si>
  <si>
    <t>sul pirdapiri danaxarjebi</t>
  </si>
  <si>
    <t>sul pirdapiri            danaxarjebi</t>
  </si>
  <si>
    <t>invoisi</t>
  </si>
  <si>
    <t>inventari</t>
  </si>
  <si>
    <t>2,3</t>
  </si>
  <si>
    <t>4,1</t>
  </si>
  <si>
    <t>4,2</t>
  </si>
  <si>
    <t>4,4</t>
  </si>
  <si>
    <t>4,5</t>
  </si>
  <si>
    <t xml:space="preserve">betoni В.25 </t>
  </si>
  <si>
    <t xml:space="preserve">betoni В-15  </t>
  </si>
  <si>
    <t>2,4</t>
  </si>
  <si>
    <t>damatebiTi noyieri gruntis Semotana skveris teritoriaze 20km</t>
  </si>
  <si>
    <t>RorRis fenilis mowyoba rk.betonis saZirkvlis qveS</t>
  </si>
  <si>
    <t>RorRis fenilis mowyoba anakrebi betonis bordiuris qveS</t>
  </si>
  <si>
    <r>
      <t xml:space="preserve">betoni </t>
    </r>
    <r>
      <rPr>
        <sz val="11"/>
        <rFont val="Arial"/>
        <family val="2"/>
        <charset val="204"/>
      </rPr>
      <t>B25</t>
    </r>
  </si>
  <si>
    <t>qanCi samSeneblo</t>
  </si>
  <si>
    <t>sadrenaJe mili d-100 pl</t>
  </si>
  <si>
    <t>6-11-3</t>
  </si>
  <si>
    <t xml:space="preserve">RorRis fenilis mowyoba </t>
  </si>
  <si>
    <t>skveris teritoriaze rk.betonis kibeebis mowyoba</t>
  </si>
  <si>
    <t>gruntis damuSaveba xeliT</t>
  </si>
  <si>
    <t>15-5-11</t>
  </si>
  <si>
    <t>mravalwlovani da yvavilovani mcenareebis dargva</t>
  </si>
  <si>
    <r>
      <t xml:space="preserve">kviparosi, arizoniki,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=2,5-3,0m</t>
    </r>
  </si>
  <si>
    <r>
      <t xml:space="preserve">tuia, </t>
    </r>
    <r>
      <rPr>
        <sz val="11"/>
        <rFont val="AcadNusx"/>
      </rPr>
      <t xml:space="preserve">burTisebri oqrosferi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=0,5-1,0m</t>
    </r>
  </si>
  <si>
    <r>
      <t xml:space="preserve">lavanda </t>
    </r>
    <r>
      <rPr>
        <sz val="11"/>
        <rFont val="AcadNusx"/>
      </rPr>
      <t>minimum 30sm buCqSi            15-20 Rero</t>
    </r>
  </si>
  <si>
    <t>tagetesi/begonia                 0kvm (1kvm--60c)</t>
  </si>
  <si>
    <r>
      <t xml:space="preserve">parTenociusi  </t>
    </r>
    <r>
      <rPr>
        <sz val="11"/>
        <rFont val="AcadNusx"/>
      </rPr>
      <t>0,5-1,0m</t>
    </r>
  </si>
  <si>
    <t>iaponuri priala kvido</t>
  </si>
  <si>
    <t>fotinia kultivari burTis formis</t>
  </si>
  <si>
    <t>tyemali wiTelfoTola kultivari</t>
  </si>
  <si>
    <t>TeTri cru akacia kultivari umbraculifera burTis formis</t>
  </si>
  <si>
    <t>himalais kedari mtirala forma</t>
  </si>
  <si>
    <t>Zaxveli maradmwvane</t>
  </si>
  <si>
    <t>himalais kedari</t>
  </si>
  <si>
    <t>didyvavila kultivari magnolia</t>
  </si>
  <si>
    <t>iaponuri sofora mtirala forma</t>
  </si>
  <si>
    <t>maradmwvane bza konusis formis</t>
  </si>
  <si>
    <t>Cveulebrivi ifani burTis forma</t>
  </si>
  <si>
    <t>kazakuli Rvia kultivari</t>
  </si>
  <si>
    <t>iaponuri kvido kultivari</t>
  </si>
  <si>
    <t>nekerCxali (leka)burTisebri forma</t>
  </si>
  <si>
    <t>leilandis kupresociparisi spiralis forma</t>
  </si>
  <si>
    <t>Cveulebrivi uTxovari</t>
  </si>
  <si>
    <t>fitosporumi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</si>
  <si>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</si>
  <si>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</si>
  <si>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</si>
  <si>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</si>
  <si>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</si>
  <si>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0465</t>
  </si>
  <si>
    <t>amwe  saavtomobilo svlaze 5t</t>
  </si>
  <si>
    <t>xeebi da buCqebi</t>
  </si>
  <si>
    <t>nekerCxali (leka) burTisebri forma</t>
  </si>
  <si>
    <t>7-22-8</t>
  </si>
  <si>
    <t xml:space="preserve">liTonis kutikaris damzadeba da montaJi  </t>
  </si>
  <si>
    <t>liTonis karebi (aqsesuarebiT)</t>
  </si>
  <si>
    <r>
      <t xml:space="preserve">betoni </t>
    </r>
    <r>
      <rPr>
        <sz val="10"/>
        <rFont val="Arial"/>
        <family val="2"/>
        <charset val="204"/>
      </rPr>
      <t>B7.5</t>
    </r>
  </si>
  <si>
    <t xml:space="preserve">eleqtrodi </t>
  </si>
  <si>
    <t>sayvavile qoTnebi</t>
  </si>
  <si>
    <t>sabaRe skamebis SeZena montaJi (mrgvali, sruli wre, liTonis karkasze)                      (eskizis mixedviT #3)</t>
  </si>
  <si>
    <t>1-116-6</t>
  </si>
  <si>
    <t>proeqtiT</t>
  </si>
  <si>
    <t>7-21-10 gam.</t>
  </si>
  <si>
    <t>5,5</t>
  </si>
  <si>
    <t>5,6</t>
  </si>
  <si>
    <t>5,7</t>
  </si>
  <si>
    <t>6,3</t>
  </si>
  <si>
    <t>1000 kvm</t>
  </si>
  <si>
    <t>8-281-3</t>
  </si>
  <si>
    <r>
      <t xml:space="preserve">liTonis moajiris mowyoba - rk.betonis kedelze Caankereba  </t>
    </r>
    <r>
      <rPr>
        <sz val="11"/>
        <rFont val="AcadNusx"/>
      </rPr>
      <t>(moc eskizis mixedviT)</t>
    </r>
  </si>
  <si>
    <t>rk betonis kedlebis mowyoba</t>
  </si>
  <si>
    <t>30-51-3</t>
  </si>
  <si>
    <t>qviSa-cementis xsnari</t>
  </si>
  <si>
    <t>t</t>
  </si>
  <si>
    <t>bitumi</t>
  </si>
  <si>
    <t>rk betonis kedlebis ormagi hidroizolaciis mowyoba bitumiT</t>
  </si>
  <si>
    <t>kibis gverdiTi kedlebisa da safexurebis mopirkeTeba bazaltis filiT</t>
  </si>
  <si>
    <t xml:space="preserve">ბეტონი В-25 </t>
  </si>
  <si>
    <t>gruntis damuSaveba, moWra gadaadgileba teritoriis mosworebis mizniT</t>
  </si>
  <si>
    <t>samSeneblo qanCi</t>
  </si>
  <si>
    <t>antiseptikuri pasta</t>
  </si>
  <si>
    <t>naWedi samSeneblo</t>
  </si>
  <si>
    <t xml:space="preserve">tn   </t>
  </si>
  <si>
    <r>
      <t xml:space="preserve">eleqtrodi   </t>
    </r>
    <r>
      <rPr>
        <b/>
        <sz val="11"/>
        <rFont val="AcadNusx"/>
      </rPr>
      <t>(proeqtiT)</t>
    </r>
  </si>
  <si>
    <t>xis masalis antiseptikuri damuSaveba da cecxldacva</t>
  </si>
  <si>
    <t>10-37-1</t>
  </si>
  <si>
    <t>xis konstruqciis cecxldacva</t>
  </si>
  <si>
    <t>sxva manqana</t>
  </si>
  <si>
    <t>fosformJava amoniumi</t>
  </si>
  <si>
    <t>amoniumis sulfati</t>
  </si>
  <si>
    <t>navTis kontaqti</t>
  </si>
  <si>
    <t>10-39-2</t>
  </si>
  <si>
    <t>m2</t>
  </si>
  <si>
    <t>pasta antiseptikuri</t>
  </si>
  <si>
    <t>11</t>
  </si>
  <si>
    <t xml:space="preserve">savarjiSoebisa da sabavSvo gasarTobi moednebis armirebuli betonis fenilis mowyoba </t>
  </si>
  <si>
    <t>10,1</t>
  </si>
  <si>
    <t>III kategoriis gruntis damuSaveba qvabulisaTvis xeliT</t>
  </si>
  <si>
    <t>10,2</t>
  </si>
  <si>
    <t>10,3</t>
  </si>
  <si>
    <t>monoliTuri betonis fenilis mowyoba</t>
  </si>
  <si>
    <t>betoni m-25</t>
  </si>
  <si>
    <t>დანამ.2
11-49
გამოყ.</t>
  </si>
  <si>
    <r>
      <t>მ</t>
    </r>
    <r>
      <rPr>
        <b/>
        <vertAlign val="superscript"/>
        <sz val="10"/>
        <rFont val="Sylfaen"/>
        <family val="1"/>
      </rPr>
      <t>2</t>
    </r>
  </si>
  <si>
    <r>
      <t xml:space="preserve">webopva  </t>
    </r>
    <r>
      <rPr>
        <sz val="11"/>
        <rFont val="Calibri"/>
        <family val="2"/>
        <charset val="204"/>
        <scheme val="minor"/>
      </rPr>
      <t>profesional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</si>
  <si>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</si>
  <si>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</si>
  <si>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t>skami saqanela ("kaCalka") liTonis karkasiT</t>
  </si>
  <si>
    <t>RorRis safuZvlis mowyoba sisqiT 10 sm datkepvniT</t>
  </si>
  <si>
    <t xml:space="preserve">xis Ria fanCaturis ("besetkis") mowyoba </t>
  </si>
  <si>
    <t>kompl</t>
  </si>
  <si>
    <t>fanCaturis xis konstruqciis mowyoba</t>
  </si>
  <si>
    <t>xis masala;</t>
  </si>
  <si>
    <t>xis konsreuqciis antiseptikuri damuSaveba</t>
  </si>
  <si>
    <t>xis detalebis damuSaveba gare samuSaoebis xis laqiT</t>
  </si>
  <si>
    <t xml:space="preserve">laqi xis zedapirebis gare dafarvisaTvis </t>
  </si>
  <si>
    <t>sxva samuSaoebi</t>
  </si>
  <si>
    <t>fanCaturis saxuravis mowyoba</t>
  </si>
  <si>
    <t>10-36-4</t>
  </si>
  <si>
    <t>xis molartyvis mowyoba</t>
  </si>
  <si>
    <t>xis ficari 3x.25-32mm</t>
  </si>
  <si>
    <t>lursmani</t>
  </si>
  <si>
    <t>dsp-s fenilis mowyoba</t>
  </si>
  <si>
    <t xml:space="preserve">dsp </t>
  </si>
  <si>
    <t>10-37-3</t>
  </si>
  <si>
    <t>xis molartyvis cecxldacva</t>
  </si>
  <si>
    <t>10-39-3</t>
  </si>
  <si>
    <t>xis molartyvis antiseptireba</t>
  </si>
  <si>
    <t>12-1-1</t>
  </si>
  <si>
    <t>saxuravis mowyoba "Singlis feniliT"</t>
  </si>
  <si>
    <t>saxuravis mosapirkeTebeli masala Singli</t>
  </si>
  <si>
    <t>12-8-5</t>
  </si>
  <si>
    <t xml:space="preserve">კეხის მოწყობა  </t>
  </si>
  <si>
    <t>kexi igive masalis</t>
  </si>
  <si>
    <t>გ/მ</t>
  </si>
  <si>
    <t xml:space="preserve"> skveris el montaJis samuSaoebi</t>
  </si>
  <si>
    <t>es samuSao gasanulebelia.ganaTebis anZebis Cabetoneba iTvaliswinebs miwis damuSavebas.</t>
  </si>
  <si>
    <r>
      <t xml:space="preserve">dekoratiuli lampioni, ledi sanaTiT </t>
    </r>
    <r>
      <rPr>
        <sz val="10"/>
        <rFont val="Calibri"/>
        <family val="2"/>
        <charset val="204"/>
        <scheme val="minor"/>
      </rPr>
      <t xml:space="preserve">LED 50w </t>
    </r>
    <r>
      <rPr>
        <sz val="10"/>
        <rFont val="AcadNusx"/>
      </rPr>
      <t xml:space="preserve">                  (ix. eskizi) </t>
    </r>
    <r>
      <rPr>
        <sz val="10"/>
        <rFont val="Calibri"/>
        <family val="2"/>
        <charset val="204"/>
        <scheme val="minor"/>
      </rPr>
      <t>h</t>
    </r>
    <r>
      <rPr>
        <sz val="10"/>
        <rFont val="AcadNusx"/>
      </rPr>
      <t xml:space="preserve">=2,5-3,3         </t>
    </r>
  </si>
  <si>
    <t>m.S. inventari</t>
  </si>
  <si>
    <t>m.S. samontaJo samuSaoebi</t>
  </si>
  <si>
    <t>jami                 lari</t>
  </si>
  <si>
    <t>8-3-2</t>
  </si>
  <si>
    <t>15-165-4</t>
  </si>
  <si>
    <t>10-36-3</t>
  </si>
  <si>
    <t>samseneblo naWedi</t>
  </si>
  <si>
    <t>34-103-1</t>
  </si>
  <si>
    <t>33-303-4</t>
  </si>
  <si>
    <t>33-251-6</t>
  </si>
  <si>
    <t>saburRi manqana</t>
  </si>
  <si>
    <t>amwe krani 16 t pnevmosvlaze</t>
  </si>
  <si>
    <t>0512</t>
  </si>
  <si>
    <t>1120</t>
  </si>
  <si>
    <t>9,5</t>
  </si>
  <si>
    <t>9,6</t>
  </si>
  <si>
    <t>9,7</t>
  </si>
  <si>
    <t>9,8</t>
  </si>
  <si>
    <t>9,10</t>
  </si>
  <si>
    <t>9,11</t>
  </si>
  <si>
    <t>9,12</t>
  </si>
  <si>
    <t>9,13</t>
  </si>
  <si>
    <t>9,14</t>
  </si>
  <si>
    <t>9,9</t>
  </si>
  <si>
    <t>11,2</t>
  </si>
  <si>
    <t>11,3</t>
  </si>
  <si>
    <t>11,4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</si>
  <si>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200*150*2c *39c </t>
    </r>
    <r>
      <rPr>
        <b/>
        <sz val="11"/>
        <rFont val="AcadNusx"/>
      </rPr>
      <t>(proeqtiT)</t>
    </r>
  </si>
  <si>
    <r>
      <t>liTonis ankeri   d-12mm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 xml:space="preserve">=260mm  1c*39c  </t>
    </r>
    <r>
      <rPr>
        <b/>
        <sz val="11"/>
        <rFont val="AcadNusx"/>
      </rPr>
      <t>(proeqtiT)</t>
    </r>
  </si>
  <si>
    <t>armatura Ф6 АIII b.150</t>
  </si>
  <si>
    <r>
      <t>armatura</t>
    </r>
    <r>
      <rPr>
        <b/>
        <sz val="11"/>
        <rFont val="Arial"/>
        <family val="2"/>
        <charset val="204"/>
      </rPr>
      <t xml:space="preserve"> A</t>
    </r>
    <r>
      <rPr>
        <b/>
        <sz val="11"/>
        <rFont val="AcadNusx"/>
      </rPr>
      <t>-III Ф8</t>
    </r>
  </si>
  <si>
    <r>
      <t xml:space="preserve">armatura </t>
    </r>
    <r>
      <rPr>
        <sz val="11"/>
        <rFont val="Arial"/>
        <family val="2"/>
        <charset val="204"/>
      </rPr>
      <t>A-III</t>
    </r>
  </si>
  <si>
    <r>
      <t xml:space="preserve">armatura </t>
    </r>
    <r>
      <rPr>
        <sz val="11"/>
        <rFont val="Arial"/>
        <family val="2"/>
        <charset val="204"/>
      </rPr>
      <t>A-I</t>
    </r>
  </si>
  <si>
    <r>
      <t xml:space="preserve">armatura </t>
    </r>
    <r>
      <rPr>
        <sz val="11"/>
        <rFont val="Times New Roman"/>
        <family val="1"/>
        <charset val="204"/>
      </rPr>
      <t xml:space="preserve">A-III  </t>
    </r>
  </si>
  <si>
    <r>
      <t xml:space="preserve">armatura </t>
    </r>
    <r>
      <rPr>
        <sz val="11"/>
        <rFont val="Times New Roman"/>
        <family val="1"/>
        <charset val="204"/>
      </rPr>
      <t>A-I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</si>
  <si>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=200mm  4c*39c  </t>
    </r>
    <r>
      <rPr>
        <b/>
        <sz val="11"/>
        <rFont val="AcadNusx"/>
      </rPr>
      <t>(proeqtiT)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</si>
  <si>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162*112*1c *39c  </t>
    </r>
    <r>
      <rPr>
        <b/>
        <sz val="11"/>
        <rFont val="AcadNusx"/>
      </rPr>
      <t>(proeqtiT)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</si>
  <si>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200*112*2c *39c  </t>
    </r>
    <r>
      <rPr>
        <b/>
        <sz val="11"/>
        <rFont val="AcadNusx"/>
      </rPr>
      <t>(proeqtiT)</t>
    </r>
  </si>
  <si>
    <r>
      <t xml:space="preserve">liT armtura     d-12mm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=300mm 2c*39c </t>
    </r>
    <r>
      <rPr>
        <b/>
        <sz val="11"/>
        <rFont val="AcadNusx"/>
      </rPr>
      <t>(proeqtiT)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</si>
  <si>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=250mm  4c*39c    </t>
    </r>
    <r>
      <rPr>
        <b/>
        <sz val="11"/>
        <rFont val="AcadNusx"/>
      </rPr>
      <t>(proeqtiT)</t>
    </r>
  </si>
  <si>
    <t>teritoriis dekoratiuli SemoRobvis mowyoba         (rk.betonis cokolze)</t>
  </si>
  <si>
    <t>bazaltis fila 30mm sisqis  (sigane 500mm)</t>
  </si>
  <si>
    <t>11-20-1</t>
  </si>
  <si>
    <t>kauCukis fenilis mowyoba  30mm sisiqis</t>
  </si>
  <si>
    <r>
      <t xml:space="preserve">sp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 xml:space="preserve">3*1,5  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</si>
  <si>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 xml:space="preserve">3*2,5  </t>
    </r>
  </si>
  <si>
    <t>27-19-1</t>
  </si>
  <si>
    <t>5,8</t>
  </si>
  <si>
    <t>bilikebis mopirkeTeba bazaltis filis brgCeaTi                           (80% fila)</t>
  </si>
  <si>
    <t>bazaltis filis natexi "bregCea"</t>
  </si>
  <si>
    <t>samuSaoebis damTavrebis Semdeg teritoriis dasufTaveba, samSeneblo narCenebis Segroveba, gamotana, avtoTviTmclelze dasatvirTavad</t>
  </si>
  <si>
    <t>7,5</t>
  </si>
  <si>
    <t xml:space="preserve">qvafenilis moxvewa </t>
  </si>
  <si>
    <t>11-3-7</t>
  </si>
  <si>
    <t>kvarcis qvisa</t>
  </si>
  <si>
    <t xml:space="preserve">teritoriaze arsebuli rkinis boZebis  demontaJi </t>
  </si>
  <si>
    <t>СниП IV-2-84 1-22-16.</t>
  </si>
  <si>
    <t>1000მ³</t>
  </si>
  <si>
    <t>შრომითი დანახარჯები</t>
  </si>
  <si>
    <t>კოდი0918</t>
  </si>
  <si>
    <t>სხვა მანქანა</t>
  </si>
  <si>
    <t>boZi liTonis</t>
  </si>
  <si>
    <r>
      <t>არსებული ნაყარი გრუნტის მოხსნა ექსკავატორით და</t>
    </r>
    <r>
      <rPr>
        <b/>
        <sz val="10"/>
        <rFont val="AcadNusx"/>
      </rPr>
      <t xml:space="preserve"> kedlis ukan Cayra </t>
    </r>
  </si>
  <si>
    <t xml:space="preserve">rkina betonis kedlebis  mowyoba </t>
  </si>
  <si>
    <t>gruntis damuSaveba, rk.betonis kedlebis mosawyobad</t>
  </si>
  <si>
    <r>
      <t xml:space="preserve">armatura </t>
    </r>
    <r>
      <rPr>
        <sz val="11"/>
        <rFont val="Arial"/>
        <family val="2"/>
        <charset val="204"/>
      </rPr>
      <t>A-III Ф 12</t>
    </r>
  </si>
  <si>
    <r>
      <t xml:space="preserve">armatura </t>
    </r>
    <r>
      <rPr>
        <sz val="11"/>
        <rFont val="Arial"/>
        <family val="2"/>
        <charset val="204"/>
      </rPr>
      <t>A-III Ф 10</t>
    </r>
  </si>
  <si>
    <r>
      <t xml:space="preserve">armatura </t>
    </r>
    <r>
      <rPr>
        <sz val="11"/>
        <rFont val="Arial"/>
        <family val="2"/>
        <charset val="204"/>
      </rPr>
      <t>A-I Ф 6</t>
    </r>
  </si>
  <si>
    <r>
      <t xml:space="preserve">armatura </t>
    </r>
    <r>
      <rPr>
        <sz val="11"/>
        <rFont val="Arial"/>
        <family val="2"/>
        <charset val="204"/>
      </rPr>
      <t>A-I Ф 8</t>
    </r>
  </si>
  <si>
    <t>gamwvaneba</t>
  </si>
  <si>
    <r>
      <t>საბორდიურე ტუია,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=1,5 m</t>
    </r>
  </si>
  <si>
    <t>Seadgina: მ.სოლოღაშვილი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</si>
  <si>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Ø25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</si>
  <si>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 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Ø25მმ</t>
    </r>
  </si>
  <si>
    <t>sabaRe skamebis SeZena montaJi (eskizis mixedviT #1)</t>
  </si>
  <si>
    <t>sasrialo kompleqsi kibiT koSkiTa da saqaneliT mocemuli eskizis Sesabamisi (damkveTTan SeTanxmebiT)</t>
  </si>
  <si>
    <t xml:space="preserve">ტურნიკი საქანელა </t>
  </si>
  <si>
    <t>q.borjomSi axali ubnis dasaxlebaSi გრ. ხანძთელის ქ.#9 mimdebared skveris mowyobis samuSaoebi</t>
  </si>
  <si>
    <t>1-116-2 miy.</t>
  </si>
  <si>
    <t>მიწის ვაკისის მოშანდაკება მექანიზირებული წესით</t>
  </si>
  <si>
    <t>მ2</t>
  </si>
  <si>
    <t>27-7-2</t>
  </si>
  <si>
    <t>შემასწორებელი ფენა-ქვიშა-ხეშოვანი ნარევი სისქით 20სმ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</si>
  <si>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</si>
  <si>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ს.რ. თ.14</t>
  </si>
  <si>
    <t>ქვიშა-ხრეშოვანი ტრანსპორტირება საშ. 15კმ-დან</t>
  </si>
  <si>
    <t>27-11-1</t>
  </si>
  <si>
    <t>საფუძველი - ღორღის ფრაქციით 0-40 მმ სისქით 18სმ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</si>
  <si>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</si>
  <si>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ღორღის ტრანსპორტირება საშ. 15მ-დან</t>
  </si>
  <si>
    <t>27-63-1</t>
  </si>
  <si>
    <t>ზედაპირის დამუშავება თხევადი ბიტუმის ემულსიით 0.7ლ/მ2</t>
  </si>
  <si>
    <t>ბიტუმის ტრანსპორტირება საშ. 30კმ-დან</t>
  </si>
  <si>
    <t>27-39-1,40-1,2</t>
  </si>
  <si>
    <t>მსხვილმარცვლოვანი ფოროვანი ღორღოვანი ასფალტობეტონის ცხელი ნარევი, მარკა II, სისქით 6 სმ</t>
  </si>
  <si>
    <t>ასფალტის ტრანსპორტირება საშ. 30კმ-დან</t>
  </si>
  <si>
    <t>ზედაპირის დამუშავება თხევადი ბიტუმის ემულსიით 0.35ლ/მ2</t>
  </si>
  <si>
    <t>წვრილმარცვლოვანი მკვრივი ღორღოვანი ასფალტბეტონის ცხელი ნარევი, ტიპი Ƃ, მარკა II სისქით 4 სმ</t>
  </si>
  <si>
    <t xml:space="preserve">ზედნადები ხარჯები </t>
  </si>
  <si>
    <t>%</t>
  </si>
  <si>
    <t>ჯამი</t>
  </si>
  <si>
    <t xml:space="preserve">გაუთვალისწინებელი ხარჯები </t>
  </si>
  <si>
    <t>სულ სახარჯთაღრიცხვო ღირებულება</t>
  </si>
  <si>
    <t>N</t>
  </si>
  <si>
    <t>შიფრი</t>
  </si>
  <si>
    <t>განზ. ერთ.</t>
  </si>
  <si>
    <t>ნორმა ერთ-ზე</t>
  </si>
  <si>
    <t>რაოდენ.</t>
  </si>
  <si>
    <t xml:space="preserve">სახარჯთაღრიცხვო ღირებულება </t>
  </si>
  <si>
    <t>განზ. ერთ</t>
  </si>
  <si>
    <t xml:space="preserve"> ჯამი</t>
  </si>
  <si>
    <t>გეგმიური დაგროვება</t>
  </si>
  <si>
    <t>lk 3</t>
  </si>
  <si>
    <t>ავტო სადგომის მოასფალტება</t>
  </si>
  <si>
    <t xml:space="preserve">ავტოსადგომის გზის  საფარის მოასფალტება </t>
  </si>
  <si>
    <t>sayrdeni kedlebis zedapirebis mopirkeTeba bunebrivi fleTili  qviT</t>
  </si>
  <si>
    <t xml:space="preserve">bunebrivi fleTili   ქვა </t>
  </si>
  <si>
    <t>masiuri kauCukis fenili  30mm sisqis</t>
  </si>
  <si>
    <t>qvafenilis mowyoba bazaltis filis natexebiT  ("bregCea")  80%</t>
  </si>
  <si>
    <t>qviSa-cementis xsnari                                            m-200 marmarilos nafxveniani SemavsebliT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</si>
</sst>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.00&quot;р.&quot;_-;\-* #,##0.00&quot;р.&quot;_-;_-* &quot;-&quot;??&quot;р.&quot;_-;_-@_-"/>
  </numFmts>
  <fonts count="1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1"/>
      <name val="Calibri"/>
      <family val="2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Sylfae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AcadNusx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FF0000"/>
      <name val="AcadNusx"/>
    </font>
    <font>
      <sz val="9"/>
      <name val="AcadNusx"/>
    </font>
    <font>
      <sz val="9"/>
      <color rgb="FFFF0000"/>
      <name val="AcadNusx"/>
    </font>
    <font>
      <b/>
      <sz val="9"/>
      <name val="AcadNusx"/>
    </font>
    <font>
      <b/>
      <sz val="11"/>
      <color rgb="FFFF0000"/>
      <name val="AcadNusx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sz val="12"/>
      <color rgb="FFFF0000"/>
      <name val="AcadNusx"/>
    </font>
    <font>
      <b/>
      <sz val="12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</font>
    <font>
      <b/>
      <sz val="12"/>
      <color rgb="FF0000FF"/>
      <name val="AcadNusx"/>
    </font>
    <font>
      <b/>
      <sz val="10"/>
      <name val="Times New Roman"/>
      <family val="1"/>
      <charset val="204"/>
    </font>
    <font>
      <sz val="10"/>
      <name val="Sylfaen"/>
      <family val="1"/>
    </font>
    <font>
      <b/>
      <sz val="11"/>
      <name val="Sylfaen"/>
      <family val="1"/>
      <charset val="204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Times New Roman"/>
      <family val="1"/>
    </font>
    <font>
      <b/>
      <sz val="12"/>
      <name val="Sylfaen"/>
      <family val="1"/>
      <charset val="204"/>
    </font>
    <font>
      <sz val="12"/>
      <name val="Cambria"/>
      <family val="1"/>
      <charset val="204"/>
      <scheme val="major"/>
    </font>
    <font>
      <sz val="12"/>
      <name val="Sylfaen"/>
      <family val="1"/>
      <charset val="204"/>
    </font>
    <font>
      <b/>
      <sz val="12"/>
      <name val="Cambria"/>
      <family val="1"/>
      <charset val="204"/>
      <scheme val="maj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49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/>
    <xf numFmtId="0" fontId="21" fillId="0" borderId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42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4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3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4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45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43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48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50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52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36" fillId="0" borderId="0"/>
    <xf numFmtId="0" fontId="21" fillId="0" borderId="0"/>
    <xf numFmtId="0" fontId="60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61" fillId="0" borderId="0"/>
    <xf numFmtId="0" fontId="17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54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0" fontId="37" fillId="21" borderId="15" applyNumberFormat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2" fillId="0" borderId="0"/>
    <xf numFmtId="0" fontId="21" fillId="0" borderId="0"/>
    <xf numFmtId="0" fontId="17" fillId="0" borderId="0"/>
    <xf numFmtId="0" fontId="17" fillId="0" borderId="0"/>
    <xf numFmtId="0" fontId="59" fillId="0" borderId="0"/>
    <xf numFmtId="0" fontId="4" fillId="0" borderId="0"/>
    <xf numFmtId="0" fontId="4" fillId="0" borderId="0"/>
    <xf numFmtId="0" fontId="17" fillId="0" borderId="0"/>
    <xf numFmtId="0" fontId="63" fillId="2" borderId="0" applyNumberFormat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3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12" fillId="0" borderId="0"/>
    <xf numFmtId="0" fontId="21" fillId="0" borderId="0"/>
    <xf numFmtId="0" fontId="59" fillId="0" borderId="0"/>
    <xf numFmtId="0" fontId="22" fillId="24" borderId="14" applyNumberFormat="0" applyFont="0" applyAlignment="0" applyProtection="0"/>
    <xf numFmtId="0" fontId="12" fillId="0" borderId="0"/>
    <xf numFmtId="0" fontId="3" fillId="0" borderId="0"/>
    <xf numFmtId="0" fontId="17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59" fillId="0" borderId="0"/>
    <xf numFmtId="0" fontId="22" fillId="0" borderId="0"/>
    <xf numFmtId="0" fontId="18" fillId="0" borderId="0"/>
    <xf numFmtId="0" fontId="17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12" fillId="0" borderId="0"/>
    <xf numFmtId="9" fontId="11" fillId="0" borderId="0" applyFont="0" applyFill="0" applyBorder="0" applyAlignment="0" applyProtection="0"/>
  </cellStyleXfs>
  <cellXfs count="545">
    <xf numFmtId="0" fontId="0" fillId="0" borderId="0" xfId="0"/>
    <xf numFmtId="0" fontId="79" fillId="25" borderId="0" xfId="0" applyFont="1" applyFill="1" applyAlignment="1">
      <alignment horizontal="center" vertical="center" wrapText="1"/>
    </xf>
    <xf numFmtId="2" fontId="13" fillId="25" borderId="1" xfId="3" applyNumberFormat="1" applyFont="1" applyFill="1" applyBorder="1" applyAlignment="1">
      <alignment horizontal="center" vertical="center" wrapText="1"/>
    </xf>
    <xf numFmtId="49" fontId="9" fillId="25" borderId="1" xfId="0" applyNumberFormat="1" applyFont="1" applyFill="1" applyBorder="1" applyAlignment="1">
      <alignment horizontal="center" vertical="top" wrapText="1"/>
    </xf>
    <xf numFmtId="49" fontId="9" fillId="25" borderId="1" xfId="0" applyNumberFormat="1" applyFont="1" applyFill="1" applyBorder="1" applyAlignment="1">
      <alignment horizontal="center" vertical="center" wrapText="1"/>
    </xf>
    <xf numFmtId="49" fontId="20" fillId="25" borderId="1" xfId="0" applyNumberFormat="1" applyFont="1" applyFill="1" applyBorder="1" applyAlignment="1">
      <alignment horizontal="center" vertical="center" wrapText="1"/>
    </xf>
    <xf numFmtId="49" fontId="64" fillId="25" borderId="1" xfId="0" applyNumberFormat="1" applyFont="1" applyFill="1" applyBorder="1" applyAlignment="1">
      <alignment horizontal="center" vertical="center" wrapText="1"/>
    </xf>
    <xf numFmtId="0" fontId="20" fillId="25" borderId="1" xfId="0" applyNumberFormat="1" applyFont="1" applyFill="1" applyBorder="1" applyAlignment="1">
      <alignment horizontal="center" vertical="center" wrapText="1"/>
    </xf>
    <xf numFmtId="2" fontId="20" fillId="25" borderId="1" xfId="0" applyNumberFormat="1" applyFont="1" applyFill="1" applyBorder="1" applyAlignment="1">
      <alignment horizontal="center" vertical="center" wrapText="1"/>
    </xf>
    <xf numFmtId="49" fontId="84" fillId="25" borderId="1" xfId="0" applyNumberFormat="1" applyFont="1" applyFill="1" applyBorder="1" applyAlignment="1">
      <alignment horizontal="center" vertical="top" wrapText="1"/>
    </xf>
    <xf numFmtId="49" fontId="84" fillId="25" borderId="1" xfId="0" applyNumberFormat="1" applyFont="1" applyFill="1" applyBorder="1" applyAlignment="1">
      <alignment horizontal="center" vertical="center" wrapText="1"/>
    </xf>
    <xf numFmtId="49" fontId="13" fillId="25" borderId="1" xfId="634" applyNumberFormat="1" applyFont="1" applyFill="1" applyBorder="1" applyAlignment="1">
      <alignment horizontal="center" vertical="center" wrapText="1"/>
    </xf>
    <xf numFmtId="0" fontId="84" fillId="25" borderId="1" xfId="0" applyNumberFormat="1" applyFont="1" applyFill="1" applyBorder="1" applyAlignment="1">
      <alignment horizontal="center" vertical="center" wrapText="1"/>
    </xf>
    <xf numFmtId="2" fontId="84" fillId="25" borderId="1" xfId="0" applyNumberFormat="1" applyFont="1" applyFill="1" applyBorder="1" applyAlignment="1">
      <alignment horizontal="center" vertical="center" wrapText="1"/>
    </xf>
    <xf numFmtId="2" fontId="13" fillId="25" borderId="6" xfId="0" applyNumberFormat="1" applyFont="1" applyFill="1" applyBorder="1" applyAlignment="1">
      <alignment horizontal="center" vertical="center" wrapText="1"/>
    </xf>
    <xf numFmtId="49" fontId="13" fillId="25" borderId="1" xfId="634" applyNumberFormat="1" applyFont="1" applyFill="1" applyBorder="1" applyAlignment="1">
      <alignment horizontal="left" vertical="center" wrapText="1"/>
    </xf>
    <xf numFmtId="2" fontId="20" fillId="25" borderId="7" xfId="0" applyNumberFormat="1" applyFont="1" applyFill="1" applyBorder="1" applyAlignment="1">
      <alignment horizontal="center" vertical="center" wrapText="1"/>
    </xf>
    <xf numFmtId="49" fontId="9" fillId="25" borderId="6" xfId="0" applyNumberFormat="1" applyFont="1" applyFill="1" applyBorder="1" applyAlignment="1">
      <alignment horizontal="center" vertical="center" wrapText="1"/>
    </xf>
    <xf numFmtId="49" fontId="13" fillId="25" borderId="6" xfId="0" applyNumberFormat="1" applyFont="1" applyFill="1" applyBorder="1" applyAlignment="1">
      <alignment horizontal="center" vertical="center" wrapText="1"/>
    </xf>
    <xf numFmtId="49" fontId="64" fillId="25" borderId="6" xfId="0" applyNumberFormat="1" applyFont="1" applyFill="1" applyBorder="1" applyAlignment="1">
      <alignment horizontal="center" vertical="center" wrapText="1"/>
    </xf>
    <xf numFmtId="0" fontId="13" fillId="25" borderId="6" xfId="0" applyNumberFormat="1" applyFont="1" applyFill="1" applyBorder="1" applyAlignment="1">
      <alignment horizontal="center" vertical="center" wrapText="1"/>
    </xf>
    <xf numFmtId="49" fontId="9" fillId="25" borderId="3" xfId="0" applyNumberFormat="1" applyFont="1" applyFill="1" applyBorder="1" applyAlignment="1">
      <alignment horizontal="center" vertical="top" wrapText="1"/>
    </xf>
    <xf numFmtId="49" fontId="9" fillId="25" borderId="7" xfId="0" applyNumberFormat="1" applyFont="1" applyFill="1" applyBorder="1" applyAlignment="1">
      <alignment horizontal="center" vertical="center" wrapText="1"/>
    </xf>
    <xf numFmtId="49" fontId="20" fillId="25" borderId="7" xfId="0" applyNumberFormat="1" applyFont="1" applyFill="1" applyBorder="1" applyAlignment="1">
      <alignment horizontal="center" vertical="center" wrapText="1"/>
    </xf>
    <xf numFmtId="49" fontId="64" fillId="25" borderId="7" xfId="0" applyNumberFormat="1" applyFont="1" applyFill="1" applyBorder="1" applyAlignment="1">
      <alignment horizontal="center" vertical="center" wrapText="1"/>
    </xf>
    <xf numFmtId="0" fontId="20" fillId="25" borderId="7" xfId="0" applyNumberFormat="1" applyFont="1" applyFill="1" applyBorder="1" applyAlignment="1">
      <alignment horizontal="center" vertical="center" wrapText="1"/>
    </xf>
    <xf numFmtId="49" fontId="13" fillId="25" borderId="7" xfId="0" applyNumberFormat="1" applyFont="1" applyFill="1" applyBorder="1" applyAlignment="1">
      <alignment horizontal="center" vertical="center" wrapText="1"/>
    </xf>
    <xf numFmtId="0" fontId="13" fillId="25" borderId="7" xfId="0" applyNumberFormat="1" applyFont="1" applyFill="1" applyBorder="1" applyAlignment="1">
      <alignment horizontal="center" vertical="center" wrapText="1"/>
    </xf>
    <xf numFmtId="2" fontId="13" fillId="25" borderId="7" xfId="0" applyNumberFormat="1" applyFont="1" applyFill="1" applyBorder="1" applyAlignment="1">
      <alignment horizontal="center" vertical="center" wrapText="1"/>
    </xf>
    <xf numFmtId="49" fontId="13" fillId="25" borderId="1" xfId="0" applyNumberFormat="1" applyFont="1" applyFill="1" applyBorder="1" applyAlignment="1">
      <alignment horizontal="center" vertical="center" wrapText="1"/>
    </xf>
    <xf numFmtId="0" fontId="13" fillId="25" borderId="1" xfId="0" applyNumberFormat="1" applyFont="1" applyFill="1" applyBorder="1" applyAlignment="1">
      <alignment horizontal="center" vertical="center" wrapText="1"/>
    </xf>
    <xf numFmtId="2" fontId="13" fillId="25" borderId="1" xfId="0" applyNumberFormat="1" applyFont="1" applyFill="1" applyBorder="1" applyAlignment="1">
      <alignment horizontal="center" vertical="center" wrapText="1"/>
    </xf>
    <xf numFmtId="49" fontId="13" fillId="25" borderId="1" xfId="0" applyNumberFormat="1" applyFont="1" applyFill="1" applyBorder="1" applyAlignment="1">
      <alignment vertical="center" wrapText="1"/>
    </xf>
    <xf numFmtId="164" fontId="20" fillId="25" borderId="1" xfId="1" applyFont="1" applyFill="1" applyBorder="1" applyAlignment="1">
      <alignment horizontal="center" vertical="center" wrapText="1"/>
    </xf>
    <xf numFmtId="164" fontId="64" fillId="25" borderId="1" xfId="1" applyFont="1" applyFill="1" applyBorder="1" applyAlignment="1">
      <alignment horizontal="center" vertical="center" wrapText="1"/>
    </xf>
    <xf numFmtId="0" fontId="13" fillId="25" borderId="1" xfId="1" applyNumberFormat="1" applyFont="1" applyFill="1" applyBorder="1" applyAlignment="1">
      <alignment horizontal="center" vertical="center" wrapText="1"/>
    </xf>
    <xf numFmtId="0" fontId="20" fillId="25" borderId="1" xfId="1" applyNumberFormat="1" applyFont="1" applyFill="1" applyBorder="1" applyAlignment="1">
      <alignment horizontal="center" vertical="center" wrapText="1"/>
    </xf>
    <xf numFmtId="164" fontId="13" fillId="25" borderId="1" xfId="1" applyFont="1" applyFill="1" applyBorder="1" applyAlignment="1">
      <alignment horizontal="center" vertical="center" wrapText="1"/>
    </xf>
    <xf numFmtId="0" fontId="7" fillId="25" borderId="0" xfId="0" applyFont="1" applyFill="1" applyAlignment="1">
      <alignment horizontal="left" vertical="center" wrapText="1"/>
    </xf>
    <xf numFmtId="2" fontId="13" fillId="25" borderId="1" xfId="1" applyNumberFormat="1" applyFont="1" applyFill="1" applyBorder="1" applyAlignment="1">
      <alignment horizontal="center" vertical="center" wrapText="1"/>
    </xf>
    <xf numFmtId="2" fontId="9" fillId="25" borderId="1" xfId="0" applyNumberFormat="1" applyFont="1" applyFill="1" applyBorder="1" applyAlignment="1">
      <alignment horizontal="center" vertical="center" wrapText="1"/>
    </xf>
    <xf numFmtId="0" fontId="13" fillId="25" borderId="0" xfId="0" applyFont="1" applyFill="1" applyAlignment="1">
      <alignment horizontal="center" vertical="center" wrapText="1"/>
    </xf>
    <xf numFmtId="0" fontId="13" fillId="25" borderId="0" xfId="0" applyFont="1" applyFill="1" applyAlignment="1">
      <alignment horizontal="left" vertical="center" wrapText="1"/>
    </xf>
    <xf numFmtId="49" fontId="13" fillId="25" borderId="0" xfId="0" applyNumberFormat="1" applyFont="1" applyFill="1" applyAlignment="1">
      <alignment horizontal="center" vertical="top" wrapText="1"/>
    </xf>
    <xf numFmtId="49" fontId="13" fillId="25" borderId="0" xfId="0" applyNumberFormat="1" applyFont="1" applyFill="1" applyAlignment="1">
      <alignment horizontal="center" vertical="center" wrapText="1"/>
    </xf>
    <xf numFmtId="49" fontId="20" fillId="25" borderId="0" xfId="0" applyNumberFormat="1" applyFont="1" applyFill="1" applyAlignment="1">
      <alignment vertical="center" wrapText="1"/>
    </xf>
    <xf numFmtId="49" fontId="20" fillId="25" borderId="0" xfId="0" applyNumberFormat="1" applyFont="1" applyFill="1" applyAlignment="1">
      <alignment horizontal="center" vertical="center" wrapText="1"/>
    </xf>
    <xf numFmtId="0" fontId="20" fillId="25" borderId="0" xfId="0" applyNumberFormat="1" applyFont="1" applyFill="1" applyAlignment="1">
      <alignment horizontal="center" vertical="center" wrapText="1"/>
    </xf>
    <xf numFmtId="2" fontId="20" fillId="25" borderId="0" xfId="0" applyNumberFormat="1" applyFont="1" applyFill="1" applyAlignment="1">
      <alignment horizontal="center" vertical="center" wrapText="1"/>
    </xf>
    <xf numFmtId="49" fontId="13" fillId="25" borderId="1" xfId="0" applyNumberFormat="1" applyFont="1" applyFill="1" applyBorder="1" applyAlignment="1">
      <alignment horizontal="center" vertical="center" wrapText="1"/>
    </xf>
    <xf numFmtId="0" fontId="13" fillId="25" borderId="1" xfId="0" applyNumberFormat="1" applyFont="1" applyFill="1" applyBorder="1" applyAlignment="1">
      <alignment horizontal="center" vertical="center" wrapText="1"/>
    </xf>
    <xf numFmtId="0" fontId="64" fillId="25" borderId="1" xfId="0" applyNumberFormat="1" applyFont="1" applyFill="1" applyBorder="1" applyAlignment="1">
      <alignment horizontal="center" vertical="center" wrapText="1"/>
    </xf>
    <xf numFmtId="0" fontId="7" fillId="25" borderId="0" xfId="0" applyFont="1" applyFill="1" applyAlignment="1">
      <alignment horizontal="center" vertical="center" wrapText="1"/>
    </xf>
    <xf numFmtId="49" fontId="64" fillId="25" borderId="3" xfId="0" applyNumberFormat="1" applyFont="1" applyFill="1" applyBorder="1" applyAlignment="1">
      <alignment horizontal="left" vertical="center" wrapText="1"/>
    </xf>
    <xf numFmtId="0" fontId="9" fillId="25" borderId="1" xfId="0" applyNumberFormat="1" applyFont="1" applyFill="1" applyBorder="1" applyAlignment="1">
      <alignment horizontal="center" vertical="center" wrapText="1"/>
    </xf>
    <xf numFmtId="49" fontId="9" fillId="25" borderId="3" xfId="0" applyNumberFormat="1" applyFont="1" applyFill="1" applyBorder="1" applyAlignment="1">
      <alignment horizontal="left" vertical="center" wrapText="1"/>
    </xf>
    <xf numFmtId="0" fontId="88" fillId="25" borderId="1" xfId="0" applyFont="1" applyFill="1" applyBorder="1" applyAlignment="1">
      <alignment horizontal="center" vertical="center" wrapText="1"/>
    </xf>
    <xf numFmtId="0" fontId="89" fillId="25" borderId="1" xfId="0" applyFont="1" applyFill="1" applyBorder="1" applyAlignment="1">
      <alignment horizontal="center" vertical="center" wrapText="1"/>
    </xf>
    <xf numFmtId="167" fontId="89" fillId="25" borderId="1" xfId="0" applyNumberFormat="1" applyFont="1" applyFill="1" applyBorder="1" applyAlignment="1">
      <alignment horizontal="center" vertical="center" wrapText="1"/>
    </xf>
    <xf numFmtId="2" fontId="89" fillId="25" borderId="1" xfId="0" applyNumberFormat="1" applyFont="1" applyFill="1" applyBorder="1" applyAlignment="1">
      <alignment horizontal="center" vertical="center" wrapText="1"/>
    </xf>
    <xf numFmtId="2" fontId="98" fillId="25" borderId="1" xfId="0" applyNumberFormat="1" applyFont="1" applyFill="1" applyBorder="1" applyAlignment="1">
      <alignment horizontal="center" vertical="center" wrapText="1"/>
    </xf>
    <xf numFmtId="0" fontId="88" fillId="25" borderId="1" xfId="0" applyFont="1" applyFill="1" applyBorder="1" applyAlignment="1">
      <alignment horizontal="center" vertical="center"/>
    </xf>
    <xf numFmtId="0" fontId="98" fillId="25" borderId="1" xfId="0" applyFont="1" applyFill="1" applyBorder="1" applyAlignment="1">
      <alignment horizontal="center" vertical="center" wrapText="1"/>
    </xf>
    <xf numFmtId="167" fontId="98" fillId="25" borderId="1" xfId="0" applyNumberFormat="1" applyFont="1" applyFill="1" applyBorder="1" applyAlignment="1">
      <alignment horizontal="center" vertical="center"/>
    </xf>
    <xf numFmtId="2" fontId="98" fillId="25" borderId="1" xfId="0" applyNumberFormat="1" applyFont="1" applyFill="1" applyBorder="1" applyAlignment="1">
      <alignment horizontal="center" vertical="center"/>
    </xf>
    <xf numFmtId="49" fontId="20" fillId="25" borderId="1" xfId="634" applyNumberFormat="1" applyFont="1" applyFill="1" applyBorder="1" applyAlignment="1">
      <alignment horizontal="left" vertical="center" wrapText="1"/>
    </xf>
    <xf numFmtId="49" fontId="13" fillId="25" borderId="1" xfId="919" applyNumberFormat="1" applyFont="1" applyFill="1" applyBorder="1" applyAlignment="1">
      <alignment horizontal="left" vertical="center" wrapText="1"/>
    </xf>
    <xf numFmtId="49" fontId="9" fillId="25" borderId="1" xfId="655" applyNumberFormat="1" applyFont="1" applyFill="1" applyBorder="1" applyAlignment="1">
      <alignment horizontal="center" vertical="center" wrapText="1"/>
    </xf>
    <xf numFmtId="0" fontId="13" fillId="25" borderId="1" xfId="655" applyNumberFormat="1" applyFont="1" applyFill="1" applyBorder="1" applyAlignment="1">
      <alignment horizontal="center" vertical="center" wrapText="1"/>
    </xf>
    <xf numFmtId="2" fontId="13" fillId="25" borderId="1" xfId="901" applyNumberFormat="1" applyFont="1" applyFill="1" applyBorder="1" applyAlignment="1">
      <alignment horizontal="center" vertical="center" wrapText="1"/>
    </xf>
    <xf numFmtId="2" fontId="13" fillId="25" borderId="1" xfId="902" applyNumberFormat="1" applyFont="1" applyFill="1" applyBorder="1" applyAlignment="1">
      <alignment horizontal="center" vertical="center" wrapText="1"/>
    </xf>
    <xf numFmtId="49" fontId="70" fillId="25" borderId="2" xfId="0" applyNumberFormat="1" applyFont="1" applyFill="1" applyBorder="1" applyAlignment="1">
      <alignment horizontal="center" vertical="top" wrapText="1"/>
    </xf>
    <xf numFmtId="49" fontId="20" fillId="25" borderId="1" xfId="0" applyNumberFormat="1" applyFont="1" applyFill="1" applyBorder="1" applyAlignment="1">
      <alignment vertical="center" wrapText="1"/>
    </xf>
    <xf numFmtId="0" fontId="16" fillId="25" borderId="0" xfId="0" applyFont="1" applyFill="1" applyAlignment="1">
      <alignment horizontal="left"/>
    </xf>
    <xf numFmtId="0" fontId="16" fillId="25" borderId="0" xfId="0" applyFont="1" applyFill="1"/>
    <xf numFmtId="49" fontId="70" fillId="25" borderId="4" xfId="0" applyNumberFormat="1" applyFont="1" applyFill="1" applyBorder="1" applyAlignment="1">
      <alignment horizontal="center" vertical="top" wrapText="1"/>
    </xf>
    <xf numFmtId="0" fontId="94" fillId="25" borderId="0" xfId="0" applyFont="1" applyFill="1" applyAlignment="1">
      <alignment horizontal="center" vertical="center" wrapText="1"/>
    </xf>
    <xf numFmtId="49" fontId="70" fillId="25" borderId="3" xfId="0" applyNumberFormat="1" applyFont="1" applyFill="1" applyBorder="1" applyAlignment="1">
      <alignment horizontal="center" vertical="top" wrapText="1"/>
    </xf>
    <xf numFmtId="49" fontId="9" fillId="25" borderId="6" xfId="0" applyNumberFormat="1" applyFont="1" applyFill="1" applyBorder="1" applyAlignment="1">
      <alignment horizontal="left" vertical="center" wrapText="1"/>
    </xf>
    <xf numFmtId="49" fontId="95" fillId="25" borderId="0" xfId="0" applyNumberFormat="1" applyFont="1" applyFill="1" applyAlignment="1">
      <alignment horizontal="center" vertical="center"/>
    </xf>
    <xf numFmtId="49" fontId="64" fillId="25" borderId="1" xfId="0" applyNumberFormat="1" applyFont="1" applyFill="1" applyBorder="1" applyAlignment="1">
      <alignment vertical="center" wrapText="1"/>
    </xf>
    <xf numFmtId="49" fontId="64" fillId="25" borderId="1" xfId="655" applyNumberFormat="1" applyFont="1" applyFill="1" applyBorder="1" applyAlignment="1">
      <alignment horizontal="center" vertical="center" wrapText="1"/>
    </xf>
    <xf numFmtId="0" fontId="9" fillId="25" borderId="1" xfId="655" applyNumberFormat="1" applyFont="1" applyFill="1" applyBorder="1" applyAlignment="1">
      <alignment horizontal="center" vertical="center" wrapText="1"/>
    </xf>
    <xf numFmtId="2" fontId="9" fillId="25" borderId="1" xfId="901" applyNumberFormat="1" applyFont="1" applyFill="1" applyBorder="1" applyAlignment="1">
      <alignment horizontal="center" vertical="center" wrapText="1"/>
    </xf>
    <xf numFmtId="2" fontId="9" fillId="25" borderId="1" xfId="902" applyNumberFormat="1" applyFont="1" applyFill="1" applyBorder="1" applyAlignment="1">
      <alignment horizontal="center" vertical="center" wrapText="1"/>
    </xf>
    <xf numFmtId="49" fontId="9" fillId="25" borderId="1" xfId="0" applyNumberFormat="1" applyFont="1" applyFill="1" applyBorder="1" applyAlignment="1">
      <alignment vertical="center" wrapText="1"/>
    </xf>
    <xf numFmtId="49" fontId="20" fillId="25" borderId="2" xfId="919" applyNumberFormat="1" applyFont="1" applyFill="1" applyBorder="1" applyAlignment="1">
      <alignment vertical="center" wrapText="1"/>
    </xf>
    <xf numFmtId="0" fontId="20" fillId="25" borderId="1" xfId="655" applyNumberFormat="1" applyFont="1" applyFill="1" applyBorder="1" applyAlignment="1">
      <alignment horizontal="center" vertical="center" wrapText="1"/>
    </xf>
    <xf numFmtId="0" fontId="16" fillId="25" borderId="0" xfId="0" applyFont="1" applyFill="1" applyAlignment="1">
      <alignment horizontal="center" vertical="center"/>
    </xf>
    <xf numFmtId="49" fontId="20" fillId="25" borderId="1" xfId="919" applyNumberFormat="1" applyFont="1" applyFill="1" applyBorder="1" applyAlignment="1">
      <alignment horizontal="left" vertical="center" wrapText="1"/>
    </xf>
    <xf numFmtId="49" fontId="64" fillId="25" borderId="5" xfId="655" applyNumberFormat="1" applyFont="1" applyFill="1" applyBorder="1" applyAlignment="1">
      <alignment horizontal="center" vertical="center" wrapText="1"/>
    </xf>
    <xf numFmtId="49" fontId="20" fillId="25" borderId="4" xfId="0" applyNumberFormat="1" applyFont="1" applyFill="1" applyBorder="1" applyAlignment="1">
      <alignment horizontal="left" vertical="center" wrapText="1"/>
    </xf>
    <xf numFmtId="49" fontId="10" fillId="25" borderId="3" xfId="0" applyNumberFormat="1" applyFont="1" applyFill="1" applyBorder="1" applyAlignment="1">
      <alignment horizontal="center" vertical="center" wrapText="1"/>
    </xf>
    <xf numFmtId="0" fontId="10" fillId="25" borderId="3" xfId="0" applyNumberFormat="1" applyFont="1" applyFill="1" applyBorder="1" applyAlignment="1">
      <alignment horizontal="center" vertical="center" wrapText="1"/>
    </xf>
    <xf numFmtId="0" fontId="10" fillId="25" borderId="0" xfId="0" applyNumberFormat="1" applyFont="1" applyFill="1" applyAlignment="1">
      <alignment horizontal="center" vertical="center" wrapText="1"/>
    </xf>
    <xf numFmtId="49" fontId="20" fillId="25" borderId="3" xfId="0" applyNumberFormat="1" applyFont="1" applyFill="1" applyBorder="1" applyAlignment="1">
      <alignment horizontal="left" vertical="center" wrapText="1"/>
    </xf>
    <xf numFmtId="49" fontId="97" fillId="25" borderId="1" xfId="0" applyNumberFormat="1" applyFont="1" applyFill="1" applyBorder="1" applyAlignment="1">
      <alignment horizontal="center" vertical="center"/>
    </xf>
    <xf numFmtId="49" fontId="20" fillId="25" borderId="1" xfId="0" applyNumberFormat="1" applyFont="1" applyFill="1" applyBorder="1" applyAlignment="1">
      <alignment horizontal="left" vertical="center" wrapText="1"/>
    </xf>
    <xf numFmtId="49" fontId="13" fillId="25" borderId="1" xfId="2" applyNumberFormat="1" applyFont="1" applyFill="1" applyBorder="1" applyAlignment="1" applyProtection="1">
      <alignment horizontal="left" vertical="center" wrapText="1"/>
    </xf>
    <xf numFmtId="49" fontId="9" fillId="25" borderId="1" xfId="2" applyNumberFormat="1" applyFont="1" applyFill="1" applyBorder="1" applyAlignment="1" applyProtection="1">
      <alignment horizontal="center" vertical="center" wrapText="1"/>
    </xf>
    <xf numFmtId="0" fontId="13" fillId="25" borderId="1" xfId="2" applyNumberFormat="1" applyFont="1" applyFill="1" applyBorder="1" applyAlignment="1" applyProtection="1">
      <alignment horizontal="center" vertical="center" wrapText="1"/>
    </xf>
    <xf numFmtId="0" fontId="13" fillId="25" borderId="1" xfId="1" applyNumberFormat="1" applyFont="1" applyFill="1" applyBorder="1" applyAlignment="1" applyProtection="1">
      <alignment horizontal="center" vertical="center" wrapText="1"/>
    </xf>
    <xf numFmtId="2" fontId="13" fillId="25" borderId="1" xfId="1" applyNumberFormat="1" applyFont="1" applyFill="1" applyBorder="1" applyAlignment="1" applyProtection="1">
      <alignment horizontal="center" vertical="center" wrapText="1"/>
    </xf>
    <xf numFmtId="49" fontId="20" fillId="25" borderId="1" xfId="2" applyNumberFormat="1" applyFont="1" applyFill="1" applyBorder="1" applyAlignment="1" applyProtection="1">
      <alignment vertical="center" wrapText="1"/>
    </xf>
    <xf numFmtId="0" fontId="20" fillId="25" borderId="1" xfId="1" applyNumberFormat="1" applyFont="1" applyFill="1" applyBorder="1" applyAlignment="1" applyProtection="1">
      <alignment horizontal="center" vertical="center" wrapText="1"/>
    </xf>
    <xf numFmtId="49" fontId="64" fillId="25" borderId="1" xfId="2" quotePrefix="1" applyNumberFormat="1" applyFont="1" applyFill="1" applyBorder="1" applyAlignment="1" applyProtection="1">
      <alignment horizontal="center" vertical="center" wrapText="1"/>
    </xf>
    <xf numFmtId="49" fontId="13" fillId="25" borderId="1" xfId="2" applyNumberFormat="1" applyFont="1" applyFill="1" applyBorder="1" applyAlignment="1" applyProtection="1">
      <alignment vertical="center" wrapText="1"/>
    </xf>
    <xf numFmtId="49" fontId="20" fillId="25" borderId="1" xfId="0" applyNumberFormat="1" applyFont="1" applyFill="1" applyBorder="1" applyAlignment="1" applyProtection="1">
      <alignment vertical="center" wrapText="1"/>
    </xf>
    <xf numFmtId="49" fontId="70" fillId="25" borderId="1" xfId="0" applyNumberFormat="1" applyFont="1" applyFill="1" applyBorder="1" applyAlignment="1">
      <alignment horizontal="center" vertical="top" wrapText="1"/>
    </xf>
    <xf numFmtId="49" fontId="9" fillId="25" borderId="2" xfId="0" applyNumberFormat="1" applyFont="1" applyFill="1" applyBorder="1" applyAlignment="1">
      <alignment horizontal="center" vertical="top" wrapText="1"/>
    </xf>
    <xf numFmtId="2" fontId="65" fillId="25" borderId="1" xfId="0" applyNumberFormat="1" applyFont="1" applyFill="1" applyBorder="1" applyAlignment="1">
      <alignment horizontal="center" vertical="center" wrapText="1"/>
    </xf>
    <xf numFmtId="49" fontId="9" fillId="25" borderId="4" xfId="0" applyNumberFormat="1" applyFont="1" applyFill="1" applyBorder="1" applyAlignment="1">
      <alignment horizontal="center" vertical="top" wrapText="1"/>
    </xf>
    <xf numFmtId="49" fontId="13" fillId="25" borderId="1" xfId="3" applyNumberFormat="1" applyFont="1" applyFill="1" applyBorder="1" applyAlignment="1">
      <alignment horizontal="left" vertical="center" wrapText="1"/>
    </xf>
    <xf numFmtId="49" fontId="9" fillId="25" borderId="1" xfId="3" applyNumberFormat="1" applyFont="1" applyFill="1" applyBorder="1" applyAlignment="1">
      <alignment horizontal="center" vertical="center" wrapText="1"/>
    </xf>
    <xf numFmtId="0" fontId="13" fillId="25" borderId="1" xfId="3" applyNumberFormat="1" applyFont="1" applyFill="1" applyBorder="1" applyAlignment="1">
      <alignment horizontal="center" vertical="center" wrapText="1"/>
    </xf>
    <xf numFmtId="0" fontId="76" fillId="25" borderId="1" xfId="3" applyNumberFormat="1" applyFont="1" applyFill="1" applyBorder="1" applyAlignment="1">
      <alignment horizontal="center" vertical="center" wrapText="1"/>
    </xf>
    <xf numFmtId="49" fontId="20" fillId="25" borderId="1" xfId="3" applyNumberFormat="1" applyFont="1" applyFill="1" applyBorder="1" applyAlignment="1">
      <alignment horizontal="left" vertical="center" wrapText="1"/>
    </xf>
    <xf numFmtId="0" fontId="9" fillId="25" borderId="1" xfId="3" applyNumberFormat="1" applyFont="1" applyFill="1" applyBorder="1" applyAlignment="1">
      <alignment horizontal="center" vertical="center" wrapText="1"/>
    </xf>
    <xf numFmtId="49" fontId="64" fillId="25" borderId="1" xfId="634" applyNumberFormat="1" applyFont="1" applyFill="1" applyBorder="1" applyAlignment="1">
      <alignment horizontal="center" vertical="center" wrapText="1"/>
    </xf>
    <xf numFmtId="0" fontId="13" fillId="25" borderId="1" xfId="634" applyNumberFormat="1" applyFont="1" applyFill="1" applyBorder="1" applyAlignment="1">
      <alignment horizontal="center" vertical="center" wrapText="1"/>
    </xf>
    <xf numFmtId="0" fontId="20" fillId="25" borderId="1" xfId="634" applyNumberFormat="1" applyFont="1" applyFill="1" applyBorder="1" applyAlignment="1">
      <alignment horizontal="center" vertical="center" wrapText="1"/>
    </xf>
    <xf numFmtId="49" fontId="9" fillId="25" borderId="1" xfId="634" applyNumberFormat="1" applyFont="1" applyFill="1" applyBorder="1" applyAlignment="1">
      <alignment horizontal="center" vertical="center" wrapText="1"/>
    </xf>
    <xf numFmtId="49" fontId="13" fillId="25" borderId="1" xfId="0" applyNumberFormat="1" applyFont="1" applyFill="1" applyBorder="1" applyAlignment="1">
      <alignment horizontal="left" vertical="center" wrapText="1"/>
    </xf>
    <xf numFmtId="0" fontId="13" fillId="25" borderId="3" xfId="0" applyNumberFormat="1" applyFont="1" applyFill="1" applyBorder="1" applyAlignment="1">
      <alignment horizontal="center" vertical="center" wrapText="1"/>
    </xf>
    <xf numFmtId="49" fontId="13" fillId="25" borderId="3" xfId="0" applyNumberFormat="1" applyFont="1" applyFill="1" applyBorder="1" applyAlignment="1">
      <alignment horizontal="left" vertical="center" wrapText="1"/>
    </xf>
    <xf numFmtId="49" fontId="9" fillId="25" borderId="3" xfId="0" applyNumberFormat="1" applyFont="1" applyFill="1" applyBorder="1" applyAlignment="1">
      <alignment horizontal="center" vertical="center" wrapText="1"/>
    </xf>
    <xf numFmtId="0" fontId="13" fillId="25" borderId="3" xfId="634" applyNumberFormat="1" applyFont="1" applyFill="1" applyBorder="1" applyAlignment="1">
      <alignment horizontal="center" vertical="center" wrapText="1"/>
    </xf>
    <xf numFmtId="49" fontId="64" fillId="25" borderId="1" xfId="0" applyNumberFormat="1" applyFont="1" applyFill="1" applyBorder="1" applyAlignment="1">
      <alignment horizontal="left" vertical="center" wrapText="1"/>
    </xf>
    <xf numFmtId="0" fontId="9" fillId="25" borderId="3" xfId="0" applyNumberFormat="1" applyFont="1" applyFill="1" applyBorder="1" applyAlignment="1">
      <alignment horizontal="center" vertical="center" wrapText="1"/>
    </xf>
    <xf numFmtId="49" fontId="9" fillId="25" borderId="1" xfId="0" applyNumberFormat="1" applyFont="1" applyFill="1" applyBorder="1" applyAlignment="1">
      <alignment horizontal="left" vertical="center" wrapText="1"/>
    </xf>
    <xf numFmtId="49" fontId="64" fillId="25" borderId="3" xfId="0" applyNumberFormat="1" applyFont="1" applyFill="1" applyBorder="1" applyAlignment="1">
      <alignment horizontal="center" vertical="center" wrapText="1"/>
    </xf>
    <xf numFmtId="49" fontId="9" fillId="25" borderId="3" xfId="634" applyNumberFormat="1" applyFont="1" applyFill="1" applyBorder="1" applyAlignment="1">
      <alignment horizontal="center" vertical="center" wrapText="1"/>
    </xf>
    <xf numFmtId="49" fontId="13" fillId="25" borderId="3" xfId="634" applyNumberFormat="1" applyFont="1" applyFill="1" applyBorder="1" applyAlignment="1">
      <alignment horizontal="left" vertical="center" wrapText="1"/>
    </xf>
    <xf numFmtId="49" fontId="9" fillId="25" borderId="1" xfId="683" applyNumberFormat="1" applyFont="1" applyFill="1" applyBorder="1" applyAlignment="1">
      <alignment horizontal="center" vertical="center" wrapText="1"/>
    </xf>
    <xf numFmtId="0" fontId="13" fillId="25" borderId="1" xfId="683" applyNumberFormat="1" applyFont="1" applyFill="1" applyBorder="1" applyAlignment="1">
      <alignment horizontal="center" vertical="center" wrapText="1"/>
    </xf>
    <xf numFmtId="0" fontId="20" fillId="25" borderId="3" xfId="634" applyNumberFormat="1" applyFont="1" applyFill="1" applyBorder="1" applyAlignment="1">
      <alignment horizontal="center" vertical="center" wrapText="1"/>
    </xf>
    <xf numFmtId="0" fontId="9" fillId="25" borderId="3" xfId="634" applyNumberFormat="1" applyFont="1" applyFill="1" applyBorder="1" applyAlignment="1">
      <alignment horizontal="center" vertical="center" wrapText="1"/>
    </xf>
    <xf numFmtId="0" fontId="13" fillId="25" borderId="2" xfId="0" applyNumberFormat="1" applyFont="1" applyFill="1" applyBorder="1" applyAlignment="1">
      <alignment horizontal="center" vertical="center" wrapText="1"/>
    </xf>
    <xf numFmtId="49" fontId="13" fillId="25" borderId="3" xfId="0" applyNumberFormat="1" applyFont="1" applyFill="1" applyBorder="1" applyAlignment="1">
      <alignment vertical="center" wrapText="1"/>
    </xf>
    <xf numFmtId="49" fontId="13" fillId="25" borderId="1" xfId="3" applyNumberFormat="1" applyFont="1" applyFill="1" applyBorder="1" applyAlignment="1">
      <alignment vertical="center" wrapText="1"/>
    </xf>
    <xf numFmtId="2" fontId="13" fillId="25" borderId="3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left" vertical="center" wrapText="1"/>
    </xf>
    <xf numFmtId="49" fontId="7" fillId="25" borderId="1" xfId="0" applyNumberFormat="1" applyFont="1" applyFill="1" applyBorder="1" applyAlignment="1">
      <alignment horizontal="left" vertical="center" wrapText="1"/>
    </xf>
    <xf numFmtId="167" fontId="13" fillId="25" borderId="1" xfId="0" applyNumberFormat="1" applyFont="1" applyFill="1" applyBorder="1" applyAlignment="1">
      <alignment horizontal="center" vertical="center" wrapText="1"/>
    </xf>
    <xf numFmtId="49" fontId="64" fillId="25" borderId="1" xfId="3" applyNumberFormat="1" applyFont="1" applyFill="1" applyBorder="1" applyAlignment="1">
      <alignment horizontal="center" vertical="center" wrapText="1"/>
    </xf>
    <xf numFmtId="49" fontId="9" fillId="25" borderId="1" xfId="3" applyNumberFormat="1" applyFont="1" applyFill="1" applyBorder="1" applyAlignment="1">
      <alignment horizontal="left" vertical="center" wrapText="1"/>
    </xf>
    <xf numFmtId="49" fontId="20" fillId="25" borderId="2" xfId="634" applyNumberFormat="1" applyFont="1" applyFill="1" applyBorder="1" applyAlignment="1">
      <alignment vertical="center" wrapText="1"/>
    </xf>
    <xf numFmtId="49" fontId="20" fillId="25" borderId="3" xfId="634" applyNumberFormat="1" applyFont="1" applyFill="1" applyBorder="1" applyAlignment="1">
      <alignment vertical="center" wrapText="1"/>
    </xf>
    <xf numFmtId="0" fontId="9" fillId="25" borderId="1" xfId="0" applyNumberFormat="1" applyFont="1" applyFill="1" applyBorder="1" applyAlignment="1" applyProtection="1">
      <alignment horizontal="center" vertical="center" wrapText="1"/>
    </xf>
    <xf numFmtId="49" fontId="9" fillId="25" borderId="1" xfId="0" applyNumberFormat="1" applyFont="1" applyFill="1" applyBorder="1" applyAlignment="1" applyProtection="1">
      <alignment horizontal="left" vertical="center" wrapText="1"/>
    </xf>
    <xf numFmtId="0" fontId="13" fillId="25" borderId="3" xfId="655" applyNumberFormat="1" applyFont="1" applyFill="1" applyBorder="1" applyAlignment="1">
      <alignment horizontal="center" vertical="center" wrapText="1"/>
    </xf>
    <xf numFmtId="0" fontId="20" fillId="25" borderId="3" xfId="655" applyNumberFormat="1" applyFont="1" applyFill="1" applyBorder="1" applyAlignment="1">
      <alignment horizontal="center" vertical="center" wrapText="1"/>
    </xf>
    <xf numFmtId="49" fontId="12" fillId="25" borderId="1" xfId="634" applyNumberFormat="1" applyFont="1" applyFill="1" applyBorder="1" applyAlignment="1">
      <alignment horizontal="center" vertical="center" wrapText="1"/>
    </xf>
    <xf numFmtId="2" fontId="13" fillId="25" borderId="3" xfId="1" applyNumberFormat="1" applyFont="1" applyFill="1" applyBorder="1" applyAlignment="1">
      <alignment horizontal="center" vertical="center" wrapText="1"/>
    </xf>
    <xf numFmtId="49" fontId="9" fillId="25" borderId="2" xfId="3" applyNumberFormat="1" applyFont="1" applyFill="1" applyBorder="1" applyAlignment="1">
      <alignment horizontal="center" vertical="center" wrapText="1"/>
    </xf>
    <xf numFmtId="0" fontId="20" fillId="25" borderId="1" xfId="3" applyNumberFormat="1" applyFont="1" applyFill="1" applyBorder="1" applyAlignment="1">
      <alignment horizontal="center" vertical="center" wrapText="1"/>
    </xf>
    <xf numFmtId="49" fontId="9" fillId="25" borderId="7" xfId="0" applyNumberFormat="1" applyFont="1" applyFill="1" applyBorder="1" applyAlignment="1">
      <alignment horizontal="left" vertical="center" wrapText="1"/>
    </xf>
    <xf numFmtId="49" fontId="9" fillId="25" borderId="2" xfId="0" applyNumberFormat="1" applyFont="1" applyFill="1" applyBorder="1" applyAlignment="1">
      <alignment horizontal="center" vertical="center" wrapText="1"/>
    </xf>
    <xf numFmtId="49" fontId="13" fillId="25" borderId="1" xfId="4" applyNumberFormat="1" applyFont="1" applyFill="1" applyBorder="1" applyAlignment="1">
      <alignment vertical="top" wrapText="1"/>
    </xf>
    <xf numFmtId="49" fontId="71" fillId="25" borderId="2" xfId="0" applyNumberFormat="1" applyFont="1" applyFill="1" applyBorder="1" applyAlignment="1">
      <alignment horizontal="center" vertical="top" wrapText="1"/>
    </xf>
    <xf numFmtId="49" fontId="71" fillId="25" borderId="4" xfId="0" applyNumberFormat="1" applyFont="1" applyFill="1" applyBorder="1" applyAlignment="1">
      <alignment horizontal="center" vertical="top" wrapText="1"/>
    </xf>
    <xf numFmtId="49" fontId="71" fillId="25" borderId="3" xfId="0" applyNumberFormat="1" applyFont="1" applyFill="1" applyBorder="1" applyAlignment="1">
      <alignment horizontal="center" vertical="top" wrapText="1"/>
    </xf>
    <xf numFmtId="49" fontId="64" fillId="25" borderId="1" xfId="1" applyNumberFormat="1" applyFont="1" applyFill="1" applyBorder="1" applyAlignment="1">
      <alignment horizontal="center" vertical="center" wrapText="1"/>
    </xf>
    <xf numFmtId="49" fontId="20" fillId="25" borderId="1" xfId="1" applyNumberFormat="1" applyFont="1" applyFill="1" applyBorder="1" applyAlignment="1">
      <alignment horizontal="left" vertical="center" wrapText="1"/>
    </xf>
    <xf numFmtId="0" fontId="9" fillId="25" borderId="1" xfId="1" applyNumberFormat="1" applyFont="1" applyFill="1" applyBorder="1" applyAlignment="1">
      <alignment horizontal="center" vertical="center" wrapText="1"/>
    </xf>
    <xf numFmtId="2" fontId="20" fillId="25" borderId="1" xfId="1" applyNumberFormat="1" applyFont="1" applyFill="1" applyBorder="1" applyAlignment="1">
      <alignment horizontal="center" vertical="center" wrapText="1"/>
    </xf>
    <xf numFmtId="49" fontId="9" fillId="25" borderId="1" xfId="1" applyNumberFormat="1" applyFont="1" applyFill="1" applyBorder="1" applyAlignment="1">
      <alignment horizontal="center" vertical="center" wrapText="1"/>
    </xf>
    <xf numFmtId="49" fontId="13" fillId="25" borderId="1" xfId="1" applyNumberFormat="1" applyFont="1" applyFill="1" applyBorder="1" applyAlignment="1">
      <alignment horizontal="left" vertical="center" wrapText="1"/>
    </xf>
    <xf numFmtId="49" fontId="9" fillId="25" borderId="1" xfId="1" applyNumberFormat="1" applyFont="1" applyFill="1" applyBorder="1" applyAlignment="1">
      <alignment horizontal="left" vertical="center" wrapText="1"/>
    </xf>
    <xf numFmtId="0" fontId="64" fillId="25" borderId="1" xfId="1" applyNumberFormat="1" applyFont="1" applyFill="1" applyBorder="1" applyAlignment="1">
      <alignment horizontal="center" vertical="center" wrapText="1"/>
    </xf>
    <xf numFmtId="2" fontId="13" fillId="25" borderId="1" xfId="947" applyNumberFormat="1" applyFont="1" applyFill="1" applyBorder="1" applyAlignment="1">
      <alignment horizontal="center" vertical="center" wrapText="1"/>
    </xf>
    <xf numFmtId="49" fontId="9" fillId="25" borderId="1" xfId="1" applyNumberFormat="1" applyFont="1" applyFill="1" applyBorder="1" applyAlignment="1">
      <alignment horizontal="center" vertical="top" wrapText="1"/>
    </xf>
    <xf numFmtId="2" fontId="13" fillId="25" borderId="5" xfId="1" applyNumberFormat="1" applyFont="1" applyFill="1" applyBorder="1" applyAlignment="1">
      <alignment horizontal="center" vertical="center" wrapText="1"/>
    </xf>
    <xf numFmtId="49" fontId="88" fillId="25" borderId="1" xfId="1" applyNumberFormat="1" applyFont="1" applyFill="1" applyBorder="1" applyAlignment="1">
      <alignment horizontal="center" vertical="top" wrapText="1"/>
    </xf>
    <xf numFmtId="49" fontId="89" fillId="25" borderId="1" xfId="1" applyNumberFormat="1" applyFont="1" applyFill="1" applyBorder="1" applyAlignment="1">
      <alignment horizontal="center" vertical="center" wrapText="1"/>
    </xf>
    <xf numFmtId="2" fontId="77" fillId="25" borderId="1" xfId="1" applyNumberFormat="1" applyFont="1" applyFill="1" applyBorder="1" applyAlignment="1">
      <alignment horizontal="center" vertical="center"/>
    </xf>
    <xf numFmtId="2" fontId="77" fillId="25" borderId="1" xfId="1" applyNumberFormat="1" applyFont="1" applyFill="1" applyBorder="1" applyAlignment="1">
      <alignment horizontal="center" vertical="top"/>
    </xf>
    <xf numFmtId="49" fontId="74" fillId="25" borderId="1" xfId="1" applyNumberFormat="1" applyFont="1" applyFill="1" applyBorder="1" applyAlignment="1">
      <alignment horizontal="center" vertical="top" wrapText="1"/>
    </xf>
    <xf numFmtId="49" fontId="13" fillId="25" borderId="1" xfId="1" applyNumberFormat="1" applyFont="1" applyFill="1" applyBorder="1" applyAlignment="1">
      <alignment vertical="center" wrapText="1"/>
    </xf>
    <xf numFmtId="49" fontId="74" fillId="25" borderId="1" xfId="1" applyNumberFormat="1" applyFont="1" applyFill="1" applyBorder="1" applyAlignment="1">
      <alignment horizontal="center" vertical="center" wrapText="1"/>
    </xf>
    <xf numFmtId="49" fontId="13" fillId="25" borderId="1" xfId="1" applyNumberFormat="1" applyFont="1" applyFill="1" applyBorder="1" applyAlignment="1">
      <alignment horizontal="left" vertical="top" wrapText="1"/>
    </xf>
    <xf numFmtId="49" fontId="20" fillId="25" borderId="3" xfId="0" applyNumberFormat="1" applyFont="1" applyFill="1" applyBorder="1" applyAlignment="1">
      <alignment horizontal="center" vertical="center" wrapText="1"/>
    </xf>
    <xf numFmtId="49" fontId="13" fillId="25" borderId="3" xfId="1" applyNumberFormat="1" applyFont="1" applyFill="1" applyBorder="1" applyAlignment="1">
      <alignment horizontal="left" vertical="top" wrapText="1"/>
    </xf>
    <xf numFmtId="49" fontId="9" fillId="25" borderId="3" xfId="1" applyNumberFormat="1" applyFont="1" applyFill="1" applyBorder="1" applyAlignment="1">
      <alignment horizontal="center" vertical="center" wrapText="1"/>
    </xf>
    <xf numFmtId="0" fontId="9" fillId="25" borderId="20" xfId="0" applyNumberFormat="1" applyFont="1" applyFill="1" applyBorder="1" applyAlignment="1">
      <alignment horizontal="center" vertical="center" wrapText="1"/>
    </xf>
    <xf numFmtId="2" fontId="13" fillId="25" borderId="20" xfId="1" applyNumberFormat="1" applyFont="1" applyFill="1" applyBorder="1" applyAlignment="1">
      <alignment horizontal="center" vertical="center"/>
    </xf>
    <xf numFmtId="2" fontId="13" fillId="25" borderId="1" xfId="1" applyNumberFormat="1" applyFont="1" applyFill="1" applyBorder="1" applyAlignment="1">
      <alignment horizontal="center" vertical="center"/>
    </xf>
    <xf numFmtId="0" fontId="9" fillId="25" borderId="5" xfId="0" applyNumberFormat="1" applyFont="1" applyFill="1" applyBorder="1" applyAlignment="1">
      <alignment horizontal="center" vertical="center" wrapText="1"/>
    </xf>
    <xf numFmtId="2" fontId="13" fillId="25" borderId="5" xfId="1" applyNumberFormat="1" applyFont="1" applyFill="1" applyBorder="1" applyAlignment="1">
      <alignment horizontal="center" vertical="center"/>
    </xf>
    <xf numFmtId="49" fontId="9" fillId="25" borderId="1" xfId="0" applyNumberFormat="1" applyFont="1" applyFill="1" applyBorder="1" applyAlignment="1">
      <alignment vertical="top" wrapText="1"/>
    </xf>
    <xf numFmtId="49" fontId="20" fillId="25" borderId="1" xfId="1" applyNumberFormat="1" applyFont="1" applyFill="1" applyBorder="1" applyAlignment="1">
      <alignment horizontal="left" vertical="top" wrapText="1"/>
    </xf>
    <xf numFmtId="0" fontId="13" fillId="25" borderId="5" xfId="0" applyNumberFormat="1" applyFont="1" applyFill="1" applyBorder="1" applyAlignment="1">
      <alignment horizontal="center" vertical="center" wrapText="1"/>
    </xf>
    <xf numFmtId="49" fontId="64" fillId="25" borderId="1" xfId="0" applyNumberFormat="1" applyFont="1" applyFill="1" applyBorder="1" applyAlignment="1" applyProtection="1">
      <alignment horizontal="left" vertical="center" wrapText="1"/>
    </xf>
    <xf numFmtId="49" fontId="9" fillId="25" borderId="1" xfId="0" applyNumberFormat="1" applyFont="1" applyFill="1" applyBorder="1" applyAlignment="1" applyProtection="1">
      <alignment horizontal="center" vertical="center" wrapText="1"/>
    </xf>
    <xf numFmtId="49" fontId="64" fillId="25" borderId="1" xfId="0" quotePrefix="1" applyNumberFormat="1" applyFont="1" applyFill="1" applyBorder="1" applyAlignment="1" applyProtection="1">
      <alignment horizontal="center" vertical="center" wrapText="1"/>
    </xf>
    <xf numFmtId="49" fontId="9" fillId="25" borderId="1" xfId="0" quotePrefix="1" applyNumberFormat="1" applyFont="1" applyFill="1" applyBorder="1" applyAlignment="1" applyProtection="1">
      <alignment horizontal="center" vertical="center" wrapText="1"/>
    </xf>
    <xf numFmtId="49" fontId="9" fillId="25" borderId="1" xfId="0" applyNumberFormat="1" applyFont="1" applyFill="1" applyBorder="1" applyAlignment="1" applyProtection="1">
      <alignment vertical="center" wrapText="1"/>
    </xf>
    <xf numFmtId="49" fontId="64" fillId="25" borderId="1" xfId="0" applyNumberFormat="1" applyFont="1" applyFill="1" applyBorder="1" applyAlignment="1" applyProtection="1">
      <alignment vertical="center" wrapText="1"/>
    </xf>
    <xf numFmtId="0" fontId="9" fillId="25" borderId="5" xfId="0" applyNumberFormat="1" applyFont="1" applyFill="1" applyBorder="1" applyAlignment="1" applyProtection="1">
      <alignment horizontal="center" vertical="center" wrapText="1"/>
    </xf>
    <xf numFmtId="2" fontId="9" fillId="25" borderId="5" xfId="0" applyNumberFormat="1" applyFont="1" applyFill="1" applyBorder="1" applyAlignment="1">
      <alignment horizontal="center" vertical="center" wrapText="1"/>
    </xf>
    <xf numFmtId="0" fontId="9" fillId="25" borderId="3" xfId="0" applyNumberFormat="1" applyFont="1" applyFill="1" applyBorder="1" applyAlignment="1" applyProtection="1">
      <alignment horizontal="center" vertical="center" wrapText="1"/>
    </xf>
    <xf numFmtId="0" fontId="13" fillId="25" borderId="1" xfId="938" applyNumberFormat="1" applyFont="1" applyFill="1" applyBorder="1" applyAlignment="1">
      <alignment horizontal="center" vertical="center" wrapText="1"/>
    </xf>
    <xf numFmtId="49" fontId="86" fillId="25" borderId="1" xfId="0" applyNumberFormat="1" applyFont="1" applyFill="1" applyBorder="1" applyAlignment="1">
      <alignment horizontal="center" vertical="center" wrapText="1"/>
    </xf>
    <xf numFmtId="49" fontId="20" fillId="25" borderId="1" xfId="0" applyNumberFormat="1" applyFont="1" applyFill="1" applyBorder="1" applyAlignment="1" applyProtection="1">
      <alignment horizontal="left" vertical="center" wrapText="1"/>
    </xf>
    <xf numFmtId="49" fontId="84" fillId="25" borderId="1" xfId="0" applyNumberFormat="1" applyFont="1" applyFill="1" applyBorder="1" applyAlignment="1" applyProtection="1">
      <alignment horizontal="center" vertical="center" wrapText="1"/>
    </xf>
    <xf numFmtId="0" fontId="9" fillId="25" borderId="1" xfId="0" applyNumberFormat="1" applyFont="1" applyFill="1" applyBorder="1" applyAlignment="1">
      <alignment horizontal="left" vertical="center" wrapText="1"/>
    </xf>
    <xf numFmtId="2" fontId="9" fillId="25" borderId="3" xfId="0" applyNumberFormat="1" applyFont="1" applyFill="1" applyBorder="1" applyAlignment="1">
      <alignment horizontal="center" vertical="center" wrapText="1"/>
    </xf>
    <xf numFmtId="0" fontId="92" fillId="25" borderId="19" xfId="0" applyFont="1" applyFill="1" applyBorder="1" applyAlignment="1">
      <alignment horizontal="center" vertical="center" wrapText="1"/>
    </xf>
    <xf numFmtId="0" fontId="92" fillId="25" borderId="0" xfId="0" applyFont="1" applyFill="1" applyAlignment="1">
      <alignment horizontal="left" vertical="center" wrapText="1"/>
    </xf>
    <xf numFmtId="0" fontId="84" fillId="25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left" vertical="center" wrapText="1"/>
    </xf>
    <xf numFmtId="0" fontId="87" fillId="25" borderId="0" xfId="0" applyNumberFormat="1" applyFont="1" applyFill="1" applyAlignment="1">
      <alignment horizontal="center" vertical="center" wrapText="1"/>
    </xf>
    <xf numFmtId="0" fontId="83" fillId="25" borderId="0" xfId="0" applyNumberFormat="1" applyFont="1" applyFill="1" applyAlignment="1">
      <alignment horizontal="left" vertical="center" wrapText="1"/>
    </xf>
    <xf numFmtId="0" fontId="83" fillId="25" borderId="0" xfId="0" applyNumberFormat="1" applyFont="1" applyFill="1" applyAlignment="1">
      <alignment vertical="center" wrapText="1"/>
    </xf>
    <xf numFmtId="0" fontId="7" fillId="25" borderId="0" xfId="0" applyNumberFormat="1" applyFont="1" applyFill="1" applyAlignment="1">
      <alignment horizontal="center" vertical="center" wrapText="1"/>
    </xf>
    <xf numFmtId="0" fontId="79" fillId="25" borderId="0" xfId="0" applyNumberFormat="1" applyFont="1" applyFill="1" applyAlignment="1">
      <alignment horizontal="center" vertical="center" wrapText="1"/>
    </xf>
    <xf numFmtId="49" fontId="97" fillId="25" borderId="0" xfId="0" applyNumberFormat="1" applyFont="1" applyFill="1" applyAlignment="1">
      <alignment horizontal="center" vertical="center"/>
    </xf>
    <xf numFmtId="0" fontId="7" fillId="25" borderId="0" xfId="0" applyNumberFormat="1" applyFont="1" applyFill="1" applyAlignment="1">
      <alignment horizontal="left" vertical="center" wrapText="1"/>
    </xf>
    <xf numFmtId="49" fontId="9" fillId="25" borderId="1" xfId="2" quotePrefix="1" applyNumberFormat="1" applyFont="1" applyFill="1" applyBorder="1" applyAlignment="1" applyProtection="1">
      <alignment horizontal="center" vertical="center" wrapText="1"/>
    </xf>
    <xf numFmtId="2" fontId="79" fillId="25" borderId="0" xfId="0" applyNumberFormat="1" applyFont="1" applyFill="1" applyAlignment="1">
      <alignment horizontal="center" vertical="center" wrapText="1"/>
    </xf>
    <xf numFmtId="0" fontId="87" fillId="25" borderId="0" xfId="0" applyFont="1" applyFill="1" applyAlignment="1">
      <alignment horizontal="center" vertical="center" wrapText="1"/>
    </xf>
    <xf numFmtId="0" fontId="10" fillId="25" borderId="0" xfId="0" applyFont="1" applyFill="1" applyAlignment="1">
      <alignment horizontal="left" vertical="center" wrapText="1"/>
    </xf>
    <xf numFmtId="0" fontId="10" fillId="25" borderId="0" xfId="0" applyFont="1" applyFill="1" applyAlignment="1">
      <alignment horizontal="center" vertical="center" wrapText="1"/>
    </xf>
    <xf numFmtId="49" fontId="9" fillId="25" borderId="0" xfId="0" applyNumberFormat="1" applyFont="1" applyFill="1" applyAlignment="1">
      <alignment horizontal="center" vertical="top" wrapText="1"/>
    </xf>
    <xf numFmtId="49" fontId="9" fillId="25" borderId="0" xfId="0" applyNumberFormat="1" applyFont="1" applyFill="1" applyAlignment="1">
      <alignment horizontal="center" vertical="center" wrapText="1"/>
    </xf>
    <xf numFmtId="49" fontId="64" fillId="25" borderId="0" xfId="0" applyNumberFormat="1" applyFont="1" applyFill="1" applyAlignment="1">
      <alignment horizontal="center" vertical="center" wrapText="1"/>
    </xf>
    <xf numFmtId="0" fontId="13" fillId="25" borderId="0" xfId="0" applyNumberFormat="1" applyFont="1" applyFill="1" applyAlignment="1">
      <alignment horizontal="center" vertical="center" wrapText="1"/>
    </xf>
    <xf numFmtId="2" fontId="13" fillId="25" borderId="0" xfId="0" applyNumberFormat="1" applyFont="1" applyFill="1" applyAlignment="1">
      <alignment horizontal="center" vertical="center" wrapText="1"/>
    </xf>
    <xf numFmtId="2" fontId="13" fillId="25" borderId="0" xfId="0" applyNumberFormat="1" applyFont="1" applyFill="1" applyAlignment="1">
      <alignment vertical="center" wrapText="1"/>
    </xf>
    <xf numFmtId="49" fontId="16" fillId="25" borderId="0" xfId="0" applyNumberFormat="1" applyFont="1" applyFill="1" applyAlignment="1"/>
    <xf numFmtId="49" fontId="64" fillId="25" borderId="0" xfId="0" applyNumberFormat="1" applyFont="1" applyFill="1"/>
    <xf numFmtId="0" fontId="13" fillId="25" borderId="0" xfId="0" applyNumberFormat="1" applyFont="1" applyFill="1"/>
    <xf numFmtId="49" fontId="9" fillId="25" borderId="0" xfId="0" applyNumberFormat="1" applyFont="1" applyFill="1" applyAlignment="1">
      <alignment vertical="center" wrapText="1"/>
    </xf>
    <xf numFmtId="49" fontId="64" fillId="25" borderId="0" xfId="0" applyNumberFormat="1" applyFont="1" applyFill="1" applyAlignment="1">
      <alignment vertical="center" wrapText="1"/>
    </xf>
    <xf numFmtId="0" fontId="20" fillId="25" borderId="0" xfId="0" applyNumberFormat="1" applyFont="1" applyFill="1" applyAlignment="1">
      <alignment vertical="center" wrapText="1"/>
    </xf>
    <xf numFmtId="49" fontId="82" fillId="25" borderId="4" xfId="1" applyNumberFormat="1" applyFont="1" applyFill="1" applyBorder="1" applyAlignment="1">
      <alignment horizontal="center" vertical="top" wrapText="1"/>
    </xf>
    <xf numFmtId="0" fontId="9" fillId="25" borderId="5" xfId="3" applyNumberFormat="1" applyFont="1" applyFill="1" applyBorder="1" applyAlignment="1">
      <alignment horizontal="center" vertical="center" wrapText="1"/>
    </xf>
    <xf numFmtId="0" fontId="13" fillId="25" borderId="5" xfId="3" applyNumberFormat="1" applyFont="1" applyFill="1" applyBorder="1" applyAlignment="1">
      <alignment horizontal="center" vertical="center" wrapText="1"/>
    </xf>
    <xf numFmtId="0" fontId="64" fillId="25" borderId="1" xfId="3" applyNumberFormat="1" applyFont="1" applyFill="1" applyBorder="1" applyAlignment="1">
      <alignment horizontal="center" vertical="center" wrapText="1"/>
    </xf>
    <xf numFmtId="0" fontId="64" fillId="25" borderId="5" xfId="3" applyNumberFormat="1" applyFont="1" applyFill="1" applyBorder="1" applyAlignment="1">
      <alignment horizontal="center" vertical="center" wrapText="1"/>
    </xf>
    <xf numFmtId="0" fontId="20" fillId="25" borderId="5" xfId="3" applyNumberFormat="1" applyFont="1" applyFill="1" applyBorder="1" applyAlignment="1">
      <alignment horizontal="center" vertical="center" wrapText="1"/>
    </xf>
    <xf numFmtId="49" fontId="13" fillId="25" borderId="1" xfId="0" applyNumberFormat="1" applyFont="1" applyFill="1" applyBorder="1" applyAlignment="1">
      <alignment horizontal="center" vertical="top" wrapText="1"/>
    </xf>
    <xf numFmtId="49" fontId="13" fillId="25" borderId="0" xfId="0" applyNumberFormat="1" applyFont="1" applyFill="1" applyAlignment="1">
      <alignment vertical="center" wrapText="1"/>
    </xf>
    <xf numFmtId="49" fontId="72" fillId="25" borderId="0" xfId="0" applyNumberFormat="1" applyFont="1" applyFill="1" applyAlignment="1">
      <alignment horizontal="center" vertical="center" wrapText="1"/>
    </xf>
    <xf numFmtId="49" fontId="75" fillId="25" borderId="0" xfId="0" applyNumberFormat="1" applyFont="1" applyFill="1" applyAlignment="1">
      <alignment horizontal="center" vertical="center" wrapText="1"/>
    </xf>
    <xf numFmtId="49" fontId="16" fillId="25" borderId="0" xfId="0" applyNumberFormat="1" applyFont="1" applyFill="1" applyAlignment="1">
      <alignment horizontal="center" vertical="center" wrapText="1"/>
    </xf>
    <xf numFmtId="0" fontId="16" fillId="25" borderId="0" xfId="0" applyNumberFormat="1" applyFont="1" applyFill="1" applyAlignment="1">
      <alignment horizontal="center" vertical="center" wrapText="1"/>
    </xf>
    <xf numFmtId="2" fontId="16" fillId="25" borderId="0" xfId="0" applyNumberFormat="1" applyFont="1" applyFill="1" applyAlignment="1">
      <alignment horizontal="center" vertical="center" wrapText="1"/>
    </xf>
    <xf numFmtId="49" fontId="64" fillId="25" borderId="5" xfId="0" applyNumberFormat="1" applyFont="1" applyFill="1" applyBorder="1" applyAlignment="1">
      <alignment horizontal="center" vertical="center" wrapText="1"/>
    </xf>
    <xf numFmtId="0" fontId="79" fillId="25" borderId="19" xfId="0" applyFont="1" applyFill="1" applyBorder="1" applyAlignment="1">
      <alignment vertical="center" wrapText="1"/>
    </xf>
    <xf numFmtId="0" fontId="79" fillId="25" borderId="0" xfId="0" applyFont="1" applyFill="1" applyAlignment="1">
      <alignment vertical="center" wrapText="1"/>
    </xf>
    <xf numFmtId="0" fontId="79" fillId="25" borderId="0" xfId="0" applyFont="1" applyFill="1" applyBorder="1" applyAlignment="1">
      <alignment vertical="center" wrapText="1"/>
    </xf>
    <xf numFmtId="49" fontId="9" fillId="25" borderId="5" xfId="0" applyNumberFormat="1" applyFont="1" applyFill="1" applyBorder="1" applyAlignment="1">
      <alignment horizontal="center" vertical="center" wrapText="1"/>
    </xf>
    <xf numFmtId="49" fontId="72" fillId="25" borderId="1" xfId="0" applyNumberFormat="1" applyFont="1" applyFill="1" applyBorder="1" applyAlignment="1">
      <alignment horizontal="center" vertical="center" wrapText="1"/>
    </xf>
    <xf numFmtId="0" fontId="16" fillId="25" borderId="1" xfId="0" applyNumberFormat="1" applyFont="1" applyFill="1" applyBorder="1" applyAlignment="1">
      <alignment horizontal="center" vertical="center" wrapText="1"/>
    </xf>
    <xf numFmtId="2" fontId="16" fillId="25" borderId="1" xfId="0" applyNumberFormat="1" applyFont="1" applyFill="1" applyBorder="1" applyAlignment="1">
      <alignment horizontal="center" vertical="center" wrapText="1"/>
    </xf>
    <xf numFmtId="2" fontId="13" fillId="25" borderId="1" xfId="0" applyNumberFormat="1" applyFont="1" applyFill="1" applyBorder="1" applyAlignment="1">
      <alignment vertical="center" wrapText="1"/>
    </xf>
    <xf numFmtId="2" fontId="20" fillId="25" borderId="0" xfId="1" applyNumberFormat="1" applyFont="1" applyFill="1" applyAlignment="1">
      <alignment vertical="center" wrapText="1"/>
    </xf>
    <xf numFmtId="49" fontId="64" fillId="25" borderId="0" xfId="0" applyNumberFormat="1" applyFont="1" applyFill="1" applyBorder="1" applyAlignment="1">
      <alignment horizontal="center" vertical="center" wrapText="1"/>
    </xf>
    <xf numFmtId="49" fontId="16" fillId="25" borderId="0" xfId="0" applyNumberFormat="1" applyFont="1" applyFill="1" applyBorder="1" applyAlignment="1">
      <alignment wrapText="1"/>
    </xf>
    <xf numFmtId="49" fontId="72" fillId="25" borderId="0" xfId="0" applyNumberFormat="1" applyFont="1" applyFill="1" applyBorder="1" applyAlignment="1">
      <alignment wrapText="1"/>
    </xf>
    <xf numFmtId="0" fontId="16" fillId="25" borderId="0" xfId="0" applyNumberFormat="1" applyFont="1" applyFill="1" applyBorder="1" applyAlignment="1">
      <alignment wrapText="1"/>
    </xf>
    <xf numFmtId="0" fontId="16" fillId="25" borderId="0" xfId="0" applyNumberFormat="1" applyFont="1" applyFill="1" applyBorder="1" applyAlignment="1">
      <alignment horizontal="center" vertical="center" wrapText="1"/>
    </xf>
    <xf numFmtId="2" fontId="16" fillId="25" borderId="0" xfId="0" applyNumberFormat="1" applyFont="1" applyFill="1" applyBorder="1" applyAlignment="1">
      <alignment horizontal="center" vertical="center" wrapText="1"/>
    </xf>
    <xf numFmtId="49" fontId="64" fillId="25" borderId="0" xfId="0" applyNumberFormat="1" applyFont="1" applyFill="1" applyBorder="1" applyAlignment="1">
      <alignment vertical="center" wrapText="1"/>
    </xf>
    <xf numFmtId="49" fontId="13" fillId="25" borderId="0" xfId="0" applyNumberFormat="1" applyFont="1" applyFill="1" applyBorder="1" applyAlignment="1">
      <alignment horizontal="center" vertical="center" wrapText="1"/>
    </xf>
    <xf numFmtId="0" fontId="20" fillId="25" borderId="0" xfId="0" applyNumberFormat="1" applyFont="1" applyFill="1" applyBorder="1" applyAlignment="1">
      <alignment vertical="center" wrapText="1"/>
    </xf>
    <xf numFmtId="49" fontId="72" fillId="25" borderId="0" xfId="0" applyNumberFormat="1" applyFont="1" applyFill="1"/>
    <xf numFmtId="49" fontId="75" fillId="25" borderId="0" xfId="0" applyNumberFormat="1" applyFont="1" applyFill="1" applyBorder="1"/>
    <xf numFmtId="49" fontId="16" fillId="25" borderId="0" xfId="0" applyNumberFormat="1" applyFont="1" applyFill="1" applyBorder="1"/>
    <xf numFmtId="49" fontId="72" fillId="25" borderId="0" xfId="0" applyNumberFormat="1" applyFont="1" applyFill="1" applyBorder="1"/>
    <xf numFmtId="0" fontId="16" fillId="25" borderId="0" xfId="0" applyNumberFormat="1" applyFont="1" applyFill="1" applyBorder="1"/>
    <xf numFmtId="2" fontId="16" fillId="25" borderId="0" xfId="0" applyNumberFormat="1" applyFont="1" applyFill="1" applyBorder="1"/>
    <xf numFmtId="2" fontId="16" fillId="25" borderId="0" xfId="0" applyNumberFormat="1" applyFont="1" applyFill="1"/>
    <xf numFmtId="49" fontId="9" fillId="25" borderId="0" xfId="0" applyNumberFormat="1" applyFont="1" applyFill="1" applyBorder="1" applyAlignment="1">
      <alignment horizontal="center" vertical="center" wrapText="1"/>
    </xf>
    <xf numFmtId="0" fontId="13" fillId="25" borderId="0" xfId="0" applyNumberFormat="1" applyFont="1" applyFill="1" applyBorder="1" applyAlignment="1">
      <alignment horizontal="center" vertical="center" wrapText="1"/>
    </xf>
    <xf numFmtId="2" fontId="13" fillId="25" borderId="0" xfId="0" applyNumberFormat="1" applyFont="1" applyFill="1" applyBorder="1" applyAlignment="1">
      <alignment horizontal="center" vertical="center" wrapText="1"/>
    </xf>
    <xf numFmtId="49" fontId="80" fillId="25" borderId="0" xfId="0" applyNumberFormat="1" applyFont="1" applyFill="1" applyAlignment="1">
      <alignment horizontal="center" vertical="center" wrapText="1"/>
    </xf>
    <xf numFmtId="0" fontId="13" fillId="25" borderId="2" xfId="0" applyNumberFormat="1" applyFont="1" applyFill="1" applyBorder="1" applyAlignment="1">
      <alignment horizontal="center" vertical="center" wrapText="1"/>
    </xf>
    <xf numFmtId="49" fontId="9" fillId="25" borderId="1" xfId="795" applyNumberFormat="1" applyFont="1" applyFill="1" applyBorder="1" applyAlignment="1">
      <alignment horizontal="center" vertical="center" wrapText="1"/>
    </xf>
    <xf numFmtId="49" fontId="20" fillId="25" borderId="1" xfId="795" applyNumberFormat="1" applyFont="1" applyFill="1" applyBorder="1" applyAlignment="1">
      <alignment horizontal="center" vertical="center" wrapText="1"/>
    </xf>
    <xf numFmtId="49" fontId="64" fillId="25" borderId="1" xfId="795" applyNumberFormat="1" applyFont="1" applyFill="1" applyBorder="1" applyAlignment="1">
      <alignment horizontal="center" vertical="center" wrapText="1"/>
    </xf>
    <xf numFmtId="0" fontId="13" fillId="25" borderId="1" xfId="795" applyNumberFormat="1" applyFont="1" applyFill="1" applyBorder="1" applyAlignment="1">
      <alignment horizontal="center" vertical="center" wrapText="1"/>
    </xf>
    <xf numFmtId="49" fontId="64" fillId="25" borderId="1" xfId="919" applyNumberFormat="1" applyFont="1" applyFill="1" applyBorder="1" applyAlignment="1">
      <alignment horizontal="center" vertical="center" wrapText="1"/>
    </xf>
    <xf numFmtId="0" fontId="13" fillId="25" borderId="1" xfId="919" applyNumberFormat="1" applyFont="1" applyFill="1" applyBorder="1" applyAlignment="1">
      <alignment horizontal="center" vertical="center" wrapText="1"/>
    </xf>
    <xf numFmtId="0" fontId="20" fillId="25" borderId="1" xfId="919" applyNumberFormat="1" applyFont="1" applyFill="1" applyBorder="1" applyAlignment="1">
      <alignment horizontal="center" vertical="center" wrapText="1"/>
    </xf>
    <xf numFmtId="49" fontId="9" fillId="25" borderId="1" xfId="919" applyNumberFormat="1" applyFont="1" applyFill="1" applyBorder="1" applyAlignment="1">
      <alignment horizontal="center" vertical="center" wrapText="1"/>
    </xf>
    <xf numFmtId="49" fontId="9" fillId="25" borderId="2" xfId="655" applyNumberFormat="1" applyFont="1" applyFill="1" applyBorder="1" applyAlignment="1">
      <alignment horizontal="center" vertical="center" wrapText="1"/>
    </xf>
    <xf numFmtId="49" fontId="20" fillId="25" borderId="1" xfId="655" applyNumberFormat="1" applyFont="1" applyFill="1" applyBorder="1" applyAlignment="1">
      <alignment horizontal="left" vertical="center" wrapText="1"/>
    </xf>
    <xf numFmtId="0" fontId="87" fillId="25" borderId="1" xfId="655" applyNumberFormat="1" applyFont="1" applyFill="1" applyBorder="1" applyAlignment="1">
      <alignment horizontal="center" vertical="center" wrapText="1"/>
    </xf>
    <xf numFmtId="2" fontId="79" fillId="25" borderId="1" xfId="901" applyNumberFormat="1" applyFont="1" applyFill="1" applyBorder="1" applyAlignment="1">
      <alignment horizontal="center" vertical="center" wrapText="1"/>
    </xf>
    <xf numFmtId="2" fontId="79" fillId="25" borderId="1" xfId="0" applyNumberFormat="1" applyFont="1" applyFill="1" applyBorder="1" applyAlignment="1">
      <alignment horizontal="center" vertical="center" wrapText="1"/>
    </xf>
    <xf numFmtId="2" fontId="79" fillId="25" borderId="1" xfId="902" applyNumberFormat="1" applyFont="1" applyFill="1" applyBorder="1" applyAlignment="1">
      <alignment horizontal="center" vertical="center" wrapText="1"/>
    </xf>
    <xf numFmtId="49" fontId="9" fillId="25" borderId="3" xfId="655" applyNumberFormat="1" applyFont="1" applyFill="1" applyBorder="1" applyAlignment="1">
      <alignment horizontal="center" vertical="center" wrapText="1"/>
    </xf>
    <xf numFmtId="0" fontId="79" fillId="25" borderId="1" xfId="655" applyNumberFormat="1" applyFont="1" applyFill="1" applyBorder="1" applyAlignment="1">
      <alignment horizontal="center" vertical="center" wrapText="1"/>
    </xf>
    <xf numFmtId="49" fontId="20" fillId="25" borderId="1" xfId="682" applyNumberFormat="1" applyFont="1" applyFill="1" applyBorder="1" applyAlignment="1">
      <alignment horizontal="left" vertical="center" wrapText="1"/>
    </xf>
    <xf numFmtId="0" fontId="92" fillId="25" borderId="19" xfId="0" applyFont="1" applyFill="1" applyBorder="1" applyAlignment="1">
      <alignment vertical="center" wrapText="1"/>
    </xf>
    <xf numFmtId="0" fontId="92" fillId="25" borderId="0" xfId="0" applyFont="1" applyFill="1" applyBorder="1" applyAlignment="1">
      <alignment vertical="center" wrapText="1"/>
    </xf>
    <xf numFmtId="49" fontId="13" fillId="25" borderId="1" xfId="682" applyNumberFormat="1" applyFont="1" applyFill="1" applyBorder="1" applyAlignment="1">
      <alignment horizontal="left" vertical="center" wrapText="1"/>
    </xf>
    <xf numFmtId="49" fontId="9" fillId="25" borderId="1" xfId="929" applyNumberFormat="1" applyFont="1" applyFill="1" applyBorder="1" applyAlignment="1">
      <alignment horizontal="center" vertical="center" wrapText="1"/>
    </xf>
    <xf numFmtId="49" fontId="13" fillId="25" borderId="1" xfId="929" applyNumberFormat="1" applyFont="1" applyFill="1" applyBorder="1" applyAlignment="1">
      <alignment horizontal="left" vertical="center" wrapText="1"/>
    </xf>
    <xf numFmtId="49" fontId="64" fillId="25" borderId="1" xfId="929" applyNumberFormat="1" applyFont="1" applyFill="1" applyBorder="1" applyAlignment="1">
      <alignment horizontal="center" vertical="center" wrapText="1"/>
    </xf>
    <xf numFmtId="0" fontId="13" fillId="25" borderId="1" xfId="929" applyNumberFormat="1" applyFont="1" applyFill="1" applyBorder="1" applyAlignment="1">
      <alignment horizontal="center" vertical="center" wrapText="1"/>
    </xf>
    <xf numFmtId="49" fontId="64" fillId="25" borderId="1" xfId="872" applyNumberFormat="1" applyFont="1" applyFill="1" applyBorder="1" applyAlignment="1">
      <alignment horizontal="center" vertical="center" wrapText="1"/>
    </xf>
    <xf numFmtId="49" fontId="20" fillId="25" borderId="1" xfId="872" applyNumberFormat="1" applyFont="1" applyFill="1" applyBorder="1" applyAlignment="1">
      <alignment horizontal="left" vertical="center" wrapText="1"/>
    </xf>
    <xf numFmtId="0" fontId="13" fillId="25" borderId="1" xfId="872" applyNumberFormat="1" applyFont="1" applyFill="1" applyBorder="1" applyAlignment="1">
      <alignment horizontal="center" vertical="center" wrapText="1"/>
    </xf>
    <xf numFmtId="0" fontId="20" fillId="25" borderId="1" xfId="872" applyNumberFormat="1" applyFont="1" applyFill="1" applyBorder="1" applyAlignment="1">
      <alignment horizontal="center" vertical="center" wrapText="1"/>
    </xf>
    <xf numFmtId="49" fontId="9" fillId="25" borderId="1" xfId="872" applyNumberFormat="1" applyFont="1" applyFill="1" applyBorder="1" applyAlignment="1">
      <alignment horizontal="center" vertical="center" wrapText="1"/>
    </xf>
    <xf numFmtId="49" fontId="13" fillId="25" borderId="2" xfId="872" applyNumberFormat="1" applyFont="1" applyFill="1" applyBorder="1" applyAlignment="1">
      <alignment horizontal="left" vertical="center" wrapText="1"/>
    </xf>
    <xf numFmtId="0" fontId="14" fillId="25" borderId="1" xfId="919" applyNumberFormat="1" applyFont="1" applyFill="1" applyBorder="1" applyAlignment="1">
      <alignment horizontal="center" vertical="center" wrapText="1"/>
    </xf>
    <xf numFmtId="2" fontId="14" fillId="25" borderId="1" xfId="901" applyNumberFormat="1" applyFont="1" applyFill="1" applyBorder="1" applyAlignment="1">
      <alignment horizontal="center" vertical="center" wrapText="1"/>
    </xf>
    <xf numFmtId="2" fontId="14" fillId="25" borderId="1" xfId="0" applyNumberFormat="1" applyFont="1" applyFill="1" applyBorder="1" applyAlignment="1">
      <alignment horizontal="center" vertical="center" wrapText="1"/>
    </xf>
    <xf numFmtId="2" fontId="14" fillId="25" borderId="1" xfId="902" applyNumberFormat="1" applyFont="1" applyFill="1" applyBorder="1" applyAlignment="1">
      <alignment horizontal="center" vertical="center" wrapText="1"/>
    </xf>
    <xf numFmtId="0" fontId="15" fillId="25" borderId="1" xfId="919" applyNumberFormat="1" applyFont="1" applyFill="1" applyBorder="1" applyAlignment="1">
      <alignment horizontal="center" vertical="center" wrapText="1"/>
    </xf>
    <xf numFmtId="49" fontId="64" fillId="25" borderId="1" xfId="946" applyNumberFormat="1" applyFont="1" applyFill="1" applyBorder="1" applyAlignment="1">
      <alignment horizontal="center" vertical="center" wrapText="1"/>
    </xf>
    <xf numFmtId="0" fontId="93" fillId="25" borderId="19" xfId="0" applyFont="1" applyFill="1" applyBorder="1" applyAlignment="1">
      <alignment vertical="center" wrapText="1"/>
    </xf>
    <xf numFmtId="0" fontId="93" fillId="25" borderId="0" xfId="0" applyFont="1" applyFill="1" applyAlignment="1">
      <alignment vertical="center" wrapText="1"/>
    </xf>
    <xf numFmtId="0" fontId="93" fillId="25" borderId="0" xfId="0" applyFont="1" applyFill="1" applyAlignment="1">
      <alignment horizontal="center" vertical="center" wrapText="1"/>
    </xf>
    <xf numFmtId="49" fontId="9" fillId="25" borderId="1" xfId="872" applyNumberFormat="1" applyFont="1" applyFill="1" applyBorder="1" applyAlignment="1">
      <alignment vertical="center" wrapText="1"/>
    </xf>
    <xf numFmtId="0" fontId="9" fillId="25" borderId="1" xfId="872" applyNumberFormat="1" applyFont="1" applyFill="1" applyBorder="1" applyAlignment="1">
      <alignment horizontal="center" vertical="center" wrapText="1"/>
    </xf>
    <xf numFmtId="49" fontId="64" fillId="25" borderId="1" xfId="647" applyNumberFormat="1" applyFont="1" applyFill="1" applyBorder="1" applyAlignment="1">
      <alignment horizontal="center" vertical="center" wrapText="1"/>
    </xf>
    <xf numFmtId="0" fontId="20" fillId="25" borderId="1" xfId="647" applyNumberFormat="1" applyFont="1" applyFill="1" applyBorder="1" applyAlignment="1">
      <alignment horizontal="center" vertical="center" wrapText="1"/>
    </xf>
    <xf numFmtId="2" fontId="20" fillId="25" borderId="1" xfId="901" applyNumberFormat="1" applyFont="1" applyFill="1" applyBorder="1" applyAlignment="1">
      <alignment horizontal="center" vertical="center" wrapText="1"/>
    </xf>
    <xf numFmtId="2" fontId="20" fillId="25" borderId="1" xfId="902" applyNumberFormat="1" applyFont="1" applyFill="1" applyBorder="1" applyAlignment="1">
      <alignment horizontal="center" vertical="center" wrapText="1"/>
    </xf>
    <xf numFmtId="2" fontId="96" fillId="25" borderId="0" xfId="0" applyNumberFormat="1" applyFont="1" applyFill="1" applyAlignment="1">
      <alignment horizontal="left" vertical="center" wrapText="1"/>
    </xf>
    <xf numFmtId="49" fontId="85" fillId="25" borderId="1" xfId="0" applyNumberFormat="1" applyFont="1" applyFill="1" applyBorder="1" applyAlignment="1">
      <alignment horizontal="center" vertical="center" wrapText="1"/>
    </xf>
    <xf numFmtId="0" fontId="85" fillId="25" borderId="1" xfId="0" applyNumberFormat="1" applyFont="1" applyFill="1" applyBorder="1" applyAlignment="1">
      <alignment horizontal="center" vertical="center" wrapText="1"/>
    </xf>
    <xf numFmtId="2" fontId="85" fillId="25" borderId="1" xfId="0" applyNumberFormat="1" applyFont="1" applyFill="1" applyBorder="1" applyAlignment="1">
      <alignment horizontal="center" vertical="center" wrapText="1"/>
    </xf>
    <xf numFmtId="49" fontId="64" fillId="25" borderId="0" xfId="0" applyNumberFormat="1" applyFont="1" applyFill="1" applyAlignment="1">
      <alignment horizontal="left" vertical="center" wrapText="1"/>
    </xf>
    <xf numFmtId="0" fontId="13" fillId="25" borderId="0" xfId="0" applyNumberFormat="1" applyFont="1" applyFill="1" applyAlignment="1">
      <alignment horizontal="left" vertical="center" wrapText="1"/>
    </xf>
    <xf numFmtId="49" fontId="16" fillId="25" borderId="0" xfId="0" applyNumberFormat="1" applyFont="1" applyFill="1" applyAlignment="1">
      <alignment horizontal="left" wrapText="1"/>
    </xf>
    <xf numFmtId="49" fontId="75" fillId="25" borderId="0" xfId="0" applyNumberFormat="1" applyFont="1" applyFill="1" applyAlignment="1">
      <alignment horizontal="left"/>
    </xf>
    <xf numFmtId="0" fontId="16" fillId="25" borderId="0" xfId="0" applyNumberFormat="1" applyFont="1" applyFill="1" applyAlignment="1">
      <alignment horizontal="left"/>
    </xf>
    <xf numFmtId="0" fontId="0" fillId="25" borderId="0" xfId="0" applyNumberFormat="1" applyFill="1" applyAlignment="1">
      <alignment horizontal="center" vertical="center" wrapText="1"/>
    </xf>
    <xf numFmtId="0" fontId="6" fillId="25" borderId="0" xfId="0" applyNumberFormat="1" applyFont="1" applyFill="1" applyAlignment="1">
      <alignment horizontal="center" vertical="center" wrapText="1"/>
    </xf>
    <xf numFmtId="0" fontId="14" fillId="25" borderId="1" xfId="0" applyNumberFormat="1" applyFont="1" applyFill="1" applyBorder="1" applyAlignment="1">
      <alignment horizontal="center" vertical="center" wrapText="1"/>
    </xf>
    <xf numFmtId="0" fontId="6" fillId="25" borderId="1" xfId="0" applyNumberFormat="1" applyFont="1" applyFill="1" applyBorder="1" applyAlignment="1">
      <alignment horizontal="center" vertical="center" wrapText="1"/>
    </xf>
    <xf numFmtId="164" fontId="6" fillId="25" borderId="1" xfId="1" applyFont="1" applyFill="1" applyBorder="1" applyAlignment="1">
      <alignment horizontal="center" vertical="center" wrapText="1"/>
    </xf>
    <xf numFmtId="2" fontId="6" fillId="25" borderId="1" xfId="0" applyNumberFormat="1" applyFont="1" applyFill="1" applyBorder="1" applyAlignment="1">
      <alignment horizontal="center" vertical="center" wrapText="1"/>
    </xf>
    <xf numFmtId="0" fontId="94" fillId="25" borderId="19" xfId="0" applyNumberFormat="1" applyFont="1" applyFill="1" applyBorder="1" applyAlignment="1">
      <alignment vertical="center" wrapText="1"/>
    </xf>
    <xf numFmtId="0" fontId="94" fillId="25" borderId="0" xfId="0" applyNumberFormat="1" applyFont="1" applyFill="1" applyAlignment="1">
      <alignment vertical="center" wrapText="1"/>
    </xf>
    <xf numFmtId="0" fontId="5" fillId="25" borderId="1" xfId="0" applyNumberFormat="1" applyFont="1" applyFill="1" applyBorder="1" applyAlignment="1">
      <alignment horizontal="center" vertical="center" wrapText="1"/>
    </xf>
    <xf numFmtId="164" fontId="5" fillId="25" borderId="1" xfId="1" applyFont="1" applyFill="1" applyBorder="1" applyAlignment="1">
      <alignment horizontal="center" vertical="center" wrapText="1"/>
    </xf>
    <xf numFmtId="0" fontId="8" fillId="25" borderId="1" xfId="0" applyNumberFormat="1" applyFont="1" applyFill="1" applyBorder="1" applyAlignment="1">
      <alignment horizontal="center" vertical="center" wrapText="1"/>
    </xf>
    <xf numFmtId="10" fontId="5" fillId="25" borderId="1" xfId="0" applyNumberFormat="1" applyFont="1" applyFill="1" applyBorder="1" applyAlignment="1">
      <alignment horizontal="center" vertical="center" wrapText="1"/>
    </xf>
    <xf numFmtId="2" fontId="5" fillId="25" borderId="1" xfId="0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0" fontId="64" fillId="25" borderId="0" xfId="0" applyFont="1" applyFill="1" applyAlignment="1">
      <alignment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/>
    </xf>
    <xf numFmtId="0" fontId="100" fillId="25" borderId="1" xfId="0" applyFont="1" applyFill="1" applyBorder="1" applyAlignment="1">
      <alignment horizontal="center" vertical="center"/>
    </xf>
    <xf numFmtId="0" fontId="100" fillId="25" borderId="2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/>
    </xf>
    <xf numFmtId="2" fontId="100" fillId="25" borderId="1" xfId="0" applyNumberFormat="1" applyFont="1" applyFill="1" applyBorder="1" applyAlignment="1">
      <alignment horizontal="center" vertical="center"/>
    </xf>
    <xf numFmtId="0" fontId="77" fillId="25" borderId="1" xfId="0" quotePrefix="1" applyFont="1" applyFill="1" applyBorder="1" applyAlignment="1">
      <alignment horizontal="center" vertical="center" wrapText="1"/>
    </xf>
    <xf numFmtId="0" fontId="100" fillId="25" borderId="1" xfId="0" applyFont="1" applyFill="1" applyBorder="1" applyAlignment="1">
      <alignment horizontal="center" vertical="top" wrapText="1"/>
    </xf>
    <xf numFmtId="0" fontId="77" fillId="25" borderId="21" xfId="0" applyFont="1" applyFill="1" applyBorder="1" applyAlignment="1">
      <alignment horizontal="center" vertical="top" wrapText="1"/>
    </xf>
    <xf numFmtId="0" fontId="103" fillId="25" borderId="1" xfId="0" quotePrefix="1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top" wrapText="1"/>
    </xf>
    <xf numFmtId="0" fontId="76" fillId="25" borderId="21" xfId="0" applyFont="1" applyFill="1" applyBorder="1" applyAlignment="1">
      <alignment horizontal="center" vertical="top" wrapText="1"/>
    </xf>
    <xf numFmtId="0" fontId="103" fillId="25" borderId="1" xfId="0" quotePrefix="1" applyFont="1" applyFill="1" applyBorder="1" applyAlignment="1">
      <alignment horizontal="center" vertical="top" wrapText="1"/>
    </xf>
    <xf numFmtId="167" fontId="100" fillId="25" borderId="1" xfId="0" applyNumberFormat="1" applyFont="1" applyFill="1" applyBorder="1" applyAlignment="1">
      <alignment horizontal="center" vertical="center" wrapText="1"/>
    </xf>
    <xf numFmtId="0" fontId="76" fillId="25" borderId="23" xfId="0" applyFont="1" applyFill="1" applyBorder="1" applyAlignment="1">
      <alignment horizontal="center" vertical="top" wrapText="1"/>
    </xf>
    <xf numFmtId="0" fontId="103" fillId="25" borderId="2" xfId="0" quotePrefix="1" applyFont="1" applyFill="1" applyBorder="1" applyAlignment="1">
      <alignment horizontal="center" vertical="top" wrapText="1"/>
    </xf>
    <xf numFmtId="167" fontId="100" fillId="25" borderId="2" xfId="0" applyNumberFormat="1" applyFont="1" applyFill="1" applyBorder="1" applyAlignment="1">
      <alignment horizontal="center" vertical="center" wrapText="1"/>
    </xf>
    <xf numFmtId="0" fontId="100" fillId="25" borderId="3" xfId="682" applyFont="1" applyFill="1" applyBorder="1" applyAlignment="1">
      <alignment horizontal="center" vertical="center"/>
    </xf>
    <xf numFmtId="0" fontId="101" fillId="25" borderId="1" xfId="682" applyFont="1" applyFill="1" applyBorder="1" applyAlignment="1">
      <alignment horizontal="center" vertical="center"/>
    </xf>
    <xf numFmtId="0" fontId="100" fillId="25" borderId="1" xfId="682" applyFont="1" applyFill="1" applyBorder="1" applyAlignment="1">
      <alignment horizontal="center" vertical="center"/>
    </xf>
    <xf numFmtId="0" fontId="77" fillId="25" borderId="29" xfId="0" applyFont="1" applyFill="1" applyBorder="1" applyAlignment="1">
      <alignment horizontal="center" vertical="center"/>
    </xf>
    <xf numFmtId="0" fontId="77" fillId="25" borderId="37" xfId="0" applyFont="1" applyFill="1" applyBorder="1" applyAlignment="1">
      <alignment horizontal="center" vertical="center"/>
    </xf>
    <xf numFmtId="0" fontId="77" fillId="25" borderId="30" xfId="0" applyFont="1" applyFill="1" applyBorder="1" applyAlignment="1">
      <alignment horizontal="center" vertical="center"/>
    </xf>
    <xf numFmtId="0" fontId="77" fillId="25" borderId="31" xfId="0" applyFont="1" applyFill="1" applyBorder="1" applyAlignment="1">
      <alignment horizontal="center" vertical="center" wrapText="1"/>
    </xf>
    <xf numFmtId="0" fontId="77" fillId="25" borderId="31" xfId="0" applyFont="1" applyFill="1" applyBorder="1" applyAlignment="1">
      <alignment horizontal="center" vertical="center"/>
    </xf>
    <xf numFmtId="0" fontId="77" fillId="25" borderId="38" xfId="0" applyFont="1" applyFill="1" applyBorder="1" applyAlignment="1">
      <alignment horizontal="center" vertical="center"/>
    </xf>
    <xf numFmtId="0" fontId="94" fillId="25" borderId="0" xfId="0" applyNumberFormat="1" applyFont="1" applyFill="1" applyBorder="1" applyAlignment="1">
      <alignment vertical="center" wrapText="1"/>
    </xf>
    <xf numFmtId="0" fontId="0" fillId="25" borderId="0" xfId="0" applyFill="1"/>
    <xf numFmtId="0" fontId="77" fillId="25" borderId="1" xfId="0" applyFont="1" applyFill="1" applyBorder="1" applyAlignment="1">
      <alignment horizontal="left" vertical="center" wrapText="1"/>
    </xf>
    <xf numFmtId="2" fontId="101" fillId="25" borderId="1" xfId="0" applyNumberFormat="1" applyFont="1" applyFill="1" applyBorder="1" applyAlignment="1">
      <alignment horizontal="center" vertical="center"/>
    </xf>
    <xf numFmtId="2" fontId="77" fillId="25" borderId="1" xfId="0" applyNumberFormat="1" applyFont="1" applyFill="1" applyBorder="1" applyAlignment="1">
      <alignment horizontal="center" vertical="center" wrapText="1"/>
    </xf>
    <xf numFmtId="2" fontId="99" fillId="25" borderId="22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top" wrapText="1"/>
    </xf>
    <xf numFmtId="2" fontId="101" fillId="25" borderId="1" xfId="0" applyNumberFormat="1" applyFont="1" applyFill="1" applyBorder="1" applyAlignment="1">
      <alignment horizontal="center" vertical="center" wrapText="1"/>
    </xf>
    <xf numFmtId="0" fontId="100" fillId="25" borderId="21" xfId="0" applyFont="1" applyFill="1" applyBorder="1" applyAlignment="1">
      <alignment horizontal="center" vertical="top" wrapText="1"/>
    </xf>
    <xf numFmtId="167" fontId="101" fillId="25" borderId="1" xfId="0" applyNumberFormat="1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left" vertical="center" wrapText="1"/>
    </xf>
    <xf numFmtId="0" fontId="77" fillId="25" borderId="2" xfId="0" applyFont="1" applyFill="1" applyBorder="1" applyAlignment="1">
      <alignment horizontal="left" vertical="center" wrapText="1"/>
    </xf>
    <xf numFmtId="167" fontId="101" fillId="25" borderId="2" xfId="0" applyNumberFormat="1" applyFont="1" applyFill="1" applyBorder="1" applyAlignment="1">
      <alignment horizontal="center" vertical="center" wrapText="1"/>
    </xf>
    <xf numFmtId="2" fontId="77" fillId="25" borderId="2" xfId="0" applyNumberFormat="1" applyFont="1" applyFill="1" applyBorder="1" applyAlignment="1">
      <alignment horizontal="center" vertical="center" wrapText="1"/>
    </xf>
    <xf numFmtId="0" fontId="77" fillId="25" borderId="24" xfId="0" applyFont="1" applyFill="1" applyBorder="1" applyAlignment="1">
      <alignment horizontal="center" vertical="top" wrapText="1"/>
    </xf>
    <xf numFmtId="0" fontId="77" fillId="25" borderId="25" xfId="0" applyFont="1" applyFill="1" applyBorder="1" applyAlignment="1">
      <alignment horizontal="center" vertical="center" wrapText="1"/>
    </xf>
    <xf numFmtId="0" fontId="99" fillId="25" borderId="25" xfId="682" applyFont="1" applyFill="1" applyBorder="1" applyAlignment="1">
      <alignment vertical="center" wrapText="1"/>
    </xf>
    <xf numFmtId="0" fontId="99" fillId="25" borderId="25" xfId="682" applyFont="1" applyFill="1" applyBorder="1" applyAlignment="1">
      <alignment horizontal="center" vertical="center"/>
    </xf>
    <xf numFmtId="0" fontId="101" fillId="25" borderId="25" xfId="682" applyFont="1" applyFill="1" applyBorder="1" applyAlignment="1">
      <alignment horizontal="center" vertical="center"/>
    </xf>
    <xf numFmtId="2" fontId="101" fillId="25" borderId="25" xfId="0" applyNumberFormat="1" applyFont="1" applyFill="1" applyBorder="1" applyAlignment="1">
      <alignment horizontal="center" vertical="center" wrapText="1"/>
    </xf>
    <xf numFmtId="2" fontId="101" fillId="25" borderId="26" xfId="0" applyNumberFormat="1" applyFont="1" applyFill="1" applyBorder="1" applyAlignment="1">
      <alignment horizontal="center" vertical="center" wrapText="1"/>
    </xf>
    <xf numFmtId="0" fontId="99" fillId="25" borderId="27" xfId="682" applyFont="1" applyFill="1" applyBorder="1" applyAlignment="1">
      <alignment horizontal="center" vertical="top"/>
    </xf>
    <xf numFmtId="49" fontId="99" fillId="25" borderId="3" xfId="682" applyNumberFormat="1" applyFont="1" applyFill="1" applyBorder="1" applyAlignment="1">
      <alignment horizontal="center" vertical="top" wrapText="1"/>
    </xf>
    <xf numFmtId="49" fontId="77" fillId="25" borderId="3" xfId="682" applyNumberFormat="1" applyFont="1" applyFill="1" applyBorder="1" applyAlignment="1">
      <alignment vertical="center" wrapText="1"/>
    </xf>
    <xf numFmtId="0" fontId="77" fillId="25" borderId="3" xfId="0" applyFont="1" applyFill="1" applyBorder="1" applyAlignment="1">
      <alignment horizontal="center" vertical="center"/>
    </xf>
    <xf numFmtId="0" fontId="101" fillId="25" borderId="3" xfId="682" applyFont="1" applyFill="1" applyBorder="1" applyAlignment="1">
      <alignment horizontal="center" vertical="center"/>
    </xf>
    <xf numFmtId="2" fontId="101" fillId="25" borderId="28" xfId="0" applyNumberFormat="1" applyFont="1" applyFill="1" applyBorder="1" applyAlignment="1">
      <alignment horizontal="center" vertical="center" wrapText="1"/>
    </xf>
    <xf numFmtId="0" fontId="99" fillId="25" borderId="21" xfId="682" applyFont="1" applyFill="1" applyBorder="1" applyAlignment="1">
      <alignment horizontal="center" vertical="top"/>
    </xf>
    <xf numFmtId="49" fontId="99" fillId="25" borderId="1" xfId="682" applyNumberFormat="1" applyFont="1" applyFill="1" applyBorder="1" applyAlignment="1">
      <alignment horizontal="center" vertical="top" wrapText="1"/>
    </xf>
    <xf numFmtId="0" fontId="99" fillId="25" borderId="1" xfId="682" applyFont="1" applyFill="1" applyBorder="1" applyAlignment="1">
      <alignment vertical="center"/>
    </xf>
    <xf numFmtId="0" fontId="99" fillId="25" borderId="1" xfId="682" applyFont="1" applyFill="1" applyBorder="1" applyAlignment="1">
      <alignment horizontal="center" vertical="center"/>
    </xf>
    <xf numFmtId="9" fontId="81" fillId="25" borderId="1" xfId="0" applyNumberFormat="1" applyFont="1" applyFill="1" applyBorder="1" applyAlignment="1">
      <alignment horizontal="center" vertical="center" wrapText="1"/>
    </xf>
    <xf numFmtId="2" fontId="101" fillId="25" borderId="22" xfId="0" applyNumberFormat="1" applyFont="1" applyFill="1" applyBorder="1" applyAlignment="1">
      <alignment horizontal="center" vertical="center" wrapText="1"/>
    </xf>
    <xf numFmtId="0" fontId="99" fillId="25" borderId="1" xfId="0" applyFont="1" applyFill="1" applyBorder="1" applyAlignment="1">
      <alignment vertical="center" wrapText="1"/>
    </xf>
    <xf numFmtId="10" fontId="81" fillId="25" borderId="1" xfId="682" applyNumberFormat="1" applyFont="1" applyFill="1" applyBorder="1" applyAlignment="1">
      <alignment horizontal="center" vertical="center"/>
    </xf>
    <xf numFmtId="0" fontId="104" fillId="25" borderId="21" xfId="682" applyFont="1" applyFill="1" applyBorder="1" applyAlignment="1">
      <alignment horizontal="center" vertical="top"/>
    </xf>
    <xf numFmtId="49" fontId="104" fillId="25" borderId="1" xfId="682" applyNumberFormat="1" applyFont="1" applyFill="1" applyBorder="1" applyAlignment="1">
      <alignment horizontal="center" vertical="top" wrapText="1"/>
    </xf>
    <xf numFmtId="2" fontId="105" fillId="25" borderId="1" xfId="752" applyNumberFormat="1" applyFont="1" applyFill="1" applyBorder="1" applyAlignment="1">
      <alignment horizontal="left" vertical="center" wrapText="1"/>
    </xf>
    <xf numFmtId="2" fontId="101" fillId="25" borderId="1" xfId="752" applyNumberFormat="1" applyFont="1" applyFill="1" applyBorder="1" applyAlignment="1">
      <alignment horizontal="center" vertical="center" wrapText="1"/>
    </xf>
    <xf numFmtId="2" fontId="100" fillId="25" borderId="1" xfId="752" applyNumberFormat="1" applyFont="1" applyFill="1" applyBorder="1" applyAlignment="1">
      <alignment horizontal="center" vertical="center" wrapText="1"/>
    </xf>
    <xf numFmtId="2" fontId="104" fillId="25" borderId="22" xfId="0" applyNumberFormat="1" applyFont="1" applyFill="1" applyBorder="1" applyAlignment="1">
      <alignment horizontal="center" vertical="center" wrapText="1"/>
    </xf>
    <xf numFmtId="0" fontId="106" fillId="25" borderId="24" xfId="682" applyFont="1" applyFill="1" applyBorder="1" applyAlignment="1">
      <alignment horizontal="center" vertical="top"/>
    </xf>
    <xf numFmtId="49" fontId="106" fillId="25" borderId="25" xfId="682" applyNumberFormat="1" applyFont="1" applyFill="1" applyBorder="1" applyAlignment="1">
      <alignment horizontal="center" vertical="top" wrapText="1"/>
    </xf>
    <xf numFmtId="2" fontId="107" fillId="25" borderId="25" xfId="752" applyNumberFormat="1" applyFont="1" applyFill="1" applyBorder="1" applyAlignment="1">
      <alignment horizontal="center" vertical="center" wrapText="1"/>
    </xf>
    <xf numFmtId="10" fontId="101" fillId="25" borderId="25" xfId="752" applyNumberFormat="1" applyFont="1" applyFill="1" applyBorder="1" applyAlignment="1">
      <alignment horizontal="center" vertical="center" wrapText="1"/>
    </xf>
    <xf numFmtId="2" fontId="101" fillId="25" borderId="25" xfId="752" applyNumberFormat="1" applyFont="1" applyFill="1" applyBorder="1" applyAlignment="1">
      <alignment horizontal="center" vertical="center" wrapText="1"/>
    </xf>
    <xf numFmtId="2" fontId="104" fillId="25" borderId="26" xfId="682" applyNumberFormat="1" applyFont="1" applyFill="1" applyBorder="1" applyAlignment="1">
      <alignment horizontal="center" vertical="center"/>
    </xf>
    <xf numFmtId="0" fontId="100" fillId="26" borderId="21" xfId="0" applyFont="1" applyFill="1" applyBorder="1" applyAlignment="1">
      <alignment horizontal="center" vertical="center"/>
    </xf>
    <xf numFmtId="0" fontId="103" fillId="26" borderId="1" xfId="0" quotePrefix="1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top" wrapText="1"/>
    </xf>
    <xf numFmtId="167" fontId="101" fillId="26" borderId="1" xfId="0" applyNumberFormat="1" applyFont="1" applyFill="1" applyBorder="1" applyAlignment="1">
      <alignment horizontal="center" vertical="center" wrapText="1"/>
    </xf>
    <xf numFmtId="2" fontId="77" fillId="26" borderId="1" xfId="0" applyNumberFormat="1" applyFont="1" applyFill="1" applyBorder="1" applyAlignment="1">
      <alignment horizontal="center" vertical="center" wrapText="1"/>
    </xf>
    <xf numFmtId="2" fontId="99" fillId="26" borderId="2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64" fillId="0" borderId="1" xfId="3" applyNumberFormat="1" applyFont="1" applyFill="1" applyBorder="1" applyAlignment="1">
      <alignment horizontal="center" vertical="center" wrapText="1"/>
    </xf>
    <xf numFmtId="49" fontId="20" fillId="0" borderId="1" xfId="634" applyNumberFormat="1" applyFont="1" applyFill="1" applyBorder="1" applyAlignment="1">
      <alignment horizontal="left" vertical="center" wrapText="1"/>
    </xf>
    <xf numFmtId="49" fontId="9" fillId="0" borderId="1" xfId="634" applyNumberFormat="1" applyFont="1" applyFill="1" applyBorder="1" applyAlignment="1">
      <alignment horizontal="center" vertical="center" wrapText="1"/>
    </xf>
    <xf numFmtId="0" fontId="13" fillId="0" borderId="3" xfId="634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9" fontId="20" fillId="26" borderId="6" xfId="0" applyNumberFormat="1" applyFont="1" applyFill="1" applyBorder="1" applyAlignment="1">
      <alignment horizontal="center" vertical="center" wrapText="1"/>
    </xf>
    <xf numFmtId="0" fontId="20" fillId="26" borderId="1" xfId="0" applyNumberFormat="1" applyFont="1" applyFill="1" applyBorder="1" applyAlignment="1">
      <alignment horizontal="center" vertical="center" wrapText="1"/>
    </xf>
    <xf numFmtId="9" fontId="20" fillId="26" borderId="1" xfId="0" applyNumberFormat="1" applyFont="1" applyFill="1" applyBorder="1" applyAlignment="1">
      <alignment horizontal="center" vertical="center" wrapText="1"/>
    </xf>
    <xf numFmtId="9" fontId="20" fillId="26" borderId="6" xfId="948" applyFont="1" applyFill="1" applyBorder="1" applyAlignment="1">
      <alignment horizontal="center" vertical="center" wrapText="1"/>
    </xf>
    <xf numFmtId="0" fontId="20" fillId="26" borderId="6" xfId="0" applyNumberFormat="1" applyFont="1" applyFill="1" applyBorder="1" applyAlignment="1">
      <alignment horizontal="center" vertical="center" wrapText="1"/>
    </xf>
    <xf numFmtId="0" fontId="20" fillId="26" borderId="7" xfId="0" applyNumberFormat="1" applyFont="1" applyFill="1" applyBorder="1" applyAlignment="1">
      <alignment horizontal="center" vertical="center" wrapText="1"/>
    </xf>
    <xf numFmtId="9" fontId="20" fillId="26" borderId="1" xfId="948" applyFont="1" applyFill="1" applyBorder="1" applyAlignment="1">
      <alignment horizontal="center" vertical="center" wrapText="1"/>
    </xf>
    <xf numFmtId="9" fontId="81" fillId="26" borderId="3" xfId="0" applyNumberFormat="1" applyFont="1" applyFill="1" applyBorder="1" applyAlignment="1">
      <alignment horizontal="center" vertical="center" wrapText="1"/>
    </xf>
    <xf numFmtId="9" fontId="81" fillId="26" borderId="1" xfId="0" applyNumberFormat="1" applyFont="1" applyFill="1" applyBorder="1" applyAlignment="1">
      <alignment horizontal="center" vertical="center" wrapText="1"/>
    </xf>
    <xf numFmtId="9" fontId="81" fillId="26" borderId="1" xfId="752" applyNumberFormat="1" applyFont="1" applyFill="1" applyBorder="1" applyAlignment="1">
      <alignment horizontal="center" vertical="center" wrapText="1"/>
    </xf>
    <xf numFmtId="49" fontId="108" fillId="25" borderId="1" xfId="0" applyNumberFormat="1" applyFont="1" applyFill="1" applyBorder="1" applyAlignment="1">
      <alignment horizontal="center" vertical="center" wrapText="1"/>
    </xf>
    <xf numFmtId="49" fontId="109" fillId="25" borderId="1" xfId="0" applyNumberFormat="1" applyFont="1" applyFill="1" applyBorder="1" applyAlignment="1">
      <alignment horizontal="center" vertical="center" wrapText="1"/>
    </xf>
    <xf numFmtId="49" fontId="110" fillId="25" borderId="1" xfId="0" applyNumberFormat="1" applyFont="1" applyFill="1" applyBorder="1" applyAlignment="1">
      <alignment horizontal="center" vertical="center" wrapText="1"/>
    </xf>
    <xf numFmtId="49" fontId="108" fillId="25" borderId="7" xfId="0" applyNumberFormat="1" applyFont="1" applyFill="1" applyBorder="1" applyAlignment="1">
      <alignment horizontal="center" vertical="center" wrapText="1"/>
    </xf>
    <xf numFmtId="49" fontId="111" fillId="25" borderId="1" xfId="919" applyNumberFormat="1" applyFont="1" applyFill="1" applyBorder="1" applyAlignment="1">
      <alignment horizontal="left" vertical="center" wrapText="1"/>
    </xf>
    <xf numFmtId="49" fontId="112" fillId="25" borderId="1" xfId="1" applyNumberFormat="1" applyFont="1" applyFill="1" applyBorder="1" applyAlignment="1">
      <alignment horizontal="left" vertical="center" wrapText="1"/>
    </xf>
    <xf numFmtId="49" fontId="111" fillId="25" borderId="1" xfId="3" applyNumberFormat="1" applyFont="1" applyFill="1" applyBorder="1" applyAlignment="1">
      <alignment vertical="center" wrapText="1"/>
    </xf>
    <xf numFmtId="49" fontId="111" fillId="25" borderId="1" xfId="0" applyNumberFormat="1" applyFont="1" applyFill="1" applyBorder="1" applyAlignment="1">
      <alignment vertical="center" wrapText="1"/>
    </xf>
    <xf numFmtId="49" fontId="112" fillId="25" borderId="1" xfId="0" applyNumberFormat="1" applyFont="1" applyFill="1" applyBorder="1" applyAlignment="1">
      <alignment vertical="center" wrapText="1"/>
    </xf>
    <xf numFmtId="49" fontId="111" fillId="25" borderId="1" xfId="0" applyNumberFormat="1" applyFont="1" applyFill="1" applyBorder="1" applyAlignment="1">
      <alignment horizontal="left" vertical="center" wrapText="1"/>
    </xf>
    <xf numFmtId="49" fontId="13" fillId="25" borderId="1" xfId="0" applyNumberFormat="1" applyFont="1" applyFill="1" applyBorder="1" applyAlignment="1">
      <alignment horizontal="center" vertical="center" wrapText="1"/>
    </xf>
    <xf numFmtId="49" fontId="20" fillId="25" borderId="1" xfId="0" applyNumberFormat="1" applyFont="1" applyFill="1" applyBorder="1" applyAlignment="1">
      <alignment horizontal="center" vertical="center" wrapText="1"/>
    </xf>
    <xf numFmtId="49" fontId="9" fillId="25" borderId="1" xfId="0" applyNumberFormat="1" applyFont="1" applyFill="1" applyBorder="1" applyAlignment="1">
      <alignment horizontal="center" vertical="center" wrapText="1"/>
    </xf>
    <xf numFmtId="0" fontId="6" fillId="25" borderId="0" xfId="0" applyNumberFormat="1" applyFont="1" applyFill="1" applyAlignment="1">
      <alignment horizontal="center" vertical="center" wrapText="1"/>
    </xf>
    <xf numFmtId="0" fontId="5" fillId="25" borderId="0" xfId="0" applyNumberFormat="1" applyFont="1" applyFill="1" applyAlignment="1">
      <alignment horizontal="center" vertical="center" wrapText="1"/>
    </xf>
    <xf numFmtId="0" fontId="15" fillId="25" borderId="0" xfId="0" applyNumberFormat="1" applyFont="1" applyFill="1" applyAlignment="1">
      <alignment horizontal="center" vertical="center" wrapText="1"/>
    </xf>
    <xf numFmtId="0" fontId="14" fillId="25" borderId="1" xfId="0" applyNumberFormat="1" applyFont="1" applyFill="1" applyBorder="1" applyAlignment="1">
      <alignment horizontal="center" vertical="center" wrapText="1"/>
    </xf>
    <xf numFmtId="49" fontId="73" fillId="25" borderId="2" xfId="1" applyNumberFormat="1" applyFont="1" applyFill="1" applyBorder="1" applyAlignment="1">
      <alignment horizontal="center" vertical="top" wrapText="1"/>
    </xf>
    <xf numFmtId="49" fontId="73" fillId="25" borderId="4" xfId="1" applyNumberFormat="1" applyFont="1" applyFill="1" applyBorder="1" applyAlignment="1">
      <alignment horizontal="center" vertical="top" wrapText="1"/>
    </xf>
    <xf numFmtId="49" fontId="71" fillId="25" borderId="2" xfId="1" applyNumberFormat="1" applyFont="1" applyFill="1" applyBorder="1" applyAlignment="1">
      <alignment horizontal="center" vertical="top" wrapText="1"/>
    </xf>
    <xf numFmtId="49" fontId="71" fillId="25" borderId="4" xfId="1" applyNumberFormat="1" applyFont="1" applyFill="1" applyBorder="1" applyAlignment="1">
      <alignment horizontal="center" vertical="top" wrapText="1"/>
    </xf>
    <xf numFmtId="49" fontId="71" fillId="25" borderId="3" xfId="1" applyNumberFormat="1" applyFont="1" applyFill="1" applyBorder="1" applyAlignment="1">
      <alignment horizontal="center" vertical="top" wrapText="1"/>
    </xf>
    <xf numFmtId="49" fontId="9" fillId="25" borderId="1" xfId="1" applyNumberFormat="1" applyFont="1" applyFill="1" applyBorder="1" applyAlignment="1">
      <alignment horizontal="center" vertical="top" wrapText="1"/>
    </xf>
    <xf numFmtId="49" fontId="9" fillId="25" borderId="1" xfId="0" applyNumberFormat="1" applyFont="1" applyFill="1" applyBorder="1" applyAlignment="1">
      <alignment horizontal="center" vertical="top" wrapText="1"/>
    </xf>
    <xf numFmtId="49" fontId="9" fillId="25" borderId="2" xfId="0" applyNumberFormat="1" applyFont="1" applyFill="1" applyBorder="1" applyAlignment="1">
      <alignment horizontal="center" vertical="top" wrapText="1"/>
    </xf>
    <xf numFmtId="49" fontId="9" fillId="25" borderId="4" xfId="0" applyNumberFormat="1" applyFont="1" applyFill="1" applyBorder="1" applyAlignment="1">
      <alignment horizontal="center" vertical="top" wrapText="1"/>
    </xf>
    <xf numFmtId="49" fontId="9" fillId="25" borderId="3" xfId="0" applyNumberFormat="1" applyFont="1" applyFill="1" applyBorder="1" applyAlignment="1">
      <alignment horizontal="center" vertical="top" wrapText="1"/>
    </xf>
    <xf numFmtId="49" fontId="70" fillId="25" borderId="2" xfId="0" applyNumberFormat="1" applyFont="1" applyFill="1" applyBorder="1" applyAlignment="1">
      <alignment horizontal="center" vertical="top" wrapText="1"/>
    </xf>
    <xf numFmtId="49" fontId="70" fillId="25" borderId="4" xfId="0" applyNumberFormat="1" applyFont="1" applyFill="1" applyBorder="1" applyAlignment="1">
      <alignment horizontal="center" vertical="top" wrapText="1"/>
    </xf>
    <xf numFmtId="49" fontId="70" fillId="25" borderId="3" xfId="0" applyNumberFormat="1" applyFont="1" applyFill="1" applyBorder="1" applyAlignment="1">
      <alignment horizontal="center" vertical="top" wrapText="1"/>
    </xf>
    <xf numFmtId="49" fontId="82" fillId="25" borderId="2" xfId="0" applyNumberFormat="1" applyFont="1" applyFill="1" applyBorder="1" applyAlignment="1">
      <alignment horizontal="center" vertical="top" wrapText="1"/>
    </xf>
    <xf numFmtId="49" fontId="82" fillId="25" borderId="4" xfId="0" applyNumberFormat="1" applyFont="1" applyFill="1" applyBorder="1" applyAlignment="1">
      <alignment horizontal="center" vertical="top" wrapText="1"/>
    </xf>
    <xf numFmtId="49" fontId="82" fillId="25" borderId="3" xfId="0" applyNumberFormat="1" applyFont="1" applyFill="1" applyBorder="1" applyAlignment="1">
      <alignment horizontal="center" vertical="top" wrapText="1"/>
    </xf>
    <xf numFmtId="49" fontId="82" fillId="25" borderId="2" xfId="1" applyNumberFormat="1" applyFont="1" applyFill="1" applyBorder="1" applyAlignment="1">
      <alignment horizontal="center" vertical="top" wrapText="1"/>
    </xf>
    <xf numFmtId="49" fontId="82" fillId="25" borderId="4" xfId="1" applyNumberFormat="1" applyFont="1" applyFill="1" applyBorder="1" applyAlignment="1">
      <alignment horizontal="center" vertical="top" wrapText="1"/>
    </xf>
    <xf numFmtId="49" fontId="82" fillId="25" borderId="3" xfId="1" applyNumberFormat="1" applyFont="1" applyFill="1" applyBorder="1" applyAlignment="1">
      <alignment horizontal="center" vertical="top" wrapText="1"/>
    </xf>
    <xf numFmtId="49" fontId="13" fillId="25" borderId="17" xfId="0" applyNumberFormat="1" applyFont="1" applyFill="1" applyBorder="1" applyAlignment="1">
      <alignment horizontal="center" vertical="top" wrapText="1"/>
    </xf>
    <xf numFmtId="49" fontId="13" fillId="25" borderId="18" xfId="0" applyNumberFormat="1" applyFont="1" applyFill="1" applyBorder="1" applyAlignment="1">
      <alignment horizontal="center" vertical="top" wrapText="1"/>
    </xf>
    <xf numFmtId="49" fontId="13" fillId="25" borderId="7" xfId="0" applyNumberFormat="1" applyFont="1" applyFill="1" applyBorder="1" applyAlignment="1">
      <alignment horizontal="center" vertical="top" wrapText="1"/>
    </xf>
    <xf numFmtId="49" fontId="70" fillId="25" borderId="1" xfId="0" applyNumberFormat="1" applyFont="1" applyFill="1" applyBorder="1" applyAlignment="1">
      <alignment horizontal="center" vertical="top" wrapText="1"/>
    </xf>
    <xf numFmtId="49" fontId="71" fillId="25" borderId="2" xfId="0" applyNumberFormat="1" applyFont="1" applyFill="1" applyBorder="1" applyAlignment="1">
      <alignment horizontal="center" vertical="top" wrapText="1"/>
    </xf>
    <xf numFmtId="49" fontId="71" fillId="25" borderId="4" xfId="0" applyNumberFormat="1" applyFont="1" applyFill="1" applyBorder="1" applyAlignment="1">
      <alignment horizontal="center" vertical="top" wrapText="1"/>
    </xf>
    <xf numFmtId="49" fontId="71" fillId="25" borderId="3" xfId="0" applyNumberFormat="1" applyFont="1" applyFill="1" applyBorder="1" applyAlignment="1">
      <alignment horizontal="center" vertical="top" wrapText="1"/>
    </xf>
    <xf numFmtId="49" fontId="13" fillId="25" borderId="2" xfId="0" applyNumberFormat="1" applyFont="1" applyFill="1" applyBorder="1" applyAlignment="1">
      <alignment horizontal="center" vertical="top" wrapText="1"/>
    </xf>
    <xf numFmtId="49" fontId="13" fillId="25" borderId="4" xfId="0" applyNumberFormat="1" applyFont="1" applyFill="1" applyBorder="1" applyAlignment="1">
      <alignment horizontal="center" vertical="top" wrapText="1"/>
    </xf>
    <xf numFmtId="49" fontId="13" fillId="25" borderId="3" xfId="0" applyNumberFormat="1" applyFont="1" applyFill="1" applyBorder="1" applyAlignment="1">
      <alignment horizontal="center" vertical="top" wrapText="1"/>
    </xf>
    <xf numFmtId="0" fontId="20" fillId="25" borderId="0" xfId="0" applyNumberFormat="1" applyFont="1" applyFill="1" applyAlignment="1">
      <alignment horizontal="center" vertical="center" wrapText="1"/>
    </xf>
    <xf numFmtId="49" fontId="13" fillId="25" borderId="1" xfId="0" applyNumberFormat="1" applyFont="1" applyFill="1" applyBorder="1" applyAlignment="1">
      <alignment horizontal="center" vertical="top" wrapText="1"/>
    </xf>
    <xf numFmtId="49" fontId="13" fillId="25" borderId="1" xfId="0" applyNumberFormat="1" applyFont="1" applyFill="1" applyBorder="1" applyAlignment="1">
      <alignment horizontal="center" vertical="center" wrapText="1"/>
    </xf>
    <xf numFmtId="49" fontId="13" fillId="25" borderId="2" xfId="0" applyNumberFormat="1" applyFont="1" applyFill="1" applyBorder="1" applyAlignment="1">
      <alignment horizontal="center" vertical="center" wrapText="1"/>
    </xf>
    <xf numFmtId="49" fontId="13" fillId="25" borderId="3" xfId="0" applyNumberFormat="1" applyFont="1" applyFill="1" applyBorder="1" applyAlignment="1">
      <alignment horizontal="center" vertical="center" wrapText="1"/>
    </xf>
    <xf numFmtId="49" fontId="20" fillId="25" borderId="1" xfId="0" applyNumberFormat="1" applyFont="1" applyFill="1" applyBorder="1" applyAlignment="1">
      <alignment horizontal="center" vertical="center" wrapText="1"/>
    </xf>
    <xf numFmtId="2" fontId="13" fillId="25" borderId="1" xfId="0" applyNumberFormat="1" applyFont="1" applyFill="1" applyBorder="1" applyAlignment="1">
      <alignment horizontal="center" vertical="center" wrapText="1"/>
    </xf>
    <xf numFmtId="2" fontId="13" fillId="25" borderId="5" xfId="0" applyNumberFormat="1" applyFont="1" applyFill="1" applyBorder="1" applyAlignment="1">
      <alignment horizontal="center" vertical="center" wrapText="1"/>
    </xf>
    <xf numFmtId="2" fontId="13" fillId="25" borderId="6" xfId="0" applyNumberFormat="1" applyFont="1" applyFill="1" applyBorder="1" applyAlignment="1">
      <alignment horizontal="center" vertical="center" wrapText="1"/>
    </xf>
    <xf numFmtId="0" fontId="13" fillId="25" borderId="1" xfId="0" applyNumberFormat="1" applyFont="1" applyFill="1" applyBorder="1" applyAlignment="1">
      <alignment horizontal="center" vertical="center" wrapText="1"/>
    </xf>
    <xf numFmtId="0" fontId="92" fillId="25" borderId="19" xfId="0" applyFont="1" applyFill="1" applyBorder="1" applyAlignment="1">
      <alignment horizontal="center" vertical="center" wrapText="1"/>
    </xf>
    <xf numFmtId="0" fontId="92" fillId="25" borderId="0" xfId="0" applyFont="1" applyFill="1" applyAlignment="1">
      <alignment horizontal="center" vertical="center" wrapText="1"/>
    </xf>
    <xf numFmtId="49" fontId="9" fillId="25" borderId="2" xfId="919" applyNumberFormat="1" applyFont="1" applyFill="1" applyBorder="1" applyAlignment="1">
      <alignment horizontal="center" vertical="center" wrapText="1"/>
    </xf>
    <xf numFmtId="49" fontId="9" fillId="25" borderId="4" xfId="919" applyNumberFormat="1" applyFont="1" applyFill="1" applyBorder="1" applyAlignment="1">
      <alignment horizontal="center" vertical="center" wrapText="1"/>
    </xf>
    <xf numFmtId="49" fontId="9" fillId="25" borderId="3" xfId="919" applyNumberFormat="1" applyFont="1" applyFill="1" applyBorder="1" applyAlignment="1">
      <alignment horizontal="center" vertical="center" wrapText="1"/>
    </xf>
    <xf numFmtId="49" fontId="9" fillId="25" borderId="2" xfId="655" applyNumberFormat="1" applyFont="1" applyFill="1" applyBorder="1" applyAlignment="1">
      <alignment horizontal="center" vertical="center" wrapText="1"/>
    </xf>
    <xf numFmtId="49" fontId="9" fillId="25" borderId="3" xfId="655" applyNumberFormat="1" applyFont="1" applyFill="1" applyBorder="1" applyAlignment="1">
      <alignment horizontal="center" vertical="center" wrapText="1"/>
    </xf>
    <xf numFmtId="0" fontId="13" fillId="25" borderId="2" xfId="0" applyNumberFormat="1" applyFont="1" applyFill="1" applyBorder="1" applyAlignment="1">
      <alignment horizontal="center" vertical="center" wrapText="1"/>
    </xf>
    <xf numFmtId="0" fontId="13" fillId="25" borderId="3" xfId="0" applyNumberFormat="1" applyFont="1" applyFill="1" applyBorder="1" applyAlignment="1">
      <alignment horizontal="center" vertical="center" wrapText="1"/>
    </xf>
    <xf numFmtId="2" fontId="13" fillId="25" borderId="2" xfId="0" applyNumberFormat="1" applyFont="1" applyFill="1" applyBorder="1" applyAlignment="1">
      <alignment horizontal="center" vertical="center" wrapText="1"/>
    </xf>
    <xf numFmtId="2" fontId="13" fillId="25" borderId="3" xfId="0" applyNumberFormat="1" applyFont="1" applyFill="1" applyBorder="1" applyAlignment="1">
      <alignment horizontal="center" vertical="center" wrapText="1"/>
    </xf>
    <xf numFmtId="49" fontId="9" fillId="25" borderId="2" xfId="634" applyNumberFormat="1" applyFont="1" applyFill="1" applyBorder="1" applyAlignment="1">
      <alignment horizontal="center" vertical="center" wrapText="1"/>
    </xf>
    <xf numFmtId="49" fontId="9" fillId="25" borderId="4" xfId="634" applyNumberFormat="1" applyFont="1" applyFill="1" applyBorder="1" applyAlignment="1">
      <alignment horizontal="center" vertical="center" wrapText="1"/>
    </xf>
    <xf numFmtId="49" fontId="9" fillId="25" borderId="3" xfId="634" applyNumberFormat="1" applyFont="1" applyFill="1" applyBorder="1" applyAlignment="1">
      <alignment horizontal="center" vertical="center" wrapText="1"/>
    </xf>
    <xf numFmtId="49" fontId="9" fillId="25" borderId="2" xfId="872" applyNumberFormat="1" applyFont="1" applyFill="1" applyBorder="1" applyAlignment="1">
      <alignment horizontal="center" vertical="center" wrapText="1"/>
    </xf>
    <xf numFmtId="49" fontId="9" fillId="25" borderId="3" xfId="872" applyNumberFormat="1" applyFont="1" applyFill="1" applyBorder="1" applyAlignment="1">
      <alignment horizontal="center" vertical="center" wrapText="1"/>
    </xf>
    <xf numFmtId="49" fontId="9" fillId="25" borderId="2" xfId="0" applyNumberFormat="1" applyFont="1" applyFill="1" applyBorder="1" applyAlignment="1">
      <alignment horizontal="center" vertical="center" wrapText="1"/>
    </xf>
    <xf numFmtId="49" fontId="9" fillId="25" borderId="4" xfId="0" applyNumberFormat="1" applyFont="1" applyFill="1" applyBorder="1" applyAlignment="1">
      <alignment horizontal="center" vertical="center" wrapText="1"/>
    </xf>
    <xf numFmtId="49" fontId="9" fillId="25" borderId="3" xfId="0" applyNumberFormat="1" applyFont="1" applyFill="1" applyBorder="1" applyAlignment="1">
      <alignment horizontal="center" vertical="center" wrapText="1"/>
    </xf>
    <xf numFmtId="49" fontId="20" fillId="25" borderId="0" xfId="0" applyNumberFormat="1" applyFont="1" applyFill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/>
    </xf>
    <xf numFmtId="0" fontId="77" fillId="25" borderId="35" xfId="0" applyFont="1" applyFill="1" applyBorder="1" applyAlignment="1">
      <alignment horizontal="center" vertical="center"/>
    </xf>
    <xf numFmtId="0" fontId="77" fillId="25" borderId="31" xfId="0" applyFont="1" applyFill="1" applyBorder="1" applyAlignment="1">
      <alignment horizontal="center" vertical="center" wrapText="1"/>
    </xf>
    <xf numFmtId="0" fontId="77" fillId="25" borderId="36" xfId="0" applyFont="1" applyFill="1" applyBorder="1" applyAlignment="1">
      <alignment horizontal="center" vertical="center" wrapText="1"/>
    </xf>
    <xf numFmtId="0" fontId="77" fillId="25" borderId="32" xfId="0" applyFont="1" applyFill="1" applyBorder="1" applyAlignment="1">
      <alignment horizontal="center" vertical="center" wrapText="1"/>
    </xf>
    <xf numFmtId="0" fontId="77" fillId="25" borderId="29" xfId="0" applyFont="1" applyFill="1" applyBorder="1" applyAlignment="1">
      <alignment horizontal="center" vertical="center" wrapText="1"/>
    </xf>
    <xf numFmtId="0" fontId="77" fillId="25" borderId="33" xfId="0" applyFont="1" applyFill="1" applyBorder="1" applyAlignment="1">
      <alignment horizontal="center" vertical="center" wrapText="1"/>
    </xf>
    <xf numFmtId="0" fontId="77" fillId="25" borderId="34" xfId="0" applyFont="1" applyFill="1" applyBorder="1" applyAlignment="1">
      <alignment horizontal="center" vertical="center" wrapText="1"/>
    </xf>
    <xf numFmtId="49" fontId="20" fillId="25" borderId="0" xfId="0" applyNumberFormat="1" applyFont="1" applyFill="1" applyBorder="1" applyAlignment="1">
      <alignment horizontal="left" vertical="center" wrapText="1"/>
    </xf>
    <xf numFmtId="0" fontId="10" fillId="25" borderId="0" xfId="0" applyNumberFormat="1" applyFont="1" applyFill="1" applyAlignment="1">
      <alignment horizontal="center" vertical="center" wrapText="1"/>
    </xf>
    <xf numFmtId="49" fontId="9" fillId="25" borderId="1" xfId="0" applyNumberFormat="1" applyFont="1" applyFill="1" applyBorder="1" applyAlignment="1">
      <alignment horizontal="center" vertical="center" wrapText="1"/>
    </xf>
    <xf numFmtId="49" fontId="64" fillId="25" borderId="1" xfId="0" applyNumberFormat="1" applyFont="1" applyFill="1" applyBorder="1" applyAlignment="1">
      <alignment horizontal="center" vertical="center" wrapText="1"/>
    </xf>
    <xf numFmtId="0" fontId="9" fillId="25" borderId="1" xfId="0" applyNumberFormat="1" applyFont="1" applyFill="1" applyBorder="1" applyAlignment="1">
      <alignment horizontal="center" vertical="center" wrapText="1"/>
    </xf>
    <xf numFmtId="2" fontId="9" fillId="25" borderId="1" xfId="0" applyNumberFormat="1" applyFont="1" applyFill="1" applyBorder="1" applyAlignment="1">
      <alignment horizontal="center" vertical="center" wrapText="1"/>
    </xf>
    <xf numFmtId="2" fontId="20" fillId="25" borderId="1" xfId="0" applyNumberFormat="1" applyFont="1" applyFill="1" applyBorder="1" applyAlignment="1">
      <alignment horizontal="right" vertical="center" wrapText="1"/>
    </xf>
    <xf numFmtId="0" fontId="113" fillId="25" borderId="0" xfId="0" applyFont="1" applyFill="1" applyAlignment="1">
      <alignment horizontal="center" vertical="center"/>
    </xf>
  </cellXfs>
  <cellStyles count="949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5 3" xfId="904"/>
    <cellStyle name="Comma 15 4" xfId="930"/>
    <cellStyle name="Comma 16" xfId="494"/>
    <cellStyle name="Comma 16 2" xfId="905"/>
    <cellStyle name="Comma 17" xfId="495"/>
    <cellStyle name="Comma 17 2" xfId="496"/>
    <cellStyle name="Comma 17 3" xfId="906"/>
    <cellStyle name="Comma 18" xfId="497"/>
    <cellStyle name="Comma 19" xfId="498"/>
    <cellStyle name="Comma 2" xfId="499"/>
    <cellStyle name="Comma 2 2" xfId="500"/>
    <cellStyle name="Comma 2 2 2" xfId="501"/>
    <cellStyle name="Comma 2 2 2 2" xfId="908"/>
    <cellStyle name="Comma 2 2 3" xfId="502"/>
    <cellStyle name="Comma 2 2 4" xfId="907"/>
    <cellStyle name="Comma 2 3" xfId="503"/>
    <cellStyle name="Comma 20" xfId="504"/>
    <cellStyle name="Comma 3" xfId="505"/>
    <cellStyle name="Comma 3 2" xfId="910"/>
    <cellStyle name="Comma 3 3" xfId="909"/>
    <cellStyle name="Comma 4" xfId="506"/>
    <cellStyle name="Comma 4 2" xfId="911"/>
    <cellStyle name="Comma 5" xfId="507"/>
    <cellStyle name="Comma 6" xfId="508"/>
    <cellStyle name="Comma 7" xfId="509"/>
    <cellStyle name="Comma 8" xfId="510"/>
    <cellStyle name="Comma 9" xfId="511"/>
    <cellStyle name="Currency 2" xfId="912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Hyperlink 2 2" xfId="914"/>
    <cellStyle name="Hyperlink 2 3" xfId="913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13" xfId="940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3 2" xfId="915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 3" xfId="917"/>
    <cellStyle name="Normal 3 2_anakia II etapi.xls sm. defeqturi" xfId="716"/>
    <cellStyle name="Normal 3 3" xfId="717"/>
    <cellStyle name="Normal 3 4" xfId="916"/>
    <cellStyle name="Normal 3 5" xfId="941"/>
    <cellStyle name="Normal 3 6" xfId="945"/>
    <cellStyle name="Normal 3 7" xfId="944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19"/>
    <cellStyle name="Normal 36 2 2 3" xfId="932"/>
    <cellStyle name="Normal 36 2 3" xfId="738"/>
    <cellStyle name="Normal 36 2 4" xfId="739"/>
    <cellStyle name="Normal 36 3" xfId="740"/>
    <cellStyle name="Normal 36 3 2" xfId="920"/>
    <cellStyle name="Normal 36 3 3" xfId="933"/>
    <cellStyle name="Normal 36 4" xfId="741"/>
    <cellStyle name="Normal 36 5" xfId="918"/>
    <cellStyle name="Normal 36 6" xfId="931"/>
    <cellStyle name="Normal 37" xfId="742"/>
    <cellStyle name="Normal 37 2" xfId="743"/>
    <cellStyle name="Normal 37 3" xfId="921"/>
    <cellStyle name="Normal 37 4" xfId="934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2 2" xfId="923"/>
    <cellStyle name="Normal 4 3" xfId="754"/>
    <cellStyle name="Normal 4 4" xfId="922"/>
    <cellStyle name="Normal 4 5" xfId="942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3 3 2" xfId="935"/>
    <cellStyle name="Normal 47 4" xfId="772"/>
    <cellStyle name="Normal 48" xfId="939"/>
    <cellStyle name="Normal 49" xfId="943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 6" xfId="924"/>
    <cellStyle name="Normal 5_Copy of SAN2010" xfId="781"/>
    <cellStyle name="Normal 50" xfId="946"/>
    <cellStyle name="Normal 6" xfId="782"/>
    <cellStyle name="Normal 6 2" xfId="925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Book1_axalqalaqis skola " xfId="929"/>
    <cellStyle name="Normal_gare wyalsadfenigagarini 10" xfId="947"/>
    <cellStyle name="Normal_gare wyalsadfenigagarini 2 2" xfId="795"/>
    <cellStyle name="Normal_gare wyalsadfenigagarini_SUSTI DENEBI_axalqalaqis skola " xfId="902"/>
    <cellStyle name="Normal_SUSTI DENEBI" xfId="901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Note 8" xfId="926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" xfId="948" builtinId="5"/>
    <cellStyle name="Percent 2" xfId="824"/>
    <cellStyle name="Percent 3" xfId="825"/>
    <cellStyle name="Percent 3 2" xfId="826"/>
    <cellStyle name="Percent 4" xfId="827"/>
    <cellStyle name="Percent 5" xfId="828"/>
    <cellStyle name="Percent 6" xfId="829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 10" xfId="869"/>
    <cellStyle name="Обычный 10 2" xfId="870"/>
    <cellStyle name="Обычный 10 3" xfId="927"/>
    <cellStyle name="Обычный 11" xfId="5"/>
    <cellStyle name="Обычный 2" xfId="3"/>
    <cellStyle name="Обычный 2 2" xfId="871"/>
    <cellStyle name="Обычный 3" xfId="872"/>
    <cellStyle name="Обычный 3 2" xfId="873"/>
    <cellStyle name="Обычный 3 3" xfId="874"/>
    <cellStyle name="Обычный 4" xfId="875"/>
    <cellStyle name="Обычный 4 2" xfId="876"/>
    <cellStyle name="Обычный 4 3" xfId="877"/>
    <cellStyle name="Обычный 4 4" xfId="878"/>
    <cellStyle name="Обычный 5" xfId="879"/>
    <cellStyle name="Обычный 5 2" xfId="880"/>
    <cellStyle name="Обычный 5 2 2" xfId="881"/>
    <cellStyle name="Обычный 5 3" xfId="882"/>
    <cellStyle name="Обычный 5 4" xfId="883"/>
    <cellStyle name="Обычный 5 4 2" xfId="884"/>
    <cellStyle name="Обычный 5 5" xfId="885"/>
    <cellStyle name="Обычный 6" xfId="886"/>
    <cellStyle name="Обычный 6 2" xfId="887"/>
    <cellStyle name="Обычный 7" xfId="888"/>
    <cellStyle name="Обычный 8" xfId="889"/>
    <cellStyle name="Обычный 8 2" xfId="890"/>
    <cellStyle name="Обычный 8 2 2" xfId="937"/>
    <cellStyle name="Обычный 8 3" xfId="928"/>
    <cellStyle name="Обычный 8 4" xfId="936"/>
    <cellStyle name="Обычный 9" xfId="891"/>
    <cellStyle name="Обычный_Лист1" xfId="938"/>
    <cellStyle name="Плохой 2" xfId="892"/>
    <cellStyle name="Процентный 2" xfId="893"/>
    <cellStyle name="Процентный 3" xfId="894"/>
    <cellStyle name="Процентный 3 2" xfId="895"/>
    <cellStyle name="Финансовый 2" xfId="896"/>
    <cellStyle name="Финансовый 2 2" xfId="897"/>
    <cellStyle name="Финансовый 3" xfId="898"/>
    <cellStyle name="Финансовый 4" xfId="899"/>
    <cellStyle name="Финансовый 5" xfId="900"/>
    <cellStyle name="Финансовый 6" xfId="478"/>
    <cellStyle name="Финансовый 7" xfId="903"/>
  </cellStyles>
  <dxfs count="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FFCCFF"/>
      <color rgb="FF0000FF"/>
      <color rgb="FFFF99FF"/>
      <color rgb="FFFF9966"/>
      <color rgb="FFFF66FF"/>
      <color rgb="FF9900FF"/>
      <color rgb="FF00FF99"/>
      <color rgb="FF33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zoomScale="90" zoomScaleNormal="90" zoomScaleSheetLayoutView="150" workbookViewId="0">
      <selection activeCell="A3" sqref="A3:G3"/>
    </sheetView>
  </sheetViews>
  <sheetFormatPr defaultColWidth="8.85546875" defaultRowHeight="15" x14ac:dyDescent="0.25"/>
  <cols>
    <col min="1" max="1" width="5.85546875" style="333" customWidth="1"/>
    <col min="2" max="2" width="20.7109375" style="333" customWidth="1"/>
    <col min="3" max="3" width="39.140625" style="333" customWidth="1"/>
    <col min="4" max="4" width="14.5703125" style="333" customWidth="1"/>
    <col min="5" max="5" width="15" style="333" customWidth="1"/>
    <col min="6" max="6" width="15.7109375" style="333" customWidth="1"/>
    <col min="7" max="7" width="17.140625" style="333" customWidth="1"/>
    <col min="8" max="8" width="13.28515625" style="333" customWidth="1"/>
    <col min="9" max="16384" width="8.85546875" style="333"/>
  </cols>
  <sheetData>
    <row r="1" spans="1:13" ht="16.5" x14ac:dyDescent="0.25">
      <c r="A1" s="467" t="s">
        <v>35</v>
      </c>
      <c r="B1" s="467"/>
      <c r="C1" s="467"/>
      <c r="D1" s="467"/>
      <c r="E1" s="467"/>
      <c r="F1" s="467"/>
      <c r="G1" s="467"/>
    </row>
    <row r="2" spans="1:13" ht="16.5" x14ac:dyDescent="0.25">
      <c r="A2" s="334"/>
      <c r="B2" s="334"/>
      <c r="C2" s="334"/>
      <c r="D2" s="334"/>
      <c r="E2" s="334"/>
      <c r="F2" s="334"/>
      <c r="G2" s="334"/>
    </row>
    <row r="3" spans="1:13" ht="17.25" customHeight="1" x14ac:dyDescent="0.25">
      <c r="A3" s="468" t="s">
        <v>465</v>
      </c>
      <c r="B3" s="468"/>
      <c r="C3" s="468"/>
      <c r="D3" s="468"/>
      <c r="E3" s="468"/>
      <c r="F3" s="468"/>
      <c r="G3" s="468"/>
      <c r="H3" s="234"/>
      <c r="I3" s="234"/>
      <c r="J3" s="234"/>
      <c r="K3" s="234"/>
      <c r="L3" s="234"/>
      <c r="M3" s="234"/>
    </row>
    <row r="4" spans="1:13" ht="16.5" x14ac:dyDescent="0.25">
      <c r="A4" s="334"/>
      <c r="B4" s="334"/>
      <c r="C4" s="334"/>
      <c r="D4" s="334"/>
      <c r="E4" s="334"/>
      <c r="F4" s="334"/>
      <c r="G4" s="334"/>
    </row>
    <row r="5" spans="1:13" ht="22.5" customHeight="1" x14ac:dyDescent="0.25">
      <c r="A5" s="469" t="s">
        <v>0</v>
      </c>
      <c r="B5" s="469" t="s">
        <v>36</v>
      </c>
      <c r="C5" s="469" t="s">
        <v>37</v>
      </c>
      <c r="D5" s="469" t="s">
        <v>38</v>
      </c>
      <c r="E5" s="469"/>
      <c r="F5" s="469"/>
      <c r="G5" s="469"/>
    </row>
    <row r="6" spans="1:13" ht="35.25" customHeight="1" x14ac:dyDescent="0.25">
      <c r="A6" s="469"/>
      <c r="B6" s="469"/>
      <c r="C6" s="469"/>
      <c r="D6" s="335" t="s">
        <v>39</v>
      </c>
      <c r="E6" s="335" t="s">
        <v>40</v>
      </c>
      <c r="F6" s="335" t="s">
        <v>41</v>
      </c>
      <c r="G6" s="335" t="s">
        <v>390</v>
      </c>
    </row>
    <row r="7" spans="1:13" ht="16.5" x14ac:dyDescent="0.25">
      <c r="A7" s="336">
        <v>1</v>
      </c>
      <c r="B7" s="336">
        <v>2</v>
      </c>
      <c r="C7" s="336">
        <v>3</v>
      </c>
      <c r="D7" s="336">
        <v>4</v>
      </c>
      <c r="E7" s="336">
        <v>5</v>
      </c>
      <c r="F7" s="336">
        <v>6</v>
      </c>
      <c r="G7" s="336">
        <v>7</v>
      </c>
    </row>
    <row r="8" spans="1:13" ht="21" customHeight="1" x14ac:dyDescent="0.25">
      <c r="A8" s="336">
        <v>1</v>
      </c>
      <c r="B8" s="336" t="s">
        <v>42</v>
      </c>
      <c r="C8" s="335" t="s">
        <v>48</v>
      </c>
      <c r="D8" s="337">
        <f>'#1'!M363</f>
        <v>0</v>
      </c>
      <c r="E8" s="338"/>
      <c r="F8" s="338"/>
      <c r="G8" s="337">
        <f>D8+E8+F8</f>
        <v>0</v>
      </c>
    </row>
    <row r="9" spans="1:13" ht="23.25" customHeight="1" x14ac:dyDescent="0.25">
      <c r="A9" s="336">
        <v>2</v>
      </c>
      <c r="B9" s="336" t="s">
        <v>43</v>
      </c>
      <c r="C9" s="335" t="s">
        <v>385</v>
      </c>
      <c r="D9" s="337"/>
      <c r="E9" s="338">
        <f>'#2'!M50</f>
        <v>0</v>
      </c>
      <c r="F9" s="338"/>
      <c r="G9" s="337">
        <f>D9+E9+F9</f>
        <v>0</v>
      </c>
      <c r="H9" s="339"/>
      <c r="I9" s="340"/>
      <c r="J9" s="340"/>
      <c r="K9" s="340"/>
    </row>
    <row r="10" spans="1:13" ht="21" customHeight="1" x14ac:dyDescent="0.25">
      <c r="A10" s="336">
        <v>3</v>
      </c>
      <c r="B10" s="336" t="s">
        <v>500</v>
      </c>
      <c r="C10" s="335" t="s">
        <v>89</v>
      </c>
      <c r="D10" s="337"/>
      <c r="E10" s="338">
        <f>ინვენტარი!M28</f>
        <v>0</v>
      </c>
      <c r="F10" s="338">
        <f>ინვენტარი!M27</f>
        <v>0</v>
      </c>
      <c r="G10" s="337">
        <f>D10+E10+F10</f>
        <v>0</v>
      </c>
      <c r="H10" s="339"/>
      <c r="I10" s="340"/>
      <c r="J10" s="340"/>
      <c r="K10" s="340"/>
    </row>
    <row r="11" spans="1:13" ht="21" customHeight="1" x14ac:dyDescent="0.25">
      <c r="A11" s="336">
        <v>4</v>
      </c>
      <c r="B11" s="336" t="s">
        <v>142</v>
      </c>
      <c r="C11" s="335" t="s">
        <v>501</v>
      </c>
      <c r="D11" s="337"/>
      <c r="E11" s="338">
        <f>+'#3'!H28</f>
        <v>0</v>
      </c>
      <c r="F11" s="338"/>
      <c r="G11" s="337">
        <f>D11+E11+F11</f>
        <v>0</v>
      </c>
      <c r="H11" s="375"/>
      <c r="I11" s="340"/>
      <c r="J11" s="340"/>
      <c r="K11" s="340"/>
    </row>
    <row r="12" spans="1:13" ht="18.75" customHeight="1" x14ac:dyDescent="0.25">
      <c r="A12" s="336"/>
      <c r="B12" s="336"/>
      <c r="C12" s="341" t="s">
        <v>44</v>
      </c>
      <c r="D12" s="338"/>
      <c r="E12" s="338"/>
      <c r="F12" s="338"/>
      <c r="G12" s="342">
        <f>SUM(G8:G11)</f>
        <v>0</v>
      </c>
    </row>
    <row r="13" spans="1:13" ht="67.5" hidden="1" x14ac:dyDescent="0.25">
      <c r="A13" s="336"/>
      <c r="B13" s="336"/>
      <c r="C13" s="343" t="s">
        <v>174</v>
      </c>
      <c r="D13" s="344">
        <v>2.1999999999999999E-2</v>
      </c>
      <c r="E13" s="336"/>
      <c r="F13" s="336"/>
      <c r="G13" s="338">
        <f>G12*D13</f>
        <v>0</v>
      </c>
    </row>
    <row r="14" spans="1:13" ht="16.5" hidden="1" x14ac:dyDescent="0.25">
      <c r="A14" s="336"/>
      <c r="B14" s="336"/>
      <c r="C14" s="341" t="s">
        <v>21</v>
      </c>
      <c r="D14" s="338"/>
      <c r="E14" s="338"/>
      <c r="F14" s="338"/>
      <c r="G14" s="345">
        <f>G12+G13</f>
        <v>0</v>
      </c>
    </row>
    <row r="15" spans="1:13" ht="17.25" customHeight="1" x14ac:dyDescent="0.25">
      <c r="A15" s="334"/>
      <c r="B15" s="334"/>
      <c r="C15" s="334"/>
      <c r="D15" s="334"/>
      <c r="E15" s="334"/>
      <c r="F15" s="334"/>
      <c r="G15" s="334"/>
    </row>
    <row r="16" spans="1:13" ht="12" customHeight="1" x14ac:dyDescent="0.25">
      <c r="A16" s="334"/>
      <c r="B16" s="334"/>
      <c r="C16" s="334"/>
      <c r="D16" s="334"/>
      <c r="E16" s="334"/>
      <c r="F16" s="334"/>
      <c r="G16" s="334"/>
    </row>
    <row r="17" spans="1:7" ht="16.5" x14ac:dyDescent="0.25">
      <c r="A17" s="334"/>
      <c r="B17" s="334"/>
      <c r="C17" s="45"/>
      <c r="D17" s="466"/>
      <c r="E17" s="466"/>
      <c r="F17" s="334"/>
      <c r="G17" s="334"/>
    </row>
    <row r="18" spans="1:7" ht="16.5" x14ac:dyDescent="0.25">
      <c r="C18" s="346"/>
    </row>
    <row r="19" spans="1:7" x14ac:dyDescent="0.25">
      <c r="B19" s="347"/>
      <c r="C19" s="347"/>
    </row>
  </sheetData>
  <mergeCells count="7">
    <mergeCell ref="D17:E17"/>
    <mergeCell ref="A1:G1"/>
    <mergeCell ref="A3:G3"/>
    <mergeCell ref="A5:A6"/>
    <mergeCell ref="B5:B6"/>
    <mergeCell ref="C5:C6"/>
    <mergeCell ref="D5:G5"/>
  </mergeCells>
  <pageMargins left="0.57999999999999996" right="0.35433070866141736" top="0.27559055118110237" bottom="0.35433070866141736" header="0.19685039370078741" footer="0.27559055118110237"/>
  <pageSetup paperSize="9" orientation="landscape" r:id="rId1"/>
  <headerFooter>
    <oddHeader>&amp;R&amp;N--&amp;P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446"/>
  <sheetViews>
    <sheetView topLeftCell="A292" zoomScaleNormal="100" zoomScaleSheetLayoutView="160" workbookViewId="0">
      <selection activeCell="C350" sqref="C350"/>
    </sheetView>
  </sheetViews>
  <sheetFormatPr defaultColWidth="8.85546875" defaultRowHeight="16.5" x14ac:dyDescent="0.25"/>
  <cols>
    <col min="1" max="1" width="5" style="223" customWidth="1"/>
    <col min="2" max="2" width="10" style="224" customWidth="1"/>
    <col min="3" max="3" width="39.7109375" style="242" customWidth="1"/>
    <col min="4" max="4" width="9" style="225" customWidth="1"/>
    <col min="5" max="5" width="10.42578125" style="226" customWidth="1"/>
    <col min="6" max="6" width="11.42578125" style="226" customWidth="1"/>
    <col min="7" max="7" width="10" style="227" bestFit="1" customWidth="1"/>
    <col min="8" max="8" width="11.42578125" style="227" customWidth="1"/>
    <col min="9" max="9" width="10.7109375" style="227" customWidth="1"/>
    <col min="10" max="10" width="10.85546875" style="227" customWidth="1"/>
    <col min="11" max="11" width="11.7109375" style="227" customWidth="1"/>
    <col min="12" max="12" width="12.140625" style="227" customWidth="1"/>
    <col min="13" max="13" width="15.5703125" style="227" customWidth="1"/>
    <col min="14" max="14" width="40.7109375" style="41" customWidth="1"/>
    <col min="15" max="15" width="95" style="38" customWidth="1"/>
    <col min="16" max="16384" width="8.85546875" style="52"/>
  </cols>
  <sheetData>
    <row r="1" spans="1:15" s="41" customFormat="1" ht="21.75" customHeight="1" x14ac:dyDescent="0.25">
      <c r="A1" s="499" t="str">
        <f>krebsiti!A3</f>
        <v>q.borjomSi axali ubnis dasaxlebaSi გრ. ხანძთელის ქ.#9 mimdebared skveris mowyobis samuSaoebi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O1" s="42"/>
    </row>
    <row r="2" spans="1:15" s="41" customFormat="1" ht="3" customHeight="1" x14ac:dyDescent="0.25">
      <c r="A2" s="43"/>
      <c r="B2" s="44"/>
      <c r="C2" s="45"/>
      <c r="D2" s="46"/>
      <c r="E2" s="47"/>
      <c r="F2" s="47"/>
      <c r="G2" s="48"/>
      <c r="H2" s="48"/>
      <c r="I2" s="48"/>
      <c r="J2" s="48"/>
      <c r="K2" s="48"/>
      <c r="L2" s="48"/>
      <c r="M2" s="48"/>
      <c r="O2" s="42"/>
    </row>
    <row r="3" spans="1:15" s="41" customFormat="1" ht="15.75" x14ac:dyDescent="0.25">
      <c r="A3" s="499" t="s">
        <v>16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O3" s="42"/>
    </row>
    <row r="4" spans="1:15" s="41" customFormat="1" ht="20.25" customHeight="1" x14ac:dyDescent="0.25">
      <c r="A4" s="499" t="s">
        <v>48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O4" s="42"/>
    </row>
    <row r="5" spans="1:15" s="41" customFormat="1" ht="3" customHeight="1" x14ac:dyDescent="0.25">
      <c r="A5" s="43"/>
      <c r="B5" s="44"/>
      <c r="C5" s="45"/>
      <c r="D5" s="46"/>
      <c r="E5" s="47"/>
      <c r="F5" s="47"/>
      <c r="G5" s="48"/>
      <c r="H5" s="48"/>
      <c r="I5" s="48"/>
      <c r="J5" s="48"/>
      <c r="K5" s="48"/>
      <c r="L5" s="48"/>
      <c r="M5" s="48"/>
      <c r="O5" s="42"/>
    </row>
    <row r="6" spans="1:15" s="41" customFormat="1" ht="30" customHeight="1" x14ac:dyDescent="0.25">
      <c r="A6" s="500" t="s">
        <v>0</v>
      </c>
      <c r="B6" s="501" t="s">
        <v>1</v>
      </c>
      <c r="C6" s="502" t="s">
        <v>2</v>
      </c>
      <c r="D6" s="504" t="s">
        <v>3</v>
      </c>
      <c r="E6" s="508" t="s">
        <v>53</v>
      </c>
      <c r="F6" s="508"/>
      <c r="G6" s="505" t="s">
        <v>6</v>
      </c>
      <c r="H6" s="505"/>
      <c r="I6" s="505" t="s">
        <v>7</v>
      </c>
      <c r="J6" s="505"/>
      <c r="K6" s="506" t="s">
        <v>27</v>
      </c>
      <c r="L6" s="507"/>
      <c r="M6" s="505" t="s">
        <v>8</v>
      </c>
      <c r="O6" s="42"/>
    </row>
    <row r="7" spans="1:15" s="41" customFormat="1" ht="31.5" x14ac:dyDescent="0.25">
      <c r="A7" s="500"/>
      <c r="B7" s="501"/>
      <c r="C7" s="503"/>
      <c r="D7" s="504"/>
      <c r="E7" s="30" t="s">
        <v>54</v>
      </c>
      <c r="F7" s="30" t="s">
        <v>21</v>
      </c>
      <c r="G7" s="31" t="s">
        <v>9</v>
      </c>
      <c r="H7" s="31" t="s">
        <v>10</v>
      </c>
      <c r="I7" s="31" t="s">
        <v>9</v>
      </c>
      <c r="J7" s="31" t="s">
        <v>10</v>
      </c>
      <c r="K7" s="31" t="s">
        <v>9</v>
      </c>
      <c r="L7" s="31" t="s">
        <v>10</v>
      </c>
      <c r="M7" s="505"/>
      <c r="O7" s="42"/>
    </row>
    <row r="8" spans="1:15" x14ac:dyDescent="0.25">
      <c r="A8" s="3">
        <v>1</v>
      </c>
      <c r="B8" s="4">
        <v>2</v>
      </c>
      <c r="C8" s="29">
        <v>3</v>
      </c>
      <c r="D8" s="6">
        <v>4</v>
      </c>
      <c r="E8" s="30">
        <v>5</v>
      </c>
      <c r="F8" s="51">
        <v>6</v>
      </c>
      <c r="G8" s="30">
        <v>7</v>
      </c>
      <c r="H8" s="51">
        <v>8</v>
      </c>
      <c r="I8" s="30">
        <v>9</v>
      </c>
      <c r="J8" s="51">
        <v>10</v>
      </c>
      <c r="K8" s="30">
        <v>11</v>
      </c>
      <c r="L8" s="51">
        <v>12</v>
      </c>
      <c r="M8" s="30">
        <v>13</v>
      </c>
      <c r="N8" s="1"/>
    </row>
    <row r="9" spans="1:15" s="41" customFormat="1" ht="31.5" x14ac:dyDescent="0.25">
      <c r="A9" s="3"/>
      <c r="B9" s="4"/>
      <c r="C9" s="5" t="s">
        <v>92</v>
      </c>
      <c r="D9" s="6"/>
      <c r="E9" s="7"/>
      <c r="F9" s="7"/>
      <c r="G9" s="31"/>
      <c r="H9" s="31"/>
      <c r="I9" s="31"/>
      <c r="J9" s="31"/>
      <c r="K9" s="31"/>
      <c r="L9" s="31"/>
      <c r="M9" s="31"/>
      <c r="N9" s="1"/>
      <c r="O9" s="42"/>
    </row>
    <row r="10" spans="1:15" s="41" customFormat="1" ht="27" x14ac:dyDescent="0.25">
      <c r="A10" s="477" t="s">
        <v>191</v>
      </c>
      <c r="B10" s="6" t="s">
        <v>33</v>
      </c>
      <c r="C10" s="53" t="s">
        <v>443</v>
      </c>
      <c r="D10" s="4"/>
      <c r="E10" s="54"/>
      <c r="F10" s="51"/>
      <c r="G10" s="40"/>
      <c r="H10" s="40"/>
      <c r="I10" s="40"/>
      <c r="J10" s="31"/>
      <c r="K10" s="40"/>
      <c r="L10" s="31"/>
      <c r="M10" s="31"/>
      <c r="N10" s="1"/>
      <c r="O10" s="42"/>
    </row>
    <row r="11" spans="1:15" s="41" customFormat="1" ht="16.5" customHeight="1" x14ac:dyDescent="0.25">
      <c r="A11" s="478"/>
      <c r="B11" s="4" t="s">
        <v>119</v>
      </c>
      <c r="C11" s="55" t="s">
        <v>449</v>
      </c>
      <c r="D11" s="4" t="s">
        <v>15</v>
      </c>
      <c r="E11" s="54"/>
      <c r="F11" s="51">
        <v>6</v>
      </c>
      <c r="G11" s="40"/>
      <c r="H11" s="40"/>
      <c r="I11" s="40"/>
      <c r="J11" s="31">
        <f>F11*I11</f>
        <v>0</v>
      </c>
      <c r="K11" s="40"/>
      <c r="L11" s="31"/>
      <c r="M11" s="31">
        <f t="shared" ref="M11" si="0">H11+J11+L11</f>
        <v>0</v>
      </c>
      <c r="N11" s="1"/>
      <c r="O11" s="42"/>
    </row>
    <row r="12" spans="1:15" s="41" customFormat="1" ht="15.75" x14ac:dyDescent="0.25">
      <c r="A12" s="3"/>
      <c r="B12" s="4"/>
      <c r="C12" s="5" t="s">
        <v>121</v>
      </c>
      <c r="D12" s="6"/>
      <c r="E12" s="7"/>
      <c r="F12" s="7"/>
      <c r="G12" s="31"/>
      <c r="H12" s="31"/>
      <c r="I12" s="31"/>
      <c r="J12" s="31"/>
      <c r="K12" s="31"/>
      <c r="L12" s="31"/>
      <c r="M12" s="31"/>
      <c r="N12" s="1"/>
      <c r="O12" s="42"/>
    </row>
    <row r="13" spans="1:15" s="41" customFormat="1" ht="15.75" x14ac:dyDescent="0.25">
      <c r="A13" s="3"/>
      <c r="B13" s="4"/>
      <c r="C13" s="5" t="s">
        <v>122</v>
      </c>
      <c r="D13" s="6"/>
      <c r="E13" s="30"/>
      <c r="F13" s="30"/>
      <c r="G13" s="31"/>
      <c r="H13" s="31"/>
      <c r="I13" s="31"/>
      <c r="J13" s="31"/>
      <c r="K13" s="31"/>
      <c r="L13" s="31"/>
      <c r="M13" s="31"/>
      <c r="N13" s="1"/>
      <c r="O13" s="42"/>
    </row>
    <row r="14" spans="1:15" s="41" customFormat="1" ht="45" x14ac:dyDescent="0.25">
      <c r="A14" s="56">
        <v>1</v>
      </c>
      <c r="B14" s="56" t="s">
        <v>444</v>
      </c>
      <c r="C14" s="57" t="s">
        <v>450</v>
      </c>
      <c r="D14" s="56" t="s">
        <v>445</v>
      </c>
      <c r="E14" s="58"/>
      <c r="F14" s="59">
        <v>7.0000000000000007E-2</v>
      </c>
      <c r="G14" s="60"/>
      <c r="H14" s="60"/>
      <c r="I14" s="60"/>
      <c r="J14" s="60"/>
      <c r="K14" s="60"/>
      <c r="L14" s="60"/>
      <c r="M14" s="60"/>
      <c r="N14" s="1"/>
      <c r="O14" s="42"/>
    </row>
    <row r="15" spans="1:15" s="41" customFormat="1" ht="15.75" x14ac:dyDescent="0.25">
      <c r="A15" s="61">
        <f>A14+0.1</f>
        <v>1.1000000000000001</v>
      </c>
      <c r="B15" s="56"/>
      <c r="C15" s="62" t="s">
        <v>446</v>
      </c>
      <c r="D15" s="61" t="s">
        <v>128</v>
      </c>
      <c r="E15" s="63">
        <v>20</v>
      </c>
      <c r="F15" s="64">
        <f>F14*E15</f>
        <v>1.4000000000000001</v>
      </c>
      <c r="G15" s="60"/>
      <c r="H15" s="60"/>
      <c r="I15" s="60"/>
      <c r="J15" s="60">
        <f t="shared" ref="J15" si="1">I15*F15</f>
        <v>0</v>
      </c>
      <c r="K15" s="60"/>
      <c r="L15" s="60"/>
      <c r="M15" s="60">
        <f t="shared" ref="M15:M17" si="2">H15+J15+L15</f>
        <v>0</v>
      </c>
      <c r="N15" s="1"/>
      <c r="O15" s="42"/>
    </row>
    <row r="16" spans="1:15" s="41" customFormat="1" ht="30" x14ac:dyDescent="0.25">
      <c r="A16" s="61">
        <f>A15+0.1</f>
        <v>1.2000000000000002</v>
      </c>
      <c r="B16" s="56" t="s">
        <v>447</v>
      </c>
      <c r="C16" s="62" t="s">
        <v>156</v>
      </c>
      <c r="D16" s="61" t="s">
        <v>157</v>
      </c>
      <c r="E16" s="63">
        <v>44.8</v>
      </c>
      <c r="F16" s="64">
        <f>F14*E16</f>
        <v>3.1360000000000001</v>
      </c>
      <c r="G16" s="60"/>
      <c r="H16" s="60"/>
      <c r="I16" s="60"/>
      <c r="J16" s="60"/>
      <c r="K16" s="60"/>
      <c r="L16" s="60">
        <f>K16*F16</f>
        <v>0</v>
      </c>
      <c r="M16" s="60">
        <f t="shared" si="2"/>
        <v>0</v>
      </c>
      <c r="N16" s="1"/>
      <c r="O16" s="42"/>
    </row>
    <row r="17" spans="1:15" s="41" customFormat="1" ht="18" customHeight="1" x14ac:dyDescent="0.25">
      <c r="A17" s="61">
        <f>A16+0.1</f>
        <v>1.3000000000000003</v>
      </c>
      <c r="B17" s="56"/>
      <c r="C17" s="62" t="s">
        <v>448</v>
      </c>
      <c r="D17" s="61" t="s">
        <v>129</v>
      </c>
      <c r="E17" s="63">
        <v>2.1</v>
      </c>
      <c r="F17" s="64">
        <f>F14*E17</f>
        <v>0.14700000000000002</v>
      </c>
      <c r="G17" s="60"/>
      <c r="H17" s="60"/>
      <c r="I17" s="60"/>
      <c r="J17" s="60"/>
      <c r="K17" s="60"/>
      <c r="L17" s="60">
        <f t="shared" ref="L17" si="3">K17*F17</f>
        <v>0</v>
      </c>
      <c r="M17" s="60">
        <f t="shared" si="2"/>
        <v>0</v>
      </c>
      <c r="N17" s="1"/>
      <c r="O17" s="42"/>
    </row>
    <row r="18" spans="1:15" s="41" customFormat="1" ht="47.25" x14ac:dyDescent="0.25">
      <c r="A18" s="477" t="s">
        <v>83</v>
      </c>
      <c r="B18" s="6" t="s">
        <v>67</v>
      </c>
      <c r="C18" s="65" t="s">
        <v>328</v>
      </c>
      <c r="D18" s="6" t="s">
        <v>17</v>
      </c>
      <c r="E18" s="30"/>
      <c r="F18" s="7">
        <v>50</v>
      </c>
      <c r="G18" s="31"/>
      <c r="H18" s="31"/>
      <c r="I18" s="31"/>
      <c r="J18" s="31"/>
      <c r="K18" s="31"/>
      <c r="L18" s="31"/>
      <c r="M18" s="31"/>
      <c r="N18" s="1"/>
      <c r="O18" s="42"/>
    </row>
    <row r="19" spans="1:15" s="41" customFormat="1" ht="15.75" x14ac:dyDescent="0.25">
      <c r="A19" s="479"/>
      <c r="B19" s="4"/>
      <c r="C19" s="66" t="s">
        <v>81</v>
      </c>
      <c r="D19" s="67" t="s">
        <v>82</v>
      </c>
      <c r="E19" s="68">
        <v>2.06</v>
      </c>
      <c r="F19" s="68">
        <f>F18*E19</f>
        <v>103</v>
      </c>
      <c r="G19" s="69"/>
      <c r="H19" s="31"/>
      <c r="I19" s="69"/>
      <c r="J19" s="31">
        <f>F19*I19</f>
        <v>0</v>
      </c>
      <c r="K19" s="70"/>
      <c r="L19" s="31"/>
      <c r="M19" s="31">
        <f>H19+J19+L19</f>
        <v>0</v>
      </c>
      <c r="N19" s="1"/>
      <c r="O19" s="42"/>
    </row>
    <row r="20" spans="1:15" s="74" customFormat="1" ht="63" hidden="1" x14ac:dyDescent="0.25">
      <c r="A20" s="71" t="s">
        <v>191</v>
      </c>
      <c r="B20" s="6" t="s">
        <v>241</v>
      </c>
      <c r="C20" s="72" t="s">
        <v>55</v>
      </c>
      <c r="D20" s="6" t="s">
        <v>70</v>
      </c>
      <c r="E20" s="7"/>
      <c r="F20" s="7">
        <v>0</v>
      </c>
      <c r="G20" s="8"/>
      <c r="H20" s="31"/>
      <c r="I20" s="8"/>
      <c r="J20" s="31"/>
      <c r="K20" s="8"/>
      <c r="L20" s="31"/>
      <c r="M20" s="31"/>
      <c r="N20" s="1"/>
      <c r="O20" s="73"/>
    </row>
    <row r="21" spans="1:15" s="74" customFormat="1" ht="15.75" hidden="1" x14ac:dyDescent="0.25">
      <c r="A21" s="75"/>
      <c r="B21" s="4"/>
      <c r="C21" s="32" t="s">
        <v>52</v>
      </c>
      <c r="D21" s="4" t="s">
        <v>50</v>
      </c>
      <c r="E21" s="30">
        <v>3.2099999999999997E-2</v>
      </c>
      <c r="F21" s="30">
        <f>E21*F20</f>
        <v>0</v>
      </c>
      <c r="G21" s="31"/>
      <c r="H21" s="31"/>
      <c r="I21" s="31"/>
      <c r="J21" s="31">
        <f>F21*I21</f>
        <v>0</v>
      </c>
      <c r="K21" s="31"/>
      <c r="L21" s="31"/>
      <c r="M21" s="31">
        <f t="shared" ref="M21:M33" si="4">H21+J21+L21</f>
        <v>0</v>
      </c>
      <c r="N21" s="1"/>
      <c r="O21" s="73"/>
    </row>
    <row r="22" spans="1:15" s="74" customFormat="1" ht="31.5" hidden="1" x14ac:dyDescent="0.25">
      <c r="A22" s="75"/>
      <c r="B22" s="4" t="s">
        <v>75</v>
      </c>
      <c r="C22" s="32" t="s">
        <v>56</v>
      </c>
      <c r="D22" s="4" t="s">
        <v>57</v>
      </c>
      <c r="E22" s="30">
        <v>2.65E-3</v>
      </c>
      <c r="F22" s="30">
        <f>E22*F20</f>
        <v>0</v>
      </c>
      <c r="G22" s="31"/>
      <c r="H22" s="31"/>
      <c r="I22" s="31"/>
      <c r="J22" s="31"/>
      <c r="K22" s="31"/>
      <c r="L22" s="31">
        <f t="shared" ref="L22:L27" si="5">F22*K22</f>
        <v>0</v>
      </c>
      <c r="M22" s="31">
        <f t="shared" si="4"/>
        <v>0</v>
      </c>
      <c r="N22" s="1"/>
      <c r="O22" s="73"/>
    </row>
    <row r="23" spans="1:15" s="74" customFormat="1" ht="31.5" hidden="1" x14ac:dyDescent="0.25">
      <c r="A23" s="75"/>
      <c r="B23" s="4" t="s">
        <v>240</v>
      </c>
      <c r="C23" s="32" t="s">
        <v>58</v>
      </c>
      <c r="D23" s="4" t="s">
        <v>57</v>
      </c>
      <c r="E23" s="30">
        <v>6.1599999999999997E-3</v>
      </c>
      <c r="F23" s="30">
        <f>E23*F20</f>
        <v>0</v>
      </c>
      <c r="G23" s="31"/>
      <c r="H23" s="31"/>
      <c r="I23" s="31"/>
      <c r="J23" s="31"/>
      <c r="K23" s="31"/>
      <c r="L23" s="31">
        <f t="shared" si="5"/>
        <v>0</v>
      </c>
      <c r="M23" s="31">
        <f t="shared" si="4"/>
        <v>0</v>
      </c>
      <c r="N23" s="76"/>
      <c r="O23" s="73"/>
    </row>
    <row r="24" spans="1:15" s="74" customFormat="1" ht="31.5" hidden="1" x14ac:dyDescent="0.25">
      <c r="A24" s="75"/>
      <c r="B24" s="4" t="s">
        <v>225</v>
      </c>
      <c r="C24" s="32" t="s">
        <v>59</v>
      </c>
      <c r="D24" s="4" t="s">
        <v>57</v>
      </c>
      <c r="E24" s="30">
        <v>4.5300000000000002E-3</v>
      </c>
      <c r="F24" s="30">
        <f>E24*F20</f>
        <v>0</v>
      </c>
      <c r="G24" s="31"/>
      <c r="H24" s="31"/>
      <c r="I24" s="31"/>
      <c r="J24" s="31"/>
      <c r="K24" s="31"/>
      <c r="L24" s="31">
        <f t="shared" si="5"/>
        <v>0</v>
      </c>
      <c r="M24" s="31">
        <f t="shared" si="4"/>
        <v>0</v>
      </c>
      <c r="N24" s="76"/>
      <c r="O24" s="73"/>
    </row>
    <row r="25" spans="1:15" s="74" customFormat="1" ht="15.75" hidden="1" x14ac:dyDescent="0.25">
      <c r="A25" s="75"/>
      <c r="B25" s="4" t="s">
        <v>76</v>
      </c>
      <c r="C25" s="32" t="s">
        <v>60</v>
      </c>
      <c r="D25" s="4" t="s">
        <v>57</v>
      </c>
      <c r="E25" s="30">
        <v>7.1000000000000002E-4</v>
      </c>
      <c r="F25" s="30">
        <f>E25*F20</f>
        <v>0</v>
      </c>
      <c r="G25" s="31"/>
      <c r="H25" s="31"/>
      <c r="I25" s="31"/>
      <c r="J25" s="31"/>
      <c r="K25" s="31"/>
      <c r="L25" s="31">
        <f t="shared" si="5"/>
        <v>0</v>
      </c>
      <c r="M25" s="31">
        <f t="shared" si="4"/>
        <v>0</v>
      </c>
      <c r="N25" s="76"/>
      <c r="O25" s="73"/>
    </row>
    <row r="26" spans="1:15" s="74" customFormat="1" ht="31.5" hidden="1" x14ac:dyDescent="0.25">
      <c r="A26" s="75"/>
      <c r="B26" s="4" t="s">
        <v>77</v>
      </c>
      <c r="C26" s="32" t="s">
        <v>61</v>
      </c>
      <c r="D26" s="4" t="s">
        <v>57</v>
      </c>
      <c r="E26" s="30">
        <v>2.0699999999999998E-3</v>
      </c>
      <c r="F26" s="30">
        <f>E26*F20</f>
        <v>0</v>
      </c>
      <c r="G26" s="31"/>
      <c r="H26" s="31"/>
      <c r="I26" s="31"/>
      <c r="J26" s="31"/>
      <c r="K26" s="31"/>
      <c r="L26" s="31">
        <f t="shared" si="5"/>
        <v>0</v>
      </c>
      <c r="M26" s="31">
        <f t="shared" si="4"/>
        <v>0</v>
      </c>
      <c r="N26" s="76"/>
      <c r="O26" s="73"/>
    </row>
    <row r="27" spans="1:15" s="74" customFormat="1" ht="15.75" hidden="1" x14ac:dyDescent="0.25">
      <c r="A27" s="77"/>
      <c r="B27" s="4"/>
      <c r="C27" s="32" t="s">
        <v>24</v>
      </c>
      <c r="D27" s="78" t="s">
        <v>22</v>
      </c>
      <c r="E27" s="30">
        <v>1.0200000000000001E-3</v>
      </c>
      <c r="F27" s="30">
        <f>E27*F20</f>
        <v>0</v>
      </c>
      <c r="G27" s="31"/>
      <c r="H27" s="31"/>
      <c r="I27" s="31"/>
      <c r="J27" s="31"/>
      <c r="K27" s="31"/>
      <c r="L27" s="31">
        <f t="shared" si="5"/>
        <v>0</v>
      </c>
      <c r="M27" s="31">
        <f t="shared" si="4"/>
        <v>0</v>
      </c>
      <c r="N27" s="76"/>
      <c r="O27" s="73"/>
    </row>
    <row r="28" spans="1:15" s="74" customFormat="1" ht="31.5" hidden="1" x14ac:dyDescent="0.25">
      <c r="A28" s="71" t="s">
        <v>119</v>
      </c>
      <c r="B28" s="4"/>
      <c r="C28" s="72" t="s">
        <v>238</v>
      </c>
      <c r="D28" s="78"/>
      <c r="E28" s="30"/>
      <c r="F28" s="30"/>
      <c r="G28" s="31"/>
      <c r="H28" s="31"/>
      <c r="I28" s="31"/>
      <c r="J28" s="31"/>
      <c r="K28" s="31"/>
      <c r="L28" s="31"/>
      <c r="M28" s="31"/>
      <c r="N28" s="1"/>
      <c r="O28" s="73"/>
    </row>
    <row r="29" spans="1:15" s="74" customFormat="1" ht="15.75" hidden="1" x14ac:dyDescent="0.25">
      <c r="A29" s="480" t="s">
        <v>178</v>
      </c>
      <c r="B29" s="79" t="s">
        <v>145</v>
      </c>
      <c r="C29" s="80" t="s">
        <v>193</v>
      </c>
      <c r="D29" s="81" t="s">
        <v>20</v>
      </c>
      <c r="E29" s="82"/>
      <c r="F29" s="51">
        <f>F32*1.65</f>
        <v>0</v>
      </c>
      <c r="G29" s="83"/>
      <c r="H29" s="40"/>
      <c r="I29" s="40"/>
      <c r="J29" s="40"/>
      <c r="K29" s="84"/>
      <c r="L29" s="40"/>
      <c r="M29" s="40"/>
      <c r="N29" s="1"/>
      <c r="O29" s="73"/>
    </row>
    <row r="30" spans="1:15" s="74" customFormat="1" ht="15.75" hidden="1" x14ac:dyDescent="0.25">
      <c r="A30" s="482"/>
      <c r="B30" s="4"/>
      <c r="C30" s="85" t="s">
        <v>52</v>
      </c>
      <c r="D30" s="4" t="s">
        <v>50</v>
      </c>
      <c r="E30" s="54">
        <f>0.53</f>
        <v>0.53</v>
      </c>
      <c r="F30" s="54">
        <f>E30*F29</f>
        <v>0</v>
      </c>
      <c r="G30" s="40"/>
      <c r="H30" s="40"/>
      <c r="I30" s="40"/>
      <c r="J30" s="40">
        <f>F30*I30</f>
        <v>0</v>
      </c>
      <c r="K30" s="40"/>
      <c r="L30" s="40"/>
      <c r="M30" s="40">
        <f>H30+J30+L30</f>
        <v>0</v>
      </c>
      <c r="N30" s="1"/>
      <c r="O30" s="73"/>
    </row>
    <row r="31" spans="1:15" s="74" customFormat="1" ht="47.25" hidden="1" x14ac:dyDescent="0.25">
      <c r="A31" s="77" t="s">
        <v>179</v>
      </c>
      <c r="B31" s="67" t="s">
        <v>123</v>
      </c>
      <c r="C31" s="86" t="s">
        <v>260</v>
      </c>
      <c r="D31" s="81" t="s">
        <v>20</v>
      </c>
      <c r="E31" s="68"/>
      <c r="F31" s="87">
        <f>F29</f>
        <v>0</v>
      </c>
      <c r="G31" s="69"/>
      <c r="H31" s="31"/>
      <c r="I31" s="31"/>
      <c r="J31" s="31"/>
      <c r="K31" s="70"/>
      <c r="L31" s="31">
        <f>F31*K31</f>
        <v>0</v>
      </c>
      <c r="M31" s="31">
        <f t="shared" si="4"/>
        <v>0</v>
      </c>
      <c r="N31" s="88"/>
      <c r="O31" s="73"/>
    </row>
    <row r="32" spans="1:15" s="74" customFormat="1" ht="31.5" hidden="1" x14ac:dyDescent="0.25">
      <c r="A32" s="71" t="s">
        <v>252</v>
      </c>
      <c r="B32" s="67" t="s">
        <v>88</v>
      </c>
      <c r="C32" s="89" t="s">
        <v>182</v>
      </c>
      <c r="D32" s="81" t="s">
        <v>17</v>
      </c>
      <c r="E32" s="68"/>
      <c r="F32" s="7">
        <v>0</v>
      </c>
      <c r="G32" s="69"/>
      <c r="H32" s="31"/>
      <c r="I32" s="31"/>
      <c r="J32" s="31"/>
      <c r="K32" s="70"/>
      <c r="L32" s="31"/>
      <c r="M32" s="31"/>
      <c r="N32" s="76"/>
      <c r="O32" s="73"/>
    </row>
    <row r="33" spans="1:15" s="74" customFormat="1" ht="15.75" hidden="1" x14ac:dyDescent="0.25">
      <c r="A33" s="77"/>
      <c r="B33" s="67"/>
      <c r="C33" s="66" t="s">
        <v>81</v>
      </c>
      <c r="D33" s="67" t="s">
        <v>82</v>
      </c>
      <c r="E33" s="68">
        <v>1.21</v>
      </c>
      <c r="F33" s="68">
        <f>F32*E33</f>
        <v>0</v>
      </c>
      <c r="G33" s="69"/>
      <c r="H33" s="31"/>
      <c r="I33" s="69"/>
      <c r="J33" s="31">
        <f>F33*I33</f>
        <v>0</v>
      </c>
      <c r="K33" s="70"/>
      <c r="L33" s="31"/>
      <c r="M33" s="31">
        <f t="shared" si="4"/>
        <v>0</v>
      </c>
      <c r="N33" s="76"/>
      <c r="O33" s="73"/>
    </row>
    <row r="34" spans="1:15" s="74" customFormat="1" ht="63" x14ac:dyDescent="0.25">
      <c r="A34" s="482" t="s">
        <v>259</v>
      </c>
      <c r="B34" s="90" t="s">
        <v>310</v>
      </c>
      <c r="C34" s="91" t="s">
        <v>239</v>
      </c>
      <c r="D34" s="92" t="s">
        <v>317</v>
      </c>
      <c r="E34" s="93"/>
      <c r="F34" s="94">
        <f>160/1000</f>
        <v>0.16</v>
      </c>
      <c r="G34" s="8"/>
      <c r="H34" s="31"/>
      <c r="I34" s="8"/>
      <c r="J34" s="31"/>
      <c r="K34" s="8"/>
      <c r="L34" s="31"/>
      <c r="M34" s="31"/>
      <c r="N34" s="76"/>
      <c r="O34" s="73"/>
    </row>
    <row r="35" spans="1:15" s="74" customFormat="1" ht="15.75" x14ac:dyDescent="0.25">
      <c r="A35" s="492"/>
      <c r="B35" s="67"/>
      <c r="C35" s="95"/>
      <c r="D35" s="6" t="s">
        <v>17</v>
      </c>
      <c r="E35" s="7"/>
      <c r="F35" s="7">
        <f>F34*0.05</f>
        <v>8.0000000000000002E-3</v>
      </c>
      <c r="G35" s="8"/>
      <c r="H35" s="31"/>
      <c r="I35" s="8"/>
      <c r="J35" s="31"/>
      <c r="K35" s="8"/>
      <c r="L35" s="31"/>
      <c r="M35" s="31"/>
      <c r="N35" s="76"/>
      <c r="O35" s="73"/>
    </row>
    <row r="36" spans="1:15" s="74" customFormat="1" ht="15.75" x14ac:dyDescent="0.25">
      <c r="A36" s="492"/>
      <c r="B36" s="67"/>
      <c r="C36" s="66" t="s">
        <v>81</v>
      </c>
      <c r="D36" s="67" t="s">
        <v>82</v>
      </c>
      <c r="E36" s="68">
        <v>180</v>
      </c>
      <c r="F36" s="68">
        <f>F34*E36</f>
        <v>28.8</v>
      </c>
      <c r="G36" s="69"/>
      <c r="H36" s="31"/>
      <c r="I36" s="69"/>
      <c r="J36" s="31">
        <f>F36*I36</f>
        <v>0</v>
      </c>
      <c r="K36" s="70"/>
      <c r="L36" s="31"/>
      <c r="M36" s="31">
        <f>H36+J36+L36</f>
        <v>0</v>
      </c>
      <c r="N36" s="76"/>
      <c r="O36" s="73"/>
    </row>
    <row r="37" spans="1:15" s="74" customFormat="1" ht="94.5" x14ac:dyDescent="0.25">
      <c r="A37" s="476" t="s">
        <v>83</v>
      </c>
      <c r="B37" s="96" t="s">
        <v>144</v>
      </c>
      <c r="C37" s="97" t="s">
        <v>236</v>
      </c>
      <c r="D37" s="6" t="s">
        <v>90</v>
      </c>
      <c r="E37" s="30"/>
      <c r="F37" s="7">
        <v>10</v>
      </c>
      <c r="G37" s="31"/>
      <c r="H37" s="31"/>
      <c r="I37" s="31"/>
      <c r="J37" s="31"/>
      <c r="K37" s="31"/>
      <c r="L37" s="31"/>
      <c r="M37" s="31"/>
      <c r="N37" s="76"/>
      <c r="O37" s="73"/>
    </row>
    <row r="38" spans="1:15" s="74" customFormat="1" ht="15.75" x14ac:dyDescent="0.25">
      <c r="A38" s="476"/>
      <c r="B38" s="4"/>
      <c r="C38" s="98" t="s">
        <v>29</v>
      </c>
      <c r="D38" s="99" t="s">
        <v>25</v>
      </c>
      <c r="E38" s="100">
        <v>0.6</v>
      </c>
      <c r="F38" s="101">
        <f>F37*E38</f>
        <v>6</v>
      </c>
      <c r="G38" s="102"/>
      <c r="H38" s="31"/>
      <c r="I38" s="102"/>
      <c r="J38" s="31">
        <f>F38*I38</f>
        <v>0</v>
      </c>
      <c r="K38" s="31"/>
      <c r="L38" s="31"/>
      <c r="M38" s="31">
        <f>H38+J38+L38</f>
        <v>0</v>
      </c>
      <c r="N38" s="76"/>
      <c r="O38" s="73"/>
    </row>
    <row r="39" spans="1:15" s="74" customFormat="1" ht="31.5" x14ac:dyDescent="0.25">
      <c r="A39" s="476"/>
      <c r="B39" s="96" t="s">
        <v>145</v>
      </c>
      <c r="C39" s="103" t="s">
        <v>49</v>
      </c>
      <c r="D39" s="6" t="s">
        <v>20</v>
      </c>
      <c r="E39" s="100"/>
      <c r="F39" s="104">
        <f>F37*1.85</f>
        <v>18.5</v>
      </c>
      <c r="G39" s="102"/>
      <c r="H39" s="31"/>
      <c r="I39" s="102"/>
      <c r="J39" s="31"/>
      <c r="K39" s="102"/>
      <c r="L39" s="31"/>
      <c r="M39" s="31"/>
      <c r="N39" s="76"/>
      <c r="O39" s="73"/>
    </row>
    <row r="40" spans="1:15" s="74" customFormat="1" ht="15.75" x14ac:dyDescent="0.25">
      <c r="A40" s="476"/>
      <c r="B40" s="105"/>
      <c r="C40" s="106" t="s">
        <v>32</v>
      </c>
      <c r="D40" s="99" t="s">
        <v>25</v>
      </c>
      <c r="E40" s="100">
        <v>0.53</v>
      </c>
      <c r="F40" s="101">
        <f>F39*E40</f>
        <v>9.8049999999999997</v>
      </c>
      <c r="G40" s="102"/>
      <c r="H40" s="31"/>
      <c r="I40" s="102"/>
      <c r="J40" s="31">
        <f>F40*I40</f>
        <v>0</v>
      </c>
      <c r="K40" s="102"/>
      <c r="L40" s="31"/>
      <c r="M40" s="31">
        <f>H40+J40+L40</f>
        <v>0</v>
      </c>
      <c r="N40" s="76"/>
      <c r="O40" s="73"/>
    </row>
    <row r="41" spans="1:15" s="74" customFormat="1" ht="31.5" x14ac:dyDescent="0.25">
      <c r="A41" s="476"/>
      <c r="B41" s="6" t="s">
        <v>112</v>
      </c>
      <c r="C41" s="107" t="s">
        <v>237</v>
      </c>
      <c r="D41" s="6" t="s">
        <v>20</v>
      </c>
      <c r="E41" s="100"/>
      <c r="F41" s="104">
        <f>F39</f>
        <v>18.5</v>
      </c>
      <c r="G41" s="102"/>
      <c r="H41" s="31"/>
      <c r="I41" s="102"/>
      <c r="J41" s="31"/>
      <c r="K41" s="102"/>
      <c r="L41" s="31">
        <f>F41*K41</f>
        <v>0</v>
      </c>
      <c r="M41" s="31">
        <f>H41+J41+L41</f>
        <v>0</v>
      </c>
      <c r="N41" s="76"/>
      <c r="O41" s="73"/>
    </row>
    <row r="42" spans="1:15" s="74" customFormat="1" ht="15.75" x14ac:dyDescent="0.25">
      <c r="A42" s="108"/>
      <c r="B42" s="67"/>
      <c r="C42" s="66"/>
      <c r="D42" s="67"/>
      <c r="E42" s="68"/>
      <c r="F42" s="68"/>
      <c r="G42" s="69"/>
      <c r="H42" s="31"/>
      <c r="I42" s="69"/>
      <c r="J42" s="31"/>
      <c r="K42" s="70"/>
      <c r="L42" s="31"/>
      <c r="M42" s="31"/>
      <c r="N42" s="76"/>
      <c r="O42" s="73"/>
    </row>
    <row r="43" spans="1:15" ht="47.25" x14ac:dyDescent="0.25">
      <c r="A43" s="3" t="s">
        <v>111</v>
      </c>
      <c r="B43" s="4"/>
      <c r="C43" s="5" t="s">
        <v>428</v>
      </c>
      <c r="D43" s="6"/>
      <c r="E43" s="30"/>
      <c r="F43" s="7">
        <v>19</v>
      </c>
      <c r="G43" s="31"/>
      <c r="H43" s="31"/>
      <c r="I43" s="31"/>
      <c r="J43" s="31"/>
      <c r="K43" s="31"/>
      <c r="L43" s="31"/>
      <c r="M43" s="31"/>
      <c r="N43" s="1"/>
    </row>
    <row r="44" spans="1:15" ht="63" x14ac:dyDescent="0.25">
      <c r="A44" s="71" t="s">
        <v>253</v>
      </c>
      <c r="B44" s="81" t="s">
        <v>67</v>
      </c>
      <c r="C44" s="97" t="s">
        <v>125</v>
      </c>
      <c r="D44" s="6" t="s">
        <v>71</v>
      </c>
      <c r="E44" s="7"/>
      <c r="F44" s="7">
        <f>0.4*0.6*F43</f>
        <v>4.5599999999999996</v>
      </c>
      <c r="G44" s="8"/>
      <c r="H44" s="31"/>
      <c r="I44" s="8"/>
      <c r="J44" s="31"/>
      <c r="K44" s="8"/>
      <c r="L44" s="31"/>
      <c r="M44" s="31"/>
      <c r="N44" s="1"/>
    </row>
    <row r="45" spans="1:15" x14ac:dyDescent="0.25">
      <c r="A45" s="77"/>
      <c r="B45" s="67"/>
      <c r="C45" s="66" t="s">
        <v>81</v>
      </c>
      <c r="D45" s="67" t="s">
        <v>82</v>
      </c>
      <c r="E45" s="68">
        <v>2.06</v>
      </c>
      <c r="F45" s="68">
        <f>F44*E45</f>
        <v>9.3935999999999993</v>
      </c>
      <c r="G45" s="69"/>
      <c r="H45" s="31"/>
      <c r="I45" s="69"/>
      <c r="J45" s="31">
        <f>F45*I45</f>
        <v>0</v>
      </c>
      <c r="K45" s="70"/>
      <c r="L45" s="31"/>
      <c r="M45" s="31">
        <f>H45+J45+L45</f>
        <v>0</v>
      </c>
      <c r="N45" s="1"/>
    </row>
    <row r="46" spans="1:15" ht="47.25" x14ac:dyDescent="0.25">
      <c r="A46" s="71" t="s">
        <v>254</v>
      </c>
      <c r="B46" s="81" t="s">
        <v>391</v>
      </c>
      <c r="C46" s="89" t="s">
        <v>126</v>
      </c>
      <c r="D46" s="81" t="s">
        <v>17</v>
      </c>
      <c r="E46" s="68"/>
      <c r="F46" s="7">
        <f>0.4*0.1*F43</f>
        <v>0.76000000000000012</v>
      </c>
      <c r="G46" s="69"/>
      <c r="H46" s="31"/>
      <c r="I46" s="31"/>
      <c r="J46" s="31"/>
      <c r="K46" s="70"/>
      <c r="L46" s="31"/>
      <c r="M46" s="31"/>
      <c r="N46" s="1"/>
    </row>
    <row r="47" spans="1:15" x14ac:dyDescent="0.25">
      <c r="A47" s="75"/>
      <c r="B47" s="67"/>
      <c r="C47" s="66" t="s">
        <v>81</v>
      </c>
      <c r="D47" s="67" t="s">
        <v>82</v>
      </c>
      <c r="E47" s="68">
        <v>0.89</v>
      </c>
      <c r="F47" s="68">
        <f>F46*E47</f>
        <v>0.67640000000000011</v>
      </c>
      <c r="G47" s="69"/>
      <c r="H47" s="31"/>
      <c r="I47" s="69"/>
      <c r="J47" s="31">
        <f>F47*I47</f>
        <v>0</v>
      </c>
      <c r="K47" s="70"/>
      <c r="L47" s="31"/>
      <c r="M47" s="31">
        <f>H47+J47+L47</f>
        <v>0</v>
      </c>
      <c r="N47" s="1"/>
    </row>
    <row r="48" spans="1:15" x14ac:dyDescent="0.25">
      <c r="A48" s="75"/>
      <c r="B48" s="67"/>
      <c r="C48" s="66" t="s">
        <v>30</v>
      </c>
      <c r="D48" s="67" t="s">
        <v>22</v>
      </c>
      <c r="E48" s="68">
        <v>0.37</v>
      </c>
      <c r="F48" s="68">
        <f>F46*E48</f>
        <v>0.28120000000000006</v>
      </c>
      <c r="G48" s="69"/>
      <c r="H48" s="31"/>
      <c r="I48" s="31"/>
      <c r="J48" s="31"/>
      <c r="K48" s="70"/>
      <c r="L48" s="31">
        <f>F48*K48</f>
        <v>0</v>
      </c>
      <c r="M48" s="31">
        <f>H48+J48+L48</f>
        <v>0</v>
      </c>
      <c r="N48" s="1"/>
    </row>
    <row r="49" spans="1:14" x14ac:dyDescent="0.25">
      <c r="A49" s="75"/>
      <c r="B49" s="67"/>
      <c r="C49" s="66" t="s">
        <v>124</v>
      </c>
      <c r="D49" s="67" t="s">
        <v>17</v>
      </c>
      <c r="E49" s="68">
        <v>1.1499999999999999</v>
      </c>
      <c r="F49" s="68">
        <f>F46*E49</f>
        <v>0.87400000000000011</v>
      </c>
      <c r="G49" s="69"/>
      <c r="H49" s="31">
        <f>F49*G49</f>
        <v>0</v>
      </c>
      <c r="I49" s="31"/>
      <c r="J49" s="31"/>
      <c r="K49" s="70"/>
      <c r="L49" s="31"/>
      <c r="M49" s="31">
        <f>H49+J49+L49</f>
        <v>0</v>
      </c>
      <c r="N49" s="1"/>
    </row>
    <row r="50" spans="1:14" x14ac:dyDescent="0.25">
      <c r="A50" s="77"/>
      <c r="B50" s="67"/>
      <c r="C50" s="66" t="s">
        <v>28</v>
      </c>
      <c r="D50" s="67" t="s">
        <v>22</v>
      </c>
      <c r="E50" s="68">
        <v>0.02</v>
      </c>
      <c r="F50" s="68">
        <f>F46*E50</f>
        <v>1.5200000000000003E-2</v>
      </c>
      <c r="G50" s="69"/>
      <c r="H50" s="31">
        <f>F50*G50</f>
        <v>0</v>
      </c>
      <c r="I50" s="31"/>
      <c r="J50" s="31"/>
      <c r="K50" s="70"/>
      <c r="L50" s="31"/>
      <c r="M50" s="31">
        <f>H50+J50+L50</f>
        <v>0</v>
      </c>
      <c r="N50" s="1"/>
    </row>
    <row r="51" spans="1:14" ht="63" x14ac:dyDescent="0.25">
      <c r="A51" s="109" t="s">
        <v>197</v>
      </c>
      <c r="B51" s="6" t="s">
        <v>94</v>
      </c>
      <c r="C51" s="97" t="s">
        <v>244</v>
      </c>
      <c r="D51" s="6" t="s">
        <v>17</v>
      </c>
      <c r="E51" s="30"/>
      <c r="F51" s="7">
        <f>0.3*0.7*F43</f>
        <v>3.9899999999999998</v>
      </c>
      <c r="G51" s="110"/>
      <c r="H51" s="31"/>
      <c r="I51" s="110"/>
      <c r="J51" s="31"/>
      <c r="K51" s="110"/>
      <c r="L51" s="31"/>
      <c r="M51" s="31"/>
      <c r="N51" s="1"/>
    </row>
    <row r="52" spans="1:14" x14ac:dyDescent="0.25">
      <c r="A52" s="111"/>
      <c r="B52" s="4"/>
      <c r="C52" s="112" t="s">
        <v>45</v>
      </c>
      <c r="D52" s="113" t="s">
        <v>50</v>
      </c>
      <c r="E52" s="114">
        <v>3.78</v>
      </c>
      <c r="F52" s="115">
        <f>E52*F51</f>
        <v>15.082199999999998</v>
      </c>
      <c r="G52" s="31"/>
      <c r="H52" s="31"/>
      <c r="I52" s="31"/>
      <c r="J52" s="31">
        <f>F52*I52</f>
        <v>0</v>
      </c>
      <c r="K52" s="31"/>
      <c r="L52" s="31"/>
      <c r="M52" s="31">
        <f t="shared" ref="M52:M58" si="6">H52+J52+L52</f>
        <v>0</v>
      </c>
      <c r="N52" s="1"/>
    </row>
    <row r="53" spans="1:14" x14ac:dyDescent="0.25">
      <c r="A53" s="111"/>
      <c r="B53" s="4"/>
      <c r="C53" s="112" t="s">
        <v>24</v>
      </c>
      <c r="D53" s="113" t="s">
        <v>22</v>
      </c>
      <c r="E53" s="114">
        <v>0.92</v>
      </c>
      <c r="F53" s="115">
        <f>E53*F51</f>
        <v>3.6707999999999998</v>
      </c>
      <c r="G53" s="31"/>
      <c r="H53" s="31"/>
      <c r="I53" s="31"/>
      <c r="J53" s="31"/>
      <c r="K53" s="31"/>
      <c r="L53" s="31">
        <f>F53*K53</f>
        <v>0</v>
      </c>
      <c r="M53" s="31">
        <f t="shared" si="6"/>
        <v>0</v>
      </c>
      <c r="N53" s="1"/>
    </row>
    <row r="54" spans="1:14" x14ac:dyDescent="0.25">
      <c r="A54" s="111"/>
      <c r="B54" s="4"/>
      <c r="C54" s="112" t="s">
        <v>257</v>
      </c>
      <c r="D54" s="113" t="s">
        <v>72</v>
      </c>
      <c r="E54" s="114">
        <v>1.0149999999999999</v>
      </c>
      <c r="F54" s="115">
        <f>E54*F51</f>
        <v>4.0498499999999993</v>
      </c>
      <c r="G54" s="31"/>
      <c r="H54" s="31">
        <f>F54*G54</f>
        <v>0</v>
      </c>
      <c r="I54" s="31"/>
      <c r="J54" s="31"/>
      <c r="K54" s="31"/>
      <c r="L54" s="31"/>
      <c r="M54" s="31">
        <f t="shared" si="6"/>
        <v>0</v>
      </c>
      <c r="N54" s="1"/>
    </row>
    <row r="55" spans="1:14" x14ac:dyDescent="0.25">
      <c r="A55" s="111"/>
      <c r="B55" s="4"/>
      <c r="C55" s="112" t="s">
        <v>64</v>
      </c>
      <c r="D55" s="113" t="s">
        <v>66</v>
      </c>
      <c r="E55" s="114">
        <v>0.70299999999999996</v>
      </c>
      <c r="F55" s="115">
        <f>E55*F51</f>
        <v>2.8049699999999995</v>
      </c>
      <c r="G55" s="31"/>
      <c r="H55" s="31">
        <f>F55*G55</f>
        <v>0</v>
      </c>
      <c r="I55" s="31"/>
      <c r="J55" s="31"/>
      <c r="K55" s="31"/>
      <c r="L55" s="31"/>
      <c r="M55" s="31">
        <f t="shared" si="6"/>
        <v>0</v>
      </c>
      <c r="N55" s="1"/>
    </row>
    <row r="56" spans="1:14" x14ac:dyDescent="0.25">
      <c r="A56" s="111"/>
      <c r="B56" s="4"/>
      <c r="C56" s="112" t="s">
        <v>65</v>
      </c>
      <c r="D56" s="113" t="s">
        <v>72</v>
      </c>
      <c r="E56" s="114">
        <v>1.14E-2</v>
      </c>
      <c r="F56" s="115">
        <f>E56*F51</f>
        <v>4.5485999999999999E-2</v>
      </c>
      <c r="G56" s="31"/>
      <c r="H56" s="31">
        <f>F56*G56</f>
        <v>0</v>
      </c>
      <c r="I56" s="31"/>
      <c r="J56" s="31"/>
      <c r="K56" s="31"/>
      <c r="L56" s="31"/>
      <c r="M56" s="31">
        <f t="shared" si="6"/>
        <v>0</v>
      </c>
      <c r="N56" s="1"/>
    </row>
    <row r="57" spans="1:14" x14ac:dyDescent="0.25">
      <c r="A57" s="21"/>
      <c r="B57" s="4"/>
      <c r="C57" s="112" t="s">
        <v>31</v>
      </c>
      <c r="D57" s="113" t="s">
        <v>22</v>
      </c>
      <c r="E57" s="114">
        <v>0.6</v>
      </c>
      <c r="F57" s="115">
        <f>E57*F51</f>
        <v>2.3939999999999997</v>
      </c>
      <c r="G57" s="31"/>
      <c r="H57" s="31">
        <f>F57*G57</f>
        <v>0</v>
      </c>
      <c r="I57" s="31"/>
      <c r="J57" s="31"/>
      <c r="K57" s="31"/>
      <c r="L57" s="31"/>
      <c r="M57" s="31">
        <f>H57+J57+L57</f>
        <v>0</v>
      </c>
      <c r="N57" s="1"/>
    </row>
    <row r="58" spans="1:14" x14ac:dyDescent="0.25">
      <c r="A58" s="111"/>
      <c r="B58" s="4"/>
      <c r="C58" s="116" t="s">
        <v>418</v>
      </c>
      <c r="D58" s="113" t="s">
        <v>62</v>
      </c>
      <c r="E58" s="117"/>
      <c r="F58" s="115">
        <f>(3*F43+(F43/0.15+1)*0.3)*0.395*1.03/1000</f>
        <v>3.8772805000000007E-2</v>
      </c>
      <c r="G58" s="31"/>
      <c r="H58" s="31">
        <f>F58*G58</f>
        <v>0</v>
      </c>
      <c r="I58" s="31"/>
      <c r="J58" s="31"/>
      <c r="K58" s="31"/>
      <c r="L58" s="31"/>
      <c r="M58" s="31">
        <f t="shared" si="6"/>
        <v>0</v>
      </c>
      <c r="N58" s="1"/>
    </row>
    <row r="59" spans="1:14" ht="47.25" x14ac:dyDescent="0.25">
      <c r="A59" s="109" t="s">
        <v>255</v>
      </c>
      <c r="B59" s="118" t="s">
        <v>312</v>
      </c>
      <c r="C59" s="65" t="s">
        <v>319</v>
      </c>
      <c r="D59" s="118" t="s">
        <v>51</v>
      </c>
      <c r="E59" s="119"/>
      <c r="F59" s="120">
        <f>F43</f>
        <v>19</v>
      </c>
      <c r="G59" s="31"/>
      <c r="H59" s="31"/>
      <c r="I59" s="31"/>
      <c r="J59" s="31"/>
      <c r="K59" s="31"/>
      <c r="L59" s="31"/>
      <c r="M59" s="31"/>
      <c r="N59" s="1"/>
    </row>
    <row r="60" spans="1:14" x14ac:dyDescent="0.25">
      <c r="A60" s="111"/>
      <c r="B60" s="121"/>
      <c r="C60" s="15" t="s">
        <v>23</v>
      </c>
      <c r="D60" s="4" t="s">
        <v>25</v>
      </c>
      <c r="E60" s="119">
        <v>1.58</v>
      </c>
      <c r="F60" s="119">
        <f>F59*E60</f>
        <v>30.020000000000003</v>
      </c>
      <c r="G60" s="31"/>
      <c r="H60" s="31"/>
      <c r="I60" s="31"/>
      <c r="J60" s="31">
        <f>F60*I60</f>
        <v>0</v>
      </c>
      <c r="K60" s="31"/>
      <c r="L60" s="31"/>
      <c r="M60" s="31">
        <f t="shared" ref="M60:M66" si="7">H60+J60+L60</f>
        <v>0</v>
      </c>
      <c r="N60" s="1"/>
    </row>
    <row r="61" spans="1:14" x14ac:dyDescent="0.25">
      <c r="A61" s="111"/>
      <c r="B61" s="4" t="s">
        <v>95</v>
      </c>
      <c r="C61" s="122" t="s">
        <v>96</v>
      </c>
      <c r="D61" s="4" t="s">
        <v>57</v>
      </c>
      <c r="E61" s="123">
        <f>20.5/100</f>
        <v>0.20499999999999999</v>
      </c>
      <c r="F61" s="123">
        <f>F59*E61</f>
        <v>3.8949999999999996</v>
      </c>
      <c r="G61" s="31"/>
      <c r="H61" s="31"/>
      <c r="I61" s="31"/>
      <c r="J61" s="31"/>
      <c r="K61" s="31"/>
      <c r="L61" s="31">
        <f>F61*K61</f>
        <v>0</v>
      </c>
      <c r="M61" s="31">
        <f t="shared" si="7"/>
        <v>0</v>
      </c>
      <c r="N61" s="1"/>
    </row>
    <row r="62" spans="1:14" x14ac:dyDescent="0.25">
      <c r="A62" s="111"/>
      <c r="B62" s="4"/>
      <c r="C62" s="122" t="s">
        <v>24</v>
      </c>
      <c r="D62" s="4" t="s">
        <v>22</v>
      </c>
      <c r="E62" s="123">
        <f>4*0.01</f>
        <v>0.04</v>
      </c>
      <c r="F62" s="123">
        <f>F59*E62</f>
        <v>0.76</v>
      </c>
      <c r="G62" s="31"/>
      <c r="H62" s="31"/>
      <c r="I62" s="31"/>
      <c r="J62" s="31"/>
      <c r="K62" s="31"/>
      <c r="L62" s="31">
        <f>F62*K62</f>
        <v>0</v>
      </c>
      <c r="M62" s="31">
        <f t="shared" si="7"/>
        <v>0</v>
      </c>
      <c r="N62" s="1"/>
    </row>
    <row r="63" spans="1:14" x14ac:dyDescent="0.25">
      <c r="A63" s="111"/>
      <c r="B63" s="4"/>
      <c r="C63" s="124" t="s">
        <v>202</v>
      </c>
      <c r="D63" s="125" t="s">
        <v>72</v>
      </c>
      <c r="E63" s="123">
        <f>1.41*0.01</f>
        <v>1.41E-2</v>
      </c>
      <c r="F63" s="123">
        <f>F59*E63</f>
        <v>0.26789999999999997</v>
      </c>
      <c r="G63" s="31"/>
      <c r="H63" s="31">
        <f>F63*G63</f>
        <v>0</v>
      </c>
      <c r="I63" s="31"/>
      <c r="J63" s="31"/>
      <c r="K63" s="31"/>
      <c r="L63" s="31"/>
      <c r="M63" s="31">
        <f t="shared" si="7"/>
        <v>0</v>
      </c>
      <c r="N63" s="1"/>
    </row>
    <row r="64" spans="1:14" x14ac:dyDescent="0.25">
      <c r="A64" s="111"/>
      <c r="B64" s="121"/>
      <c r="C64" s="65" t="s">
        <v>97</v>
      </c>
      <c r="D64" s="121" t="str">
        <f>D59</f>
        <v>grZ.m.</v>
      </c>
      <c r="E64" s="126">
        <v>1</v>
      </c>
      <c r="F64" s="120">
        <f>F59*E64</f>
        <v>19</v>
      </c>
      <c r="G64" s="31"/>
      <c r="H64" s="31">
        <f>F64*G64</f>
        <v>0</v>
      </c>
      <c r="I64" s="31"/>
      <c r="J64" s="31"/>
      <c r="K64" s="31"/>
      <c r="L64" s="31"/>
      <c r="M64" s="31">
        <f t="shared" si="7"/>
        <v>0</v>
      </c>
      <c r="N64" s="1"/>
    </row>
    <row r="65" spans="1:14" x14ac:dyDescent="0.25">
      <c r="A65" s="111"/>
      <c r="B65" s="4"/>
      <c r="C65" s="124" t="s">
        <v>98</v>
      </c>
      <c r="D65" s="4" t="s">
        <v>99</v>
      </c>
      <c r="E65" s="123">
        <f>0.002*1000*0.01</f>
        <v>0.02</v>
      </c>
      <c r="F65" s="123">
        <f>F59*E65</f>
        <v>0.38</v>
      </c>
      <c r="G65" s="31"/>
      <c r="H65" s="31">
        <f>F65*G65</f>
        <v>0</v>
      </c>
      <c r="I65" s="31"/>
      <c r="J65" s="31"/>
      <c r="K65" s="31"/>
      <c r="L65" s="31"/>
      <c r="M65" s="31">
        <f t="shared" si="7"/>
        <v>0</v>
      </c>
      <c r="N65" s="1"/>
    </row>
    <row r="66" spans="1:14" x14ac:dyDescent="0.25">
      <c r="A66" s="21"/>
      <c r="B66" s="4"/>
      <c r="C66" s="122" t="s">
        <v>31</v>
      </c>
      <c r="D66" s="4" t="s">
        <v>22</v>
      </c>
      <c r="E66" s="123">
        <f>6*0.01</f>
        <v>0.06</v>
      </c>
      <c r="F66" s="123">
        <f>F59*E66</f>
        <v>1.1399999999999999</v>
      </c>
      <c r="G66" s="31"/>
      <c r="H66" s="31">
        <f>F66*G66</f>
        <v>0</v>
      </c>
      <c r="I66" s="31"/>
      <c r="J66" s="31"/>
      <c r="K66" s="31"/>
      <c r="L66" s="31"/>
      <c r="M66" s="31">
        <f t="shared" si="7"/>
        <v>0</v>
      </c>
      <c r="N66" s="1"/>
    </row>
    <row r="67" spans="1:14" ht="27" hidden="1" x14ac:dyDescent="0.25">
      <c r="A67" s="477" t="s">
        <v>255</v>
      </c>
      <c r="B67" s="6" t="s">
        <v>303</v>
      </c>
      <c r="C67" s="127" t="s">
        <v>304</v>
      </c>
      <c r="D67" s="6" t="s">
        <v>15</v>
      </c>
      <c r="E67" s="54"/>
      <c r="F67" s="51">
        <v>0</v>
      </c>
      <c r="G67" s="40"/>
      <c r="H67" s="40"/>
      <c r="I67" s="40"/>
      <c r="J67" s="40"/>
      <c r="K67" s="40"/>
      <c r="L67" s="40"/>
      <c r="M67" s="40">
        <f t="shared" ref="M67:M73" si="8">H67+J67+L67</f>
        <v>0</v>
      </c>
      <c r="N67" s="1"/>
    </row>
    <row r="68" spans="1:14" hidden="1" x14ac:dyDescent="0.25">
      <c r="A68" s="478"/>
      <c r="B68" s="125"/>
      <c r="C68" s="55" t="s">
        <v>23</v>
      </c>
      <c r="D68" s="4" t="s">
        <v>25</v>
      </c>
      <c r="E68" s="128">
        <f>733*0.01</f>
        <v>7.33</v>
      </c>
      <c r="F68" s="54">
        <f>F67*E68</f>
        <v>0</v>
      </c>
      <c r="G68" s="40"/>
      <c r="H68" s="40"/>
      <c r="I68" s="40"/>
      <c r="J68" s="40">
        <f>F68*I68</f>
        <v>0</v>
      </c>
      <c r="K68" s="40"/>
      <c r="L68" s="40"/>
      <c r="M68" s="40">
        <f t="shared" si="8"/>
        <v>0</v>
      </c>
      <c r="N68" s="1"/>
    </row>
    <row r="69" spans="1:14" hidden="1" x14ac:dyDescent="0.25">
      <c r="A69" s="478"/>
      <c r="B69" s="4"/>
      <c r="C69" s="129" t="s">
        <v>24</v>
      </c>
      <c r="D69" s="4" t="s">
        <v>22</v>
      </c>
      <c r="E69" s="128">
        <f>11*0.01</f>
        <v>0.11</v>
      </c>
      <c r="F69" s="128">
        <f>F67*E69</f>
        <v>0</v>
      </c>
      <c r="G69" s="40"/>
      <c r="H69" s="40"/>
      <c r="I69" s="40"/>
      <c r="J69" s="40"/>
      <c r="K69" s="40"/>
      <c r="L69" s="40">
        <f>F69*K69</f>
        <v>0</v>
      </c>
      <c r="M69" s="40">
        <f t="shared" si="8"/>
        <v>0</v>
      </c>
      <c r="N69" s="1"/>
    </row>
    <row r="70" spans="1:14" hidden="1" x14ac:dyDescent="0.25">
      <c r="A70" s="478"/>
      <c r="B70" s="125"/>
      <c r="C70" s="55" t="s">
        <v>305</v>
      </c>
      <c r="D70" s="130" t="s">
        <v>70</v>
      </c>
      <c r="E70" s="128"/>
      <c r="F70" s="51">
        <f>1*1.3*F67</f>
        <v>0</v>
      </c>
      <c r="G70" s="40"/>
      <c r="H70" s="40">
        <f>F70*G70</f>
        <v>0</v>
      </c>
      <c r="I70" s="40"/>
      <c r="J70" s="40"/>
      <c r="K70" s="40"/>
      <c r="L70" s="40"/>
      <c r="M70" s="40">
        <f t="shared" si="8"/>
        <v>0</v>
      </c>
      <c r="N70" s="1"/>
    </row>
    <row r="71" spans="1:14" hidden="1" x14ac:dyDescent="0.25">
      <c r="A71" s="478"/>
      <c r="B71" s="4"/>
      <c r="C71" s="55" t="s">
        <v>306</v>
      </c>
      <c r="D71" s="125" t="s">
        <v>72</v>
      </c>
      <c r="E71" s="128">
        <f>5.1*0.01</f>
        <v>5.0999999999999997E-2</v>
      </c>
      <c r="F71" s="128">
        <f>E71*F67</f>
        <v>0</v>
      </c>
      <c r="G71" s="40"/>
      <c r="H71" s="40">
        <f>F71*G71</f>
        <v>0</v>
      </c>
      <c r="I71" s="40"/>
      <c r="J71" s="40"/>
      <c r="K71" s="40"/>
      <c r="L71" s="40"/>
      <c r="M71" s="40">
        <f t="shared" si="8"/>
        <v>0</v>
      </c>
      <c r="N71" s="1"/>
    </row>
    <row r="72" spans="1:14" hidden="1" x14ac:dyDescent="0.25">
      <c r="A72" s="478"/>
      <c r="B72" s="125"/>
      <c r="C72" s="55" t="s">
        <v>307</v>
      </c>
      <c r="D72" s="125" t="s">
        <v>99</v>
      </c>
      <c r="E72" s="128">
        <v>0.2</v>
      </c>
      <c r="F72" s="54">
        <f>F67*E72</f>
        <v>0</v>
      </c>
      <c r="G72" s="40"/>
      <c r="H72" s="40">
        <f>F72*G72</f>
        <v>0</v>
      </c>
      <c r="I72" s="40"/>
      <c r="J72" s="40"/>
      <c r="K72" s="40"/>
      <c r="L72" s="40"/>
      <c r="M72" s="40">
        <f t="shared" si="8"/>
        <v>0</v>
      </c>
      <c r="N72" s="1"/>
    </row>
    <row r="73" spans="1:14" hidden="1" x14ac:dyDescent="0.25">
      <c r="A73" s="479"/>
      <c r="B73" s="4"/>
      <c r="C73" s="129" t="s">
        <v>31</v>
      </c>
      <c r="D73" s="4" t="s">
        <v>22</v>
      </c>
      <c r="E73" s="128">
        <f>2*0.01</f>
        <v>0.02</v>
      </c>
      <c r="F73" s="128">
        <f>F67*E73</f>
        <v>0</v>
      </c>
      <c r="G73" s="40"/>
      <c r="H73" s="40">
        <f>F73*G73</f>
        <v>0</v>
      </c>
      <c r="I73" s="40"/>
      <c r="J73" s="40"/>
      <c r="K73" s="40"/>
      <c r="L73" s="40"/>
      <c r="M73" s="40">
        <f t="shared" si="8"/>
        <v>0</v>
      </c>
      <c r="N73" s="1"/>
    </row>
    <row r="74" spans="1:14" x14ac:dyDescent="0.25">
      <c r="A74" s="111"/>
      <c r="B74" s="4"/>
      <c r="C74" s="129"/>
      <c r="D74" s="4"/>
      <c r="E74" s="128"/>
      <c r="F74" s="128"/>
      <c r="G74" s="40"/>
      <c r="H74" s="40"/>
      <c r="I74" s="40"/>
      <c r="J74" s="40"/>
      <c r="K74" s="40"/>
      <c r="L74" s="40"/>
      <c r="M74" s="40"/>
      <c r="N74" s="1"/>
    </row>
    <row r="75" spans="1:14" ht="47.25" x14ac:dyDescent="0.25">
      <c r="A75" s="109" t="s">
        <v>256</v>
      </c>
      <c r="B75" s="118" t="s">
        <v>100</v>
      </c>
      <c r="C75" s="65" t="s">
        <v>101</v>
      </c>
      <c r="D75" s="118" t="s">
        <v>70</v>
      </c>
      <c r="E75" s="119"/>
      <c r="F75" s="120">
        <f>F59*2+F70*2</f>
        <v>38</v>
      </c>
      <c r="G75" s="31"/>
      <c r="H75" s="31"/>
      <c r="I75" s="31"/>
      <c r="J75" s="31"/>
      <c r="K75" s="31"/>
      <c r="L75" s="31"/>
      <c r="M75" s="31"/>
      <c r="N75" s="1"/>
    </row>
    <row r="76" spans="1:14" x14ac:dyDescent="0.25">
      <c r="A76" s="111"/>
      <c r="B76" s="131"/>
      <c r="C76" s="132" t="s">
        <v>23</v>
      </c>
      <c r="D76" s="133" t="s">
        <v>25</v>
      </c>
      <c r="E76" s="123">
        <f>68*0.01</f>
        <v>0.68</v>
      </c>
      <c r="F76" s="134">
        <f>F75*E76</f>
        <v>25.840000000000003</v>
      </c>
      <c r="G76" s="31"/>
      <c r="H76" s="31"/>
      <c r="I76" s="31"/>
      <c r="J76" s="31">
        <f>F76*I76</f>
        <v>0</v>
      </c>
      <c r="K76" s="31"/>
      <c r="L76" s="31"/>
      <c r="M76" s="31">
        <f>H76+J76+L76</f>
        <v>0</v>
      </c>
      <c r="N76" s="1"/>
    </row>
    <row r="77" spans="1:14" x14ac:dyDescent="0.25">
      <c r="A77" s="111"/>
      <c r="B77" s="121"/>
      <c r="C77" s="15" t="s">
        <v>24</v>
      </c>
      <c r="D77" s="121" t="s">
        <v>22</v>
      </c>
      <c r="E77" s="126">
        <f>0.03*0.01</f>
        <v>2.9999999999999997E-4</v>
      </c>
      <c r="F77" s="126">
        <f>F75*E77</f>
        <v>1.1399999999999999E-2</v>
      </c>
      <c r="G77" s="31"/>
      <c r="H77" s="31"/>
      <c r="I77" s="31"/>
      <c r="J77" s="31"/>
      <c r="K77" s="31"/>
      <c r="L77" s="31">
        <f>F77*K77</f>
        <v>0</v>
      </c>
      <c r="M77" s="31">
        <f>H77+J77+L77</f>
        <v>0</v>
      </c>
      <c r="N77" s="1"/>
    </row>
    <row r="78" spans="1:14" x14ac:dyDescent="0.25">
      <c r="A78" s="111"/>
      <c r="B78" s="121"/>
      <c r="C78" s="15" t="s">
        <v>74</v>
      </c>
      <c r="D78" s="131" t="s">
        <v>99</v>
      </c>
      <c r="E78" s="119">
        <v>0.246</v>
      </c>
      <c r="F78" s="119">
        <f>E78*F75</f>
        <v>9.347999999999999</v>
      </c>
      <c r="G78" s="31"/>
      <c r="H78" s="31">
        <f>F78*G78</f>
        <v>0</v>
      </c>
      <c r="I78" s="31"/>
      <c r="J78" s="31"/>
      <c r="K78" s="31"/>
      <c r="L78" s="31"/>
      <c r="M78" s="31">
        <f>H78+J78+L78</f>
        <v>0</v>
      </c>
      <c r="N78" s="1"/>
    </row>
    <row r="79" spans="1:14" x14ac:dyDescent="0.25">
      <c r="A79" s="111"/>
      <c r="B79" s="121"/>
      <c r="C79" s="15" t="s">
        <v>175</v>
      </c>
      <c r="D79" s="131" t="s">
        <v>99</v>
      </c>
      <c r="E79" s="119">
        <v>2.7E-2</v>
      </c>
      <c r="F79" s="119">
        <f>E79*F75</f>
        <v>1.026</v>
      </c>
      <c r="G79" s="31"/>
      <c r="H79" s="31">
        <f>F79*G79</f>
        <v>0</v>
      </c>
      <c r="I79" s="31"/>
      <c r="J79" s="31"/>
      <c r="K79" s="31"/>
      <c r="L79" s="31"/>
      <c r="M79" s="31">
        <f>H79+J79+L79</f>
        <v>0</v>
      </c>
      <c r="N79" s="1"/>
    </row>
    <row r="80" spans="1:14" x14ac:dyDescent="0.25">
      <c r="A80" s="21"/>
      <c r="B80" s="121"/>
      <c r="C80" s="15" t="s">
        <v>31</v>
      </c>
      <c r="D80" s="121" t="s">
        <v>22</v>
      </c>
      <c r="E80" s="126">
        <v>1.9E-3</v>
      </c>
      <c r="F80" s="126">
        <f>F75*E80</f>
        <v>7.22E-2</v>
      </c>
      <c r="G80" s="31"/>
      <c r="H80" s="31">
        <f>F80*G80</f>
        <v>0</v>
      </c>
      <c r="I80" s="31"/>
      <c r="J80" s="31"/>
      <c r="K80" s="31"/>
      <c r="L80" s="31"/>
      <c r="M80" s="31">
        <f>H80+J80+L80</f>
        <v>0</v>
      </c>
      <c r="N80" s="1"/>
    </row>
    <row r="81" spans="1:14" x14ac:dyDescent="0.25">
      <c r="A81" s="21"/>
      <c r="B81" s="121"/>
      <c r="C81" s="15"/>
      <c r="D81" s="121"/>
      <c r="E81" s="126"/>
      <c r="F81" s="126"/>
      <c r="G81" s="31"/>
      <c r="H81" s="31"/>
      <c r="I81" s="31"/>
      <c r="J81" s="31"/>
      <c r="K81" s="31"/>
      <c r="L81" s="31"/>
      <c r="M81" s="31"/>
      <c r="N81" s="1"/>
    </row>
    <row r="82" spans="1:14" ht="31.5" x14ac:dyDescent="0.25">
      <c r="A82" s="21" t="s">
        <v>153</v>
      </c>
      <c r="B82" s="121"/>
      <c r="C82" s="65" t="s">
        <v>451</v>
      </c>
      <c r="D82" s="121" t="s">
        <v>11</v>
      </c>
      <c r="E82" s="126"/>
      <c r="F82" s="135">
        <f>7+5+18+8.8</f>
        <v>38.799999999999997</v>
      </c>
      <c r="G82" s="31"/>
      <c r="H82" s="31"/>
      <c r="I82" s="31"/>
      <c r="J82" s="31"/>
      <c r="K82" s="31"/>
      <c r="L82" s="31"/>
      <c r="M82" s="31"/>
      <c r="N82" s="1"/>
    </row>
    <row r="83" spans="1:14" ht="47.25" x14ac:dyDescent="0.25">
      <c r="A83" s="477" t="s">
        <v>228</v>
      </c>
      <c r="B83" s="118" t="s">
        <v>73</v>
      </c>
      <c r="C83" s="65" t="s">
        <v>452</v>
      </c>
      <c r="D83" s="121" t="s">
        <v>17</v>
      </c>
      <c r="E83" s="136"/>
      <c r="F83" s="135">
        <f>1*1.5*23  +  ( 1*1.5*7 )+1*1.5*8.8</f>
        <v>58.2</v>
      </c>
      <c r="G83" s="31"/>
      <c r="H83" s="31"/>
      <c r="I83" s="31"/>
      <c r="J83" s="31"/>
      <c r="K83" s="31"/>
      <c r="L83" s="31"/>
      <c r="M83" s="31"/>
      <c r="N83" s="1"/>
    </row>
    <row r="84" spans="1:14" x14ac:dyDescent="0.25">
      <c r="A84" s="479"/>
      <c r="B84" s="4"/>
      <c r="C84" s="66" t="s">
        <v>81</v>
      </c>
      <c r="D84" s="67" t="s">
        <v>82</v>
      </c>
      <c r="E84" s="68">
        <v>3.88</v>
      </c>
      <c r="F84" s="68">
        <f>F83*E84</f>
        <v>225.816</v>
      </c>
      <c r="G84" s="69"/>
      <c r="H84" s="31"/>
      <c r="I84" s="69"/>
      <c r="J84" s="31">
        <f>F84*I84</f>
        <v>0</v>
      </c>
      <c r="K84" s="31"/>
      <c r="L84" s="31"/>
      <c r="M84" s="31">
        <f>H84+J84+L84</f>
        <v>0</v>
      </c>
      <c r="N84" s="1"/>
    </row>
    <row r="85" spans="1:14" ht="31.5" x14ac:dyDescent="0.25">
      <c r="A85" s="477" t="s">
        <v>194</v>
      </c>
      <c r="B85" s="118" t="s">
        <v>68</v>
      </c>
      <c r="C85" s="65" t="s">
        <v>261</v>
      </c>
      <c r="D85" s="121" t="s">
        <v>17</v>
      </c>
      <c r="E85" s="126"/>
      <c r="F85" s="135">
        <f>0.1*1.5*38</f>
        <v>5.7000000000000011</v>
      </c>
      <c r="G85" s="31"/>
      <c r="H85" s="31"/>
      <c r="I85" s="31"/>
      <c r="J85" s="31"/>
      <c r="K85" s="31"/>
      <c r="L85" s="31"/>
      <c r="M85" s="31"/>
      <c r="N85" s="1"/>
    </row>
    <row r="86" spans="1:14" x14ac:dyDescent="0.25">
      <c r="A86" s="478"/>
      <c r="B86" s="4"/>
      <c r="C86" s="122" t="s">
        <v>52</v>
      </c>
      <c r="D86" s="4" t="s">
        <v>50</v>
      </c>
      <c r="E86" s="30">
        <v>3.52</v>
      </c>
      <c r="F86" s="30">
        <f>E86*F85</f>
        <v>20.064000000000004</v>
      </c>
      <c r="G86" s="31"/>
      <c r="H86" s="31"/>
      <c r="I86" s="31"/>
      <c r="J86" s="31">
        <f>F86*I86</f>
        <v>0</v>
      </c>
      <c r="K86" s="31"/>
      <c r="L86" s="31"/>
      <c r="M86" s="31">
        <f>H86+J86+L86</f>
        <v>0</v>
      </c>
      <c r="N86" s="1"/>
    </row>
    <row r="87" spans="1:14" x14ac:dyDescent="0.25">
      <c r="A87" s="478"/>
      <c r="B87" s="4"/>
      <c r="C87" s="122" t="s">
        <v>30</v>
      </c>
      <c r="D87" s="4" t="s">
        <v>22</v>
      </c>
      <c r="E87" s="30">
        <v>1.06</v>
      </c>
      <c r="F87" s="137">
        <f>F85*E87</f>
        <v>6.0420000000000016</v>
      </c>
      <c r="G87" s="31"/>
      <c r="H87" s="31"/>
      <c r="I87" s="31"/>
      <c r="J87" s="31"/>
      <c r="K87" s="31"/>
      <c r="L87" s="31">
        <f>F87*K87</f>
        <v>0</v>
      </c>
      <c r="M87" s="31">
        <f>H87+J87+L87</f>
        <v>0</v>
      </c>
      <c r="N87" s="1"/>
    </row>
    <row r="88" spans="1:14" x14ac:dyDescent="0.25">
      <c r="A88" s="479"/>
      <c r="B88" s="67"/>
      <c r="C88" s="122" t="s">
        <v>63</v>
      </c>
      <c r="D88" s="4" t="s">
        <v>72</v>
      </c>
      <c r="E88" s="30">
        <f>0.18+0.09+0.97</f>
        <v>1.24</v>
      </c>
      <c r="F88" s="137">
        <f>E88*F85</f>
        <v>7.0680000000000014</v>
      </c>
      <c r="G88" s="31"/>
      <c r="H88" s="31"/>
      <c r="I88" s="31"/>
      <c r="J88" s="31"/>
      <c r="K88" s="31"/>
      <c r="L88" s="31"/>
      <c r="M88" s="31"/>
      <c r="N88" s="1"/>
    </row>
    <row r="89" spans="1:14" x14ac:dyDescent="0.25">
      <c r="A89" s="477" t="s">
        <v>195</v>
      </c>
      <c r="B89" s="6" t="s">
        <v>266</v>
      </c>
      <c r="C89" s="65" t="s">
        <v>320</v>
      </c>
      <c r="D89" s="121" t="s">
        <v>17</v>
      </c>
      <c r="E89" s="126"/>
      <c r="F89" s="120">
        <f>23*0.2*3.14+((7*2.3*0.2)+(8.8*0.2*2.3))</f>
        <v>21.712000000000003</v>
      </c>
      <c r="G89" s="31"/>
      <c r="H89" s="31"/>
      <c r="I89" s="31"/>
      <c r="J89" s="31"/>
      <c r="K89" s="31"/>
      <c r="L89" s="31"/>
      <c r="M89" s="31"/>
      <c r="N89" s="1"/>
    </row>
    <row r="90" spans="1:14" x14ac:dyDescent="0.25">
      <c r="A90" s="478"/>
      <c r="B90" s="125"/>
      <c r="C90" s="138" t="s">
        <v>23</v>
      </c>
      <c r="D90" s="4" t="s">
        <v>25</v>
      </c>
      <c r="E90" s="30">
        <v>8.44</v>
      </c>
      <c r="F90" s="30">
        <f>F89*E90</f>
        <v>183.24928000000003</v>
      </c>
      <c r="G90" s="31"/>
      <c r="H90" s="31"/>
      <c r="I90" s="31"/>
      <c r="J90" s="31">
        <f>F90*I90</f>
        <v>0</v>
      </c>
      <c r="K90" s="31"/>
      <c r="L90" s="31"/>
      <c r="M90" s="31">
        <f>H90+J90+L90</f>
        <v>0</v>
      </c>
      <c r="N90" s="1"/>
    </row>
    <row r="91" spans="1:14" x14ac:dyDescent="0.25">
      <c r="A91" s="478"/>
      <c r="B91" s="4"/>
      <c r="C91" s="32" t="s">
        <v>24</v>
      </c>
      <c r="D91" s="4" t="s">
        <v>22</v>
      </c>
      <c r="E91" s="123">
        <v>1.1000000000000001</v>
      </c>
      <c r="F91" s="123">
        <f>F89*E91</f>
        <v>23.883200000000006</v>
      </c>
      <c r="G91" s="31"/>
      <c r="H91" s="31"/>
      <c r="I91" s="31"/>
      <c r="J91" s="31"/>
      <c r="K91" s="31"/>
      <c r="L91" s="31">
        <f>F91*K91</f>
        <v>0</v>
      </c>
      <c r="M91" s="31">
        <f>H91+J91+L91</f>
        <v>0</v>
      </c>
      <c r="N91" s="1"/>
    </row>
    <row r="92" spans="1:14" x14ac:dyDescent="0.25">
      <c r="A92" s="478"/>
      <c r="B92" s="4"/>
      <c r="C92" s="32" t="s">
        <v>263</v>
      </c>
      <c r="D92" s="4" t="s">
        <v>72</v>
      </c>
      <c r="E92" s="30">
        <v>1.0149999999999999</v>
      </c>
      <c r="F92" s="123">
        <f>F89*E92</f>
        <v>22.037680000000002</v>
      </c>
      <c r="G92" s="31"/>
      <c r="H92" s="31">
        <f>F92*G92</f>
        <v>0</v>
      </c>
      <c r="I92" s="31"/>
      <c r="J92" s="31"/>
      <c r="K92" s="31"/>
      <c r="L92" s="31"/>
      <c r="M92" s="31">
        <f>H92+J92+L92</f>
        <v>0</v>
      </c>
      <c r="N92" s="1"/>
    </row>
    <row r="93" spans="1:14" x14ac:dyDescent="0.25">
      <c r="A93" s="478"/>
      <c r="B93" s="125"/>
      <c r="C93" s="138" t="s">
        <v>64</v>
      </c>
      <c r="D93" s="4" t="s">
        <v>66</v>
      </c>
      <c r="E93" s="30">
        <v>1.84</v>
      </c>
      <c r="F93" s="30">
        <f>F89*E93</f>
        <v>39.950080000000007</v>
      </c>
      <c r="G93" s="2"/>
      <c r="H93" s="31">
        <f t="shared" ref="H93:H102" si="9">F93*G93</f>
        <v>0</v>
      </c>
      <c r="I93" s="31"/>
      <c r="J93" s="31"/>
      <c r="K93" s="31"/>
      <c r="L93" s="31"/>
      <c r="M93" s="31">
        <f t="shared" ref="M93:M102" si="10">H93+J93+L93</f>
        <v>0</v>
      </c>
      <c r="N93" s="1"/>
    </row>
    <row r="94" spans="1:14" x14ac:dyDescent="0.25">
      <c r="A94" s="478"/>
      <c r="B94" s="125"/>
      <c r="C94" s="138" t="s">
        <v>190</v>
      </c>
      <c r="D94" s="125" t="s">
        <v>72</v>
      </c>
      <c r="E94" s="30">
        <f>(0.34+3.91)/100</f>
        <v>4.2500000000000003E-2</v>
      </c>
      <c r="F94" s="30">
        <f>F89*E94</f>
        <v>0.92276000000000025</v>
      </c>
      <c r="G94" s="31"/>
      <c r="H94" s="31">
        <f t="shared" si="9"/>
        <v>0</v>
      </c>
      <c r="I94" s="31"/>
      <c r="J94" s="31"/>
      <c r="K94" s="31"/>
      <c r="L94" s="31"/>
      <c r="M94" s="31">
        <f t="shared" si="10"/>
        <v>0</v>
      </c>
      <c r="N94" s="1"/>
    </row>
    <row r="95" spans="1:14" x14ac:dyDescent="0.25">
      <c r="A95" s="478"/>
      <c r="B95" s="125"/>
      <c r="C95" s="138" t="s">
        <v>264</v>
      </c>
      <c r="D95" s="125" t="s">
        <v>19</v>
      </c>
      <c r="E95" s="123">
        <v>0.22</v>
      </c>
      <c r="F95" s="30">
        <f>F89*E95</f>
        <v>4.7766400000000004</v>
      </c>
      <c r="G95" s="31"/>
      <c r="H95" s="31">
        <f t="shared" si="9"/>
        <v>0</v>
      </c>
      <c r="I95" s="31"/>
      <c r="J95" s="31"/>
      <c r="K95" s="31"/>
      <c r="L95" s="31"/>
      <c r="M95" s="31">
        <f t="shared" si="10"/>
        <v>0</v>
      </c>
      <c r="N95" s="1"/>
    </row>
    <row r="96" spans="1:14" x14ac:dyDescent="0.25">
      <c r="A96" s="478"/>
      <c r="B96" s="125"/>
      <c r="C96" s="138" t="s">
        <v>46</v>
      </c>
      <c r="D96" s="125" t="s">
        <v>99</v>
      </c>
      <c r="E96" s="123">
        <v>2.5</v>
      </c>
      <c r="F96" s="30">
        <f>F89*E96</f>
        <v>54.280000000000008</v>
      </c>
      <c r="G96" s="31"/>
      <c r="H96" s="31">
        <f t="shared" si="9"/>
        <v>0</v>
      </c>
      <c r="I96" s="31"/>
      <c r="J96" s="31"/>
      <c r="K96" s="31"/>
      <c r="L96" s="31"/>
      <c r="M96" s="31">
        <f t="shared" si="10"/>
        <v>0</v>
      </c>
      <c r="N96" s="1"/>
    </row>
    <row r="97" spans="1:14" x14ac:dyDescent="0.25">
      <c r="A97" s="478"/>
      <c r="B97" s="125"/>
      <c r="C97" s="139" t="s">
        <v>265</v>
      </c>
      <c r="D97" s="125" t="s">
        <v>11</v>
      </c>
      <c r="E97" s="123"/>
      <c r="F97" s="123">
        <v>10</v>
      </c>
      <c r="G97" s="31"/>
      <c r="H97" s="31">
        <f t="shared" si="9"/>
        <v>0</v>
      </c>
      <c r="I97" s="31"/>
      <c r="J97" s="31"/>
      <c r="K97" s="31"/>
      <c r="L97" s="31"/>
      <c r="M97" s="31">
        <f t="shared" si="10"/>
        <v>0</v>
      </c>
      <c r="N97" s="1"/>
    </row>
    <row r="98" spans="1:14" x14ac:dyDescent="0.25">
      <c r="A98" s="478"/>
      <c r="B98" s="4"/>
      <c r="C98" s="32" t="s">
        <v>28</v>
      </c>
      <c r="D98" s="4" t="s">
        <v>22</v>
      </c>
      <c r="E98" s="123">
        <v>0.74</v>
      </c>
      <c r="F98" s="123">
        <f>F89*E98</f>
        <v>16.066880000000001</v>
      </c>
      <c r="G98" s="31"/>
      <c r="H98" s="31">
        <f t="shared" si="9"/>
        <v>0</v>
      </c>
      <c r="I98" s="31"/>
      <c r="J98" s="31"/>
      <c r="K98" s="31"/>
      <c r="L98" s="31"/>
      <c r="M98" s="31">
        <f t="shared" si="10"/>
        <v>0</v>
      </c>
      <c r="N98" s="1"/>
    </row>
    <row r="99" spans="1:14" x14ac:dyDescent="0.25">
      <c r="A99" s="478"/>
      <c r="B99" s="121"/>
      <c r="C99" s="138" t="s">
        <v>453</v>
      </c>
      <c r="D99" s="4" t="s">
        <v>226</v>
      </c>
      <c r="E99" s="117">
        <v>1</v>
      </c>
      <c r="F99" s="140">
        <f>+((23/0.15*3.14)+(7/0.15*2.3)+(8.8/0.15*2.3))*0.00091</f>
        <v>0.65859733333333337</v>
      </c>
      <c r="G99" s="2"/>
      <c r="H99" s="31">
        <f>F99*G99</f>
        <v>0</v>
      </c>
      <c r="I99" s="31"/>
      <c r="J99" s="31"/>
      <c r="K99" s="31"/>
      <c r="L99" s="31"/>
      <c r="M99" s="31">
        <f t="shared" si="10"/>
        <v>0</v>
      </c>
      <c r="N99" s="1"/>
    </row>
    <row r="100" spans="1:14" x14ac:dyDescent="0.25">
      <c r="A100" s="478"/>
      <c r="B100" s="121"/>
      <c r="C100" s="138" t="s">
        <v>454</v>
      </c>
      <c r="D100" s="4" t="s">
        <v>226</v>
      </c>
      <c r="E100" s="117">
        <v>1</v>
      </c>
      <c r="F100" s="140">
        <f>+((23/0.15*1.5*2)+(7/0.15*1.5*2)+(8.8/0.15*1.5*2)+(23/0.15*3.14)+(7/0.15*2.3)+(8.8/0.15*2.3))*0.00063</f>
        <v>0.94483200000000001</v>
      </c>
      <c r="G100" s="2"/>
      <c r="H100" s="31">
        <f t="shared" si="9"/>
        <v>0</v>
      </c>
      <c r="I100" s="31"/>
      <c r="J100" s="31"/>
      <c r="K100" s="31"/>
      <c r="L100" s="31"/>
      <c r="M100" s="31">
        <f t="shared" si="10"/>
        <v>0</v>
      </c>
      <c r="N100" s="1"/>
    </row>
    <row r="101" spans="1:14" x14ac:dyDescent="0.25">
      <c r="A101" s="478"/>
      <c r="B101" s="121"/>
      <c r="C101" s="138" t="s">
        <v>456</v>
      </c>
      <c r="D101" s="4" t="s">
        <v>226</v>
      </c>
      <c r="E101" s="117">
        <v>1</v>
      </c>
      <c r="F101" s="140">
        <f>+((23/0.15*0.25*2)+(23/0.15*1.4*2)+(8.8/0.15*1.4*2)+(23/0.15*1.4*2)+(7/0.15*1.54*2)+(8.8/0.15*1.4)*2)*0.00042</f>
        <v>0.59119199999999994</v>
      </c>
      <c r="G101" s="2"/>
      <c r="H101" s="31">
        <f t="shared" si="9"/>
        <v>0</v>
      </c>
      <c r="I101" s="31"/>
      <c r="J101" s="31"/>
      <c r="K101" s="31"/>
      <c r="L101" s="31"/>
      <c r="M101" s="31">
        <f t="shared" si="10"/>
        <v>0</v>
      </c>
      <c r="N101" s="1"/>
    </row>
    <row r="102" spans="1:14" x14ac:dyDescent="0.25">
      <c r="A102" s="479"/>
      <c r="B102" s="121"/>
      <c r="C102" s="138" t="s">
        <v>455</v>
      </c>
      <c r="D102" s="4" t="s">
        <v>226</v>
      </c>
      <c r="E102" s="117">
        <v>1</v>
      </c>
      <c r="F102" s="140">
        <f>+((23/0.45*3*0.5)+(23/0.45*7*0.5)+(2.3/0.45*0.5*15))*0.00023</f>
        <v>6.7594444444444443E-2</v>
      </c>
      <c r="G102" s="31"/>
      <c r="H102" s="31">
        <f t="shared" si="9"/>
        <v>0</v>
      </c>
      <c r="I102" s="31"/>
      <c r="J102" s="31"/>
      <c r="K102" s="31"/>
      <c r="L102" s="31"/>
      <c r="M102" s="31">
        <f t="shared" si="10"/>
        <v>0</v>
      </c>
      <c r="N102" s="1"/>
    </row>
    <row r="103" spans="1:14" ht="49.5" x14ac:dyDescent="0.25">
      <c r="A103" s="496" t="s">
        <v>196</v>
      </c>
      <c r="B103" s="6" t="s">
        <v>321</v>
      </c>
      <c r="C103" s="141" t="s">
        <v>325</v>
      </c>
      <c r="D103" s="4" t="s">
        <v>18</v>
      </c>
      <c r="E103" s="30"/>
      <c r="F103" s="7">
        <f>(38.8*0.7*2)</f>
        <v>54.319999999999993</v>
      </c>
      <c r="G103" s="31"/>
      <c r="H103" s="31"/>
      <c r="I103" s="31"/>
      <c r="J103" s="31"/>
      <c r="K103" s="31"/>
      <c r="L103" s="31"/>
      <c r="M103" s="31"/>
      <c r="N103" s="1"/>
    </row>
    <row r="104" spans="1:14" x14ac:dyDescent="0.25">
      <c r="A104" s="497"/>
      <c r="B104" s="4"/>
      <c r="C104" s="142" t="s">
        <v>23</v>
      </c>
      <c r="D104" s="4" t="s">
        <v>25</v>
      </c>
      <c r="E104" s="30">
        <v>0.56399999999999995</v>
      </c>
      <c r="F104" s="30">
        <f>F103*E104</f>
        <v>30.636479999999992</v>
      </c>
      <c r="G104" s="31"/>
      <c r="H104" s="31"/>
      <c r="I104" s="31"/>
      <c r="J104" s="31">
        <f>F104*I104</f>
        <v>0</v>
      </c>
      <c r="K104" s="31"/>
      <c r="L104" s="31"/>
      <c r="M104" s="31">
        <f>H104+J104+L104</f>
        <v>0</v>
      </c>
      <c r="N104" s="1"/>
    </row>
    <row r="105" spans="1:14" x14ac:dyDescent="0.25">
      <c r="A105" s="497"/>
      <c r="B105" s="4"/>
      <c r="C105" s="142" t="s">
        <v>30</v>
      </c>
      <c r="D105" s="4" t="s">
        <v>22</v>
      </c>
      <c r="E105" s="30">
        <v>4.0899999999999999E-2</v>
      </c>
      <c r="F105" s="30">
        <f>F103*E105</f>
        <v>2.2216879999999994</v>
      </c>
      <c r="G105" s="31"/>
      <c r="H105" s="31"/>
      <c r="I105" s="31"/>
      <c r="J105" s="31"/>
      <c r="K105" s="31"/>
      <c r="L105" s="31">
        <f>F105*K105</f>
        <v>0</v>
      </c>
      <c r="M105" s="31">
        <f>H105+J105+L105</f>
        <v>0</v>
      </c>
      <c r="N105" s="1"/>
    </row>
    <row r="106" spans="1:14" x14ac:dyDescent="0.25">
      <c r="A106" s="497"/>
      <c r="B106" s="4"/>
      <c r="C106" s="142" t="s">
        <v>324</v>
      </c>
      <c r="D106" s="4" t="s">
        <v>323</v>
      </c>
      <c r="E106" s="30">
        <v>4.4999999999999997E-3</v>
      </c>
      <c r="F106" s="30">
        <f>F103*E106</f>
        <v>0.24443999999999996</v>
      </c>
      <c r="G106" s="143"/>
      <c r="H106" s="31">
        <f>F106*G106</f>
        <v>0</v>
      </c>
      <c r="I106" s="31"/>
      <c r="J106" s="31"/>
      <c r="K106" s="31"/>
      <c r="L106" s="31"/>
      <c r="M106" s="31">
        <f>H106+J106+L106</f>
        <v>0</v>
      </c>
      <c r="N106" s="1"/>
    </row>
    <row r="107" spans="1:14" x14ac:dyDescent="0.25">
      <c r="A107" s="497"/>
      <c r="B107" s="4"/>
      <c r="C107" s="142" t="s">
        <v>322</v>
      </c>
      <c r="D107" s="113" t="s">
        <v>17</v>
      </c>
      <c r="E107" s="30">
        <v>7.4999999999999997E-3</v>
      </c>
      <c r="F107" s="30">
        <f>E107*F103</f>
        <v>0.40739999999999993</v>
      </c>
      <c r="G107" s="143"/>
      <c r="H107" s="31">
        <f t="shared" ref="H107:H108" si="11">F107*G107</f>
        <v>0</v>
      </c>
      <c r="I107" s="31"/>
      <c r="J107" s="31"/>
      <c r="K107" s="31"/>
      <c r="L107" s="31"/>
      <c r="M107" s="31">
        <f t="shared" ref="M107:M108" si="12">H107+J107+L107</f>
        <v>0</v>
      </c>
      <c r="N107" s="1"/>
    </row>
    <row r="108" spans="1:14" x14ac:dyDescent="0.25">
      <c r="A108" s="498"/>
      <c r="B108" s="430"/>
      <c r="C108" s="431" t="s">
        <v>28</v>
      </c>
      <c r="D108" s="430" t="s">
        <v>22</v>
      </c>
      <c r="E108" s="432">
        <v>2.2800000000000001E-2</v>
      </c>
      <c r="F108" s="432">
        <f>F103*E108</f>
        <v>1.2384959999999998</v>
      </c>
      <c r="G108" s="433"/>
      <c r="H108" s="433">
        <f t="shared" si="11"/>
        <v>0</v>
      </c>
      <c r="I108" s="433"/>
      <c r="J108" s="433"/>
      <c r="K108" s="433"/>
      <c r="L108" s="433"/>
      <c r="M108" s="433">
        <f t="shared" si="12"/>
        <v>0</v>
      </c>
      <c r="N108" s="1"/>
    </row>
    <row r="109" spans="1:14" ht="47.25" x14ac:dyDescent="0.25">
      <c r="A109" s="477" t="s">
        <v>313</v>
      </c>
      <c r="B109" s="434" t="s">
        <v>270</v>
      </c>
      <c r="C109" s="435" t="s">
        <v>503</v>
      </c>
      <c r="D109" s="436" t="s">
        <v>18</v>
      </c>
      <c r="E109" s="437"/>
      <c r="F109" s="438">
        <f>(1.55*23)+(2.3*7)+(8.8*2.3)+(23+7+8.8*0.7)</f>
        <v>108.14999999999999</v>
      </c>
      <c r="G109" s="433"/>
      <c r="H109" s="433"/>
      <c r="I109" s="433"/>
      <c r="J109" s="433"/>
      <c r="K109" s="433"/>
      <c r="L109" s="433"/>
      <c r="M109" s="433"/>
      <c r="N109" s="1"/>
    </row>
    <row r="110" spans="1:14" x14ac:dyDescent="0.25">
      <c r="A110" s="478"/>
      <c r="B110" s="439"/>
      <c r="C110" s="440" t="s">
        <v>23</v>
      </c>
      <c r="D110" s="439" t="s">
        <v>25</v>
      </c>
      <c r="E110" s="441">
        <v>6.2</v>
      </c>
      <c r="F110" s="441">
        <f>F109*E110</f>
        <v>670.53</v>
      </c>
      <c r="G110" s="442"/>
      <c r="H110" s="442"/>
      <c r="I110" s="442"/>
      <c r="J110" s="433">
        <f>F110*I110</f>
        <v>0</v>
      </c>
      <c r="K110" s="433"/>
      <c r="L110" s="433"/>
      <c r="M110" s="433">
        <f>H110+J110+L110</f>
        <v>0</v>
      </c>
      <c r="N110" s="1"/>
    </row>
    <row r="111" spans="1:14" x14ac:dyDescent="0.25">
      <c r="A111" s="478"/>
      <c r="B111" s="439"/>
      <c r="C111" s="440" t="s">
        <v>30</v>
      </c>
      <c r="D111" s="439" t="s">
        <v>22</v>
      </c>
      <c r="E111" s="441">
        <v>0.21</v>
      </c>
      <c r="F111" s="441">
        <f>F109*E111</f>
        <v>22.711499999999997</v>
      </c>
      <c r="G111" s="442"/>
      <c r="H111" s="442"/>
      <c r="I111" s="442"/>
      <c r="J111" s="433"/>
      <c r="K111" s="433"/>
      <c r="L111" s="433">
        <f>F111*K111</f>
        <v>0</v>
      </c>
      <c r="M111" s="433">
        <f>H111+J111+L111</f>
        <v>0</v>
      </c>
      <c r="N111" s="1"/>
    </row>
    <row r="112" spans="1:14" x14ac:dyDescent="0.25">
      <c r="A112" s="478"/>
      <c r="B112" s="113"/>
      <c r="C112" s="15" t="s">
        <v>504</v>
      </c>
      <c r="D112" s="113" t="s">
        <v>18</v>
      </c>
      <c r="E112" s="117">
        <v>1</v>
      </c>
      <c r="F112" s="117">
        <f>F109*E112</f>
        <v>108.14999999999999</v>
      </c>
      <c r="G112" s="40"/>
      <c r="H112" s="31">
        <f>F112*G112</f>
        <v>0</v>
      </c>
      <c r="I112" s="31"/>
      <c r="J112" s="31"/>
      <c r="K112" s="31"/>
      <c r="L112" s="31"/>
      <c r="M112" s="31">
        <f>H112+J112+L112</f>
        <v>0</v>
      </c>
      <c r="N112" s="1"/>
    </row>
    <row r="113" spans="1:14" x14ac:dyDescent="0.25">
      <c r="A113" s="478"/>
      <c r="B113" s="113"/>
      <c r="C113" s="145" t="s">
        <v>104</v>
      </c>
      <c r="D113" s="113" t="s">
        <v>17</v>
      </c>
      <c r="E113" s="117">
        <v>3.6999999999999998E-2</v>
      </c>
      <c r="F113" s="117">
        <f>F109*E113</f>
        <v>4.0015499999999991</v>
      </c>
      <c r="G113" s="40"/>
      <c r="H113" s="31">
        <f t="shared" ref="H113:H114" si="13">F113*G113</f>
        <v>0</v>
      </c>
      <c r="I113" s="31"/>
      <c r="J113" s="31"/>
      <c r="K113" s="31"/>
      <c r="L113" s="31"/>
      <c r="M113" s="31">
        <f t="shared" ref="M113:M114" si="14">H113+J113+L113</f>
        <v>0</v>
      </c>
      <c r="N113" s="1"/>
    </row>
    <row r="114" spans="1:14" x14ac:dyDescent="0.25">
      <c r="A114" s="479"/>
      <c r="B114" s="113"/>
      <c r="C114" s="145" t="s">
        <v>28</v>
      </c>
      <c r="D114" s="113" t="s">
        <v>22</v>
      </c>
      <c r="E114" s="117">
        <v>0.08</v>
      </c>
      <c r="F114" s="117">
        <f>F109*E114</f>
        <v>8.6519999999999992</v>
      </c>
      <c r="G114" s="40"/>
      <c r="H114" s="31">
        <f t="shared" si="13"/>
        <v>0</v>
      </c>
      <c r="I114" s="31"/>
      <c r="J114" s="31"/>
      <c r="K114" s="31"/>
      <c r="L114" s="31"/>
      <c r="M114" s="31">
        <f t="shared" si="14"/>
        <v>0</v>
      </c>
      <c r="N114" s="1"/>
    </row>
    <row r="115" spans="1:14" ht="47.25" x14ac:dyDescent="0.25">
      <c r="A115" s="477" t="s">
        <v>314</v>
      </c>
      <c r="B115" s="6" t="s">
        <v>243</v>
      </c>
      <c r="C115" s="146" t="s">
        <v>229</v>
      </c>
      <c r="D115" s="121" t="s">
        <v>11</v>
      </c>
      <c r="E115" s="126"/>
      <c r="F115" s="7">
        <f>F82</f>
        <v>38.799999999999997</v>
      </c>
      <c r="G115" s="31"/>
      <c r="H115" s="31"/>
      <c r="I115" s="31"/>
      <c r="J115" s="31"/>
      <c r="K115" s="31"/>
      <c r="L115" s="31"/>
      <c r="M115" s="31"/>
      <c r="N115" s="1"/>
    </row>
    <row r="116" spans="1:14" x14ac:dyDescent="0.25">
      <c r="A116" s="478"/>
      <c r="B116" s="4"/>
      <c r="C116" s="147"/>
      <c r="D116" s="4" t="s">
        <v>18</v>
      </c>
      <c r="E116" s="148"/>
      <c r="F116" s="7">
        <f>F115*0.3</f>
        <v>11.639999999999999</v>
      </c>
      <c r="G116" s="40"/>
      <c r="H116" s="31"/>
      <c r="I116" s="31"/>
      <c r="J116" s="31"/>
      <c r="K116" s="31"/>
      <c r="L116" s="31"/>
      <c r="M116" s="31"/>
      <c r="N116" s="1"/>
    </row>
    <row r="117" spans="1:14" x14ac:dyDescent="0.25">
      <c r="A117" s="478"/>
      <c r="B117" s="4"/>
      <c r="C117" s="149" t="s">
        <v>23</v>
      </c>
      <c r="D117" s="113" t="s">
        <v>25</v>
      </c>
      <c r="E117" s="148">
        <v>6</v>
      </c>
      <c r="F117" s="54">
        <f>F116*E117</f>
        <v>69.839999999999989</v>
      </c>
      <c r="G117" s="40"/>
      <c r="H117" s="40"/>
      <c r="I117" s="40"/>
      <c r="J117" s="31">
        <f>F117*I117</f>
        <v>0</v>
      </c>
      <c r="K117" s="31"/>
      <c r="L117" s="31"/>
      <c r="M117" s="31">
        <f>H117+J117+L117</f>
        <v>0</v>
      </c>
      <c r="N117" s="1"/>
    </row>
    <row r="118" spans="1:14" x14ac:dyDescent="0.25">
      <c r="A118" s="478"/>
      <c r="B118" s="4"/>
      <c r="C118" s="129" t="s">
        <v>30</v>
      </c>
      <c r="D118" s="113" t="s">
        <v>22</v>
      </c>
      <c r="E118" s="54">
        <v>0.18</v>
      </c>
      <c r="F118" s="54">
        <f>F116*E118</f>
        <v>2.0951999999999997</v>
      </c>
      <c r="G118" s="40"/>
      <c r="H118" s="40"/>
      <c r="I118" s="40"/>
      <c r="J118" s="31"/>
      <c r="K118" s="31"/>
      <c r="L118" s="31">
        <f>F118*K118</f>
        <v>0</v>
      </c>
      <c r="M118" s="31">
        <f>H118+J118+L118</f>
        <v>0</v>
      </c>
      <c r="N118" s="1"/>
    </row>
    <row r="119" spans="1:14" ht="27" x14ac:dyDescent="0.25">
      <c r="A119" s="478"/>
      <c r="B119" s="4"/>
      <c r="C119" s="129" t="s">
        <v>429</v>
      </c>
      <c r="D119" s="113" t="s">
        <v>18</v>
      </c>
      <c r="E119" s="54">
        <v>1.03</v>
      </c>
      <c r="F119" s="54">
        <f>F116*E119</f>
        <v>11.989199999999999</v>
      </c>
      <c r="G119" s="40"/>
      <c r="H119" s="31">
        <f>F119*G119</f>
        <v>0</v>
      </c>
      <c r="I119" s="31"/>
      <c r="J119" s="31"/>
      <c r="K119" s="31"/>
      <c r="L119" s="31"/>
      <c r="M119" s="31">
        <f>H119+J119+L119</f>
        <v>0</v>
      </c>
      <c r="N119" s="1"/>
    </row>
    <row r="120" spans="1:14" x14ac:dyDescent="0.25">
      <c r="A120" s="478"/>
      <c r="B120" s="4"/>
      <c r="C120" s="129" t="s">
        <v>104</v>
      </c>
      <c r="D120" s="113" t="s">
        <v>17</v>
      </c>
      <c r="E120" s="54">
        <v>3.5999999999999997E-2</v>
      </c>
      <c r="F120" s="54">
        <f>F116*E120</f>
        <v>0.41903999999999991</v>
      </c>
      <c r="G120" s="40"/>
      <c r="H120" s="31">
        <f t="shared" ref="H120:H121" si="15">F120*G120</f>
        <v>0</v>
      </c>
      <c r="I120" s="31"/>
      <c r="J120" s="31"/>
      <c r="K120" s="31"/>
      <c r="L120" s="31"/>
      <c r="M120" s="31">
        <f t="shared" ref="M120:M121" si="16">H120+J120+L120</f>
        <v>0</v>
      </c>
      <c r="N120" s="1"/>
    </row>
    <row r="121" spans="1:14" x14ac:dyDescent="0.25">
      <c r="A121" s="479"/>
      <c r="B121" s="67"/>
      <c r="C121" s="66" t="s">
        <v>28</v>
      </c>
      <c r="D121" s="113" t="s">
        <v>22</v>
      </c>
      <c r="E121" s="68">
        <v>0.08</v>
      </c>
      <c r="F121" s="68">
        <f>F116*E121</f>
        <v>0.93119999999999992</v>
      </c>
      <c r="G121" s="69"/>
      <c r="H121" s="31">
        <f t="shared" si="15"/>
        <v>0</v>
      </c>
      <c r="I121" s="31"/>
      <c r="J121" s="31"/>
      <c r="K121" s="31"/>
      <c r="L121" s="31"/>
      <c r="M121" s="31">
        <f t="shared" si="16"/>
        <v>0</v>
      </c>
      <c r="N121" s="1"/>
    </row>
    <row r="122" spans="1:14" ht="47.25" hidden="1" x14ac:dyDescent="0.25">
      <c r="A122" s="477" t="s">
        <v>315</v>
      </c>
      <c r="B122" s="81" t="s">
        <v>243</v>
      </c>
      <c r="C122" s="89" t="s">
        <v>326</v>
      </c>
      <c r="D122" s="113" t="s">
        <v>18</v>
      </c>
      <c r="E122" s="150"/>
      <c r="F122" s="151">
        <v>0</v>
      </c>
      <c r="G122" s="69"/>
      <c r="H122" s="40"/>
      <c r="I122" s="40"/>
      <c r="J122" s="40"/>
      <c r="K122" s="40"/>
      <c r="L122" s="40"/>
      <c r="M122" s="40"/>
      <c r="N122" s="1"/>
    </row>
    <row r="123" spans="1:14" hidden="1" x14ac:dyDescent="0.25">
      <c r="A123" s="478"/>
      <c r="B123" s="67"/>
      <c r="C123" s="149" t="s">
        <v>23</v>
      </c>
      <c r="D123" s="113" t="s">
        <v>25</v>
      </c>
      <c r="E123" s="148">
        <v>6</v>
      </c>
      <c r="F123" s="54">
        <f>F122*E123</f>
        <v>0</v>
      </c>
      <c r="G123" s="40"/>
      <c r="H123" s="40"/>
      <c r="I123" s="40"/>
      <c r="J123" s="40"/>
      <c r="K123" s="40"/>
      <c r="L123" s="40"/>
      <c r="M123" s="40"/>
      <c r="N123" s="1"/>
    </row>
    <row r="124" spans="1:14" hidden="1" x14ac:dyDescent="0.25">
      <c r="A124" s="478"/>
      <c r="B124" s="67"/>
      <c r="C124" s="129" t="s">
        <v>30</v>
      </c>
      <c r="D124" s="113" t="s">
        <v>22</v>
      </c>
      <c r="E124" s="54">
        <v>0.18</v>
      </c>
      <c r="F124" s="54">
        <f>F122*E124</f>
        <v>0</v>
      </c>
      <c r="G124" s="40"/>
      <c r="H124" s="40"/>
      <c r="I124" s="40"/>
      <c r="J124" s="40"/>
      <c r="K124" s="40"/>
      <c r="L124" s="40"/>
      <c r="M124" s="40"/>
      <c r="N124" s="1"/>
    </row>
    <row r="125" spans="1:14" ht="27" hidden="1" x14ac:dyDescent="0.25">
      <c r="A125" s="478"/>
      <c r="B125" s="67"/>
      <c r="C125" s="129" t="s">
        <v>429</v>
      </c>
      <c r="D125" s="113" t="s">
        <v>18</v>
      </c>
      <c r="E125" s="54">
        <v>1.03</v>
      </c>
      <c r="F125" s="54">
        <f>F122*E125</f>
        <v>0</v>
      </c>
      <c r="G125" s="40"/>
      <c r="H125" s="40"/>
      <c r="I125" s="40"/>
      <c r="J125" s="40"/>
      <c r="K125" s="40"/>
      <c r="L125" s="40"/>
      <c r="M125" s="40"/>
      <c r="N125" s="1"/>
    </row>
    <row r="126" spans="1:14" hidden="1" x14ac:dyDescent="0.25">
      <c r="A126" s="478"/>
      <c r="B126" s="67"/>
      <c r="C126" s="129" t="s">
        <v>104</v>
      </c>
      <c r="D126" s="113" t="s">
        <v>17</v>
      </c>
      <c r="E126" s="54">
        <v>3.5999999999999997E-2</v>
      </c>
      <c r="F126" s="54">
        <f>F122*E126</f>
        <v>0</v>
      </c>
      <c r="G126" s="40"/>
      <c r="H126" s="40"/>
      <c r="I126" s="40"/>
      <c r="J126" s="40"/>
      <c r="K126" s="40"/>
      <c r="L126" s="40"/>
      <c r="M126" s="40"/>
      <c r="N126" s="1"/>
    </row>
    <row r="127" spans="1:14" hidden="1" x14ac:dyDescent="0.25">
      <c r="A127" s="479"/>
      <c r="B127" s="67"/>
      <c r="C127" s="66" t="s">
        <v>28</v>
      </c>
      <c r="D127" s="113" t="s">
        <v>22</v>
      </c>
      <c r="E127" s="68">
        <v>0.08</v>
      </c>
      <c r="F127" s="68">
        <f>F122*E127</f>
        <v>0</v>
      </c>
      <c r="G127" s="69"/>
      <c r="H127" s="40"/>
      <c r="I127" s="40"/>
      <c r="J127" s="40"/>
      <c r="K127" s="40"/>
      <c r="L127" s="40"/>
      <c r="M127" s="40"/>
      <c r="N127" s="1"/>
    </row>
    <row r="128" spans="1:14" hidden="1" x14ac:dyDescent="0.25">
      <c r="A128" s="21"/>
      <c r="B128" s="67"/>
      <c r="C128" s="66"/>
      <c r="D128" s="113"/>
      <c r="E128" s="68"/>
      <c r="F128" s="68"/>
      <c r="G128" s="69"/>
      <c r="H128" s="31"/>
      <c r="I128" s="31"/>
      <c r="J128" s="31"/>
      <c r="K128" s="31"/>
      <c r="L128" s="31"/>
      <c r="M128" s="31"/>
      <c r="N128" s="1"/>
    </row>
    <row r="129" spans="1:14" ht="27" hidden="1" x14ac:dyDescent="0.25">
      <c r="A129" s="109" t="s">
        <v>435</v>
      </c>
      <c r="B129" s="6" t="s">
        <v>303</v>
      </c>
      <c r="C129" s="127" t="s">
        <v>304</v>
      </c>
      <c r="D129" s="6" t="s">
        <v>15</v>
      </c>
      <c r="E129" s="54"/>
      <c r="F129" s="51">
        <v>0</v>
      </c>
      <c r="G129" s="40"/>
      <c r="H129" s="40"/>
      <c r="I129" s="40"/>
      <c r="J129" s="40"/>
      <c r="K129" s="40"/>
      <c r="L129" s="40"/>
      <c r="M129" s="40">
        <f t="shared" ref="M129:M135" si="17">H129+J129+L129</f>
        <v>0</v>
      </c>
      <c r="N129" s="1"/>
    </row>
    <row r="130" spans="1:14" hidden="1" x14ac:dyDescent="0.25">
      <c r="A130" s="111"/>
      <c r="B130" s="125"/>
      <c r="C130" s="55" t="s">
        <v>23</v>
      </c>
      <c r="D130" s="4" t="s">
        <v>25</v>
      </c>
      <c r="E130" s="128">
        <f>733*0.01</f>
        <v>7.33</v>
      </c>
      <c r="F130" s="54">
        <f>F129*E130</f>
        <v>0</v>
      </c>
      <c r="G130" s="40"/>
      <c r="H130" s="40"/>
      <c r="I130" s="40"/>
      <c r="J130" s="40">
        <f>F130*I130</f>
        <v>0</v>
      </c>
      <c r="K130" s="40"/>
      <c r="L130" s="40"/>
      <c r="M130" s="40">
        <f t="shared" si="17"/>
        <v>0</v>
      </c>
      <c r="N130" s="1"/>
    </row>
    <row r="131" spans="1:14" hidden="1" x14ac:dyDescent="0.25">
      <c r="A131" s="111"/>
      <c r="B131" s="4"/>
      <c r="C131" s="129" t="s">
        <v>24</v>
      </c>
      <c r="D131" s="4" t="s">
        <v>22</v>
      </c>
      <c r="E131" s="128">
        <f>11*0.01</f>
        <v>0.11</v>
      </c>
      <c r="F131" s="128">
        <f>F129*E131</f>
        <v>0</v>
      </c>
      <c r="G131" s="40"/>
      <c r="H131" s="40"/>
      <c r="I131" s="40"/>
      <c r="J131" s="40"/>
      <c r="K131" s="40"/>
      <c r="L131" s="40">
        <f>F131*K131</f>
        <v>0</v>
      </c>
      <c r="M131" s="40">
        <f t="shared" si="17"/>
        <v>0</v>
      </c>
      <c r="N131" s="1"/>
    </row>
    <row r="132" spans="1:14" hidden="1" x14ac:dyDescent="0.25">
      <c r="A132" s="111"/>
      <c r="B132" s="125"/>
      <c r="C132" s="55" t="s">
        <v>305</v>
      </c>
      <c r="D132" s="130" t="s">
        <v>70</v>
      </c>
      <c r="E132" s="128"/>
      <c r="F132" s="51">
        <f>1*1.3*F129</f>
        <v>0</v>
      </c>
      <c r="G132" s="40"/>
      <c r="H132" s="40">
        <f>F132*G132</f>
        <v>0</v>
      </c>
      <c r="I132" s="40"/>
      <c r="J132" s="40"/>
      <c r="K132" s="40"/>
      <c r="L132" s="40"/>
      <c r="M132" s="40">
        <f t="shared" si="17"/>
        <v>0</v>
      </c>
      <c r="N132" s="1"/>
    </row>
    <row r="133" spans="1:14" hidden="1" x14ac:dyDescent="0.25">
      <c r="A133" s="111"/>
      <c r="B133" s="4"/>
      <c r="C133" s="55" t="s">
        <v>306</v>
      </c>
      <c r="D133" s="125" t="s">
        <v>72</v>
      </c>
      <c r="E133" s="128">
        <f>5.1*0.01</f>
        <v>5.0999999999999997E-2</v>
      </c>
      <c r="F133" s="128">
        <f>E133*F129</f>
        <v>0</v>
      </c>
      <c r="G133" s="40"/>
      <c r="H133" s="40">
        <f>F133*G133</f>
        <v>0</v>
      </c>
      <c r="I133" s="40"/>
      <c r="J133" s="40"/>
      <c r="K133" s="40"/>
      <c r="L133" s="40"/>
      <c r="M133" s="40">
        <f t="shared" si="17"/>
        <v>0</v>
      </c>
      <c r="N133" s="1"/>
    </row>
    <row r="134" spans="1:14" hidden="1" x14ac:dyDescent="0.25">
      <c r="A134" s="111"/>
      <c r="B134" s="125"/>
      <c r="C134" s="55" t="s">
        <v>307</v>
      </c>
      <c r="D134" s="125" t="s">
        <v>99</v>
      </c>
      <c r="E134" s="128">
        <v>0.2</v>
      </c>
      <c r="F134" s="54">
        <f>F129*E134</f>
        <v>0</v>
      </c>
      <c r="G134" s="40"/>
      <c r="H134" s="40">
        <f>F134*G134</f>
        <v>0</v>
      </c>
      <c r="I134" s="40"/>
      <c r="J134" s="40"/>
      <c r="K134" s="40"/>
      <c r="L134" s="40"/>
      <c r="M134" s="40">
        <f t="shared" si="17"/>
        <v>0</v>
      </c>
      <c r="N134" s="1"/>
    </row>
    <row r="135" spans="1:14" hidden="1" x14ac:dyDescent="0.25">
      <c r="A135" s="21"/>
      <c r="B135" s="4"/>
      <c r="C135" s="129" t="s">
        <v>31</v>
      </c>
      <c r="D135" s="4" t="s">
        <v>22</v>
      </c>
      <c r="E135" s="128">
        <f>2*0.01</f>
        <v>0.02</v>
      </c>
      <c r="F135" s="128">
        <f>F129*E135</f>
        <v>0</v>
      </c>
      <c r="G135" s="40"/>
      <c r="H135" s="40">
        <f>F135*G135</f>
        <v>0</v>
      </c>
      <c r="I135" s="40"/>
      <c r="J135" s="40"/>
      <c r="K135" s="40"/>
      <c r="L135" s="40"/>
      <c r="M135" s="40">
        <f t="shared" si="17"/>
        <v>0</v>
      </c>
      <c r="N135" s="1"/>
    </row>
    <row r="136" spans="1:14" hidden="1" x14ac:dyDescent="0.25">
      <c r="A136" s="111"/>
      <c r="B136" s="4"/>
      <c r="C136" s="129"/>
      <c r="D136" s="4"/>
      <c r="E136" s="128"/>
      <c r="F136" s="128"/>
      <c r="G136" s="40"/>
      <c r="H136" s="40"/>
      <c r="I136" s="40"/>
      <c r="J136" s="40"/>
      <c r="K136" s="40"/>
      <c r="L136" s="40"/>
      <c r="M136" s="40"/>
      <c r="N136" s="1"/>
    </row>
    <row r="137" spans="1:14" ht="31.5" hidden="1" x14ac:dyDescent="0.25">
      <c r="A137" s="3" t="s">
        <v>186</v>
      </c>
      <c r="B137" s="4"/>
      <c r="C137" s="5" t="s">
        <v>147</v>
      </c>
      <c r="D137" s="6" t="s">
        <v>11</v>
      </c>
      <c r="E137" s="7"/>
      <c r="F137" s="7">
        <v>0</v>
      </c>
      <c r="G137" s="31"/>
      <c r="H137" s="31"/>
      <c r="I137" s="31"/>
      <c r="J137" s="31"/>
      <c r="K137" s="31"/>
      <c r="L137" s="31"/>
      <c r="M137" s="31"/>
      <c r="N137" s="1"/>
    </row>
    <row r="138" spans="1:14" ht="47.25" hidden="1" x14ac:dyDescent="0.25">
      <c r="A138" s="477" t="s">
        <v>187</v>
      </c>
      <c r="B138" s="4" t="s">
        <v>67</v>
      </c>
      <c r="C138" s="97" t="s">
        <v>93</v>
      </c>
      <c r="D138" s="6" t="s">
        <v>17</v>
      </c>
      <c r="E138" s="30"/>
      <c r="F138" s="7">
        <f>0.15*(0.07+0.1+0.15)*F137</f>
        <v>0</v>
      </c>
      <c r="G138" s="31"/>
      <c r="H138" s="31"/>
      <c r="I138" s="31"/>
      <c r="J138" s="31"/>
      <c r="K138" s="31"/>
      <c r="L138" s="31"/>
      <c r="M138" s="31"/>
      <c r="N138" s="1"/>
    </row>
    <row r="139" spans="1:14" hidden="1" x14ac:dyDescent="0.25">
      <c r="A139" s="479"/>
      <c r="B139" s="152"/>
      <c r="C139" s="15" t="s">
        <v>23</v>
      </c>
      <c r="D139" s="121" t="s">
        <v>25</v>
      </c>
      <c r="E139" s="126">
        <v>2.06</v>
      </c>
      <c r="F139" s="126">
        <f>E139*F138</f>
        <v>0</v>
      </c>
      <c r="G139" s="153"/>
      <c r="H139" s="31"/>
      <c r="I139" s="153"/>
      <c r="J139" s="31">
        <f>F139*I139</f>
        <v>0</v>
      </c>
      <c r="K139" s="31"/>
      <c r="L139" s="31"/>
      <c r="M139" s="31">
        <f>H139+J139+L139</f>
        <v>0</v>
      </c>
      <c r="N139" s="1"/>
    </row>
    <row r="140" spans="1:14" ht="47.25" hidden="1" x14ac:dyDescent="0.25">
      <c r="A140" s="492" t="s">
        <v>188</v>
      </c>
      <c r="B140" s="4" t="s">
        <v>68</v>
      </c>
      <c r="C140" s="97" t="s">
        <v>107</v>
      </c>
      <c r="D140" s="6" t="s">
        <v>71</v>
      </c>
      <c r="E140" s="30"/>
      <c r="F140" s="7">
        <f>0.07*0.15*F137</f>
        <v>0</v>
      </c>
      <c r="G140" s="31"/>
      <c r="H140" s="31"/>
      <c r="I140" s="31"/>
      <c r="J140" s="31"/>
      <c r="K140" s="31"/>
      <c r="L140" s="31"/>
      <c r="M140" s="31"/>
      <c r="N140" s="1"/>
    </row>
    <row r="141" spans="1:14" hidden="1" x14ac:dyDescent="0.25">
      <c r="A141" s="492"/>
      <c r="B141" s="4"/>
      <c r="C141" s="122" t="s">
        <v>52</v>
      </c>
      <c r="D141" s="4" t="s">
        <v>50</v>
      </c>
      <c r="E141" s="30">
        <v>3.52</v>
      </c>
      <c r="F141" s="30">
        <f>E141*F140</f>
        <v>0</v>
      </c>
      <c r="G141" s="31"/>
      <c r="H141" s="31"/>
      <c r="I141" s="31"/>
      <c r="J141" s="31">
        <f>F141*I141</f>
        <v>0</v>
      </c>
      <c r="K141" s="31"/>
      <c r="L141" s="31"/>
      <c r="M141" s="31">
        <f>H141+J141+L141</f>
        <v>0</v>
      </c>
      <c r="N141" s="1"/>
    </row>
    <row r="142" spans="1:14" hidden="1" x14ac:dyDescent="0.25">
      <c r="A142" s="492"/>
      <c r="B142" s="4"/>
      <c r="C142" s="122" t="s">
        <v>30</v>
      </c>
      <c r="D142" s="4" t="s">
        <v>22</v>
      </c>
      <c r="E142" s="30">
        <v>1.06</v>
      </c>
      <c r="F142" s="137">
        <f>F140*E142</f>
        <v>0</v>
      </c>
      <c r="G142" s="31"/>
      <c r="H142" s="31"/>
      <c r="I142" s="31"/>
      <c r="J142" s="31"/>
      <c r="K142" s="31"/>
      <c r="L142" s="31">
        <f>F142*K142</f>
        <v>0</v>
      </c>
      <c r="M142" s="31">
        <f>H142+J142+L142</f>
        <v>0</v>
      </c>
      <c r="N142" s="1"/>
    </row>
    <row r="143" spans="1:14" hidden="1" x14ac:dyDescent="0.25">
      <c r="A143" s="492"/>
      <c r="B143" s="4" t="s">
        <v>91</v>
      </c>
      <c r="C143" s="122" t="s">
        <v>108</v>
      </c>
      <c r="D143" s="4" t="s">
        <v>72</v>
      </c>
      <c r="E143" s="30">
        <f>0.18+0.09+0.97</f>
        <v>1.24</v>
      </c>
      <c r="F143" s="137">
        <f>E143*F140</f>
        <v>0</v>
      </c>
      <c r="G143" s="31"/>
      <c r="H143" s="31">
        <f>F143*G143</f>
        <v>0</v>
      </c>
      <c r="I143" s="31"/>
      <c r="J143" s="31"/>
      <c r="K143" s="31"/>
      <c r="L143" s="31"/>
      <c r="M143" s="31">
        <f>H143+J143+L143</f>
        <v>0</v>
      </c>
      <c r="N143" s="1"/>
    </row>
    <row r="144" spans="1:14" ht="47.25" hidden="1" x14ac:dyDescent="0.25">
      <c r="A144" s="493" t="s">
        <v>189</v>
      </c>
      <c r="B144" s="154" t="s">
        <v>109</v>
      </c>
      <c r="C144" s="116" t="s">
        <v>203</v>
      </c>
      <c r="D144" s="144" t="s">
        <v>71</v>
      </c>
      <c r="E144" s="155"/>
      <c r="F144" s="7">
        <v>0</v>
      </c>
      <c r="G144" s="31"/>
      <c r="H144" s="31"/>
      <c r="I144" s="31"/>
      <c r="J144" s="31"/>
      <c r="K144" s="31"/>
      <c r="L144" s="31"/>
      <c r="M144" s="31"/>
      <c r="N144" s="1"/>
    </row>
    <row r="145" spans="1:14" hidden="1" x14ac:dyDescent="0.25">
      <c r="A145" s="494"/>
      <c r="B145" s="113"/>
      <c r="C145" s="112" t="s">
        <v>45</v>
      </c>
      <c r="D145" s="113" t="s">
        <v>50</v>
      </c>
      <c r="E145" s="114">
        <v>1.37</v>
      </c>
      <c r="F145" s="114">
        <f>E145*F144</f>
        <v>0</v>
      </c>
      <c r="G145" s="2"/>
      <c r="H145" s="31"/>
      <c r="I145" s="2"/>
      <c r="J145" s="31">
        <f>F145*I145</f>
        <v>0</v>
      </c>
      <c r="K145" s="2"/>
      <c r="L145" s="31"/>
      <c r="M145" s="31">
        <f>H145+J145+L145</f>
        <v>0</v>
      </c>
      <c r="N145" s="1"/>
    </row>
    <row r="146" spans="1:14" hidden="1" x14ac:dyDescent="0.25">
      <c r="A146" s="494"/>
      <c r="B146" s="113"/>
      <c r="C146" s="122" t="s">
        <v>24</v>
      </c>
      <c r="D146" s="78" t="s">
        <v>22</v>
      </c>
      <c r="E146" s="114">
        <v>0.28299999999999997</v>
      </c>
      <c r="F146" s="114">
        <f>E146*F144</f>
        <v>0</v>
      </c>
      <c r="G146" s="2"/>
      <c r="H146" s="31"/>
      <c r="I146" s="2"/>
      <c r="J146" s="31"/>
      <c r="K146" s="2"/>
      <c r="L146" s="31">
        <f>F146*K146</f>
        <v>0</v>
      </c>
      <c r="M146" s="31">
        <f>H146+J146+L146</f>
        <v>0</v>
      </c>
      <c r="N146" s="1"/>
    </row>
    <row r="147" spans="1:14" hidden="1" x14ac:dyDescent="0.25">
      <c r="A147" s="494"/>
      <c r="B147" s="113" t="s">
        <v>117</v>
      </c>
      <c r="C147" s="112" t="s">
        <v>199</v>
      </c>
      <c r="D147" s="113" t="s">
        <v>72</v>
      </c>
      <c r="E147" s="114">
        <v>1.02</v>
      </c>
      <c r="F147" s="114">
        <f>E147*F144</f>
        <v>0</v>
      </c>
      <c r="G147" s="2"/>
      <c r="H147" s="31">
        <f>F147*G147</f>
        <v>0</v>
      </c>
      <c r="I147" s="2"/>
      <c r="J147" s="31"/>
      <c r="K147" s="2"/>
      <c r="L147" s="31"/>
      <c r="M147" s="31">
        <f>H147+J147+L147</f>
        <v>0</v>
      </c>
      <c r="N147" s="1"/>
    </row>
    <row r="148" spans="1:14" hidden="1" x14ac:dyDescent="0.25">
      <c r="A148" s="495"/>
      <c r="B148" s="113"/>
      <c r="C148" s="122" t="s">
        <v>31</v>
      </c>
      <c r="D148" s="156" t="s">
        <v>22</v>
      </c>
      <c r="E148" s="114">
        <v>0.62</v>
      </c>
      <c r="F148" s="114">
        <f>E148*F144</f>
        <v>0</v>
      </c>
      <c r="G148" s="2"/>
      <c r="H148" s="31">
        <f>F148*G148</f>
        <v>0</v>
      </c>
      <c r="I148" s="2"/>
      <c r="J148" s="31"/>
      <c r="K148" s="2"/>
      <c r="L148" s="31"/>
      <c r="M148" s="31">
        <f>H148+J148+L148</f>
        <v>0</v>
      </c>
      <c r="N148" s="1"/>
    </row>
    <row r="149" spans="1:14" ht="31.5" hidden="1" x14ac:dyDescent="0.25">
      <c r="A149" s="476" t="s">
        <v>201</v>
      </c>
      <c r="B149" s="4" t="s">
        <v>105</v>
      </c>
      <c r="C149" s="97" t="s">
        <v>149</v>
      </c>
      <c r="D149" s="6" t="s">
        <v>51</v>
      </c>
      <c r="E149" s="7"/>
      <c r="F149" s="7">
        <f>F137</f>
        <v>0</v>
      </c>
      <c r="G149" s="31"/>
      <c r="H149" s="31"/>
      <c r="I149" s="31"/>
      <c r="J149" s="31"/>
      <c r="K149" s="31"/>
      <c r="L149" s="31"/>
      <c r="M149" s="31"/>
      <c r="N149" s="1"/>
    </row>
    <row r="150" spans="1:14" hidden="1" x14ac:dyDescent="0.25">
      <c r="A150" s="476"/>
      <c r="B150" s="4"/>
      <c r="C150" s="122" t="s">
        <v>52</v>
      </c>
      <c r="D150" s="4" t="s">
        <v>50</v>
      </c>
      <c r="E150" s="30">
        <v>0.74</v>
      </c>
      <c r="F150" s="30">
        <f>E150*F149</f>
        <v>0</v>
      </c>
      <c r="G150" s="31"/>
      <c r="H150" s="31"/>
      <c r="I150" s="31"/>
      <c r="J150" s="31">
        <f>F150*I150</f>
        <v>0</v>
      </c>
      <c r="K150" s="31"/>
      <c r="L150" s="31"/>
      <c r="M150" s="31">
        <f t="shared" ref="M150:M155" si="18">H150+J150+L150</f>
        <v>0</v>
      </c>
      <c r="N150" s="1"/>
    </row>
    <row r="151" spans="1:14" hidden="1" x14ac:dyDescent="0.25">
      <c r="A151" s="476"/>
      <c r="B151" s="4"/>
      <c r="C151" s="122" t="s">
        <v>24</v>
      </c>
      <c r="D151" s="4" t="s">
        <v>57</v>
      </c>
      <c r="E151" s="30">
        <f>0.71*0.01</f>
        <v>7.0999999999999995E-3</v>
      </c>
      <c r="F151" s="30">
        <f>E151*F149</f>
        <v>0</v>
      </c>
      <c r="G151" s="31"/>
      <c r="H151" s="31"/>
      <c r="I151" s="31"/>
      <c r="J151" s="31"/>
      <c r="K151" s="31"/>
      <c r="L151" s="31">
        <f>F151*K151</f>
        <v>0</v>
      </c>
      <c r="M151" s="31">
        <f t="shared" si="18"/>
        <v>0</v>
      </c>
      <c r="N151" s="1"/>
    </row>
    <row r="152" spans="1:14" hidden="1" x14ac:dyDescent="0.25">
      <c r="A152" s="476"/>
      <c r="B152" s="157" t="s">
        <v>114</v>
      </c>
      <c r="C152" s="122" t="s">
        <v>150</v>
      </c>
      <c r="D152" s="4" t="s">
        <v>51</v>
      </c>
      <c r="E152" s="30">
        <v>1</v>
      </c>
      <c r="F152" s="30">
        <f>E152*F149</f>
        <v>0</v>
      </c>
      <c r="G152" s="31"/>
      <c r="H152" s="31">
        <f>F152*G152</f>
        <v>0</v>
      </c>
      <c r="I152" s="31"/>
      <c r="J152" s="31"/>
      <c r="K152" s="31"/>
      <c r="L152" s="31"/>
      <c r="M152" s="31">
        <f t="shared" si="18"/>
        <v>0</v>
      </c>
      <c r="N152" s="1"/>
    </row>
    <row r="153" spans="1:14" hidden="1" x14ac:dyDescent="0.25">
      <c r="A153" s="476"/>
      <c r="B153" s="4" t="s">
        <v>115</v>
      </c>
      <c r="C153" s="158" t="s">
        <v>198</v>
      </c>
      <c r="D153" s="4" t="s">
        <v>72</v>
      </c>
      <c r="E153" s="30">
        <f>5.9*0.01</f>
        <v>5.9000000000000004E-2</v>
      </c>
      <c r="F153" s="30">
        <f>F149*E153</f>
        <v>0</v>
      </c>
      <c r="G153" s="31"/>
      <c r="H153" s="31">
        <f>F153*G153</f>
        <v>0</v>
      </c>
      <c r="I153" s="31"/>
      <c r="J153" s="31"/>
      <c r="K153" s="31"/>
      <c r="L153" s="31"/>
      <c r="M153" s="31">
        <f t="shared" si="18"/>
        <v>0</v>
      </c>
      <c r="N153" s="1"/>
    </row>
    <row r="154" spans="1:14" hidden="1" x14ac:dyDescent="0.25">
      <c r="A154" s="476"/>
      <c r="B154" s="4" t="s">
        <v>116</v>
      </c>
      <c r="C154" s="122" t="s">
        <v>106</v>
      </c>
      <c r="D154" s="4" t="s">
        <v>72</v>
      </c>
      <c r="E154" s="30">
        <f>0.06*0.01</f>
        <v>5.9999999999999995E-4</v>
      </c>
      <c r="F154" s="30">
        <f>E154*F149</f>
        <v>0</v>
      </c>
      <c r="G154" s="31"/>
      <c r="H154" s="31">
        <f>F154*G154</f>
        <v>0</v>
      </c>
      <c r="I154" s="31"/>
      <c r="J154" s="31"/>
      <c r="K154" s="31"/>
      <c r="L154" s="31"/>
      <c r="M154" s="31">
        <f t="shared" si="18"/>
        <v>0</v>
      </c>
      <c r="N154" s="1"/>
    </row>
    <row r="155" spans="1:14" hidden="1" x14ac:dyDescent="0.25">
      <c r="A155" s="476"/>
      <c r="B155" s="4"/>
      <c r="C155" s="122" t="s">
        <v>31</v>
      </c>
      <c r="D155" s="4" t="s">
        <v>22</v>
      </c>
      <c r="E155" s="30">
        <f>9.6*0.01</f>
        <v>9.6000000000000002E-2</v>
      </c>
      <c r="F155" s="30">
        <f>E155*F149</f>
        <v>0</v>
      </c>
      <c r="G155" s="31"/>
      <c r="H155" s="31">
        <f>F155*G155</f>
        <v>0</v>
      </c>
      <c r="I155" s="31"/>
      <c r="J155" s="31"/>
      <c r="K155" s="31"/>
      <c r="L155" s="31"/>
      <c r="M155" s="31">
        <f t="shared" si="18"/>
        <v>0</v>
      </c>
      <c r="N155" s="1"/>
    </row>
    <row r="156" spans="1:14" ht="31.5" x14ac:dyDescent="0.25">
      <c r="A156" s="3" t="s">
        <v>183</v>
      </c>
      <c r="B156" s="4"/>
      <c r="C156" s="5" t="s">
        <v>148</v>
      </c>
      <c r="D156" s="6" t="s">
        <v>11</v>
      </c>
      <c r="E156" s="7"/>
      <c r="F156" s="7">
        <v>28</v>
      </c>
      <c r="G156" s="31"/>
      <c r="H156" s="31"/>
      <c r="I156" s="31"/>
      <c r="J156" s="31"/>
      <c r="K156" s="31"/>
      <c r="L156" s="31"/>
      <c r="M156" s="31"/>
      <c r="N156" s="1"/>
    </row>
    <row r="157" spans="1:14" ht="47.25" x14ac:dyDescent="0.25">
      <c r="A157" s="109" t="s">
        <v>184</v>
      </c>
      <c r="B157" s="6" t="s">
        <v>67</v>
      </c>
      <c r="C157" s="97" t="s">
        <v>93</v>
      </c>
      <c r="D157" s="6" t="s">
        <v>17</v>
      </c>
      <c r="E157" s="30"/>
      <c r="F157" s="7">
        <f>0.1*(0.07+0.1+0.1)*F156</f>
        <v>0.75600000000000012</v>
      </c>
      <c r="G157" s="31"/>
      <c r="H157" s="31"/>
      <c r="I157" s="31"/>
      <c r="J157" s="31"/>
      <c r="K157" s="31"/>
      <c r="L157" s="31"/>
      <c r="M157" s="31"/>
      <c r="N157" s="1"/>
    </row>
    <row r="158" spans="1:14" x14ac:dyDescent="0.25">
      <c r="A158" s="21"/>
      <c r="B158" s="152"/>
      <c r="C158" s="15" t="s">
        <v>23</v>
      </c>
      <c r="D158" s="121" t="s">
        <v>25</v>
      </c>
      <c r="E158" s="126">
        <v>2.06</v>
      </c>
      <c r="F158" s="126">
        <f>E158*F157</f>
        <v>1.5573600000000003</v>
      </c>
      <c r="G158" s="153"/>
      <c r="H158" s="31"/>
      <c r="I158" s="153"/>
      <c r="J158" s="31">
        <f>F158*I158</f>
        <v>0</v>
      </c>
      <c r="K158" s="31"/>
      <c r="L158" s="31"/>
      <c r="M158" s="31">
        <f>H158+J158+L158</f>
        <v>0</v>
      </c>
      <c r="N158" s="1"/>
    </row>
    <row r="159" spans="1:14" ht="47.25" x14ac:dyDescent="0.25">
      <c r="A159" s="71" t="s">
        <v>185</v>
      </c>
      <c r="B159" s="6" t="s">
        <v>391</v>
      </c>
      <c r="C159" s="97" t="s">
        <v>262</v>
      </c>
      <c r="D159" s="6" t="s">
        <v>71</v>
      </c>
      <c r="E159" s="30"/>
      <c r="F159" s="7">
        <f>0.07*0.1*F156</f>
        <v>0.19600000000000004</v>
      </c>
      <c r="G159" s="31"/>
      <c r="H159" s="31"/>
      <c r="I159" s="31"/>
      <c r="J159" s="31"/>
      <c r="K159" s="31"/>
      <c r="L159" s="31"/>
      <c r="M159" s="31"/>
      <c r="N159" s="1"/>
    </row>
    <row r="160" spans="1:14" x14ac:dyDescent="0.25">
      <c r="A160" s="75"/>
      <c r="B160" s="67"/>
      <c r="C160" s="66" t="s">
        <v>81</v>
      </c>
      <c r="D160" s="67" t="s">
        <v>82</v>
      </c>
      <c r="E160" s="68">
        <v>0.89</v>
      </c>
      <c r="F160" s="68">
        <f>F159*E160</f>
        <v>0.17444000000000004</v>
      </c>
      <c r="G160" s="69"/>
      <c r="H160" s="31"/>
      <c r="I160" s="69"/>
      <c r="J160" s="31">
        <f>F160*I160</f>
        <v>0</v>
      </c>
      <c r="K160" s="70"/>
      <c r="L160" s="31"/>
      <c r="M160" s="31">
        <f>H160+J160+L160</f>
        <v>0</v>
      </c>
      <c r="N160" s="1"/>
    </row>
    <row r="161" spans="1:14" x14ac:dyDescent="0.25">
      <c r="A161" s="75"/>
      <c r="B161" s="67"/>
      <c r="C161" s="66" t="s">
        <v>30</v>
      </c>
      <c r="D161" s="67" t="s">
        <v>22</v>
      </c>
      <c r="E161" s="68">
        <v>0.37</v>
      </c>
      <c r="F161" s="68">
        <f>F159*E161</f>
        <v>7.2520000000000015E-2</v>
      </c>
      <c r="G161" s="69"/>
      <c r="H161" s="31"/>
      <c r="I161" s="31"/>
      <c r="J161" s="31"/>
      <c r="K161" s="70"/>
      <c r="L161" s="31">
        <f>F161*K161</f>
        <v>0</v>
      </c>
      <c r="M161" s="31">
        <f>H161+J161+L161</f>
        <v>0</v>
      </c>
      <c r="N161" s="1"/>
    </row>
    <row r="162" spans="1:14" x14ac:dyDescent="0.25">
      <c r="A162" s="75"/>
      <c r="B162" s="67"/>
      <c r="C162" s="66" t="s">
        <v>124</v>
      </c>
      <c r="D162" s="67" t="s">
        <v>17</v>
      </c>
      <c r="E162" s="68">
        <v>1.1499999999999999</v>
      </c>
      <c r="F162" s="68">
        <f>F159*E162</f>
        <v>0.22540000000000002</v>
      </c>
      <c r="G162" s="69"/>
      <c r="H162" s="31">
        <f>F162*G162</f>
        <v>0</v>
      </c>
      <c r="I162" s="31"/>
      <c r="J162" s="31"/>
      <c r="K162" s="70"/>
      <c r="L162" s="31"/>
      <c r="M162" s="31">
        <f>H162+J162+L162</f>
        <v>0</v>
      </c>
      <c r="N162" s="1"/>
    </row>
    <row r="163" spans="1:14" x14ac:dyDescent="0.25">
      <c r="A163" s="77"/>
      <c r="B163" s="67"/>
      <c r="C163" s="66" t="s">
        <v>28</v>
      </c>
      <c r="D163" s="67" t="s">
        <v>22</v>
      </c>
      <c r="E163" s="68">
        <v>0.02</v>
      </c>
      <c r="F163" s="68">
        <f>F159*E163</f>
        <v>3.9200000000000007E-3</v>
      </c>
      <c r="G163" s="69"/>
      <c r="H163" s="31">
        <f>F163*G163</f>
        <v>0</v>
      </c>
      <c r="I163" s="31"/>
      <c r="J163" s="31"/>
      <c r="K163" s="70"/>
      <c r="L163" s="31"/>
      <c r="M163" s="31">
        <f>H163+J163+L163</f>
        <v>0</v>
      </c>
      <c r="N163" s="1"/>
    </row>
    <row r="164" spans="1:14" ht="63" hidden="1" x14ac:dyDescent="0.25">
      <c r="A164" s="159" t="s">
        <v>316</v>
      </c>
      <c r="B164" s="154" t="s">
        <v>109</v>
      </c>
      <c r="C164" s="116" t="s">
        <v>110</v>
      </c>
      <c r="D164" s="144" t="s">
        <v>71</v>
      </c>
      <c r="E164" s="155"/>
      <c r="F164" s="7">
        <v>0</v>
      </c>
      <c r="G164" s="31"/>
      <c r="H164" s="31"/>
      <c r="I164" s="31"/>
      <c r="J164" s="31"/>
      <c r="K164" s="31"/>
      <c r="L164" s="31"/>
      <c r="M164" s="31"/>
      <c r="N164" s="1"/>
    </row>
    <row r="165" spans="1:14" hidden="1" x14ac:dyDescent="0.25">
      <c r="A165" s="160"/>
      <c r="B165" s="113"/>
      <c r="C165" s="112" t="s">
        <v>45</v>
      </c>
      <c r="D165" s="113" t="s">
        <v>50</v>
      </c>
      <c r="E165" s="114">
        <v>1.37</v>
      </c>
      <c r="F165" s="114">
        <f>F164*E165</f>
        <v>0</v>
      </c>
      <c r="G165" s="2"/>
      <c r="H165" s="31"/>
      <c r="I165" s="2">
        <v>6</v>
      </c>
      <c r="J165" s="31">
        <f>F165*I165</f>
        <v>0</v>
      </c>
      <c r="K165" s="2"/>
      <c r="L165" s="31"/>
      <c r="M165" s="31">
        <f>H165+J165+L165</f>
        <v>0</v>
      </c>
      <c r="N165" s="1"/>
    </row>
    <row r="166" spans="1:14" hidden="1" x14ac:dyDescent="0.25">
      <c r="A166" s="160"/>
      <c r="B166" s="113"/>
      <c r="C166" s="122" t="s">
        <v>24</v>
      </c>
      <c r="D166" s="78" t="s">
        <v>22</v>
      </c>
      <c r="E166" s="114">
        <v>0.28299999999999997</v>
      </c>
      <c r="F166" s="114">
        <f>E166*F164</f>
        <v>0</v>
      </c>
      <c r="G166" s="2"/>
      <c r="H166" s="31"/>
      <c r="I166" s="2"/>
      <c r="J166" s="31"/>
      <c r="K166" s="2"/>
      <c r="L166" s="31">
        <f>F166*K166</f>
        <v>0</v>
      </c>
      <c r="M166" s="31">
        <f>H166+J166+L166</f>
        <v>0</v>
      </c>
      <c r="N166" s="1"/>
    </row>
    <row r="167" spans="1:14" hidden="1" x14ac:dyDescent="0.25">
      <c r="A167" s="160"/>
      <c r="B167" s="113"/>
      <c r="C167" s="112" t="s">
        <v>200</v>
      </c>
      <c r="D167" s="113" t="s">
        <v>72</v>
      </c>
      <c r="E167" s="114">
        <v>1.02</v>
      </c>
      <c r="F167" s="114">
        <f>E167*F164</f>
        <v>0</v>
      </c>
      <c r="G167" s="2"/>
      <c r="H167" s="31">
        <f>F167*G167</f>
        <v>0</v>
      </c>
      <c r="I167" s="2"/>
      <c r="J167" s="31"/>
      <c r="K167" s="2"/>
      <c r="L167" s="31"/>
      <c r="M167" s="31">
        <f>H167+J167+L167</f>
        <v>0</v>
      </c>
      <c r="N167" s="1"/>
    </row>
    <row r="168" spans="1:14" hidden="1" x14ac:dyDescent="0.25">
      <c r="A168" s="161"/>
      <c r="B168" s="113"/>
      <c r="C168" s="122" t="s">
        <v>31</v>
      </c>
      <c r="D168" s="156" t="s">
        <v>22</v>
      </c>
      <c r="E168" s="114">
        <v>0.62</v>
      </c>
      <c r="F168" s="114">
        <f>E168*F164</f>
        <v>0</v>
      </c>
      <c r="G168" s="2"/>
      <c r="H168" s="31">
        <f>F168*G168</f>
        <v>0</v>
      </c>
      <c r="I168" s="2"/>
      <c r="J168" s="31"/>
      <c r="K168" s="2"/>
      <c r="L168" s="31"/>
      <c r="M168" s="31">
        <f>H168+J168+L168</f>
        <v>0</v>
      </c>
      <c r="N168" s="1"/>
    </row>
    <row r="169" spans="1:14" ht="31.5" x14ac:dyDescent="0.25">
      <c r="A169" s="109" t="s">
        <v>316</v>
      </c>
      <c r="B169" s="6" t="s">
        <v>434</v>
      </c>
      <c r="C169" s="97" t="s">
        <v>151</v>
      </c>
      <c r="D169" s="6" t="s">
        <v>51</v>
      </c>
      <c r="E169" s="7"/>
      <c r="F169" s="7">
        <f>F156</f>
        <v>28</v>
      </c>
      <c r="G169" s="31"/>
      <c r="H169" s="31"/>
      <c r="I169" s="31"/>
      <c r="J169" s="31"/>
      <c r="K169" s="31"/>
      <c r="L169" s="31"/>
      <c r="M169" s="31"/>
      <c r="N169" s="1"/>
    </row>
    <row r="170" spans="1:14" x14ac:dyDescent="0.25">
      <c r="A170" s="111"/>
      <c r="B170" s="4"/>
      <c r="C170" s="122" t="s">
        <v>52</v>
      </c>
      <c r="D170" s="4" t="s">
        <v>50</v>
      </c>
      <c r="E170" s="30">
        <v>0.74</v>
      </c>
      <c r="F170" s="30">
        <f>E170*F169</f>
        <v>20.72</v>
      </c>
      <c r="G170" s="31"/>
      <c r="H170" s="31"/>
      <c r="I170" s="31"/>
      <c r="J170" s="31">
        <f>F170*I170</f>
        <v>0</v>
      </c>
      <c r="K170" s="31"/>
      <c r="L170" s="31"/>
      <c r="M170" s="31">
        <f t="shared" ref="M170:M175" si="19">H170+J170+L170</f>
        <v>0</v>
      </c>
      <c r="N170" s="1"/>
    </row>
    <row r="171" spans="1:14" x14ac:dyDescent="0.25">
      <c r="A171" s="111"/>
      <c r="B171" s="4"/>
      <c r="C171" s="122" t="s">
        <v>24</v>
      </c>
      <c r="D171" s="4" t="s">
        <v>57</v>
      </c>
      <c r="E171" s="30">
        <f>0.71*0.01</f>
        <v>7.0999999999999995E-3</v>
      </c>
      <c r="F171" s="30">
        <f>E171*F169</f>
        <v>0.19879999999999998</v>
      </c>
      <c r="G171" s="31"/>
      <c r="H171" s="31"/>
      <c r="I171" s="31"/>
      <c r="J171" s="31"/>
      <c r="K171" s="31"/>
      <c r="L171" s="31">
        <f>F171*K171</f>
        <v>0</v>
      </c>
      <c r="M171" s="31">
        <f t="shared" si="19"/>
        <v>0</v>
      </c>
      <c r="N171" s="1"/>
    </row>
    <row r="172" spans="1:14" x14ac:dyDescent="0.25">
      <c r="A172" s="111"/>
      <c r="B172" s="4"/>
      <c r="C172" s="122" t="s">
        <v>152</v>
      </c>
      <c r="D172" s="4" t="s">
        <v>51</v>
      </c>
      <c r="E172" s="30">
        <v>1</v>
      </c>
      <c r="F172" s="30">
        <f>E172*F169</f>
        <v>28</v>
      </c>
      <c r="G172" s="31"/>
      <c r="H172" s="31">
        <f>F172*G172</f>
        <v>0</v>
      </c>
      <c r="I172" s="31"/>
      <c r="J172" s="31"/>
      <c r="K172" s="31"/>
      <c r="L172" s="31"/>
      <c r="M172" s="31">
        <f t="shared" si="19"/>
        <v>0</v>
      </c>
      <c r="N172" s="1"/>
    </row>
    <row r="173" spans="1:14" x14ac:dyDescent="0.25">
      <c r="A173" s="111"/>
      <c r="B173" s="4"/>
      <c r="C173" s="158" t="s">
        <v>258</v>
      </c>
      <c r="D173" s="4" t="s">
        <v>72</v>
      </c>
      <c r="E173" s="30">
        <f>3.9*0.01</f>
        <v>3.9E-2</v>
      </c>
      <c r="F173" s="30">
        <f>F169*E173</f>
        <v>1.0920000000000001</v>
      </c>
      <c r="G173" s="31"/>
      <c r="H173" s="31">
        <f>F173*G173</f>
        <v>0</v>
      </c>
      <c r="I173" s="31"/>
      <c r="J173" s="31"/>
      <c r="K173" s="31"/>
      <c r="L173" s="31"/>
      <c r="M173" s="31">
        <f t="shared" si="19"/>
        <v>0</v>
      </c>
      <c r="N173" s="1"/>
    </row>
    <row r="174" spans="1:14" x14ac:dyDescent="0.25">
      <c r="A174" s="111"/>
      <c r="B174" s="4"/>
      <c r="C174" s="122" t="s">
        <v>106</v>
      </c>
      <c r="D174" s="4" t="s">
        <v>72</v>
      </c>
      <c r="E174" s="30">
        <f>0.06*0.01</f>
        <v>5.9999999999999995E-4</v>
      </c>
      <c r="F174" s="30">
        <f>E174*F169</f>
        <v>1.6799999999999999E-2</v>
      </c>
      <c r="G174" s="31"/>
      <c r="H174" s="31">
        <f>F174*G174</f>
        <v>0</v>
      </c>
      <c r="I174" s="31"/>
      <c r="J174" s="31"/>
      <c r="K174" s="31"/>
      <c r="L174" s="31"/>
      <c r="M174" s="31">
        <f t="shared" si="19"/>
        <v>0</v>
      </c>
      <c r="N174" s="1"/>
    </row>
    <row r="175" spans="1:14" x14ac:dyDescent="0.25">
      <c r="A175" s="21"/>
      <c r="B175" s="4"/>
      <c r="C175" s="122" t="s">
        <v>31</v>
      </c>
      <c r="D175" s="4" t="s">
        <v>22</v>
      </c>
      <c r="E175" s="30">
        <f>9.6*0.01</f>
        <v>9.6000000000000002E-2</v>
      </c>
      <c r="F175" s="30">
        <f>E175*F169</f>
        <v>2.6880000000000002</v>
      </c>
      <c r="G175" s="31"/>
      <c r="H175" s="31">
        <f>F175*G175</f>
        <v>0</v>
      </c>
      <c r="I175" s="31"/>
      <c r="J175" s="31"/>
      <c r="K175" s="31"/>
      <c r="L175" s="31"/>
      <c r="M175" s="31">
        <f t="shared" si="19"/>
        <v>0</v>
      </c>
      <c r="N175" s="1"/>
    </row>
    <row r="176" spans="1:14" ht="47.25" x14ac:dyDescent="0.25">
      <c r="A176" s="3" t="s">
        <v>186</v>
      </c>
      <c r="B176" s="4"/>
      <c r="C176" s="5" t="s">
        <v>436</v>
      </c>
      <c r="D176" s="6" t="s">
        <v>18</v>
      </c>
      <c r="E176" s="7"/>
      <c r="F176" s="7">
        <v>88</v>
      </c>
      <c r="G176" s="31"/>
      <c r="H176" s="31"/>
      <c r="I176" s="31"/>
      <c r="J176" s="31"/>
      <c r="K176" s="31"/>
      <c r="L176" s="31"/>
      <c r="M176" s="31"/>
      <c r="N176" s="1"/>
    </row>
    <row r="177" spans="1:14" ht="47.25" x14ac:dyDescent="0.25">
      <c r="A177" s="470" t="s">
        <v>187</v>
      </c>
      <c r="B177" s="162" t="s">
        <v>67</v>
      </c>
      <c r="C177" s="163" t="s">
        <v>347</v>
      </c>
      <c r="D177" s="162" t="s">
        <v>72</v>
      </c>
      <c r="E177" s="164"/>
      <c r="F177" s="36">
        <f>F176*0.15</f>
        <v>13.2</v>
      </c>
      <c r="G177" s="165"/>
      <c r="H177" s="39"/>
      <c r="I177" s="165"/>
      <c r="J177" s="39"/>
      <c r="K177" s="165"/>
      <c r="L177" s="39"/>
      <c r="M177" s="39"/>
      <c r="N177" s="1"/>
    </row>
    <row r="178" spans="1:14" x14ac:dyDescent="0.25">
      <c r="A178" s="471"/>
      <c r="B178" s="166"/>
      <c r="C178" s="167" t="s">
        <v>81</v>
      </c>
      <c r="D178" s="168" t="s">
        <v>25</v>
      </c>
      <c r="E178" s="164">
        <v>2.06</v>
      </c>
      <c r="F178" s="30">
        <f>F177*E178</f>
        <v>27.192</v>
      </c>
      <c r="G178" s="39"/>
      <c r="H178" s="39"/>
      <c r="I178" s="39"/>
      <c r="J178" s="39">
        <f t="shared" ref="J178" si="20">F178*I178</f>
        <v>0</v>
      </c>
      <c r="K178" s="39"/>
      <c r="L178" s="39"/>
      <c r="M178" s="39">
        <f t="shared" ref="M178" si="21">H178+J178+L178</f>
        <v>0</v>
      </c>
      <c r="N178" s="1"/>
    </row>
    <row r="179" spans="1:14" ht="31.5" x14ac:dyDescent="0.25">
      <c r="A179" s="472" t="s">
        <v>188</v>
      </c>
      <c r="B179" s="6" t="s">
        <v>391</v>
      </c>
      <c r="C179" s="163" t="s">
        <v>358</v>
      </c>
      <c r="D179" s="162" t="s">
        <v>71</v>
      </c>
      <c r="E179" s="169"/>
      <c r="F179" s="36">
        <f>F176*0.1</f>
        <v>8.8000000000000007</v>
      </c>
      <c r="G179" s="165"/>
      <c r="H179" s="39"/>
      <c r="I179" s="165"/>
      <c r="J179" s="39"/>
      <c r="K179" s="165"/>
      <c r="L179" s="39"/>
      <c r="M179" s="39"/>
      <c r="N179" s="1"/>
    </row>
    <row r="180" spans="1:14" x14ac:dyDescent="0.25">
      <c r="A180" s="473"/>
      <c r="B180" s="67"/>
      <c r="C180" s="66" t="s">
        <v>81</v>
      </c>
      <c r="D180" s="67" t="s">
        <v>82</v>
      </c>
      <c r="E180" s="68">
        <v>0.89</v>
      </c>
      <c r="F180" s="68">
        <f>F179*E180</f>
        <v>7.8320000000000007</v>
      </c>
      <c r="G180" s="69"/>
      <c r="H180" s="31"/>
      <c r="I180" s="69"/>
      <c r="J180" s="31">
        <f>F180*I180</f>
        <v>0</v>
      </c>
      <c r="K180" s="70"/>
      <c r="L180" s="31"/>
      <c r="M180" s="31">
        <f>H180+J180+L180</f>
        <v>0</v>
      </c>
      <c r="N180" s="1"/>
    </row>
    <row r="181" spans="1:14" x14ac:dyDescent="0.25">
      <c r="A181" s="473"/>
      <c r="B181" s="67"/>
      <c r="C181" s="457" t="s">
        <v>30</v>
      </c>
      <c r="D181" s="67" t="s">
        <v>22</v>
      </c>
      <c r="E181" s="68">
        <v>0.37</v>
      </c>
      <c r="F181" s="68">
        <f>F179*E181</f>
        <v>3.2560000000000002</v>
      </c>
      <c r="G181" s="69"/>
      <c r="H181" s="31"/>
      <c r="I181" s="31"/>
      <c r="J181" s="31"/>
      <c r="K181" s="70"/>
      <c r="L181" s="31">
        <f>F181*K181</f>
        <v>0</v>
      </c>
      <c r="M181" s="31">
        <f>H181+J181+L181</f>
        <v>0</v>
      </c>
      <c r="N181" s="1"/>
    </row>
    <row r="182" spans="1:14" x14ac:dyDescent="0.25">
      <c r="A182" s="473"/>
      <c r="B182" s="67"/>
      <c r="C182" s="457" t="s">
        <v>124</v>
      </c>
      <c r="D182" s="67" t="s">
        <v>17</v>
      </c>
      <c r="E182" s="68">
        <v>1.1499999999999999</v>
      </c>
      <c r="F182" s="68">
        <f>F179*E182</f>
        <v>10.119999999999999</v>
      </c>
      <c r="G182" s="69"/>
      <c r="H182" s="31">
        <f>F182*G182</f>
        <v>0</v>
      </c>
      <c r="I182" s="31"/>
      <c r="J182" s="31"/>
      <c r="K182" s="70"/>
      <c r="L182" s="31"/>
      <c r="M182" s="31">
        <f>H182+J182+L182</f>
        <v>0</v>
      </c>
      <c r="N182" s="1"/>
    </row>
    <row r="183" spans="1:14" x14ac:dyDescent="0.25">
      <c r="A183" s="474"/>
      <c r="B183" s="67"/>
      <c r="C183" s="457" t="s">
        <v>28</v>
      </c>
      <c r="D183" s="67" t="s">
        <v>22</v>
      </c>
      <c r="E183" s="68">
        <v>0.02</v>
      </c>
      <c r="F183" s="68">
        <f>F179*E183</f>
        <v>0.17600000000000002</v>
      </c>
      <c r="G183" s="69"/>
      <c r="H183" s="31">
        <f>F183*G183</f>
        <v>0</v>
      </c>
      <c r="I183" s="31"/>
      <c r="J183" s="31"/>
      <c r="K183" s="70"/>
      <c r="L183" s="31"/>
      <c r="M183" s="31">
        <f>H183+J183+L183</f>
        <v>0</v>
      </c>
      <c r="N183" s="1"/>
    </row>
    <row r="184" spans="1:14" x14ac:dyDescent="0.25">
      <c r="A184" s="472" t="s">
        <v>189</v>
      </c>
      <c r="B184" s="144" t="s">
        <v>109</v>
      </c>
      <c r="C184" s="458" t="s">
        <v>350</v>
      </c>
      <c r="D184" s="162" t="s">
        <v>17</v>
      </c>
      <c r="E184" s="164"/>
      <c r="F184" s="36">
        <f>F176*0.12</f>
        <v>10.559999999999999</v>
      </c>
      <c r="G184" s="39"/>
      <c r="H184" s="39"/>
      <c r="I184" s="39"/>
      <c r="J184" s="39"/>
      <c r="K184" s="39"/>
      <c r="L184" s="39"/>
      <c r="M184" s="39"/>
      <c r="N184" s="1"/>
    </row>
    <row r="185" spans="1:14" x14ac:dyDescent="0.25">
      <c r="A185" s="473"/>
      <c r="B185" s="113"/>
      <c r="C185" s="459" t="s">
        <v>45</v>
      </c>
      <c r="D185" s="4" t="s">
        <v>50</v>
      </c>
      <c r="E185" s="117">
        <v>1.37</v>
      </c>
      <c r="F185" s="114">
        <f>E185*F184</f>
        <v>14.4672</v>
      </c>
      <c r="G185" s="39"/>
      <c r="H185" s="39"/>
      <c r="I185" s="39"/>
      <c r="J185" s="39">
        <f t="shared" ref="J185" si="22">F185*I185</f>
        <v>0</v>
      </c>
      <c r="K185" s="39"/>
      <c r="L185" s="39"/>
      <c r="M185" s="39">
        <f t="shared" ref="M185:M189" si="23">H185+J185+L185</f>
        <v>0</v>
      </c>
      <c r="N185" s="1"/>
    </row>
    <row r="186" spans="1:14" x14ac:dyDescent="0.25">
      <c r="A186" s="473"/>
      <c r="B186" s="113"/>
      <c r="C186" s="460" t="s">
        <v>24</v>
      </c>
      <c r="D186" s="4" t="s">
        <v>22</v>
      </c>
      <c r="E186" s="117">
        <v>0.28299999999999997</v>
      </c>
      <c r="F186" s="114">
        <f>E186*F184</f>
        <v>2.9884799999999996</v>
      </c>
      <c r="G186" s="39"/>
      <c r="H186" s="39"/>
      <c r="I186" s="39"/>
      <c r="J186" s="39"/>
      <c r="K186" s="39"/>
      <c r="L186" s="39">
        <f t="shared" ref="L186" si="24">F186*K186</f>
        <v>0</v>
      </c>
      <c r="M186" s="39">
        <f t="shared" si="23"/>
        <v>0</v>
      </c>
      <c r="N186" s="1"/>
    </row>
    <row r="187" spans="1:14" x14ac:dyDescent="0.25">
      <c r="A187" s="473"/>
      <c r="B187" s="113"/>
      <c r="C187" s="459" t="s">
        <v>351</v>
      </c>
      <c r="D187" s="4" t="s">
        <v>72</v>
      </c>
      <c r="E187" s="117">
        <v>1.02</v>
      </c>
      <c r="F187" s="114">
        <f>E187*F184</f>
        <v>10.771199999999999</v>
      </c>
      <c r="G187" s="39"/>
      <c r="H187" s="39">
        <f t="shared" ref="H187" si="25">F187*G187</f>
        <v>0</v>
      </c>
      <c r="I187" s="39"/>
      <c r="J187" s="39"/>
      <c r="K187" s="39"/>
      <c r="L187" s="39"/>
      <c r="M187" s="39">
        <f t="shared" si="23"/>
        <v>0</v>
      </c>
      <c r="N187" s="1"/>
    </row>
    <row r="188" spans="1:14" x14ac:dyDescent="0.25">
      <c r="A188" s="473"/>
      <c r="B188" s="4"/>
      <c r="C188" s="461" t="s">
        <v>417</v>
      </c>
      <c r="D188" s="4" t="s">
        <v>20</v>
      </c>
      <c r="E188" s="54" t="s">
        <v>311</v>
      </c>
      <c r="F188" s="7">
        <f>F176*16*1*0.222*1.03/1000</f>
        <v>0.32195328000000001</v>
      </c>
      <c r="G188" s="31"/>
      <c r="H188" s="31">
        <f>F188*G188</f>
        <v>0</v>
      </c>
      <c r="I188" s="31"/>
      <c r="J188" s="31"/>
      <c r="K188" s="170"/>
      <c r="L188" s="31"/>
      <c r="M188" s="31">
        <f t="shared" si="23"/>
        <v>0</v>
      </c>
      <c r="N188" s="1"/>
    </row>
    <row r="189" spans="1:14" x14ac:dyDescent="0.25">
      <c r="A189" s="474"/>
      <c r="B189" s="113"/>
      <c r="C189" s="462" t="s">
        <v>31</v>
      </c>
      <c r="D189" s="4" t="s">
        <v>22</v>
      </c>
      <c r="E189" s="117">
        <v>0.62</v>
      </c>
      <c r="F189" s="114">
        <f>E189*F184</f>
        <v>6.5471999999999992</v>
      </c>
      <c r="G189" s="39"/>
      <c r="H189" s="39">
        <f t="shared" ref="H189" si="26">F189*G189</f>
        <v>0</v>
      </c>
      <c r="I189" s="39"/>
      <c r="J189" s="39"/>
      <c r="K189" s="39"/>
      <c r="L189" s="39"/>
      <c r="M189" s="39">
        <f t="shared" si="23"/>
        <v>0</v>
      </c>
      <c r="N189" s="1"/>
    </row>
    <row r="190" spans="1:14" ht="30" x14ac:dyDescent="0.25">
      <c r="A190" s="477" t="s">
        <v>201</v>
      </c>
      <c r="B190" s="6" t="s">
        <v>430</v>
      </c>
      <c r="C190" s="461" t="s">
        <v>506</v>
      </c>
      <c r="D190" s="6" t="s">
        <v>18</v>
      </c>
      <c r="E190" s="30"/>
      <c r="F190" s="7">
        <f>F176</f>
        <v>88</v>
      </c>
      <c r="G190" s="31"/>
      <c r="H190" s="31"/>
      <c r="I190" s="31"/>
      <c r="J190" s="31"/>
      <c r="K190" s="31"/>
      <c r="L190" s="31"/>
      <c r="M190" s="31"/>
      <c r="N190" s="1"/>
    </row>
    <row r="191" spans="1:14" x14ac:dyDescent="0.25">
      <c r="A191" s="478"/>
      <c r="B191" s="4"/>
      <c r="C191" s="460" t="s">
        <v>23</v>
      </c>
      <c r="D191" s="4" t="s">
        <v>25</v>
      </c>
      <c r="E191" s="30">
        <v>0.77900000000000003</v>
      </c>
      <c r="F191" s="30">
        <f>F190*E191</f>
        <v>68.552000000000007</v>
      </c>
      <c r="G191" s="31"/>
      <c r="H191" s="31"/>
      <c r="I191" s="31"/>
      <c r="J191" s="31">
        <f>F191*I191</f>
        <v>0</v>
      </c>
      <c r="K191" s="31"/>
      <c r="L191" s="31"/>
      <c r="M191" s="31">
        <f>H191+J191+L191</f>
        <v>0</v>
      </c>
      <c r="N191" s="1"/>
    </row>
    <row r="192" spans="1:14" x14ac:dyDescent="0.25">
      <c r="A192" s="478"/>
      <c r="B192" s="4"/>
      <c r="C192" s="460" t="s">
        <v>30</v>
      </c>
      <c r="D192" s="4" t="s">
        <v>22</v>
      </c>
      <c r="E192" s="30">
        <v>0.104</v>
      </c>
      <c r="F192" s="30">
        <f>F190*E192</f>
        <v>9.1519999999999992</v>
      </c>
      <c r="G192" s="31"/>
      <c r="H192" s="31"/>
      <c r="I192" s="31"/>
      <c r="J192" s="31"/>
      <c r="K192" s="31"/>
      <c r="L192" s="31">
        <f>F192*K192</f>
        <v>0</v>
      </c>
      <c r="M192" s="31">
        <f>H192+J192+L192</f>
        <v>0</v>
      </c>
      <c r="N192" s="1"/>
    </row>
    <row r="193" spans="1:14" x14ac:dyDescent="0.25">
      <c r="A193" s="478"/>
      <c r="B193" s="4"/>
      <c r="C193" s="460" t="s">
        <v>437</v>
      </c>
      <c r="D193" s="4" t="s">
        <v>18</v>
      </c>
      <c r="E193" s="30">
        <v>1.01</v>
      </c>
      <c r="F193" s="30">
        <f>F190*E193</f>
        <v>88.88</v>
      </c>
      <c r="G193" s="31"/>
      <c r="H193" s="31">
        <f>F193*G193</f>
        <v>0</v>
      </c>
      <c r="I193" s="31"/>
      <c r="J193" s="31"/>
      <c r="K193" s="31"/>
      <c r="L193" s="31"/>
      <c r="M193" s="31">
        <f>H193+J193+L193</f>
        <v>0</v>
      </c>
      <c r="N193" s="1"/>
    </row>
    <row r="194" spans="1:14" ht="30" x14ac:dyDescent="0.25">
      <c r="A194" s="478"/>
      <c r="B194" s="4"/>
      <c r="C194" s="460" t="s">
        <v>507</v>
      </c>
      <c r="D194" s="4" t="s">
        <v>17</v>
      </c>
      <c r="E194" s="30">
        <v>2.1100000000000001E-2</v>
      </c>
      <c r="F194" s="30">
        <f>F190*E194</f>
        <v>1.8568</v>
      </c>
      <c r="G194" s="31"/>
      <c r="H194" s="31">
        <f>F194*G194</f>
        <v>0</v>
      </c>
      <c r="I194" s="31"/>
      <c r="J194" s="31"/>
      <c r="K194" s="31"/>
      <c r="L194" s="31"/>
      <c r="M194" s="31">
        <f>H194+J194+L194</f>
        <v>0</v>
      </c>
      <c r="N194" s="1"/>
    </row>
    <row r="195" spans="1:14" x14ac:dyDescent="0.25">
      <c r="A195" s="479"/>
      <c r="B195" s="4"/>
      <c r="C195" s="460" t="s">
        <v>102</v>
      </c>
      <c r="D195" s="4" t="s">
        <v>22</v>
      </c>
      <c r="E195" s="30">
        <v>4.6600000000000003E-2</v>
      </c>
      <c r="F195" s="30">
        <f>F190*E195</f>
        <v>4.1008000000000004</v>
      </c>
      <c r="G195" s="31"/>
      <c r="H195" s="31">
        <f>F195*G195</f>
        <v>0</v>
      </c>
      <c r="I195" s="31"/>
      <c r="J195" s="31"/>
      <c r="K195" s="31"/>
      <c r="L195" s="31"/>
      <c r="M195" s="31">
        <f>H195+J195+L195</f>
        <v>0</v>
      </c>
      <c r="N195" s="1"/>
    </row>
    <row r="196" spans="1:14" x14ac:dyDescent="0.25">
      <c r="A196" s="476" t="s">
        <v>439</v>
      </c>
      <c r="B196" s="6" t="s">
        <v>441</v>
      </c>
      <c r="C196" s="461" t="s">
        <v>440</v>
      </c>
      <c r="D196" s="6" t="s">
        <v>18</v>
      </c>
      <c r="E196" s="7"/>
      <c r="F196" s="7">
        <f>F190</f>
        <v>88</v>
      </c>
      <c r="G196" s="31"/>
      <c r="H196" s="31"/>
      <c r="I196" s="31"/>
      <c r="J196" s="31"/>
      <c r="K196" s="31"/>
      <c r="L196" s="31"/>
      <c r="M196" s="31"/>
      <c r="N196" s="1"/>
    </row>
    <row r="197" spans="1:14" x14ac:dyDescent="0.25">
      <c r="A197" s="476"/>
      <c r="B197" s="4"/>
      <c r="C197" s="460" t="s">
        <v>23</v>
      </c>
      <c r="D197" s="4" t="s">
        <v>25</v>
      </c>
      <c r="E197" s="30">
        <v>0.14299999999999999</v>
      </c>
      <c r="F197" s="30">
        <f>F196*E197</f>
        <v>12.584</v>
      </c>
      <c r="G197" s="31"/>
      <c r="H197" s="31"/>
      <c r="I197" s="31"/>
      <c r="J197" s="31">
        <f>F197*I197</f>
        <v>0</v>
      </c>
      <c r="K197" s="31"/>
      <c r="L197" s="31"/>
      <c r="M197" s="31">
        <f>H197+J197+L197</f>
        <v>0</v>
      </c>
      <c r="N197" s="1"/>
    </row>
    <row r="198" spans="1:14" x14ac:dyDescent="0.25">
      <c r="A198" s="476"/>
      <c r="B198" s="4"/>
      <c r="C198" s="32" t="s">
        <v>30</v>
      </c>
      <c r="D198" s="4" t="s">
        <v>22</v>
      </c>
      <c r="E198" s="30">
        <v>2.5999999999999999E-3</v>
      </c>
      <c r="F198" s="30">
        <f>F196*E198</f>
        <v>0.2288</v>
      </c>
      <c r="G198" s="31"/>
      <c r="H198" s="31"/>
      <c r="I198" s="31"/>
      <c r="J198" s="31"/>
      <c r="K198" s="31"/>
      <c r="L198" s="31">
        <f>F198*K198</f>
        <v>0</v>
      </c>
      <c r="M198" s="31">
        <f>H198+J198+L198</f>
        <v>0</v>
      </c>
      <c r="N198" s="1"/>
    </row>
    <row r="199" spans="1:14" x14ac:dyDescent="0.25">
      <c r="A199" s="476"/>
      <c r="B199" s="4"/>
      <c r="C199" s="32" t="s">
        <v>442</v>
      </c>
      <c r="D199" s="4" t="s">
        <v>17</v>
      </c>
      <c r="E199" s="30">
        <v>2.5999999999999999E-3</v>
      </c>
      <c r="F199" s="30">
        <f>F196*E199</f>
        <v>0.2288</v>
      </c>
      <c r="G199" s="31"/>
      <c r="H199" s="31">
        <f>F199*G199</f>
        <v>0</v>
      </c>
      <c r="I199" s="31"/>
      <c r="J199" s="31"/>
      <c r="K199" s="31"/>
      <c r="L199" s="31"/>
      <c r="M199" s="31">
        <f t="shared" ref="M199:M200" si="27">H199+J199+L199</f>
        <v>0</v>
      </c>
      <c r="N199" s="1"/>
    </row>
    <row r="200" spans="1:14" x14ac:dyDescent="0.25">
      <c r="A200" s="476"/>
      <c r="B200" s="4"/>
      <c r="C200" s="32" t="s">
        <v>28</v>
      </c>
      <c r="D200" s="4" t="s">
        <v>22</v>
      </c>
      <c r="E200" s="30">
        <v>0</v>
      </c>
      <c r="F200" s="30">
        <f>F196*E200</f>
        <v>0</v>
      </c>
      <c r="G200" s="31"/>
      <c r="H200" s="31">
        <f>F200*G200</f>
        <v>0</v>
      </c>
      <c r="I200" s="31"/>
      <c r="J200" s="31"/>
      <c r="K200" s="31"/>
      <c r="L200" s="31"/>
      <c r="M200" s="31">
        <f t="shared" si="27"/>
        <v>0</v>
      </c>
      <c r="N200" s="1"/>
    </row>
    <row r="201" spans="1:14" ht="63" x14ac:dyDescent="0.25">
      <c r="A201" s="171" t="s">
        <v>192</v>
      </c>
      <c r="B201" s="166"/>
      <c r="C201" s="5" t="s">
        <v>345</v>
      </c>
      <c r="D201" s="162"/>
      <c r="E201" s="169"/>
      <c r="F201" s="36">
        <v>62</v>
      </c>
      <c r="G201" s="172"/>
      <c r="H201" s="39"/>
      <c r="I201" s="172"/>
      <c r="J201" s="39"/>
      <c r="K201" s="172"/>
      <c r="L201" s="39"/>
      <c r="M201" s="39"/>
      <c r="N201" s="1"/>
    </row>
    <row r="202" spans="1:14" ht="47.25" x14ac:dyDescent="0.25">
      <c r="A202" s="470" t="s">
        <v>346</v>
      </c>
      <c r="B202" s="162" t="s">
        <v>67</v>
      </c>
      <c r="C202" s="163" t="s">
        <v>347</v>
      </c>
      <c r="D202" s="162" t="s">
        <v>72</v>
      </c>
      <c r="E202" s="164"/>
      <c r="F202" s="36">
        <f>F201*0.15</f>
        <v>9.2999999999999989</v>
      </c>
      <c r="G202" s="165"/>
      <c r="H202" s="39"/>
      <c r="I202" s="165"/>
      <c r="J202" s="39"/>
      <c r="K202" s="165"/>
      <c r="L202" s="39"/>
      <c r="M202" s="39"/>
      <c r="N202" s="1"/>
    </row>
    <row r="203" spans="1:14" x14ac:dyDescent="0.25">
      <c r="A203" s="471"/>
      <c r="B203" s="166"/>
      <c r="C203" s="167" t="s">
        <v>81</v>
      </c>
      <c r="D203" s="168" t="s">
        <v>25</v>
      </c>
      <c r="E203" s="164">
        <v>2.06</v>
      </c>
      <c r="F203" s="30">
        <f>F202*E203</f>
        <v>19.157999999999998</v>
      </c>
      <c r="G203" s="39"/>
      <c r="H203" s="39"/>
      <c r="I203" s="39"/>
      <c r="J203" s="39">
        <f t="shared" ref="J203:J210" si="28">F203*I203</f>
        <v>0</v>
      </c>
      <c r="K203" s="39"/>
      <c r="L203" s="39"/>
      <c r="M203" s="39">
        <f t="shared" ref="M203:M214" si="29">H203+J203+L203</f>
        <v>0</v>
      </c>
      <c r="N203" s="1"/>
    </row>
    <row r="204" spans="1:14" ht="31.5" x14ac:dyDescent="0.25">
      <c r="A204" s="472" t="s">
        <v>348</v>
      </c>
      <c r="B204" s="6" t="s">
        <v>391</v>
      </c>
      <c r="C204" s="163" t="s">
        <v>358</v>
      </c>
      <c r="D204" s="162" t="s">
        <v>71</v>
      </c>
      <c r="E204" s="169"/>
      <c r="F204" s="36">
        <f>F201*0.1</f>
        <v>6.2</v>
      </c>
      <c r="G204" s="165"/>
      <c r="H204" s="39"/>
      <c r="I204" s="165"/>
      <c r="J204" s="39"/>
      <c r="K204" s="165"/>
      <c r="L204" s="39"/>
      <c r="M204" s="39"/>
      <c r="N204" s="1"/>
    </row>
    <row r="205" spans="1:14" x14ac:dyDescent="0.25">
      <c r="A205" s="473"/>
      <c r="B205" s="67"/>
      <c r="C205" s="66" t="s">
        <v>81</v>
      </c>
      <c r="D205" s="67" t="s">
        <v>82</v>
      </c>
      <c r="E205" s="68">
        <v>0.89</v>
      </c>
      <c r="F205" s="68">
        <f>F204*E205</f>
        <v>5.5180000000000007</v>
      </c>
      <c r="G205" s="69"/>
      <c r="H205" s="31"/>
      <c r="I205" s="69"/>
      <c r="J205" s="31">
        <f>F205*I205</f>
        <v>0</v>
      </c>
      <c r="K205" s="70"/>
      <c r="L205" s="31"/>
      <c r="M205" s="31">
        <f>H205+J205+L205</f>
        <v>0</v>
      </c>
      <c r="N205" s="1"/>
    </row>
    <row r="206" spans="1:14" x14ac:dyDescent="0.25">
      <c r="A206" s="473"/>
      <c r="B206" s="67"/>
      <c r="C206" s="66" t="s">
        <v>30</v>
      </c>
      <c r="D206" s="67" t="s">
        <v>22</v>
      </c>
      <c r="E206" s="68">
        <v>0.37</v>
      </c>
      <c r="F206" s="68">
        <f>F204*E206</f>
        <v>2.294</v>
      </c>
      <c r="G206" s="69"/>
      <c r="H206" s="31"/>
      <c r="I206" s="31"/>
      <c r="J206" s="31"/>
      <c r="K206" s="70"/>
      <c r="L206" s="31">
        <f>F206*K206</f>
        <v>0</v>
      </c>
      <c r="M206" s="31">
        <f>H206+J206+L206</f>
        <v>0</v>
      </c>
      <c r="N206" s="1"/>
    </row>
    <row r="207" spans="1:14" x14ac:dyDescent="0.25">
      <c r="A207" s="473"/>
      <c r="B207" s="67"/>
      <c r="C207" s="66" t="s">
        <v>124</v>
      </c>
      <c r="D207" s="67" t="s">
        <v>17</v>
      </c>
      <c r="E207" s="68">
        <v>1.1499999999999999</v>
      </c>
      <c r="F207" s="68">
        <f>F204*E207</f>
        <v>7.13</v>
      </c>
      <c r="G207" s="69"/>
      <c r="H207" s="31">
        <f>F207*G207</f>
        <v>0</v>
      </c>
      <c r="I207" s="31"/>
      <c r="J207" s="31"/>
      <c r="K207" s="70"/>
      <c r="L207" s="31"/>
      <c r="M207" s="31">
        <f>H207+J207+L207</f>
        <v>0</v>
      </c>
      <c r="N207" s="1"/>
    </row>
    <row r="208" spans="1:14" x14ac:dyDescent="0.25">
      <c r="A208" s="474"/>
      <c r="B208" s="67"/>
      <c r="C208" s="66" t="s">
        <v>28</v>
      </c>
      <c r="D208" s="67" t="s">
        <v>22</v>
      </c>
      <c r="E208" s="68">
        <v>0.02</v>
      </c>
      <c r="F208" s="68">
        <f>F204*E208</f>
        <v>0.12400000000000001</v>
      </c>
      <c r="G208" s="69"/>
      <c r="H208" s="31">
        <f>F208*G208</f>
        <v>0</v>
      </c>
      <c r="I208" s="31"/>
      <c r="J208" s="31"/>
      <c r="K208" s="70"/>
      <c r="L208" s="31"/>
      <c r="M208" s="31">
        <f>H208+J208+L208</f>
        <v>0</v>
      </c>
      <c r="N208" s="1"/>
    </row>
    <row r="209" spans="1:14" ht="31.5" x14ac:dyDescent="0.25">
      <c r="A209" s="472" t="s">
        <v>349</v>
      </c>
      <c r="B209" s="144" t="s">
        <v>109</v>
      </c>
      <c r="C209" s="163" t="s">
        <v>350</v>
      </c>
      <c r="D209" s="162" t="s">
        <v>17</v>
      </c>
      <c r="E209" s="164"/>
      <c r="F209" s="36">
        <f>F201*0.12</f>
        <v>7.4399999999999995</v>
      </c>
      <c r="G209" s="39"/>
      <c r="H209" s="39"/>
      <c r="I209" s="39"/>
      <c r="J209" s="39"/>
      <c r="K209" s="39"/>
      <c r="L209" s="39"/>
      <c r="M209" s="39"/>
      <c r="N209" s="1"/>
    </row>
    <row r="210" spans="1:14" x14ac:dyDescent="0.25">
      <c r="A210" s="473"/>
      <c r="B210" s="113"/>
      <c r="C210" s="139" t="s">
        <v>45</v>
      </c>
      <c r="D210" s="4" t="s">
        <v>50</v>
      </c>
      <c r="E210" s="117">
        <v>1.37</v>
      </c>
      <c r="F210" s="114">
        <f>E210*F209</f>
        <v>10.1928</v>
      </c>
      <c r="G210" s="39"/>
      <c r="H210" s="39"/>
      <c r="I210" s="39"/>
      <c r="J210" s="39">
        <f t="shared" si="28"/>
        <v>0</v>
      </c>
      <c r="K210" s="39"/>
      <c r="L210" s="39"/>
      <c r="M210" s="39">
        <f t="shared" si="29"/>
        <v>0</v>
      </c>
      <c r="N210" s="1"/>
    </row>
    <row r="211" spans="1:14" x14ac:dyDescent="0.25">
      <c r="A211" s="473"/>
      <c r="B211" s="113"/>
      <c r="C211" s="32" t="s">
        <v>24</v>
      </c>
      <c r="D211" s="4" t="s">
        <v>22</v>
      </c>
      <c r="E211" s="117">
        <v>0.28299999999999997</v>
      </c>
      <c r="F211" s="114">
        <f>E211*F209</f>
        <v>2.1055199999999998</v>
      </c>
      <c r="G211" s="39"/>
      <c r="H211" s="39"/>
      <c r="I211" s="39"/>
      <c r="J211" s="39"/>
      <c r="K211" s="39"/>
      <c r="L211" s="39">
        <f t="shared" ref="L211" si="30">F211*K211</f>
        <v>0</v>
      </c>
      <c r="M211" s="39">
        <f t="shared" si="29"/>
        <v>0</v>
      </c>
      <c r="N211" s="1"/>
    </row>
    <row r="212" spans="1:14" x14ac:dyDescent="0.25">
      <c r="A212" s="473"/>
      <c r="B212" s="113"/>
      <c r="C212" s="139" t="s">
        <v>351</v>
      </c>
      <c r="D212" s="4" t="s">
        <v>72</v>
      </c>
      <c r="E212" s="117">
        <v>1.02</v>
      </c>
      <c r="F212" s="114">
        <f>E212*F209</f>
        <v>7.5888</v>
      </c>
      <c r="G212" s="39"/>
      <c r="H212" s="39">
        <f t="shared" ref="H212:H214" si="31">F212*G212</f>
        <v>0</v>
      </c>
      <c r="I212" s="39"/>
      <c r="J212" s="39"/>
      <c r="K212" s="39"/>
      <c r="L212" s="39"/>
      <c r="M212" s="39">
        <f t="shared" si="29"/>
        <v>0</v>
      </c>
      <c r="N212" s="1"/>
    </row>
    <row r="213" spans="1:14" x14ac:dyDescent="0.25">
      <c r="A213" s="473"/>
      <c r="B213" s="4"/>
      <c r="C213" s="72" t="s">
        <v>417</v>
      </c>
      <c r="D213" s="4" t="s">
        <v>20</v>
      </c>
      <c r="E213" s="54" t="s">
        <v>311</v>
      </c>
      <c r="F213" s="7">
        <f>F201*16*1*0.222*1.03/1000</f>
        <v>0.22683071999999999</v>
      </c>
      <c r="G213" s="31"/>
      <c r="H213" s="31">
        <f>F213*G213</f>
        <v>0</v>
      </c>
      <c r="I213" s="31"/>
      <c r="J213" s="31"/>
      <c r="K213" s="170"/>
      <c r="L213" s="31"/>
      <c r="M213" s="31">
        <f t="shared" si="29"/>
        <v>0</v>
      </c>
      <c r="N213" s="1"/>
    </row>
    <row r="214" spans="1:14" x14ac:dyDescent="0.25">
      <c r="A214" s="474"/>
      <c r="B214" s="113"/>
      <c r="C214" s="122" t="s">
        <v>31</v>
      </c>
      <c r="D214" s="4" t="s">
        <v>22</v>
      </c>
      <c r="E214" s="117">
        <v>0.62</v>
      </c>
      <c r="F214" s="114">
        <f>E214*F209</f>
        <v>4.6128</v>
      </c>
      <c r="G214" s="39"/>
      <c r="H214" s="39">
        <f t="shared" si="31"/>
        <v>0</v>
      </c>
      <c r="I214" s="39"/>
      <c r="J214" s="39"/>
      <c r="K214" s="39"/>
      <c r="L214" s="39"/>
      <c r="M214" s="39">
        <f t="shared" si="29"/>
        <v>0</v>
      </c>
      <c r="N214" s="1"/>
    </row>
    <row r="215" spans="1:14" ht="45" x14ac:dyDescent="0.25">
      <c r="A215" s="475" t="s">
        <v>344</v>
      </c>
      <c r="B215" s="173" t="s">
        <v>352</v>
      </c>
      <c r="C215" s="163" t="s">
        <v>431</v>
      </c>
      <c r="D215" s="174" t="s">
        <v>353</v>
      </c>
      <c r="E215" s="54"/>
      <c r="F215" s="36">
        <f>F201</f>
        <v>62</v>
      </c>
      <c r="G215" s="175"/>
      <c r="H215" s="39"/>
      <c r="I215" s="176"/>
      <c r="J215" s="39"/>
      <c r="K215" s="176"/>
      <c r="L215" s="39"/>
      <c r="M215" s="39"/>
      <c r="N215" s="1"/>
    </row>
    <row r="216" spans="1:14" x14ac:dyDescent="0.25">
      <c r="A216" s="475"/>
      <c r="B216" s="177"/>
      <c r="C216" s="167" t="s">
        <v>45</v>
      </c>
      <c r="D216" s="177" t="s">
        <v>128</v>
      </c>
      <c r="E216" s="54">
        <v>0.14599999999999999</v>
      </c>
      <c r="F216" s="30">
        <f>F215*E216</f>
        <v>9.0519999999999996</v>
      </c>
      <c r="G216" s="175"/>
      <c r="H216" s="39"/>
      <c r="I216" s="175"/>
      <c r="J216" s="39">
        <f>F216*I216</f>
        <v>0</v>
      </c>
      <c r="K216" s="175"/>
      <c r="L216" s="39"/>
      <c r="M216" s="39">
        <f>H216+J216+L216</f>
        <v>0</v>
      </c>
      <c r="N216" s="1"/>
    </row>
    <row r="217" spans="1:14" x14ac:dyDescent="0.25">
      <c r="A217" s="475"/>
      <c r="B217" s="4"/>
      <c r="C217" s="122" t="s">
        <v>30</v>
      </c>
      <c r="D217" s="4" t="s">
        <v>26</v>
      </c>
      <c r="E217" s="54">
        <f>0.0059</f>
        <v>5.8999999999999999E-3</v>
      </c>
      <c r="F217" s="30">
        <f>F215*E217</f>
        <v>0.36580000000000001</v>
      </c>
      <c r="G217" s="39"/>
      <c r="H217" s="39"/>
      <c r="I217" s="39"/>
      <c r="J217" s="39"/>
      <c r="K217" s="39"/>
      <c r="L217" s="39">
        <f>F217*K217</f>
        <v>0</v>
      </c>
      <c r="M217" s="39">
        <f>H217+J217+L217</f>
        <v>0</v>
      </c>
      <c r="N217" s="1"/>
    </row>
    <row r="218" spans="1:14" x14ac:dyDescent="0.25">
      <c r="A218" s="475"/>
      <c r="B218" s="166"/>
      <c r="C218" s="178" t="s">
        <v>354</v>
      </c>
      <c r="D218" s="177" t="s">
        <v>132</v>
      </c>
      <c r="E218" s="54">
        <f>(0.19*0.01)*100</f>
        <v>0.19</v>
      </c>
      <c r="F218" s="30">
        <f>F215*E218</f>
        <v>11.78</v>
      </c>
      <c r="G218" s="175"/>
      <c r="H218" s="39">
        <f>F218*G218</f>
        <v>0</v>
      </c>
      <c r="I218" s="175"/>
      <c r="J218" s="39"/>
      <c r="K218" s="175"/>
      <c r="L218" s="39"/>
      <c r="M218" s="39">
        <f>H218+J218+L218</f>
        <v>0</v>
      </c>
      <c r="N218" s="1"/>
    </row>
    <row r="219" spans="1:14" ht="31.5" x14ac:dyDescent="0.25">
      <c r="A219" s="475"/>
      <c r="B219" s="4" t="s">
        <v>250</v>
      </c>
      <c r="C219" s="167" t="s">
        <v>505</v>
      </c>
      <c r="D219" s="179" t="s">
        <v>355</v>
      </c>
      <c r="E219" s="54">
        <v>1.02</v>
      </c>
      <c r="F219" s="30">
        <f>F215*E219</f>
        <v>63.24</v>
      </c>
      <c r="G219" s="175"/>
      <c r="H219" s="39">
        <f>F219*G219</f>
        <v>0</v>
      </c>
      <c r="I219" s="175"/>
      <c r="J219" s="39"/>
      <c r="K219" s="175"/>
      <c r="L219" s="39"/>
      <c r="M219" s="39">
        <f>H219+J219+L219</f>
        <v>0</v>
      </c>
      <c r="N219" s="1"/>
    </row>
    <row r="220" spans="1:14" x14ac:dyDescent="0.25">
      <c r="A220" s="475"/>
      <c r="B220" s="177"/>
      <c r="C220" s="180" t="s">
        <v>28</v>
      </c>
      <c r="D220" s="177" t="s">
        <v>356</v>
      </c>
      <c r="E220" s="54">
        <v>0.08</v>
      </c>
      <c r="F220" s="30">
        <f>F215*E220</f>
        <v>4.96</v>
      </c>
      <c r="G220" s="175"/>
      <c r="H220" s="39">
        <f>F220*G220</f>
        <v>0</v>
      </c>
      <c r="I220" s="175"/>
      <c r="J220" s="39"/>
      <c r="K220" s="175"/>
      <c r="L220" s="39"/>
      <c r="M220" s="39">
        <f>H220+J220+L220</f>
        <v>0</v>
      </c>
      <c r="N220" s="1"/>
    </row>
    <row r="221" spans="1:14" ht="31.5" x14ac:dyDescent="0.25">
      <c r="A221" s="3"/>
      <c r="B221" s="4"/>
      <c r="C221" s="181" t="s">
        <v>359</v>
      </c>
      <c r="D221" s="6" t="s">
        <v>360</v>
      </c>
      <c r="E221" s="30"/>
      <c r="F221" s="7">
        <v>1</v>
      </c>
      <c r="G221" s="31"/>
      <c r="H221" s="31"/>
      <c r="I221" s="31"/>
      <c r="J221" s="31"/>
      <c r="K221" s="31"/>
      <c r="L221" s="31"/>
      <c r="M221" s="31"/>
      <c r="N221" s="1"/>
    </row>
    <row r="222" spans="1:14" ht="31.5" x14ac:dyDescent="0.25">
      <c r="A222" s="109" t="s">
        <v>402</v>
      </c>
      <c r="B222" s="4"/>
      <c r="C222" s="72" t="s">
        <v>361</v>
      </c>
      <c r="D222" s="4"/>
      <c r="E222" s="30"/>
      <c r="F222" s="30"/>
      <c r="G222" s="31"/>
      <c r="H222" s="31"/>
      <c r="I222" s="31"/>
      <c r="J222" s="31"/>
      <c r="K222" s="31"/>
      <c r="L222" s="31"/>
      <c r="M222" s="31"/>
      <c r="N222" s="1"/>
    </row>
    <row r="223" spans="1:14" x14ac:dyDescent="0.25">
      <c r="A223" s="111"/>
      <c r="B223" s="4"/>
      <c r="C223" s="72" t="s">
        <v>362</v>
      </c>
      <c r="D223" s="6" t="s">
        <v>17</v>
      </c>
      <c r="E223" s="7">
        <v>1.1000000000000001</v>
      </c>
      <c r="F223" s="7">
        <f>(      6*0.15*0.15*(2.4+0.2)  +  6*0.1*0.15*2  +  3*0.1*0.15*(4+1.4)  +  6*0.1*0.15*0.4  +  1*0.15*0.15*1.5  + 6*0.1*0.15*3.1  +   6*(2+1)*0.05*0.1*2     )*E223</f>
        <v>1.433025</v>
      </c>
      <c r="G223" s="31"/>
      <c r="H223" s="31"/>
      <c r="I223" s="31"/>
      <c r="J223" s="31"/>
      <c r="K223" s="31"/>
      <c r="L223" s="31"/>
      <c r="M223" s="31"/>
      <c r="N223" s="1"/>
    </row>
    <row r="224" spans="1:14" x14ac:dyDescent="0.25">
      <c r="A224" s="111"/>
      <c r="B224" s="4"/>
      <c r="C224" s="182" t="s">
        <v>23</v>
      </c>
      <c r="D224" s="183" t="s">
        <v>25</v>
      </c>
      <c r="E224" s="184">
        <v>24</v>
      </c>
      <c r="F224" s="184">
        <f>F223*E224</f>
        <v>34.392600000000002</v>
      </c>
      <c r="G224" s="185"/>
      <c r="H224" s="40"/>
      <c r="I224" s="186"/>
      <c r="J224" s="39">
        <f>F224*I224</f>
        <v>0</v>
      </c>
      <c r="K224" s="186"/>
      <c r="L224" s="39"/>
      <c r="M224" s="40">
        <f t="shared" ref="M224:M238" si="32">H224+J224+L224</f>
        <v>0</v>
      </c>
      <c r="N224" s="1"/>
    </row>
    <row r="225" spans="1:14" x14ac:dyDescent="0.25">
      <c r="A225" s="111"/>
      <c r="B225" s="4"/>
      <c r="C225" s="180" t="s">
        <v>30</v>
      </c>
      <c r="D225" s="166" t="s">
        <v>22</v>
      </c>
      <c r="E225" s="187">
        <v>1.3</v>
      </c>
      <c r="F225" s="187">
        <f>F223*E225</f>
        <v>1.8629325000000001</v>
      </c>
      <c r="G225" s="185"/>
      <c r="H225" s="40"/>
      <c r="I225" s="186"/>
      <c r="J225" s="39"/>
      <c r="K225" s="186"/>
      <c r="L225" s="31">
        <f>F225*K225</f>
        <v>0</v>
      </c>
      <c r="M225" s="31">
        <f t="shared" si="32"/>
        <v>0</v>
      </c>
      <c r="N225" s="1"/>
    </row>
    <row r="226" spans="1:14" x14ac:dyDescent="0.25">
      <c r="A226" s="111"/>
      <c r="B226" s="4"/>
      <c r="C226" s="180" t="s">
        <v>190</v>
      </c>
      <c r="D226" s="166" t="s">
        <v>17</v>
      </c>
      <c r="E226" s="187">
        <f>0.93+0.12</f>
        <v>1.05</v>
      </c>
      <c r="F226" s="187">
        <f>F223*E226</f>
        <v>1.5046762500000002</v>
      </c>
      <c r="G226" s="185"/>
      <c r="H226" s="40">
        <f t="shared" ref="H226:H238" si="33">F226*G226</f>
        <v>0</v>
      </c>
      <c r="I226" s="186"/>
      <c r="J226" s="39"/>
      <c r="K226" s="186"/>
      <c r="L226" s="39"/>
      <c r="M226" s="40">
        <f t="shared" si="32"/>
        <v>0</v>
      </c>
      <c r="N226" s="1"/>
    </row>
    <row r="227" spans="1:14" x14ac:dyDescent="0.25">
      <c r="A227" s="111"/>
      <c r="B227" s="4"/>
      <c r="C227" s="180" t="s">
        <v>329</v>
      </c>
      <c r="D227" s="166" t="s">
        <v>19</v>
      </c>
      <c r="E227" s="187">
        <v>7.5</v>
      </c>
      <c r="F227" s="187">
        <f>F223*E227</f>
        <v>10.7476875</v>
      </c>
      <c r="G227" s="185"/>
      <c r="H227" s="40">
        <f t="shared" si="33"/>
        <v>0</v>
      </c>
      <c r="I227" s="186"/>
      <c r="J227" s="39"/>
      <c r="K227" s="186"/>
      <c r="L227" s="39"/>
      <c r="M227" s="40">
        <f t="shared" si="32"/>
        <v>0</v>
      </c>
      <c r="N227" s="1"/>
    </row>
    <row r="228" spans="1:14" x14ac:dyDescent="0.25">
      <c r="A228" s="111"/>
      <c r="B228" s="4"/>
      <c r="C228" s="180" t="s">
        <v>330</v>
      </c>
      <c r="D228" s="166" t="s">
        <v>19</v>
      </c>
      <c r="E228" s="187">
        <v>3.01</v>
      </c>
      <c r="F228" s="187">
        <f>F223*E228</f>
        <v>4.3134052499999997</v>
      </c>
      <c r="G228" s="185"/>
      <c r="H228" s="40">
        <f t="shared" si="33"/>
        <v>0</v>
      </c>
      <c r="I228" s="186"/>
      <c r="J228" s="39"/>
      <c r="K228" s="186"/>
      <c r="L228" s="39"/>
      <c r="M228" s="40">
        <f t="shared" si="32"/>
        <v>0</v>
      </c>
      <c r="N228" s="1"/>
    </row>
    <row r="229" spans="1:14" x14ac:dyDescent="0.25">
      <c r="A229" s="111"/>
      <c r="B229" s="4"/>
      <c r="C229" s="180" t="s">
        <v>331</v>
      </c>
      <c r="D229" s="166" t="s">
        <v>19</v>
      </c>
      <c r="E229" s="187">
        <v>3.08</v>
      </c>
      <c r="F229" s="187">
        <f>F223*E229</f>
        <v>4.4137170000000001</v>
      </c>
      <c r="G229" s="185"/>
      <c r="H229" s="40">
        <f t="shared" si="33"/>
        <v>0</v>
      </c>
      <c r="I229" s="186"/>
      <c r="J229" s="39"/>
      <c r="K229" s="186"/>
      <c r="L229" s="39"/>
      <c r="M229" s="40">
        <f t="shared" si="32"/>
        <v>0</v>
      </c>
      <c r="N229" s="1"/>
    </row>
    <row r="230" spans="1:14" x14ac:dyDescent="0.25">
      <c r="A230" s="111"/>
      <c r="B230" s="4"/>
      <c r="C230" s="180" t="s">
        <v>28</v>
      </c>
      <c r="D230" s="166" t="s">
        <v>22</v>
      </c>
      <c r="E230" s="187">
        <v>1.38</v>
      </c>
      <c r="F230" s="187">
        <f>F223*E230</f>
        <v>1.9775744999999998</v>
      </c>
      <c r="G230" s="185"/>
      <c r="H230" s="40">
        <f t="shared" si="33"/>
        <v>0</v>
      </c>
      <c r="I230" s="186"/>
      <c r="J230" s="39"/>
      <c r="K230" s="186"/>
      <c r="L230" s="39"/>
      <c r="M230" s="40">
        <f t="shared" si="32"/>
        <v>0</v>
      </c>
      <c r="N230" s="1"/>
    </row>
    <row r="231" spans="1:14" ht="31.5" x14ac:dyDescent="0.25">
      <c r="A231" s="111"/>
      <c r="B231" s="4"/>
      <c r="C231" s="180" t="s">
        <v>424</v>
      </c>
      <c r="D231" s="166" t="s">
        <v>332</v>
      </c>
      <c r="E231" s="187">
        <v>1.1000000000000001</v>
      </c>
      <c r="F231" s="120">
        <f>0.162*0.112*1*6*E231*47.1/1000</f>
        <v>5.6402438399999998E-3</v>
      </c>
      <c r="G231" s="188"/>
      <c r="H231" s="40">
        <f t="shared" si="33"/>
        <v>0</v>
      </c>
      <c r="I231" s="186"/>
      <c r="J231" s="39"/>
      <c r="K231" s="186"/>
      <c r="L231" s="39"/>
      <c r="M231" s="40">
        <f t="shared" si="32"/>
        <v>0</v>
      </c>
      <c r="N231" s="1"/>
    </row>
    <row r="232" spans="1:14" ht="31.5" x14ac:dyDescent="0.25">
      <c r="A232" s="111"/>
      <c r="B232" s="4"/>
      <c r="C232" s="180" t="s">
        <v>415</v>
      </c>
      <c r="D232" s="166" t="s">
        <v>20</v>
      </c>
      <c r="E232" s="54">
        <v>1.1000000000000001</v>
      </c>
      <c r="F232" s="120">
        <f>0.2*0.15*2*6*E232*47.1/1000</f>
        <v>1.8651600000000001E-2</v>
      </c>
      <c r="G232" s="186"/>
      <c r="H232" s="40">
        <f t="shared" si="33"/>
        <v>0</v>
      </c>
      <c r="I232" s="186"/>
      <c r="J232" s="39"/>
      <c r="K232" s="186"/>
      <c r="L232" s="39"/>
      <c r="M232" s="40">
        <f t="shared" si="32"/>
        <v>0</v>
      </c>
      <c r="N232" s="1"/>
    </row>
    <row r="233" spans="1:14" ht="31.5" x14ac:dyDescent="0.25">
      <c r="A233" s="111"/>
      <c r="B233" s="4"/>
      <c r="C233" s="180" t="s">
        <v>425</v>
      </c>
      <c r="D233" s="166" t="s">
        <v>20</v>
      </c>
      <c r="E233" s="54">
        <v>1.1000000000000001</v>
      </c>
      <c r="F233" s="120">
        <f>0.2*0.112*2*6*E233*47.1/1000</f>
        <v>1.3926528000000002E-2</v>
      </c>
      <c r="G233" s="186"/>
      <c r="H233" s="40">
        <f t="shared" si="33"/>
        <v>0</v>
      </c>
      <c r="I233" s="186"/>
      <c r="J233" s="39"/>
      <c r="K233" s="186"/>
      <c r="L233" s="39"/>
      <c r="M233" s="40">
        <f t="shared" si="32"/>
        <v>0</v>
      </c>
      <c r="N233" s="1"/>
    </row>
    <row r="234" spans="1:14" ht="31.5" x14ac:dyDescent="0.25">
      <c r="A234" s="111"/>
      <c r="B234" s="4"/>
      <c r="C234" s="180" t="s">
        <v>416</v>
      </c>
      <c r="D234" s="166" t="s">
        <v>20</v>
      </c>
      <c r="E234" s="54"/>
      <c r="F234" s="120">
        <f>1*6</f>
        <v>6</v>
      </c>
      <c r="G234" s="186"/>
      <c r="H234" s="40">
        <f t="shared" si="33"/>
        <v>0</v>
      </c>
      <c r="I234" s="186"/>
      <c r="J234" s="39"/>
      <c r="K234" s="186"/>
      <c r="L234" s="39"/>
      <c r="M234" s="40">
        <f t="shared" si="32"/>
        <v>0</v>
      </c>
      <c r="N234" s="1"/>
    </row>
    <row r="235" spans="1:14" ht="31.5" x14ac:dyDescent="0.25">
      <c r="A235" s="111"/>
      <c r="B235" s="4"/>
      <c r="C235" s="180" t="s">
        <v>426</v>
      </c>
      <c r="D235" s="166" t="s">
        <v>20</v>
      </c>
      <c r="E235" s="187">
        <v>1.05</v>
      </c>
      <c r="F235" s="120">
        <f>2*6*E235*0.888/1000</f>
        <v>1.11888E-2</v>
      </c>
      <c r="G235" s="188"/>
      <c r="H235" s="40">
        <f t="shared" si="33"/>
        <v>0</v>
      </c>
      <c r="I235" s="186"/>
      <c r="J235" s="39"/>
      <c r="K235" s="186"/>
      <c r="L235" s="39"/>
      <c r="M235" s="40">
        <f t="shared" si="32"/>
        <v>0</v>
      </c>
      <c r="N235" s="1"/>
    </row>
    <row r="236" spans="1:14" ht="31.5" x14ac:dyDescent="0.25">
      <c r="A236" s="111"/>
      <c r="B236" s="4"/>
      <c r="C236" s="180" t="s">
        <v>427</v>
      </c>
      <c r="D236" s="166" t="s">
        <v>15</v>
      </c>
      <c r="E236" s="187"/>
      <c r="F236" s="120">
        <f>4*6</f>
        <v>24</v>
      </c>
      <c r="G236" s="188"/>
      <c r="H236" s="40">
        <f t="shared" si="33"/>
        <v>0</v>
      </c>
      <c r="I236" s="186"/>
      <c r="J236" s="39"/>
      <c r="K236" s="186"/>
      <c r="L236" s="39"/>
      <c r="M236" s="40">
        <f t="shared" si="32"/>
        <v>0</v>
      </c>
      <c r="N236" s="1"/>
    </row>
    <row r="237" spans="1:14" ht="31.5" x14ac:dyDescent="0.25">
      <c r="A237" s="111"/>
      <c r="B237" s="4"/>
      <c r="C237" s="180" t="s">
        <v>423</v>
      </c>
      <c r="D237" s="166" t="s">
        <v>15</v>
      </c>
      <c r="E237" s="187"/>
      <c r="F237" s="120">
        <f>4*6</f>
        <v>24</v>
      </c>
      <c r="G237" s="188"/>
      <c r="H237" s="40">
        <f t="shared" si="33"/>
        <v>0</v>
      </c>
      <c r="I237" s="186"/>
      <c r="J237" s="39"/>
      <c r="K237" s="186"/>
      <c r="L237" s="39"/>
      <c r="M237" s="40">
        <f t="shared" si="32"/>
        <v>0</v>
      </c>
      <c r="N237" s="1"/>
    </row>
    <row r="238" spans="1:14" x14ac:dyDescent="0.25">
      <c r="A238" s="21"/>
      <c r="B238" s="4"/>
      <c r="C238" s="180" t="s">
        <v>333</v>
      </c>
      <c r="D238" s="166" t="s">
        <v>19</v>
      </c>
      <c r="E238" s="187"/>
      <c r="F238" s="120">
        <f>1*6</f>
        <v>6</v>
      </c>
      <c r="G238" s="188"/>
      <c r="H238" s="40">
        <f t="shared" si="33"/>
        <v>0</v>
      </c>
      <c r="I238" s="186"/>
      <c r="J238" s="39"/>
      <c r="K238" s="186"/>
      <c r="L238" s="39"/>
      <c r="M238" s="40">
        <f t="shared" si="32"/>
        <v>0</v>
      </c>
      <c r="N238" s="1"/>
    </row>
    <row r="239" spans="1:14" x14ac:dyDescent="0.25">
      <c r="A239" s="189"/>
      <c r="B239" s="4"/>
      <c r="C239" s="32"/>
      <c r="D239" s="4"/>
      <c r="E239" s="30"/>
      <c r="F239" s="30"/>
      <c r="G239" s="31"/>
      <c r="H239" s="31"/>
      <c r="I239" s="31"/>
      <c r="J239" s="31"/>
      <c r="K239" s="31"/>
      <c r="L239" s="31"/>
      <c r="M239" s="31"/>
      <c r="N239" s="1"/>
    </row>
    <row r="240" spans="1:14" ht="31.5" x14ac:dyDescent="0.25">
      <c r="A240" s="171"/>
      <c r="B240" s="166"/>
      <c r="C240" s="190" t="s">
        <v>334</v>
      </c>
      <c r="D240" s="166"/>
      <c r="E240" s="187"/>
      <c r="F240" s="191"/>
      <c r="G240" s="188"/>
      <c r="H240" s="39"/>
      <c r="I240" s="186"/>
      <c r="J240" s="39"/>
      <c r="K240" s="186"/>
      <c r="L240" s="39"/>
      <c r="M240" s="39"/>
      <c r="N240" s="1"/>
    </row>
    <row r="241" spans="1:14" x14ac:dyDescent="0.25">
      <c r="A241" s="476" t="s">
        <v>403</v>
      </c>
      <c r="B241" s="6" t="s">
        <v>335</v>
      </c>
      <c r="C241" s="192" t="s">
        <v>336</v>
      </c>
      <c r="D241" s="193" t="s">
        <v>17</v>
      </c>
      <c r="E241" s="148"/>
      <c r="F241" s="51">
        <f>F223</f>
        <v>1.433025</v>
      </c>
      <c r="G241" s="40"/>
      <c r="H241" s="40"/>
      <c r="I241" s="40"/>
      <c r="J241" s="40"/>
      <c r="K241" s="40"/>
      <c r="L241" s="40"/>
      <c r="M241" s="40"/>
      <c r="N241" s="1"/>
    </row>
    <row r="242" spans="1:14" x14ac:dyDescent="0.25">
      <c r="A242" s="476"/>
      <c r="B242" s="4"/>
      <c r="C242" s="149" t="s">
        <v>29</v>
      </c>
      <c r="D242" s="193" t="s">
        <v>25</v>
      </c>
      <c r="E242" s="148">
        <v>0.87</v>
      </c>
      <c r="F242" s="54">
        <f>F241*E242</f>
        <v>1.2467317499999999</v>
      </c>
      <c r="G242" s="40"/>
      <c r="H242" s="40"/>
      <c r="I242" s="40"/>
      <c r="J242" s="40">
        <f t="shared" ref="J242" si="34">F242*I242</f>
        <v>0</v>
      </c>
      <c r="K242" s="40"/>
      <c r="L242" s="40"/>
      <c r="M242" s="40">
        <f t="shared" ref="M242:M247" si="35">H242+J242+L242</f>
        <v>0</v>
      </c>
      <c r="N242" s="1"/>
    </row>
    <row r="243" spans="1:14" x14ac:dyDescent="0.25">
      <c r="A243" s="476"/>
      <c r="B243" s="4"/>
      <c r="C243" s="149" t="s">
        <v>337</v>
      </c>
      <c r="D243" s="193" t="s">
        <v>22</v>
      </c>
      <c r="E243" s="148">
        <v>0.13</v>
      </c>
      <c r="F243" s="54">
        <f>F241*E243</f>
        <v>0.18629324999999999</v>
      </c>
      <c r="G243" s="40"/>
      <c r="H243" s="40"/>
      <c r="I243" s="40"/>
      <c r="J243" s="40"/>
      <c r="K243" s="40"/>
      <c r="L243" s="40">
        <f t="shared" ref="L243" si="36">F243*K243</f>
        <v>0</v>
      </c>
      <c r="M243" s="40">
        <f t="shared" si="35"/>
        <v>0</v>
      </c>
      <c r="N243" s="1"/>
    </row>
    <row r="244" spans="1:14" x14ac:dyDescent="0.25">
      <c r="A244" s="476"/>
      <c r="B244" s="4"/>
      <c r="C244" s="149" t="s">
        <v>338</v>
      </c>
      <c r="D244" s="193" t="s">
        <v>19</v>
      </c>
      <c r="E244" s="148">
        <v>7.2</v>
      </c>
      <c r="F244" s="54">
        <f>F241*E244</f>
        <v>10.317780000000001</v>
      </c>
      <c r="G244" s="40"/>
      <c r="H244" s="40">
        <f t="shared" ref="H244:H247" si="37">F244*G244</f>
        <v>0</v>
      </c>
      <c r="I244" s="40"/>
      <c r="J244" s="40"/>
      <c r="K244" s="40"/>
      <c r="L244" s="40"/>
      <c r="M244" s="40">
        <f t="shared" si="35"/>
        <v>0</v>
      </c>
      <c r="N244" s="1"/>
    </row>
    <row r="245" spans="1:14" x14ac:dyDescent="0.25">
      <c r="A245" s="476"/>
      <c r="B245" s="4"/>
      <c r="C245" s="149" t="s">
        <v>339</v>
      </c>
      <c r="D245" s="193" t="s">
        <v>19</v>
      </c>
      <c r="E245" s="148">
        <v>1.79</v>
      </c>
      <c r="F245" s="54">
        <f>F241*E245</f>
        <v>2.5651147500000002</v>
      </c>
      <c r="G245" s="40"/>
      <c r="H245" s="40">
        <f t="shared" si="37"/>
        <v>0</v>
      </c>
      <c r="I245" s="40"/>
      <c r="J245" s="40"/>
      <c r="K245" s="40"/>
      <c r="L245" s="40"/>
      <c r="M245" s="40">
        <f t="shared" si="35"/>
        <v>0</v>
      </c>
      <c r="N245" s="1"/>
    </row>
    <row r="246" spans="1:14" x14ac:dyDescent="0.25">
      <c r="A246" s="476"/>
      <c r="B246" s="4"/>
      <c r="C246" s="149" t="s">
        <v>340</v>
      </c>
      <c r="D246" s="193" t="s">
        <v>19</v>
      </c>
      <c r="E246" s="148">
        <v>1.07</v>
      </c>
      <c r="F246" s="54">
        <f>F241*E246</f>
        <v>1.5333367500000001</v>
      </c>
      <c r="G246" s="40"/>
      <c r="H246" s="40">
        <f t="shared" si="37"/>
        <v>0</v>
      </c>
      <c r="I246" s="40"/>
      <c r="J246" s="40"/>
      <c r="K246" s="40"/>
      <c r="L246" s="40"/>
      <c r="M246" s="40">
        <f t="shared" si="35"/>
        <v>0</v>
      </c>
      <c r="N246" s="1"/>
    </row>
    <row r="247" spans="1:14" x14ac:dyDescent="0.25">
      <c r="A247" s="476"/>
      <c r="B247" s="4"/>
      <c r="C247" s="149" t="s">
        <v>28</v>
      </c>
      <c r="D247" s="193" t="s">
        <v>22</v>
      </c>
      <c r="E247" s="148">
        <v>0.1</v>
      </c>
      <c r="F247" s="54">
        <f>F241*E247</f>
        <v>0.1433025</v>
      </c>
      <c r="G247" s="40"/>
      <c r="H247" s="40">
        <f t="shared" si="37"/>
        <v>0</v>
      </c>
      <c r="I247" s="40"/>
      <c r="J247" s="40"/>
      <c r="K247" s="40"/>
      <c r="L247" s="40"/>
      <c r="M247" s="40">
        <f t="shared" si="35"/>
        <v>0</v>
      </c>
      <c r="N247" s="1"/>
    </row>
    <row r="248" spans="1:14" ht="27" x14ac:dyDescent="0.25">
      <c r="A248" s="476" t="s">
        <v>404</v>
      </c>
      <c r="B248" s="194" t="s">
        <v>341</v>
      </c>
      <c r="C248" s="192" t="s">
        <v>363</v>
      </c>
      <c r="D248" s="193" t="s">
        <v>18</v>
      </c>
      <c r="E248" s="148"/>
      <c r="F248" s="51">
        <f>(0.15+0.15)*2*2.9*6+(0.1+0.15)*2*2*6+(0.1+0.15)*2*5.4*3+(0.1+0.15)*2*0.4*6+(0.15+0.15)*2*1.5*1+(0.1+0.15)*2*3.1*6+(0.05+0.1)*2*2*3*6</f>
        <v>46.739999999999995</v>
      </c>
      <c r="G248" s="40"/>
      <c r="H248" s="40"/>
      <c r="I248" s="40"/>
      <c r="J248" s="40"/>
      <c r="K248" s="40"/>
      <c r="L248" s="40"/>
      <c r="M248" s="40"/>
      <c r="N248" s="1"/>
    </row>
    <row r="249" spans="1:14" x14ac:dyDescent="0.25">
      <c r="A249" s="476"/>
      <c r="B249" s="195"/>
      <c r="C249" s="149" t="s">
        <v>29</v>
      </c>
      <c r="D249" s="193" t="s">
        <v>25</v>
      </c>
      <c r="E249" s="148">
        <v>9.9699999999999997E-2</v>
      </c>
      <c r="F249" s="54">
        <f>F248*E249</f>
        <v>4.6599779999999997</v>
      </c>
      <c r="G249" s="40"/>
      <c r="H249" s="40"/>
      <c r="I249" s="40"/>
      <c r="J249" s="40">
        <f t="shared" ref="J249" si="38">F249*I249</f>
        <v>0</v>
      </c>
      <c r="K249" s="40"/>
      <c r="L249" s="40"/>
      <c r="M249" s="40">
        <f t="shared" ref="M249:M251" si="39">H249+J249+L249</f>
        <v>0</v>
      </c>
      <c r="N249" s="1"/>
    </row>
    <row r="250" spans="1:14" x14ac:dyDescent="0.25">
      <c r="A250" s="476"/>
      <c r="B250" s="195"/>
      <c r="C250" s="149" t="s">
        <v>337</v>
      </c>
      <c r="D250" s="193" t="s">
        <v>22</v>
      </c>
      <c r="E250" s="148">
        <v>3.0000000000000001E-3</v>
      </c>
      <c r="F250" s="54">
        <f>F248*E250</f>
        <v>0.14021999999999998</v>
      </c>
      <c r="G250" s="40"/>
      <c r="H250" s="40"/>
      <c r="I250" s="40"/>
      <c r="J250" s="40"/>
      <c r="K250" s="40"/>
      <c r="L250" s="40">
        <f t="shared" ref="L250" si="40">F250*K250</f>
        <v>0</v>
      </c>
      <c r="M250" s="40">
        <f t="shared" si="39"/>
        <v>0</v>
      </c>
      <c r="N250" s="1"/>
    </row>
    <row r="251" spans="1:14" x14ac:dyDescent="0.25">
      <c r="A251" s="476"/>
      <c r="B251" s="195"/>
      <c r="C251" s="196" t="s">
        <v>343</v>
      </c>
      <c r="D251" s="193" t="s">
        <v>19</v>
      </c>
      <c r="E251" s="148">
        <f>0.09/100*1000</f>
        <v>0.9</v>
      </c>
      <c r="F251" s="54">
        <f>F248*E251</f>
        <v>42.065999999999995</v>
      </c>
      <c r="G251" s="40"/>
      <c r="H251" s="40">
        <f t="shared" ref="H251" si="41">F251*G251</f>
        <v>0</v>
      </c>
      <c r="I251" s="40"/>
      <c r="J251" s="40"/>
      <c r="K251" s="40"/>
      <c r="L251" s="40"/>
      <c r="M251" s="40">
        <f t="shared" si="39"/>
        <v>0</v>
      </c>
      <c r="N251" s="1"/>
    </row>
    <row r="252" spans="1:14" ht="27" x14ac:dyDescent="0.25">
      <c r="A252" s="477" t="s">
        <v>405</v>
      </c>
      <c r="B252" s="130" t="s">
        <v>392</v>
      </c>
      <c r="C252" s="197" t="s">
        <v>364</v>
      </c>
      <c r="D252" s="193" t="s">
        <v>18</v>
      </c>
      <c r="E252" s="198"/>
      <c r="F252" s="51">
        <f>F248</f>
        <v>46.739999999999995</v>
      </c>
      <c r="G252" s="199"/>
      <c r="H252" s="40"/>
      <c r="I252" s="40"/>
      <c r="J252" s="40"/>
      <c r="K252" s="40"/>
      <c r="L252" s="40"/>
      <c r="M252" s="40"/>
      <c r="N252" s="1"/>
    </row>
    <row r="253" spans="1:14" x14ac:dyDescent="0.25">
      <c r="A253" s="478"/>
      <c r="B253" s="4"/>
      <c r="C253" s="122" t="s">
        <v>23</v>
      </c>
      <c r="D253" s="4" t="s">
        <v>25</v>
      </c>
      <c r="E253" s="148">
        <v>6.2E-2</v>
      </c>
      <c r="F253" s="30">
        <f>F252*E253</f>
        <v>2.8978799999999998</v>
      </c>
      <c r="G253" s="31"/>
      <c r="H253" s="31"/>
      <c r="I253" s="140"/>
      <c r="J253" s="31">
        <f>F253*I253</f>
        <v>0</v>
      </c>
      <c r="K253" s="31"/>
      <c r="L253" s="31"/>
      <c r="M253" s="31">
        <f t="shared" ref="M253:M255" si="42">H253+J253+L253</f>
        <v>0</v>
      </c>
      <c r="N253" s="1"/>
    </row>
    <row r="254" spans="1:14" ht="31.5" x14ac:dyDescent="0.25">
      <c r="A254" s="478"/>
      <c r="B254" s="4"/>
      <c r="C254" s="122" t="s">
        <v>365</v>
      </c>
      <c r="D254" s="4" t="s">
        <v>19</v>
      </c>
      <c r="E254" s="200">
        <v>0.11</v>
      </c>
      <c r="F254" s="30">
        <f>F252*E254</f>
        <v>5.1413999999999991</v>
      </c>
      <c r="G254" s="140"/>
      <c r="H254" s="31">
        <f>F254*G254</f>
        <v>0</v>
      </c>
      <c r="I254" s="31"/>
      <c r="J254" s="31"/>
      <c r="K254" s="31"/>
      <c r="L254" s="31"/>
      <c r="M254" s="31">
        <f t="shared" si="42"/>
        <v>0</v>
      </c>
      <c r="N254" s="1"/>
    </row>
    <row r="255" spans="1:14" x14ac:dyDescent="0.25">
      <c r="A255" s="479"/>
      <c r="B255" s="4"/>
      <c r="C255" s="122" t="s">
        <v>366</v>
      </c>
      <c r="D255" s="4" t="s">
        <v>22</v>
      </c>
      <c r="E255" s="200">
        <v>5.9999999999999995E-4</v>
      </c>
      <c r="F255" s="30">
        <f>F252*E255</f>
        <v>2.8043999999999996E-2</v>
      </c>
      <c r="G255" s="140"/>
      <c r="H255" s="31">
        <f>F255*G255</f>
        <v>0</v>
      </c>
      <c r="I255" s="31"/>
      <c r="J255" s="31"/>
      <c r="K255" s="31"/>
      <c r="L255" s="31"/>
      <c r="M255" s="31">
        <f t="shared" si="42"/>
        <v>0</v>
      </c>
      <c r="N255" s="1"/>
    </row>
    <row r="256" spans="1:14" x14ac:dyDescent="0.25">
      <c r="A256" s="189"/>
      <c r="B256" s="4"/>
      <c r="C256" s="97" t="s">
        <v>367</v>
      </c>
      <c r="D256" s="4"/>
      <c r="E256" s="30"/>
      <c r="F256" s="201"/>
      <c r="G256" s="31"/>
      <c r="H256" s="31"/>
      <c r="I256" s="31"/>
      <c r="J256" s="31"/>
      <c r="K256" s="31"/>
      <c r="L256" s="31"/>
      <c r="M256" s="31"/>
      <c r="N256" s="1"/>
    </row>
    <row r="257" spans="1:14" x14ac:dyDescent="0.25">
      <c r="A257" s="477" t="s">
        <v>411</v>
      </c>
      <c r="B257" s="202" t="s">
        <v>368</v>
      </c>
      <c r="C257" s="203" t="s">
        <v>369</v>
      </c>
      <c r="D257" s="193" t="s">
        <v>18</v>
      </c>
      <c r="E257" s="148"/>
      <c r="F257" s="7">
        <v>22.8</v>
      </c>
      <c r="G257" s="31"/>
      <c r="H257" s="31"/>
      <c r="I257" s="31"/>
      <c r="J257" s="31"/>
      <c r="K257" s="31"/>
      <c r="L257" s="31"/>
      <c r="M257" s="31"/>
      <c r="N257" s="1"/>
    </row>
    <row r="258" spans="1:14" x14ac:dyDescent="0.25">
      <c r="A258" s="478"/>
      <c r="B258" s="10"/>
      <c r="C258" s="149" t="s">
        <v>29</v>
      </c>
      <c r="D258" s="204" t="s">
        <v>25</v>
      </c>
      <c r="E258" s="12">
        <v>0.22700000000000001</v>
      </c>
      <c r="F258" s="54">
        <f>F257*E258</f>
        <v>5.1756000000000002</v>
      </c>
      <c r="G258" s="40"/>
      <c r="H258" s="40"/>
      <c r="I258" s="40"/>
      <c r="J258" s="40">
        <f t="shared" ref="J258" si="43">F258*I258</f>
        <v>0</v>
      </c>
      <c r="K258" s="40"/>
      <c r="L258" s="40"/>
      <c r="M258" s="40">
        <f t="shared" ref="M258:M262" si="44">H258+J258+L258</f>
        <v>0</v>
      </c>
      <c r="N258" s="1"/>
    </row>
    <row r="259" spans="1:14" x14ac:dyDescent="0.25">
      <c r="A259" s="478"/>
      <c r="B259" s="10"/>
      <c r="C259" s="149" t="s">
        <v>337</v>
      </c>
      <c r="D259" s="204" t="s">
        <v>22</v>
      </c>
      <c r="E259" s="12">
        <v>2.76E-2</v>
      </c>
      <c r="F259" s="54">
        <f>F257*E259</f>
        <v>0.62928000000000006</v>
      </c>
      <c r="G259" s="40"/>
      <c r="H259" s="40"/>
      <c r="I259" s="40"/>
      <c r="J259" s="40"/>
      <c r="K259" s="40"/>
      <c r="L259" s="40">
        <f t="shared" ref="L259" si="45">F259*K259</f>
        <v>0</v>
      </c>
      <c r="M259" s="40">
        <f t="shared" si="44"/>
        <v>0</v>
      </c>
      <c r="N259" s="1"/>
    </row>
    <row r="260" spans="1:14" x14ac:dyDescent="0.25">
      <c r="A260" s="478"/>
      <c r="B260" s="10"/>
      <c r="C260" s="149" t="s">
        <v>370</v>
      </c>
      <c r="D260" s="204" t="s">
        <v>90</v>
      </c>
      <c r="E260" s="12">
        <v>2.1000000000000001E-2</v>
      </c>
      <c r="F260" s="54">
        <f>F257*E260</f>
        <v>0.47880000000000006</v>
      </c>
      <c r="G260" s="40"/>
      <c r="H260" s="40">
        <f t="shared" ref="H260:H262" si="46">F260*G260</f>
        <v>0</v>
      </c>
      <c r="I260" s="40"/>
      <c r="J260" s="40"/>
      <c r="K260" s="40"/>
      <c r="L260" s="40"/>
      <c r="M260" s="40">
        <f t="shared" si="44"/>
        <v>0</v>
      </c>
      <c r="N260" s="1"/>
    </row>
    <row r="261" spans="1:14" x14ac:dyDescent="0.25">
      <c r="A261" s="478"/>
      <c r="B261" s="10"/>
      <c r="C261" s="149" t="s">
        <v>371</v>
      </c>
      <c r="D261" s="204" t="s">
        <v>19</v>
      </c>
      <c r="E261" s="12">
        <v>7.0000000000000007E-2</v>
      </c>
      <c r="F261" s="54">
        <f>F257*E261</f>
        <v>1.5960000000000003</v>
      </c>
      <c r="G261" s="40"/>
      <c r="H261" s="40">
        <f t="shared" si="46"/>
        <v>0</v>
      </c>
      <c r="I261" s="40"/>
      <c r="J261" s="40"/>
      <c r="K261" s="40"/>
      <c r="L261" s="40"/>
      <c r="M261" s="40">
        <f t="shared" si="44"/>
        <v>0</v>
      </c>
      <c r="N261" s="1"/>
    </row>
    <row r="262" spans="1:14" x14ac:dyDescent="0.25">
      <c r="A262" s="479"/>
      <c r="B262" s="10"/>
      <c r="C262" s="149" t="s">
        <v>28</v>
      </c>
      <c r="D262" s="204" t="s">
        <v>22</v>
      </c>
      <c r="E262" s="12">
        <v>4.4400000000000002E-2</v>
      </c>
      <c r="F262" s="54">
        <f>F257*E262</f>
        <v>1.0123200000000001</v>
      </c>
      <c r="G262" s="40"/>
      <c r="H262" s="40">
        <f t="shared" si="46"/>
        <v>0</v>
      </c>
      <c r="I262" s="40"/>
      <c r="J262" s="40"/>
      <c r="K262" s="40"/>
      <c r="L262" s="40"/>
      <c r="M262" s="40">
        <f t="shared" si="44"/>
        <v>0</v>
      </c>
      <c r="N262" s="1"/>
    </row>
    <row r="263" spans="1:14" x14ac:dyDescent="0.25">
      <c r="A263" s="477" t="s">
        <v>406</v>
      </c>
      <c r="B263" s="6" t="s">
        <v>393</v>
      </c>
      <c r="C263" s="203" t="s">
        <v>372</v>
      </c>
      <c r="D263" s="193" t="s">
        <v>18</v>
      </c>
      <c r="E263" s="148"/>
      <c r="F263" s="7">
        <f>F257</f>
        <v>22.8</v>
      </c>
      <c r="G263" s="31"/>
      <c r="H263" s="31"/>
      <c r="I263" s="31"/>
      <c r="J263" s="31"/>
      <c r="K263" s="31"/>
      <c r="L263" s="31"/>
      <c r="M263" s="31"/>
      <c r="N263" s="1"/>
    </row>
    <row r="264" spans="1:14" x14ac:dyDescent="0.25">
      <c r="A264" s="478"/>
      <c r="B264" s="4"/>
      <c r="C264" s="149" t="s">
        <v>29</v>
      </c>
      <c r="D264" s="193" t="s">
        <v>25</v>
      </c>
      <c r="E264" s="54">
        <v>0.28100000000000003</v>
      </c>
      <c r="F264" s="54">
        <f>F263*E264</f>
        <v>6.4068000000000005</v>
      </c>
      <c r="G264" s="40"/>
      <c r="H264" s="40"/>
      <c r="I264" s="40"/>
      <c r="J264" s="40">
        <f t="shared" ref="J264" si="47">F264*I264</f>
        <v>0</v>
      </c>
      <c r="K264" s="40"/>
      <c r="L264" s="40"/>
      <c r="M264" s="40">
        <f t="shared" ref="M264:M270" si="48">H264+J264+L264</f>
        <v>0</v>
      </c>
      <c r="N264" s="1"/>
    </row>
    <row r="265" spans="1:14" x14ac:dyDescent="0.25">
      <c r="A265" s="478"/>
      <c r="B265" s="4"/>
      <c r="C265" s="149" t="s">
        <v>337</v>
      </c>
      <c r="D265" s="193" t="s">
        <v>22</v>
      </c>
      <c r="E265" s="54">
        <v>8.8599999999999998E-2</v>
      </c>
      <c r="F265" s="54">
        <f>F263*E265</f>
        <v>2.0200800000000001</v>
      </c>
      <c r="G265" s="40"/>
      <c r="H265" s="40"/>
      <c r="I265" s="40"/>
      <c r="J265" s="40"/>
      <c r="K265" s="40"/>
      <c r="L265" s="40">
        <f t="shared" ref="L265" si="49">F265*K265</f>
        <v>0</v>
      </c>
      <c r="M265" s="40">
        <f t="shared" si="48"/>
        <v>0</v>
      </c>
      <c r="N265" s="1"/>
    </row>
    <row r="266" spans="1:14" x14ac:dyDescent="0.25">
      <c r="A266" s="478"/>
      <c r="B266" s="4"/>
      <c r="C266" s="149" t="s">
        <v>373</v>
      </c>
      <c r="D266" s="193" t="s">
        <v>90</v>
      </c>
      <c r="E266" s="54">
        <v>1</v>
      </c>
      <c r="F266" s="54">
        <f>F263*E266</f>
        <v>22.8</v>
      </c>
      <c r="G266" s="40"/>
      <c r="H266" s="40">
        <f t="shared" ref="H266:H270" si="50">F266*G266</f>
        <v>0</v>
      </c>
      <c r="I266" s="40"/>
      <c r="J266" s="40"/>
      <c r="K266" s="40"/>
      <c r="L266" s="40"/>
      <c r="M266" s="40">
        <f t="shared" si="48"/>
        <v>0</v>
      </c>
      <c r="N266" s="1"/>
    </row>
    <row r="267" spans="1:14" x14ac:dyDescent="0.25">
      <c r="A267" s="478"/>
      <c r="B267" s="4"/>
      <c r="C267" s="149" t="s">
        <v>190</v>
      </c>
      <c r="D267" s="193" t="s">
        <v>17</v>
      </c>
      <c r="E267" s="54">
        <f>(0.12)/100</f>
        <v>1.1999999999999999E-3</v>
      </c>
      <c r="F267" s="54">
        <f>F263*E267</f>
        <v>2.7359999999999999E-2</v>
      </c>
      <c r="G267" s="40"/>
      <c r="H267" s="40">
        <f t="shared" si="50"/>
        <v>0</v>
      </c>
      <c r="I267" s="40"/>
      <c r="J267" s="40"/>
      <c r="K267" s="40"/>
      <c r="L267" s="40"/>
      <c r="M267" s="40">
        <f t="shared" si="48"/>
        <v>0</v>
      </c>
      <c r="N267" s="1"/>
    </row>
    <row r="268" spans="1:14" x14ac:dyDescent="0.25">
      <c r="A268" s="478"/>
      <c r="B268" s="4"/>
      <c r="C268" s="149" t="s">
        <v>394</v>
      </c>
      <c r="D268" s="193" t="s">
        <v>19</v>
      </c>
      <c r="E268" s="54">
        <v>0.108</v>
      </c>
      <c r="F268" s="54">
        <f>F263*E268</f>
        <v>2.4624000000000001</v>
      </c>
      <c r="G268" s="40"/>
      <c r="H268" s="40">
        <f t="shared" si="50"/>
        <v>0</v>
      </c>
      <c r="I268" s="40"/>
      <c r="J268" s="40"/>
      <c r="K268" s="40"/>
      <c r="L268" s="40"/>
      <c r="M268" s="40">
        <f t="shared" si="48"/>
        <v>0</v>
      </c>
      <c r="N268" s="1"/>
    </row>
    <row r="269" spans="1:14" x14ac:dyDescent="0.25">
      <c r="A269" s="478"/>
      <c r="B269" s="4"/>
      <c r="C269" s="149" t="s">
        <v>371</v>
      </c>
      <c r="D269" s="193" t="s">
        <v>19</v>
      </c>
      <c r="E269" s="54">
        <v>5.0000000000000001E-3</v>
      </c>
      <c r="F269" s="54">
        <f>F263*E269</f>
        <v>0.114</v>
      </c>
      <c r="G269" s="40"/>
      <c r="H269" s="40">
        <f t="shared" si="50"/>
        <v>0</v>
      </c>
      <c r="I269" s="40"/>
      <c r="J269" s="40"/>
      <c r="K269" s="40"/>
      <c r="L269" s="40"/>
      <c r="M269" s="40">
        <f t="shared" si="48"/>
        <v>0</v>
      </c>
      <c r="N269" s="1"/>
    </row>
    <row r="270" spans="1:14" x14ac:dyDescent="0.25">
      <c r="A270" s="479"/>
      <c r="B270" s="4"/>
      <c r="C270" s="149" t="s">
        <v>28</v>
      </c>
      <c r="D270" s="193" t="s">
        <v>22</v>
      </c>
      <c r="E270" s="54">
        <v>0.2</v>
      </c>
      <c r="F270" s="54">
        <f>F263*E270</f>
        <v>4.5600000000000005</v>
      </c>
      <c r="G270" s="40"/>
      <c r="H270" s="40">
        <f t="shared" si="50"/>
        <v>0</v>
      </c>
      <c r="I270" s="40"/>
      <c r="J270" s="40"/>
      <c r="K270" s="40"/>
      <c r="L270" s="40"/>
      <c r="M270" s="40">
        <f t="shared" si="48"/>
        <v>0</v>
      </c>
      <c r="N270" s="1"/>
    </row>
    <row r="271" spans="1:14" x14ac:dyDescent="0.25">
      <c r="A271" s="476" t="s">
        <v>407</v>
      </c>
      <c r="B271" s="6" t="s">
        <v>374</v>
      </c>
      <c r="C271" s="192" t="s">
        <v>375</v>
      </c>
      <c r="D271" s="193" t="s">
        <v>342</v>
      </c>
      <c r="E271" s="148"/>
      <c r="F271" s="51">
        <f>F257</f>
        <v>22.8</v>
      </c>
      <c r="G271" s="40"/>
      <c r="H271" s="40"/>
      <c r="I271" s="40"/>
      <c r="J271" s="40"/>
      <c r="K271" s="40"/>
      <c r="L271" s="40"/>
      <c r="M271" s="40"/>
      <c r="N271" s="1"/>
    </row>
    <row r="272" spans="1:14" x14ac:dyDescent="0.25">
      <c r="A272" s="476"/>
      <c r="B272" s="4"/>
      <c r="C272" s="149" t="s">
        <v>29</v>
      </c>
      <c r="D272" s="193" t="s">
        <v>25</v>
      </c>
      <c r="E272" s="148">
        <v>3.0300000000000001E-2</v>
      </c>
      <c r="F272" s="54">
        <f>F271*E272</f>
        <v>0.69084000000000001</v>
      </c>
      <c r="G272" s="40"/>
      <c r="H272" s="40"/>
      <c r="I272" s="40"/>
      <c r="J272" s="40">
        <f t="shared" ref="J272" si="51">F272*I272</f>
        <v>0</v>
      </c>
      <c r="K272" s="40"/>
      <c r="L272" s="40"/>
      <c r="M272" s="40">
        <f t="shared" ref="M272:M277" si="52">H272+J272+L272</f>
        <v>0</v>
      </c>
      <c r="N272" s="1"/>
    </row>
    <row r="273" spans="1:15" x14ac:dyDescent="0.25">
      <c r="A273" s="476"/>
      <c r="B273" s="4"/>
      <c r="C273" s="149" t="s">
        <v>337</v>
      </c>
      <c r="D273" s="193" t="s">
        <v>22</v>
      </c>
      <c r="E273" s="148">
        <v>4.1000000000000003E-3</v>
      </c>
      <c r="F273" s="54">
        <f>F271*E273</f>
        <v>9.3480000000000008E-2</v>
      </c>
      <c r="G273" s="40"/>
      <c r="H273" s="40"/>
      <c r="I273" s="40"/>
      <c r="J273" s="40"/>
      <c r="K273" s="40"/>
      <c r="L273" s="40">
        <f t="shared" ref="L273" si="53">F273*K273</f>
        <v>0</v>
      </c>
      <c r="M273" s="40">
        <f t="shared" si="52"/>
        <v>0</v>
      </c>
      <c r="N273" s="1"/>
    </row>
    <row r="274" spans="1:15" x14ac:dyDescent="0.25">
      <c r="A274" s="476"/>
      <c r="B274" s="4"/>
      <c r="C274" s="149" t="s">
        <v>338</v>
      </c>
      <c r="D274" s="193" t="s">
        <v>19</v>
      </c>
      <c r="E274" s="148">
        <v>0.23100000000000001</v>
      </c>
      <c r="F274" s="54">
        <f>F271*E274</f>
        <v>5.2668000000000008</v>
      </c>
      <c r="G274" s="40"/>
      <c r="H274" s="40">
        <f t="shared" ref="H274:H277" si="54">F274*G274</f>
        <v>0</v>
      </c>
      <c r="I274" s="40"/>
      <c r="J274" s="40"/>
      <c r="K274" s="40"/>
      <c r="L274" s="40"/>
      <c r="M274" s="40">
        <f t="shared" si="52"/>
        <v>0</v>
      </c>
      <c r="N274" s="1"/>
    </row>
    <row r="275" spans="1:15" x14ac:dyDescent="0.25">
      <c r="A275" s="476"/>
      <c r="B275" s="4"/>
      <c r="C275" s="149" t="s">
        <v>339</v>
      </c>
      <c r="D275" s="193" t="s">
        <v>19</v>
      </c>
      <c r="E275" s="148">
        <v>5.8000000000000003E-2</v>
      </c>
      <c r="F275" s="54">
        <f>F271*E275</f>
        <v>1.3224</v>
      </c>
      <c r="G275" s="40"/>
      <c r="H275" s="40">
        <f t="shared" si="54"/>
        <v>0</v>
      </c>
      <c r="I275" s="40"/>
      <c r="J275" s="40"/>
      <c r="K275" s="40"/>
      <c r="L275" s="40"/>
      <c r="M275" s="40">
        <f t="shared" si="52"/>
        <v>0</v>
      </c>
      <c r="N275" s="1"/>
    </row>
    <row r="276" spans="1:15" x14ac:dyDescent="0.25">
      <c r="A276" s="476"/>
      <c r="B276" s="4"/>
      <c r="C276" s="149" t="s">
        <v>340</v>
      </c>
      <c r="D276" s="193" t="s">
        <v>19</v>
      </c>
      <c r="E276" s="148">
        <v>3.5000000000000003E-2</v>
      </c>
      <c r="F276" s="54">
        <f>F271*E276</f>
        <v>0.79800000000000015</v>
      </c>
      <c r="G276" s="40"/>
      <c r="H276" s="40">
        <f t="shared" si="54"/>
        <v>0</v>
      </c>
      <c r="I276" s="40"/>
      <c r="J276" s="40"/>
      <c r="K276" s="40"/>
      <c r="L276" s="40"/>
      <c r="M276" s="40">
        <f t="shared" si="52"/>
        <v>0</v>
      </c>
      <c r="N276" s="1"/>
    </row>
    <row r="277" spans="1:15" x14ac:dyDescent="0.25">
      <c r="A277" s="476"/>
      <c r="B277" s="4"/>
      <c r="C277" s="149" t="s">
        <v>28</v>
      </c>
      <c r="D277" s="193" t="s">
        <v>22</v>
      </c>
      <c r="E277" s="148">
        <v>4.0000000000000002E-4</v>
      </c>
      <c r="F277" s="54">
        <f>F271*E277</f>
        <v>9.1200000000000014E-3</v>
      </c>
      <c r="G277" s="40"/>
      <c r="H277" s="40">
        <f t="shared" si="54"/>
        <v>0</v>
      </c>
      <c r="I277" s="40"/>
      <c r="J277" s="40"/>
      <c r="K277" s="40"/>
      <c r="L277" s="40"/>
      <c r="M277" s="40">
        <f t="shared" si="52"/>
        <v>0</v>
      </c>
      <c r="N277" s="1"/>
    </row>
    <row r="278" spans="1:15" x14ac:dyDescent="0.25">
      <c r="A278" s="476" t="s">
        <v>408</v>
      </c>
      <c r="B278" s="194" t="s">
        <v>376</v>
      </c>
      <c r="C278" s="192" t="s">
        <v>377</v>
      </c>
      <c r="D278" s="193" t="s">
        <v>342</v>
      </c>
      <c r="E278" s="148"/>
      <c r="F278" s="51">
        <f>F257</f>
        <v>22.8</v>
      </c>
      <c r="G278" s="40"/>
      <c r="H278" s="40"/>
      <c r="I278" s="40"/>
      <c r="J278" s="40"/>
      <c r="K278" s="40"/>
      <c r="L278" s="40"/>
      <c r="M278" s="40"/>
      <c r="N278" s="1"/>
    </row>
    <row r="279" spans="1:15" x14ac:dyDescent="0.25">
      <c r="A279" s="476"/>
      <c r="B279" s="195"/>
      <c r="C279" s="149" t="s">
        <v>29</v>
      </c>
      <c r="D279" s="193" t="s">
        <v>25</v>
      </c>
      <c r="E279" s="148">
        <v>6.9199999999999998E-2</v>
      </c>
      <c r="F279" s="54">
        <f>F278*E279</f>
        <v>1.5777600000000001</v>
      </c>
      <c r="G279" s="40"/>
      <c r="H279" s="40"/>
      <c r="I279" s="40"/>
      <c r="J279" s="40">
        <f t="shared" ref="J279" si="55">F279*I279</f>
        <v>0</v>
      </c>
      <c r="K279" s="40"/>
      <c r="L279" s="40"/>
      <c r="M279" s="40">
        <f t="shared" ref="M279:M281" si="56">H279+J279+L279</f>
        <v>0</v>
      </c>
      <c r="N279" s="1"/>
    </row>
    <row r="280" spans="1:15" x14ac:dyDescent="0.25">
      <c r="A280" s="476"/>
      <c r="B280" s="195"/>
      <c r="C280" s="149" t="s">
        <v>337</v>
      </c>
      <c r="D280" s="193" t="s">
        <v>22</v>
      </c>
      <c r="E280" s="148">
        <v>1.6000000000000001E-3</v>
      </c>
      <c r="F280" s="54">
        <f>F278*E280</f>
        <v>3.6480000000000005E-2</v>
      </c>
      <c r="G280" s="40"/>
      <c r="H280" s="40"/>
      <c r="I280" s="40"/>
      <c r="J280" s="40"/>
      <c r="K280" s="40"/>
      <c r="L280" s="40">
        <f t="shared" ref="L280" si="57">F280*K280</f>
        <v>0</v>
      </c>
      <c r="M280" s="40">
        <f t="shared" si="56"/>
        <v>0</v>
      </c>
      <c r="N280" s="1"/>
    </row>
    <row r="281" spans="1:15" x14ac:dyDescent="0.25">
      <c r="A281" s="476"/>
      <c r="B281" s="195"/>
      <c r="C281" s="149" t="s">
        <v>343</v>
      </c>
      <c r="D281" s="193" t="s">
        <v>19</v>
      </c>
      <c r="E281" s="148">
        <v>0.4</v>
      </c>
      <c r="F281" s="54">
        <f>F278*E281</f>
        <v>9.120000000000001</v>
      </c>
      <c r="G281" s="40"/>
      <c r="H281" s="40">
        <f t="shared" ref="H281" si="58">F281*G281</f>
        <v>0</v>
      </c>
      <c r="I281" s="40"/>
      <c r="J281" s="40"/>
      <c r="K281" s="40"/>
      <c r="L281" s="40"/>
      <c r="M281" s="40">
        <f t="shared" si="56"/>
        <v>0</v>
      </c>
      <c r="N281" s="1"/>
    </row>
    <row r="282" spans="1:15" ht="27" x14ac:dyDescent="0.25">
      <c r="A282" s="477" t="s">
        <v>409</v>
      </c>
      <c r="B282" s="6" t="s">
        <v>378</v>
      </c>
      <c r="C282" s="192" t="s">
        <v>379</v>
      </c>
      <c r="D282" s="193" t="s">
        <v>18</v>
      </c>
      <c r="E282" s="148"/>
      <c r="F282" s="51">
        <f>F257</f>
        <v>22.8</v>
      </c>
      <c r="G282" s="40"/>
      <c r="H282" s="40"/>
      <c r="I282" s="40"/>
      <c r="J282" s="40"/>
      <c r="K282" s="40"/>
      <c r="L282" s="40"/>
      <c r="M282" s="40"/>
      <c r="N282" s="1"/>
    </row>
    <row r="283" spans="1:15" x14ac:dyDescent="0.25">
      <c r="A283" s="478"/>
      <c r="B283" s="4"/>
      <c r="C283" s="205" t="s">
        <v>23</v>
      </c>
      <c r="D283" s="54" t="s">
        <v>25</v>
      </c>
      <c r="E283" s="54">
        <v>0.497</v>
      </c>
      <c r="F283" s="54">
        <f>F282*E283</f>
        <v>11.3316</v>
      </c>
      <c r="G283" s="54"/>
      <c r="H283" s="40"/>
      <c r="I283" s="54"/>
      <c r="J283" s="40">
        <f t="shared" ref="J283" si="59">F283*I283</f>
        <v>0</v>
      </c>
      <c r="K283" s="54"/>
      <c r="L283" s="40"/>
      <c r="M283" s="40">
        <f t="shared" ref="M283:M286" si="60">H283+J283+L283</f>
        <v>0</v>
      </c>
      <c r="N283" s="1"/>
    </row>
    <row r="284" spans="1:15" x14ac:dyDescent="0.25">
      <c r="A284" s="478"/>
      <c r="B284" s="4"/>
      <c r="C284" s="205" t="s">
        <v>30</v>
      </c>
      <c r="D284" s="54" t="s">
        <v>22</v>
      </c>
      <c r="E284" s="54">
        <v>2.8400000000000002E-2</v>
      </c>
      <c r="F284" s="54">
        <f>F282*E284</f>
        <v>0.6475200000000001</v>
      </c>
      <c r="G284" s="54"/>
      <c r="H284" s="40"/>
      <c r="I284" s="54"/>
      <c r="J284" s="40"/>
      <c r="K284" s="54"/>
      <c r="L284" s="40">
        <f t="shared" ref="L284" si="61">F284*K284</f>
        <v>0</v>
      </c>
      <c r="M284" s="40">
        <f t="shared" si="60"/>
        <v>0</v>
      </c>
      <c r="N284" s="1"/>
    </row>
    <row r="285" spans="1:15" ht="27" x14ac:dyDescent="0.25">
      <c r="A285" s="478"/>
      <c r="B285" s="4"/>
      <c r="C285" s="145" t="s">
        <v>380</v>
      </c>
      <c r="D285" s="113" t="s">
        <v>18</v>
      </c>
      <c r="E285" s="117">
        <v>1.26</v>
      </c>
      <c r="F285" s="117">
        <f>F282*E285</f>
        <v>28.728000000000002</v>
      </c>
      <c r="G285" s="40"/>
      <c r="H285" s="40">
        <f t="shared" ref="H285:H286" si="62">F285*G285</f>
        <v>0</v>
      </c>
      <c r="I285" s="40"/>
      <c r="J285" s="40"/>
      <c r="K285" s="40"/>
      <c r="L285" s="40"/>
      <c r="M285" s="40">
        <f t="shared" si="60"/>
        <v>0</v>
      </c>
      <c r="N285" s="1"/>
    </row>
    <row r="286" spans="1:15" x14ac:dyDescent="0.25">
      <c r="A286" s="479"/>
      <c r="B286" s="54"/>
      <c r="C286" s="205" t="s">
        <v>31</v>
      </c>
      <c r="D286" s="54" t="s">
        <v>22</v>
      </c>
      <c r="E286" s="54">
        <v>2.06E-2</v>
      </c>
      <c r="F286" s="54">
        <f>F282*E286</f>
        <v>0.46968000000000004</v>
      </c>
      <c r="G286" s="54"/>
      <c r="H286" s="40">
        <f t="shared" si="62"/>
        <v>0</v>
      </c>
      <c r="I286" s="54"/>
      <c r="J286" s="40"/>
      <c r="K286" s="40"/>
      <c r="L286" s="40"/>
      <c r="M286" s="40">
        <f t="shared" si="60"/>
        <v>0</v>
      </c>
      <c r="N286" s="1"/>
    </row>
    <row r="287" spans="1:15" x14ac:dyDescent="0.25">
      <c r="A287" s="476" t="s">
        <v>410</v>
      </c>
      <c r="B287" s="6" t="s">
        <v>381</v>
      </c>
      <c r="C287" s="127" t="s">
        <v>382</v>
      </c>
      <c r="D287" s="6" t="s">
        <v>18</v>
      </c>
      <c r="E287" s="54"/>
      <c r="F287" s="51">
        <f>3.1*6*0.3</f>
        <v>5.58</v>
      </c>
      <c r="G287" s="40"/>
      <c r="H287" s="40"/>
      <c r="I287" s="40"/>
      <c r="J287" s="40"/>
      <c r="K287" s="40"/>
      <c r="L287" s="40"/>
      <c r="M287" s="40"/>
      <c r="N287" s="1"/>
    </row>
    <row r="288" spans="1:15" x14ac:dyDescent="0.25">
      <c r="A288" s="476"/>
      <c r="B288" s="4"/>
      <c r="C288" s="149" t="s">
        <v>29</v>
      </c>
      <c r="D288" s="4" t="s">
        <v>25</v>
      </c>
      <c r="E288" s="148">
        <v>0.83</v>
      </c>
      <c r="F288" s="54">
        <f>F287*E288</f>
        <v>4.6314000000000002</v>
      </c>
      <c r="G288" s="40"/>
      <c r="H288" s="40"/>
      <c r="I288" s="206"/>
      <c r="J288" s="40">
        <f>F288*I288</f>
        <v>0</v>
      </c>
      <c r="K288" s="40"/>
      <c r="L288" s="40"/>
      <c r="M288" s="40">
        <f t="shared" ref="M288:M292" si="63">H288+J288+L288</f>
        <v>0</v>
      </c>
      <c r="N288" s="207"/>
      <c r="O288" s="208"/>
    </row>
    <row r="289" spans="1:14" x14ac:dyDescent="0.25">
      <c r="A289" s="476"/>
      <c r="B289" s="4"/>
      <c r="C289" s="149" t="s">
        <v>24</v>
      </c>
      <c r="D289" s="4" t="s">
        <v>22</v>
      </c>
      <c r="E289" s="148">
        <v>4.1000000000000003E-3</v>
      </c>
      <c r="F289" s="54">
        <f>F287*E289</f>
        <v>2.2878000000000003E-2</v>
      </c>
      <c r="G289" s="40"/>
      <c r="H289" s="40"/>
      <c r="I289" s="40"/>
      <c r="J289" s="40"/>
      <c r="K289" s="206"/>
      <c r="L289" s="40">
        <f>F289*K289</f>
        <v>0</v>
      </c>
      <c r="M289" s="40">
        <f t="shared" si="63"/>
        <v>0</v>
      </c>
      <c r="N289" s="1"/>
    </row>
    <row r="290" spans="1:14" x14ac:dyDescent="0.25">
      <c r="A290" s="476"/>
      <c r="B290" s="4"/>
      <c r="C290" s="149" t="s">
        <v>383</v>
      </c>
      <c r="D290" s="4" t="s">
        <v>384</v>
      </c>
      <c r="E290" s="54">
        <v>1.1000000000000001</v>
      </c>
      <c r="F290" s="54">
        <f>F287*E290</f>
        <v>6.1380000000000008</v>
      </c>
      <c r="G290" s="40"/>
      <c r="H290" s="40">
        <f>F290*G290</f>
        <v>0</v>
      </c>
      <c r="I290" s="40"/>
      <c r="J290" s="40"/>
      <c r="K290" s="40"/>
      <c r="L290" s="40"/>
      <c r="M290" s="40">
        <f t="shared" si="63"/>
        <v>0</v>
      </c>
      <c r="N290" s="1"/>
    </row>
    <row r="291" spans="1:14" x14ac:dyDescent="0.25">
      <c r="A291" s="476"/>
      <c r="B291" s="4"/>
      <c r="C291" s="129" t="s">
        <v>135</v>
      </c>
      <c r="D291" s="4" t="s">
        <v>130</v>
      </c>
      <c r="E291" s="54">
        <v>3</v>
      </c>
      <c r="F291" s="54">
        <f>F287*E291</f>
        <v>16.740000000000002</v>
      </c>
      <c r="G291" s="40"/>
      <c r="H291" s="40">
        <f>F291*G291</f>
        <v>0</v>
      </c>
      <c r="I291" s="40"/>
      <c r="J291" s="40"/>
      <c r="K291" s="40"/>
      <c r="L291" s="40"/>
      <c r="M291" s="40">
        <f t="shared" si="63"/>
        <v>0</v>
      </c>
      <c r="N291" s="1"/>
    </row>
    <row r="292" spans="1:14" x14ac:dyDescent="0.25">
      <c r="A292" s="476"/>
      <c r="B292" s="4"/>
      <c r="C292" s="129" t="s">
        <v>28</v>
      </c>
      <c r="D292" s="4" t="s">
        <v>22</v>
      </c>
      <c r="E292" s="54">
        <v>7.8E-2</v>
      </c>
      <c r="F292" s="54">
        <f>F287*E292</f>
        <v>0.43524000000000002</v>
      </c>
      <c r="G292" s="40"/>
      <c r="H292" s="40">
        <f>F292*G292</f>
        <v>0</v>
      </c>
      <c r="I292" s="40"/>
      <c r="J292" s="40"/>
      <c r="K292" s="40"/>
      <c r="L292" s="40"/>
      <c r="M292" s="40">
        <f t="shared" si="63"/>
        <v>0</v>
      </c>
      <c r="N292" s="1"/>
    </row>
    <row r="293" spans="1:14" x14ac:dyDescent="0.25">
      <c r="A293" s="171" t="s">
        <v>344</v>
      </c>
      <c r="B293" s="177"/>
      <c r="C293" s="190" t="s">
        <v>457</v>
      </c>
      <c r="D293" s="177"/>
      <c r="E293" s="54"/>
      <c r="F293" s="30"/>
      <c r="G293" s="31"/>
      <c r="H293" s="31"/>
      <c r="I293" s="31"/>
      <c r="J293" s="31"/>
      <c r="K293" s="31"/>
      <c r="L293" s="31"/>
      <c r="M293" s="31"/>
      <c r="N293" s="1"/>
    </row>
    <row r="294" spans="1:14" ht="47.25" x14ac:dyDescent="0.25">
      <c r="A294" s="109" t="s">
        <v>412</v>
      </c>
      <c r="B294" s="4"/>
      <c r="C294" s="97" t="s">
        <v>271</v>
      </c>
      <c r="D294" s="6"/>
      <c r="E294" s="7"/>
      <c r="F294" s="7"/>
      <c r="G294" s="31"/>
      <c r="H294" s="31"/>
      <c r="I294" s="31"/>
      <c r="J294" s="31"/>
      <c r="K294" s="31"/>
      <c r="L294" s="31"/>
      <c r="M294" s="31"/>
      <c r="N294" s="1"/>
    </row>
    <row r="295" spans="1:14" hidden="1" x14ac:dyDescent="0.25">
      <c r="A295" s="109"/>
      <c r="B295" s="17"/>
      <c r="C295" s="97" t="s">
        <v>272</v>
      </c>
      <c r="D295" s="6" t="s">
        <v>15</v>
      </c>
      <c r="E295" s="30"/>
      <c r="F295" s="7">
        <v>0</v>
      </c>
      <c r="G295" s="31"/>
      <c r="H295" s="31"/>
      <c r="I295" s="31"/>
      <c r="J295" s="31"/>
      <c r="K295" s="31"/>
      <c r="L295" s="31"/>
      <c r="M295" s="31"/>
      <c r="N295" s="1"/>
    </row>
    <row r="296" spans="1:14" ht="31.5" hidden="1" x14ac:dyDescent="0.25">
      <c r="A296" s="109"/>
      <c r="B296" s="17">
        <v>3</v>
      </c>
      <c r="C296" s="97" t="s">
        <v>273</v>
      </c>
      <c r="D296" s="6" t="s">
        <v>15</v>
      </c>
      <c r="E296" s="30"/>
      <c r="F296" s="7"/>
      <c r="G296" s="31"/>
      <c r="H296" s="31"/>
      <c r="I296" s="31"/>
      <c r="J296" s="31"/>
      <c r="K296" s="31"/>
      <c r="L296" s="31"/>
      <c r="M296" s="31"/>
      <c r="N296" s="1"/>
    </row>
    <row r="297" spans="1:14" ht="31.5" hidden="1" x14ac:dyDescent="0.25">
      <c r="A297" s="109"/>
      <c r="B297" s="17">
        <v>4</v>
      </c>
      <c r="C297" s="97" t="s">
        <v>274</v>
      </c>
      <c r="D297" s="6" t="s">
        <v>15</v>
      </c>
      <c r="E297" s="30"/>
      <c r="F297" s="7"/>
      <c r="G297" s="31"/>
      <c r="H297" s="31"/>
      <c r="I297" s="31"/>
      <c r="J297" s="31"/>
      <c r="K297" s="31"/>
      <c r="L297" s="31"/>
      <c r="M297" s="31"/>
      <c r="N297" s="1"/>
    </row>
    <row r="298" spans="1:14" ht="31.5" hidden="1" x14ac:dyDescent="0.25">
      <c r="A298" s="109"/>
      <c r="B298" s="17">
        <v>5</v>
      </c>
      <c r="C298" s="97" t="s">
        <v>275</v>
      </c>
      <c r="D298" s="6" t="s">
        <v>15</v>
      </c>
      <c r="E298" s="30"/>
      <c r="F298" s="7"/>
      <c r="G298" s="31"/>
      <c r="H298" s="31"/>
      <c r="I298" s="31"/>
      <c r="J298" s="31"/>
      <c r="K298" s="31"/>
      <c r="L298" s="31"/>
      <c r="M298" s="31"/>
      <c r="N298" s="1"/>
    </row>
    <row r="299" spans="1:14" hidden="1" x14ac:dyDescent="0.25">
      <c r="A299" s="109"/>
      <c r="B299" s="17">
        <v>6</v>
      </c>
      <c r="C299" s="97" t="s">
        <v>276</v>
      </c>
      <c r="D299" s="6" t="s">
        <v>15</v>
      </c>
      <c r="E299" s="30"/>
      <c r="F299" s="7"/>
      <c r="G299" s="31"/>
      <c r="H299" s="31"/>
      <c r="I299" s="31"/>
      <c r="J299" s="31"/>
      <c r="K299" s="31"/>
      <c r="L299" s="31"/>
      <c r="M299" s="31"/>
      <c r="N299" s="1"/>
    </row>
    <row r="300" spans="1:14" hidden="1" x14ac:dyDescent="0.25">
      <c r="A300" s="109"/>
      <c r="B300" s="17">
        <v>7</v>
      </c>
      <c r="C300" s="97" t="s">
        <v>277</v>
      </c>
      <c r="D300" s="6" t="s">
        <v>15</v>
      </c>
      <c r="E300" s="30"/>
      <c r="F300" s="7"/>
      <c r="G300" s="31"/>
      <c r="H300" s="31"/>
      <c r="I300" s="31"/>
      <c r="J300" s="31"/>
      <c r="K300" s="31"/>
      <c r="L300" s="31"/>
      <c r="M300" s="31"/>
      <c r="N300" s="1"/>
    </row>
    <row r="301" spans="1:14" ht="31.5" hidden="1" x14ac:dyDescent="0.25">
      <c r="A301" s="111"/>
      <c r="B301" s="17"/>
      <c r="C301" s="97" t="s">
        <v>278</v>
      </c>
      <c r="D301" s="6" t="s">
        <v>15</v>
      </c>
      <c r="E301" s="30"/>
      <c r="F301" s="7"/>
      <c r="G301" s="31"/>
      <c r="H301" s="31"/>
      <c r="I301" s="31"/>
      <c r="J301" s="31"/>
      <c r="K301" s="31"/>
      <c r="L301" s="31"/>
      <c r="M301" s="31"/>
      <c r="N301" s="1"/>
    </row>
    <row r="302" spans="1:14" ht="31.5" hidden="1" x14ac:dyDescent="0.25">
      <c r="A302" s="111"/>
      <c r="B302" s="17"/>
      <c r="C302" s="97" t="s">
        <v>279</v>
      </c>
      <c r="D302" s="6" t="s">
        <v>15</v>
      </c>
      <c r="E302" s="30"/>
      <c r="F302" s="7"/>
      <c r="G302" s="31"/>
      <c r="H302" s="31"/>
      <c r="I302" s="31"/>
      <c r="J302" s="31"/>
      <c r="K302" s="31"/>
      <c r="L302" s="31"/>
      <c r="M302" s="31"/>
      <c r="N302" s="1"/>
    </row>
    <row r="303" spans="1:14" ht="47.25" hidden="1" x14ac:dyDescent="0.25">
      <c r="A303" s="111"/>
      <c r="B303" s="17"/>
      <c r="C303" s="97" t="s">
        <v>280</v>
      </c>
      <c r="D303" s="6" t="s">
        <v>15</v>
      </c>
      <c r="E303" s="30"/>
      <c r="F303" s="7"/>
      <c r="G303" s="31"/>
      <c r="H303" s="31"/>
      <c r="I303" s="31"/>
      <c r="J303" s="31"/>
      <c r="K303" s="31"/>
      <c r="L303" s="31"/>
      <c r="M303" s="31"/>
      <c r="N303" s="1"/>
    </row>
    <row r="304" spans="1:14" ht="31.5" hidden="1" x14ac:dyDescent="0.25">
      <c r="A304" s="111"/>
      <c r="B304" s="17"/>
      <c r="C304" s="97" t="s">
        <v>281</v>
      </c>
      <c r="D304" s="6" t="s">
        <v>15</v>
      </c>
      <c r="E304" s="30"/>
      <c r="F304" s="7"/>
      <c r="G304" s="31"/>
      <c r="H304" s="31"/>
      <c r="I304" s="31"/>
      <c r="J304" s="31"/>
      <c r="K304" s="31"/>
      <c r="L304" s="31"/>
      <c r="M304" s="31"/>
      <c r="N304" s="1"/>
    </row>
    <row r="305" spans="1:14" hidden="1" x14ac:dyDescent="0.25">
      <c r="A305" s="111"/>
      <c r="B305" s="17"/>
      <c r="C305" s="97" t="s">
        <v>282</v>
      </c>
      <c r="D305" s="6" t="s">
        <v>15</v>
      </c>
      <c r="E305" s="30"/>
      <c r="F305" s="7"/>
      <c r="G305" s="31"/>
      <c r="H305" s="31"/>
      <c r="I305" s="31"/>
      <c r="J305" s="31"/>
      <c r="K305" s="31"/>
      <c r="L305" s="31"/>
      <c r="M305" s="31"/>
      <c r="N305" s="1"/>
    </row>
    <row r="306" spans="1:14" hidden="1" x14ac:dyDescent="0.25">
      <c r="A306" s="111"/>
      <c r="B306" s="17"/>
      <c r="C306" s="97" t="s">
        <v>283</v>
      </c>
      <c r="D306" s="6" t="s">
        <v>15</v>
      </c>
      <c r="E306" s="30"/>
      <c r="F306" s="7"/>
      <c r="G306" s="31"/>
      <c r="H306" s="31"/>
      <c r="I306" s="31"/>
      <c r="J306" s="31"/>
      <c r="K306" s="31"/>
      <c r="L306" s="31"/>
      <c r="M306" s="31"/>
      <c r="N306" s="1"/>
    </row>
    <row r="307" spans="1:14" ht="31.5" hidden="1" x14ac:dyDescent="0.25">
      <c r="A307" s="111"/>
      <c r="B307" s="17"/>
      <c r="C307" s="97" t="s">
        <v>284</v>
      </c>
      <c r="D307" s="6" t="s">
        <v>15</v>
      </c>
      <c r="E307" s="30"/>
      <c r="F307" s="7"/>
      <c r="G307" s="31"/>
      <c r="H307" s="31"/>
      <c r="I307" s="31"/>
      <c r="J307" s="31"/>
      <c r="K307" s="31"/>
      <c r="L307" s="31"/>
      <c r="M307" s="31"/>
      <c r="N307" s="1"/>
    </row>
    <row r="308" spans="1:14" ht="31.5" hidden="1" x14ac:dyDescent="0.25">
      <c r="A308" s="111"/>
      <c r="B308" s="17"/>
      <c r="C308" s="97" t="s">
        <v>285</v>
      </c>
      <c r="D308" s="6" t="s">
        <v>15</v>
      </c>
      <c r="E308" s="30"/>
      <c r="F308" s="7"/>
      <c r="G308" s="31"/>
      <c r="H308" s="31"/>
      <c r="I308" s="31"/>
      <c r="J308" s="31"/>
      <c r="K308" s="31"/>
      <c r="L308" s="31"/>
      <c r="M308" s="31"/>
      <c r="N308" s="1"/>
    </row>
    <row r="309" spans="1:14" ht="31.5" hidden="1" x14ac:dyDescent="0.25">
      <c r="A309" s="111"/>
      <c r="B309" s="17"/>
      <c r="C309" s="97" t="s">
        <v>286</v>
      </c>
      <c r="D309" s="6" t="s">
        <v>15</v>
      </c>
      <c r="E309" s="30"/>
      <c r="F309" s="7"/>
      <c r="G309" s="31"/>
      <c r="H309" s="31"/>
      <c r="I309" s="31"/>
      <c r="J309" s="31"/>
      <c r="K309" s="31"/>
      <c r="L309" s="31"/>
      <c r="M309" s="31"/>
      <c r="N309" s="1"/>
    </row>
    <row r="310" spans="1:14" ht="31.5" hidden="1" x14ac:dyDescent="0.25">
      <c r="A310" s="111"/>
      <c r="B310" s="17"/>
      <c r="C310" s="97" t="s">
        <v>287</v>
      </c>
      <c r="D310" s="6" t="s">
        <v>15</v>
      </c>
      <c r="E310" s="30"/>
      <c r="F310" s="7"/>
      <c r="G310" s="31"/>
      <c r="H310" s="31"/>
      <c r="I310" s="31"/>
      <c r="J310" s="31"/>
      <c r="K310" s="31"/>
      <c r="L310" s="31"/>
      <c r="M310" s="31"/>
      <c r="N310" s="1"/>
    </row>
    <row r="311" spans="1:14" hidden="1" x14ac:dyDescent="0.25">
      <c r="A311" s="111"/>
      <c r="B311" s="17"/>
      <c r="C311" s="97" t="s">
        <v>288</v>
      </c>
      <c r="D311" s="6" t="s">
        <v>15</v>
      </c>
      <c r="E311" s="30"/>
      <c r="F311" s="7"/>
      <c r="G311" s="31"/>
      <c r="H311" s="31"/>
      <c r="I311" s="31"/>
      <c r="J311" s="31"/>
      <c r="K311" s="31"/>
      <c r="L311" s="31"/>
      <c r="M311" s="31"/>
      <c r="N311" s="1"/>
    </row>
    <row r="312" spans="1:14" hidden="1" x14ac:dyDescent="0.25">
      <c r="A312" s="111"/>
      <c r="B312" s="17"/>
      <c r="C312" s="97" t="s">
        <v>289</v>
      </c>
      <c r="D312" s="6" t="s">
        <v>15</v>
      </c>
      <c r="E312" s="30"/>
      <c r="F312" s="7"/>
      <c r="G312" s="31"/>
      <c r="H312" s="31"/>
      <c r="I312" s="31"/>
      <c r="J312" s="31"/>
      <c r="K312" s="31"/>
      <c r="L312" s="31"/>
      <c r="M312" s="31"/>
      <c r="N312" s="1"/>
    </row>
    <row r="313" spans="1:14" ht="31.5" hidden="1" x14ac:dyDescent="0.25">
      <c r="A313" s="111"/>
      <c r="B313" s="17"/>
      <c r="C313" s="97" t="s">
        <v>290</v>
      </c>
      <c r="D313" s="6" t="s">
        <v>15</v>
      </c>
      <c r="E313" s="30"/>
      <c r="F313" s="7"/>
      <c r="G313" s="31"/>
      <c r="H313" s="31"/>
      <c r="I313" s="31"/>
      <c r="J313" s="31"/>
      <c r="K313" s="31"/>
      <c r="L313" s="31"/>
      <c r="M313" s="31"/>
      <c r="N313" s="1"/>
    </row>
    <row r="314" spans="1:14" ht="31.5" hidden="1" x14ac:dyDescent="0.25">
      <c r="A314" s="111"/>
      <c r="B314" s="17"/>
      <c r="C314" s="97" t="s">
        <v>291</v>
      </c>
      <c r="D314" s="6" t="s">
        <v>15</v>
      </c>
      <c r="E314" s="30"/>
      <c r="F314" s="7"/>
      <c r="G314" s="31"/>
      <c r="H314" s="31"/>
      <c r="I314" s="31"/>
      <c r="J314" s="31"/>
      <c r="K314" s="31"/>
      <c r="L314" s="31"/>
      <c r="M314" s="31"/>
      <c r="N314" s="1"/>
    </row>
    <row r="315" spans="1:14" hidden="1" x14ac:dyDescent="0.25">
      <c r="A315" s="111"/>
      <c r="B315" s="17"/>
      <c r="C315" s="97" t="s">
        <v>292</v>
      </c>
      <c r="D315" s="6" t="s">
        <v>15</v>
      </c>
      <c r="E315" s="30"/>
      <c r="F315" s="7"/>
      <c r="G315" s="31"/>
      <c r="H315" s="31"/>
      <c r="I315" s="31"/>
      <c r="J315" s="31"/>
      <c r="K315" s="31"/>
      <c r="L315" s="31"/>
      <c r="M315" s="31"/>
      <c r="N315" s="1"/>
    </row>
    <row r="316" spans="1:14" hidden="1" x14ac:dyDescent="0.25">
      <c r="A316" s="111"/>
      <c r="B316" s="17"/>
      <c r="C316" s="97" t="s">
        <v>293</v>
      </c>
      <c r="D316" s="6" t="s">
        <v>15</v>
      </c>
      <c r="E316" s="30"/>
      <c r="F316" s="7"/>
      <c r="G316" s="31"/>
      <c r="H316" s="31"/>
      <c r="I316" s="31"/>
      <c r="J316" s="31"/>
      <c r="K316" s="31"/>
      <c r="L316" s="31"/>
      <c r="M316" s="31"/>
      <c r="N316" s="1"/>
    </row>
    <row r="317" spans="1:14" hidden="1" x14ac:dyDescent="0.25">
      <c r="A317" s="111"/>
      <c r="B317" s="17"/>
      <c r="C317" s="97"/>
      <c r="D317" s="6"/>
      <c r="E317" s="30"/>
      <c r="F317" s="7"/>
      <c r="G317" s="31"/>
      <c r="H317" s="31"/>
      <c r="I317" s="31"/>
      <c r="J317" s="31"/>
      <c r="K317" s="31"/>
      <c r="L317" s="31"/>
      <c r="M317" s="31"/>
      <c r="N317" s="1"/>
    </row>
    <row r="318" spans="1:14" ht="31.5" x14ac:dyDescent="0.25">
      <c r="A318" s="109" t="s">
        <v>413</v>
      </c>
      <c r="B318" s="6" t="s">
        <v>294</v>
      </c>
      <c r="C318" s="97" t="s">
        <v>295</v>
      </c>
      <c r="D318" s="6" t="s">
        <v>15</v>
      </c>
      <c r="E318" s="30"/>
      <c r="F318" s="7">
        <v>25</v>
      </c>
      <c r="G318" s="31"/>
      <c r="H318" s="31"/>
      <c r="I318" s="31"/>
      <c r="J318" s="31"/>
      <c r="K318" s="31"/>
      <c r="L318" s="31"/>
      <c r="M318" s="31"/>
      <c r="N318" s="1"/>
    </row>
    <row r="319" spans="1:14" x14ac:dyDescent="0.25">
      <c r="A319" s="21"/>
      <c r="B319" s="4"/>
      <c r="C319" s="122" t="s">
        <v>23</v>
      </c>
      <c r="D319" s="4" t="s">
        <v>25</v>
      </c>
      <c r="E319" s="30">
        <v>3.18</v>
      </c>
      <c r="F319" s="30">
        <f>F318*E319</f>
        <v>79.5</v>
      </c>
      <c r="G319" s="31"/>
      <c r="H319" s="31"/>
      <c r="I319" s="31"/>
      <c r="J319" s="31">
        <f>F319*I319</f>
        <v>0</v>
      </c>
      <c r="K319" s="31"/>
      <c r="L319" s="31"/>
      <c r="M319" s="31">
        <f>H319+J319+L319</f>
        <v>0</v>
      </c>
      <c r="N319" s="1"/>
    </row>
    <row r="320" spans="1:14" x14ac:dyDescent="0.25">
      <c r="A320" s="109" t="s">
        <v>414</v>
      </c>
      <c r="B320" s="6" t="s">
        <v>296</v>
      </c>
      <c r="C320" s="97" t="s">
        <v>297</v>
      </c>
      <c r="D320" s="6" t="s">
        <v>15</v>
      </c>
      <c r="E320" s="30"/>
      <c r="F320" s="7">
        <f>F318</f>
        <v>25</v>
      </c>
      <c r="G320" s="31"/>
      <c r="H320" s="31"/>
      <c r="I320" s="31"/>
      <c r="J320" s="31"/>
      <c r="K320" s="31"/>
      <c r="L320" s="31"/>
      <c r="M320" s="31"/>
      <c r="N320" s="1"/>
    </row>
    <row r="321" spans="1:15" x14ac:dyDescent="0.25">
      <c r="A321" s="111"/>
      <c r="B321" s="4"/>
      <c r="C321" s="122" t="s">
        <v>23</v>
      </c>
      <c r="D321" s="4" t="s">
        <v>25</v>
      </c>
      <c r="E321" s="30">
        <v>1.6</v>
      </c>
      <c r="F321" s="30">
        <f>F320*E321</f>
        <v>40</v>
      </c>
      <c r="G321" s="31"/>
      <c r="H321" s="31"/>
      <c r="I321" s="31"/>
      <c r="J321" s="31">
        <f>F321*I321</f>
        <v>0</v>
      </c>
      <c r="K321" s="31"/>
      <c r="L321" s="31"/>
      <c r="M321" s="31">
        <f>H321+J321+L321</f>
        <v>0</v>
      </c>
      <c r="N321" s="1"/>
    </row>
    <row r="322" spans="1:15" x14ac:dyDescent="0.25">
      <c r="A322" s="111"/>
      <c r="B322" s="6" t="s">
        <v>77</v>
      </c>
      <c r="C322" s="122" t="s">
        <v>298</v>
      </c>
      <c r="D322" s="4" t="s">
        <v>26</v>
      </c>
      <c r="E322" s="30">
        <v>7.0999999999999994E-2</v>
      </c>
      <c r="F322" s="30">
        <f>F320*E322</f>
        <v>1.7749999999999999</v>
      </c>
      <c r="G322" s="31"/>
      <c r="H322" s="31"/>
      <c r="I322" s="31"/>
      <c r="J322" s="31"/>
      <c r="K322" s="31"/>
      <c r="L322" s="31">
        <f>F322*K322</f>
        <v>0</v>
      </c>
      <c r="M322" s="31">
        <f>H322+J322+L322</f>
        <v>0</v>
      </c>
      <c r="N322" s="1"/>
    </row>
    <row r="323" spans="1:15" x14ac:dyDescent="0.25">
      <c r="A323" s="111"/>
      <c r="B323" s="6" t="s">
        <v>299</v>
      </c>
      <c r="C323" s="122" t="s">
        <v>300</v>
      </c>
      <c r="D323" s="4" t="s">
        <v>26</v>
      </c>
      <c r="E323" s="30">
        <v>0.13400000000000001</v>
      </c>
      <c r="F323" s="30">
        <f>F320*E323</f>
        <v>3.35</v>
      </c>
      <c r="G323" s="31"/>
      <c r="H323" s="31"/>
      <c r="I323" s="31"/>
      <c r="J323" s="31"/>
      <c r="K323" s="31"/>
      <c r="L323" s="31">
        <f>F323*K323</f>
        <v>0</v>
      </c>
      <c r="M323" s="31">
        <f>H323+J323+L323</f>
        <v>0</v>
      </c>
      <c r="N323" s="1"/>
    </row>
    <row r="324" spans="1:15" x14ac:dyDescent="0.25">
      <c r="A324" s="111"/>
      <c r="B324" s="4"/>
      <c r="C324" s="97" t="s">
        <v>301</v>
      </c>
      <c r="D324" s="4"/>
      <c r="E324" s="30"/>
      <c r="F324" s="7">
        <v>25</v>
      </c>
      <c r="G324" s="31"/>
      <c r="H324" s="31"/>
      <c r="I324" s="31"/>
      <c r="J324" s="31"/>
      <c r="K324" s="31"/>
      <c r="L324" s="31"/>
      <c r="M324" s="31"/>
      <c r="N324" s="1"/>
    </row>
    <row r="325" spans="1:15" hidden="1" x14ac:dyDescent="0.25">
      <c r="A325" s="111"/>
      <c r="B325" s="4"/>
      <c r="C325" s="97" t="s">
        <v>272</v>
      </c>
      <c r="D325" s="6" t="s">
        <v>15</v>
      </c>
      <c r="E325" s="30"/>
      <c r="F325" s="30">
        <f>F295</f>
        <v>0</v>
      </c>
      <c r="G325" s="31"/>
      <c r="H325" s="31">
        <f t="shared" ref="H325:H349" si="64">F325*G325</f>
        <v>0</v>
      </c>
      <c r="I325" s="31"/>
      <c r="J325" s="31"/>
      <c r="K325" s="31"/>
      <c r="L325" s="31"/>
      <c r="M325" s="31">
        <f t="shared" ref="M325:M349" si="65">H325+J325+L325</f>
        <v>0</v>
      </c>
      <c r="N325" s="1"/>
    </row>
    <row r="326" spans="1:15" x14ac:dyDescent="0.25">
      <c r="A326" s="111"/>
      <c r="B326" s="209"/>
      <c r="C326" s="97" t="s">
        <v>458</v>
      </c>
      <c r="D326" s="6" t="s">
        <v>15</v>
      </c>
      <c r="E326" s="30">
        <v>1</v>
      </c>
      <c r="F326" s="7">
        <f>+E326*F324</f>
        <v>25</v>
      </c>
      <c r="G326" s="31"/>
      <c r="H326" s="31">
        <f t="shared" si="64"/>
        <v>0</v>
      </c>
      <c r="I326" s="31"/>
      <c r="J326" s="31"/>
      <c r="K326" s="31"/>
      <c r="L326" s="31"/>
      <c r="M326" s="31">
        <f t="shared" si="65"/>
        <v>0</v>
      </c>
    </row>
    <row r="327" spans="1:15" ht="31.5" hidden="1" x14ac:dyDescent="0.25">
      <c r="A327" s="111"/>
      <c r="B327" s="209" t="s">
        <v>250</v>
      </c>
      <c r="C327" s="97" t="s">
        <v>273</v>
      </c>
      <c r="D327" s="6" t="s">
        <v>15</v>
      </c>
      <c r="E327" s="30"/>
      <c r="F327" s="7">
        <f t="shared" ref="F327:F347" si="66">F296</f>
        <v>0</v>
      </c>
      <c r="G327" s="31"/>
      <c r="H327" s="31">
        <f t="shared" si="64"/>
        <v>0</v>
      </c>
      <c r="I327" s="31"/>
      <c r="J327" s="31"/>
      <c r="K327" s="31"/>
      <c r="L327" s="31"/>
      <c r="M327" s="31">
        <f t="shared" si="65"/>
        <v>0</v>
      </c>
    </row>
    <row r="328" spans="1:15" ht="31.5" hidden="1" x14ac:dyDescent="0.25">
      <c r="A328" s="111"/>
      <c r="B328" s="209" t="s">
        <v>250</v>
      </c>
      <c r="C328" s="97" t="s">
        <v>274</v>
      </c>
      <c r="D328" s="6" t="s">
        <v>15</v>
      </c>
      <c r="E328" s="30"/>
      <c r="F328" s="7">
        <f t="shared" si="66"/>
        <v>0</v>
      </c>
      <c r="G328" s="31"/>
      <c r="H328" s="31">
        <f t="shared" si="64"/>
        <v>0</v>
      </c>
      <c r="I328" s="31"/>
      <c r="J328" s="31"/>
      <c r="K328" s="31"/>
      <c r="L328" s="31"/>
      <c r="M328" s="31">
        <f t="shared" si="65"/>
        <v>0</v>
      </c>
    </row>
    <row r="329" spans="1:15" ht="31.5" hidden="1" x14ac:dyDescent="0.25">
      <c r="A329" s="111"/>
      <c r="B329" s="209" t="s">
        <v>250</v>
      </c>
      <c r="C329" s="97" t="s">
        <v>275</v>
      </c>
      <c r="D329" s="6" t="s">
        <v>15</v>
      </c>
      <c r="E329" s="30"/>
      <c r="F329" s="7">
        <f t="shared" si="66"/>
        <v>0</v>
      </c>
      <c r="G329" s="31"/>
      <c r="H329" s="31">
        <f t="shared" si="64"/>
        <v>0</v>
      </c>
      <c r="I329" s="31"/>
      <c r="J329" s="31"/>
      <c r="K329" s="31"/>
      <c r="L329" s="31"/>
      <c r="M329" s="31">
        <f t="shared" si="65"/>
        <v>0</v>
      </c>
    </row>
    <row r="330" spans="1:15" hidden="1" x14ac:dyDescent="0.25">
      <c r="A330" s="111"/>
      <c r="B330" s="209" t="s">
        <v>250</v>
      </c>
      <c r="C330" s="97" t="s">
        <v>276</v>
      </c>
      <c r="D330" s="6" t="s">
        <v>15</v>
      </c>
      <c r="E330" s="30"/>
      <c r="F330" s="7">
        <f t="shared" si="66"/>
        <v>0</v>
      </c>
      <c r="G330" s="31"/>
      <c r="H330" s="31">
        <f t="shared" si="64"/>
        <v>0</v>
      </c>
      <c r="I330" s="31"/>
      <c r="J330" s="31"/>
      <c r="K330" s="31"/>
      <c r="L330" s="31"/>
      <c r="M330" s="31">
        <f t="shared" si="65"/>
        <v>0</v>
      </c>
    </row>
    <row r="331" spans="1:15" hidden="1" x14ac:dyDescent="0.25">
      <c r="A331" s="111"/>
      <c r="B331" s="209" t="s">
        <v>250</v>
      </c>
      <c r="C331" s="97" t="s">
        <v>277</v>
      </c>
      <c r="D331" s="6" t="s">
        <v>15</v>
      </c>
      <c r="E331" s="30"/>
      <c r="F331" s="7">
        <f t="shared" si="66"/>
        <v>0</v>
      </c>
      <c r="G331" s="31"/>
      <c r="H331" s="31">
        <f t="shared" si="64"/>
        <v>0</v>
      </c>
      <c r="I331" s="31"/>
      <c r="J331" s="31"/>
      <c r="K331" s="31"/>
      <c r="L331" s="31"/>
      <c r="M331" s="31">
        <f t="shared" si="65"/>
        <v>0</v>
      </c>
    </row>
    <row r="332" spans="1:15" ht="31.5" hidden="1" x14ac:dyDescent="0.25">
      <c r="A332" s="111"/>
      <c r="B332" s="209" t="s">
        <v>250</v>
      </c>
      <c r="C332" s="97" t="s">
        <v>278</v>
      </c>
      <c r="D332" s="6" t="s">
        <v>15</v>
      </c>
      <c r="E332" s="30"/>
      <c r="F332" s="7">
        <f t="shared" si="66"/>
        <v>0</v>
      </c>
      <c r="G332" s="31"/>
      <c r="H332" s="31">
        <f t="shared" si="64"/>
        <v>0</v>
      </c>
      <c r="I332" s="31"/>
      <c r="J332" s="31"/>
      <c r="K332" s="31"/>
      <c r="L332" s="31"/>
      <c r="M332" s="31">
        <f t="shared" si="65"/>
        <v>0</v>
      </c>
      <c r="O332" s="210"/>
    </row>
    <row r="333" spans="1:15" ht="31.5" hidden="1" x14ac:dyDescent="0.25">
      <c r="A333" s="111"/>
      <c r="B333" s="4"/>
      <c r="C333" s="97" t="s">
        <v>279</v>
      </c>
      <c r="D333" s="6" t="s">
        <v>15</v>
      </c>
      <c r="E333" s="30"/>
      <c r="F333" s="30">
        <f t="shared" si="66"/>
        <v>0</v>
      </c>
      <c r="G333" s="31"/>
      <c r="H333" s="31">
        <f t="shared" si="64"/>
        <v>0</v>
      </c>
      <c r="I333" s="31"/>
      <c r="J333" s="31"/>
      <c r="K333" s="31"/>
      <c r="L333" s="31"/>
      <c r="M333" s="31">
        <f t="shared" si="65"/>
        <v>0</v>
      </c>
    </row>
    <row r="334" spans="1:15" ht="47.25" hidden="1" x14ac:dyDescent="0.25">
      <c r="A334" s="111"/>
      <c r="B334" s="4"/>
      <c r="C334" s="97" t="s">
        <v>280</v>
      </c>
      <c r="D334" s="6" t="s">
        <v>15</v>
      </c>
      <c r="E334" s="30"/>
      <c r="F334" s="30">
        <f t="shared" si="66"/>
        <v>0</v>
      </c>
      <c r="G334" s="31"/>
      <c r="H334" s="31">
        <f t="shared" si="64"/>
        <v>0</v>
      </c>
      <c r="I334" s="31"/>
      <c r="J334" s="31"/>
      <c r="K334" s="31"/>
      <c r="L334" s="31"/>
      <c r="M334" s="31">
        <f t="shared" si="65"/>
        <v>0</v>
      </c>
    </row>
    <row r="335" spans="1:15" ht="31.5" hidden="1" x14ac:dyDescent="0.25">
      <c r="A335" s="111"/>
      <c r="B335" s="4"/>
      <c r="C335" s="97" t="s">
        <v>281</v>
      </c>
      <c r="D335" s="6" t="s">
        <v>15</v>
      </c>
      <c r="E335" s="30"/>
      <c r="F335" s="30">
        <f t="shared" si="66"/>
        <v>0</v>
      </c>
      <c r="G335" s="31"/>
      <c r="H335" s="31">
        <f t="shared" si="64"/>
        <v>0</v>
      </c>
      <c r="I335" s="31"/>
      <c r="J335" s="31"/>
      <c r="K335" s="31"/>
      <c r="L335" s="31"/>
      <c r="M335" s="31">
        <f t="shared" si="65"/>
        <v>0</v>
      </c>
    </row>
    <row r="336" spans="1:15" hidden="1" x14ac:dyDescent="0.25">
      <c r="A336" s="111"/>
      <c r="B336" s="4"/>
      <c r="C336" s="97" t="s">
        <v>282</v>
      </c>
      <c r="D336" s="6" t="s">
        <v>15</v>
      </c>
      <c r="E336" s="30"/>
      <c r="F336" s="30">
        <f t="shared" si="66"/>
        <v>0</v>
      </c>
      <c r="G336" s="31"/>
      <c r="H336" s="31">
        <f t="shared" si="64"/>
        <v>0</v>
      </c>
      <c r="I336" s="31"/>
      <c r="J336" s="31"/>
      <c r="K336" s="31"/>
      <c r="L336" s="31"/>
      <c r="M336" s="31">
        <f t="shared" si="65"/>
        <v>0</v>
      </c>
    </row>
    <row r="337" spans="1:17" hidden="1" x14ac:dyDescent="0.25">
      <c r="A337" s="111"/>
      <c r="B337" s="4"/>
      <c r="C337" s="97" t="s">
        <v>283</v>
      </c>
      <c r="D337" s="6" t="s">
        <v>15</v>
      </c>
      <c r="E337" s="30"/>
      <c r="F337" s="30">
        <f t="shared" si="66"/>
        <v>0</v>
      </c>
      <c r="G337" s="31"/>
      <c r="H337" s="31">
        <f t="shared" si="64"/>
        <v>0</v>
      </c>
      <c r="I337" s="31"/>
      <c r="J337" s="31"/>
      <c r="K337" s="31"/>
      <c r="L337" s="31"/>
      <c r="M337" s="31">
        <f t="shared" si="65"/>
        <v>0</v>
      </c>
    </row>
    <row r="338" spans="1:17" ht="31.5" hidden="1" x14ac:dyDescent="0.25">
      <c r="A338" s="111"/>
      <c r="B338" s="4"/>
      <c r="C338" s="97" t="s">
        <v>284</v>
      </c>
      <c r="D338" s="6" t="s">
        <v>15</v>
      </c>
      <c r="E338" s="30"/>
      <c r="F338" s="30">
        <f t="shared" si="66"/>
        <v>0</v>
      </c>
      <c r="G338" s="31"/>
      <c r="H338" s="31">
        <f t="shared" si="64"/>
        <v>0</v>
      </c>
      <c r="I338" s="31"/>
      <c r="J338" s="31"/>
      <c r="K338" s="31"/>
      <c r="L338" s="31"/>
      <c r="M338" s="31">
        <f t="shared" si="65"/>
        <v>0</v>
      </c>
    </row>
    <row r="339" spans="1:17" ht="31.5" hidden="1" x14ac:dyDescent="0.25">
      <c r="A339" s="111"/>
      <c r="B339" s="4"/>
      <c r="C339" s="97" t="s">
        <v>285</v>
      </c>
      <c r="D339" s="6" t="s">
        <v>15</v>
      </c>
      <c r="E339" s="30"/>
      <c r="F339" s="30">
        <f t="shared" si="66"/>
        <v>0</v>
      </c>
      <c r="G339" s="31"/>
      <c r="H339" s="31">
        <f t="shared" si="64"/>
        <v>0</v>
      </c>
      <c r="I339" s="31"/>
      <c r="J339" s="31"/>
      <c r="K339" s="31"/>
      <c r="L339" s="31"/>
      <c r="M339" s="31">
        <f t="shared" si="65"/>
        <v>0</v>
      </c>
    </row>
    <row r="340" spans="1:17" ht="31.5" hidden="1" x14ac:dyDescent="0.25">
      <c r="A340" s="111"/>
      <c r="B340" s="4"/>
      <c r="C340" s="97" t="s">
        <v>286</v>
      </c>
      <c r="D340" s="6" t="s">
        <v>15</v>
      </c>
      <c r="E340" s="30"/>
      <c r="F340" s="30">
        <f t="shared" si="66"/>
        <v>0</v>
      </c>
      <c r="G340" s="31"/>
      <c r="H340" s="31">
        <f t="shared" si="64"/>
        <v>0</v>
      </c>
      <c r="I340" s="31"/>
      <c r="J340" s="31"/>
      <c r="K340" s="31"/>
      <c r="L340" s="31"/>
      <c r="M340" s="31">
        <f t="shared" si="65"/>
        <v>0</v>
      </c>
    </row>
    <row r="341" spans="1:17" ht="31.5" hidden="1" x14ac:dyDescent="0.25">
      <c r="A341" s="111"/>
      <c r="B341" s="4"/>
      <c r="C341" s="97" t="s">
        <v>287</v>
      </c>
      <c r="D341" s="6" t="s">
        <v>15</v>
      </c>
      <c r="E341" s="30"/>
      <c r="F341" s="30">
        <f t="shared" si="66"/>
        <v>0</v>
      </c>
      <c r="G341" s="31"/>
      <c r="H341" s="31">
        <f t="shared" si="64"/>
        <v>0</v>
      </c>
      <c r="I341" s="31"/>
      <c r="J341" s="31"/>
      <c r="K341" s="31"/>
      <c r="L341" s="31"/>
      <c r="M341" s="31">
        <f t="shared" si="65"/>
        <v>0</v>
      </c>
    </row>
    <row r="342" spans="1:17" hidden="1" x14ac:dyDescent="0.25">
      <c r="A342" s="111"/>
      <c r="B342" s="4"/>
      <c r="C342" s="97" t="s">
        <v>288</v>
      </c>
      <c r="D342" s="6" t="s">
        <v>15</v>
      </c>
      <c r="E342" s="30"/>
      <c r="F342" s="30">
        <f t="shared" si="66"/>
        <v>0</v>
      </c>
      <c r="G342" s="31"/>
      <c r="H342" s="31">
        <f t="shared" si="64"/>
        <v>0</v>
      </c>
      <c r="I342" s="31"/>
      <c r="J342" s="31"/>
      <c r="K342" s="31"/>
      <c r="L342" s="31"/>
      <c r="M342" s="31">
        <f t="shared" si="65"/>
        <v>0</v>
      </c>
    </row>
    <row r="343" spans="1:17" hidden="1" x14ac:dyDescent="0.25">
      <c r="A343" s="111"/>
      <c r="B343" s="4"/>
      <c r="C343" s="97" t="s">
        <v>289</v>
      </c>
      <c r="D343" s="6" t="s">
        <v>15</v>
      </c>
      <c r="E343" s="30"/>
      <c r="F343" s="30">
        <f t="shared" si="66"/>
        <v>0</v>
      </c>
      <c r="G343" s="31"/>
      <c r="H343" s="31">
        <f t="shared" si="64"/>
        <v>0</v>
      </c>
      <c r="I343" s="31"/>
      <c r="J343" s="31"/>
      <c r="K343" s="31"/>
      <c r="L343" s="31"/>
      <c r="M343" s="31">
        <f t="shared" si="65"/>
        <v>0</v>
      </c>
    </row>
    <row r="344" spans="1:17" ht="31.5" hidden="1" x14ac:dyDescent="0.25">
      <c r="A344" s="111"/>
      <c r="B344" s="4"/>
      <c r="C344" s="97" t="s">
        <v>302</v>
      </c>
      <c r="D344" s="6" t="s">
        <v>15</v>
      </c>
      <c r="E344" s="30"/>
      <c r="F344" s="30">
        <f t="shared" si="66"/>
        <v>0</v>
      </c>
      <c r="G344" s="31"/>
      <c r="H344" s="31">
        <f t="shared" si="64"/>
        <v>0</v>
      </c>
      <c r="I344" s="31"/>
      <c r="J344" s="31"/>
      <c r="K344" s="31"/>
      <c r="L344" s="31"/>
      <c r="M344" s="31">
        <f t="shared" si="65"/>
        <v>0</v>
      </c>
    </row>
    <row r="345" spans="1:17" ht="31.5" hidden="1" x14ac:dyDescent="0.25">
      <c r="A345" s="111"/>
      <c r="B345" s="4"/>
      <c r="C345" s="97" t="s">
        <v>291</v>
      </c>
      <c r="D345" s="6" t="s">
        <v>15</v>
      </c>
      <c r="E345" s="30"/>
      <c r="F345" s="30">
        <f t="shared" si="66"/>
        <v>0</v>
      </c>
      <c r="G345" s="31"/>
      <c r="H345" s="31">
        <f t="shared" si="64"/>
        <v>0</v>
      </c>
      <c r="I345" s="31"/>
      <c r="J345" s="31"/>
      <c r="K345" s="31"/>
      <c r="L345" s="31"/>
      <c r="M345" s="31">
        <f t="shared" si="65"/>
        <v>0</v>
      </c>
    </row>
    <row r="346" spans="1:17" hidden="1" x14ac:dyDescent="0.25">
      <c r="A346" s="111"/>
      <c r="B346" s="4"/>
      <c r="C346" s="97" t="s">
        <v>292</v>
      </c>
      <c r="D346" s="6" t="s">
        <v>15</v>
      </c>
      <c r="E346" s="30"/>
      <c r="F346" s="30">
        <f t="shared" si="66"/>
        <v>0</v>
      </c>
      <c r="G346" s="31"/>
      <c r="H346" s="31">
        <f t="shared" si="64"/>
        <v>0</v>
      </c>
      <c r="I346" s="31"/>
      <c r="J346" s="31"/>
      <c r="K346" s="31"/>
      <c r="L346" s="31"/>
      <c r="M346" s="31">
        <f t="shared" si="65"/>
        <v>0</v>
      </c>
    </row>
    <row r="347" spans="1:17" hidden="1" x14ac:dyDescent="0.25">
      <c r="A347" s="111"/>
      <c r="B347" s="4"/>
      <c r="C347" s="97" t="s">
        <v>293</v>
      </c>
      <c r="D347" s="6" t="s">
        <v>15</v>
      </c>
      <c r="E347" s="30"/>
      <c r="F347" s="30">
        <f t="shared" si="66"/>
        <v>0</v>
      </c>
      <c r="G347" s="31"/>
      <c r="H347" s="31">
        <f t="shared" si="64"/>
        <v>0</v>
      </c>
      <c r="I347" s="31"/>
      <c r="J347" s="31"/>
      <c r="K347" s="31"/>
      <c r="L347" s="31"/>
      <c r="M347" s="31">
        <f t="shared" si="65"/>
        <v>0</v>
      </c>
    </row>
    <row r="348" spans="1:17" x14ac:dyDescent="0.25">
      <c r="A348" s="111"/>
      <c r="B348" s="4"/>
      <c r="C348" s="122" t="s">
        <v>131</v>
      </c>
      <c r="D348" s="4" t="s">
        <v>17</v>
      </c>
      <c r="E348" s="30">
        <v>0.26</v>
      </c>
      <c r="F348" s="30">
        <f>F320*E348</f>
        <v>6.5</v>
      </c>
      <c r="G348" s="31"/>
      <c r="H348" s="31">
        <f t="shared" si="64"/>
        <v>0</v>
      </c>
      <c r="I348" s="31"/>
      <c r="J348" s="31"/>
      <c r="K348" s="31"/>
      <c r="L348" s="31"/>
      <c r="M348" s="31">
        <f t="shared" si="65"/>
        <v>0</v>
      </c>
    </row>
    <row r="349" spans="1:17" x14ac:dyDescent="0.25">
      <c r="A349" s="21"/>
      <c r="B349" s="4"/>
      <c r="C349" s="122" t="s">
        <v>28</v>
      </c>
      <c r="D349" s="4" t="s">
        <v>22</v>
      </c>
      <c r="E349" s="30">
        <v>0.17899999999999999</v>
      </c>
      <c r="F349" s="30">
        <f>F320*E349</f>
        <v>4.4749999999999996</v>
      </c>
      <c r="G349" s="31"/>
      <c r="H349" s="31">
        <f t="shared" si="64"/>
        <v>0</v>
      </c>
      <c r="I349" s="31"/>
      <c r="J349" s="31"/>
      <c r="K349" s="31"/>
      <c r="L349" s="31"/>
      <c r="M349" s="31">
        <f t="shared" si="65"/>
        <v>0</v>
      </c>
    </row>
    <row r="350" spans="1:17" s="214" customFormat="1" ht="94.5" x14ac:dyDescent="0.25">
      <c r="A350" s="109" t="s">
        <v>192</v>
      </c>
      <c r="B350" s="96" t="s">
        <v>144</v>
      </c>
      <c r="C350" s="97" t="s">
        <v>438</v>
      </c>
      <c r="D350" s="6" t="s">
        <v>17</v>
      </c>
      <c r="E350" s="30"/>
      <c r="F350" s="7">
        <v>7</v>
      </c>
      <c r="G350" s="31"/>
      <c r="H350" s="31"/>
      <c r="I350" s="31"/>
      <c r="J350" s="31"/>
      <c r="K350" s="31"/>
      <c r="L350" s="31"/>
      <c r="M350" s="31"/>
      <c r="N350" s="211"/>
      <c r="O350" s="212"/>
      <c r="P350" s="213"/>
      <c r="Q350" s="213"/>
    </row>
    <row r="351" spans="1:17" s="214" customFormat="1" ht="20.25" customHeight="1" x14ac:dyDescent="0.25">
      <c r="A351" s="111"/>
      <c r="B351" s="4"/>
      <c r="C351" s="98" t="s">
        <v>29</v>
      </c>
      <c r="D351" s="99" t="s">
        <v>25</v>
      </c>
      <c r="E351" s="100">
        <v>0.6</v>
      </c>
      <c r="F351" s="101">
        <f>F350*E351</f>
        <v>4.2</v>
      </c>
      <c r="G351" s="102"/>
      <c r="H351" s="31"/>
      <c r="I351" s="102"/>
      <c r="J351" s="31">
        <f>F351*I351</f>
        <v>0</v>
      </c>
      <c r="K351" s="31"/>
      <c r="L351" s="31"/>
      <c r="M351" s="31">
        <f>H351+J351+L351</f>
        <v>0</v>
      </c>
      <c r="N351" s="215"/>
      <c r="O351" s="215"/>
    </row>
    <row r="352" spans="1:17" s="214" customFormat="1" ht="31.5" x14ac:dyDescent="0.25">
      <c r="A352" s="111" t="s">
        <v>137</v>
      </c>
      <c r="B352" s="216" t="s">
        <v>145</v>
      </c>
      <c r="C352" s="103" t="s">
        <v>49</v>
      </c>
      <c r="D352" s="6" t="s">
        <v>20</v>
      </c>
      <c r="E352" s="100"/>
      <c r="F352" s="104">
        <f>F350*1.65</f>
        <v>11.549999999999999</v>
      </c>
      <c r="G352" s="102"/>
      <c r="H352" s="31"/>
      <c r="I352" s="102"/>
      <c r="J352" s="31"/>
      <c r="K352" s="102"/>
      <c r="L352" s="31"/>
      <c r="M352" s="31"/>
      <c r="N352" s="215"/>
      <c r="O352" s="217"/>
    </row>
    <row r="353" spans="1:15" s="214" customFormat="1" ht="20.25" customHeight="1" x14ac:dyDescent="0.25">
      <c r="A353" s="111"/>
      <c r="B353" s="218"/>
      <c r="C353" s="106" t="s">
        <v>32</v>
      </c>
      <c r="D353" s="99" t="s">
        <v>25</v>
      </c>
      <c r="E353" s="100">
        <v>0.53</v>
      </c>
      <c r="F353" s="101">
        <f>F352*E353</f>
        <v>6.1215000000000002</v>
      </c>
      <c r="G353" s="102"/>
      <c r="H353" s="31"/>
      <c r="I353" s="102"/>
      <c r="J353" s="31">
        <f>F353*I353</f>
        <v>0</v>
      </c>
      <c r="K353" s="102"/>
      <c r="L353" s="31"/>
      <c r="M353" s="31">
        <f>H353+J353+L353</f>
        <v>0</v>
      </c>
      <c r="N353" s="215"/>
      <c r="O353" s="217"/>
    </row>
    <row r="354" spans="1:15" s="214" customFormat="1" ht="20.25" customHeight="1" x14ac:dyDescent="0.25">
      <c r="A354" s="21"/>
      <c r="B354" s="6" t="s">
        <v>112</v>
      </c>
      <c r="C354" s="107" t="s">
        <v>237</v>
      </c>
      <c r="D354" s="6" t="s">
        <v>20</v>
      </c>
      <c r="E354" s="100"/>
      <c r="F354" s="104">
        <f>F352</f>
        <v>11.549999999999999</v>
      </c>
      <c r="G354" s="102"/>
      <c r="H354" s="31"/>
      <c r="I354" s="102"/>
      <c r="J354" s="31"/>
      <c r="K354" s="102"/>
      <c r="L354" s="31">
        <f>F354*K354</f>
        <v>0</v>
      </c>
      <c r="M354" s="31">
        <f>H354+J354+L354</f>
        <v>0</v>
      </c>
      <c r="N354" s="215"/>
      <c r="O354" s="217"/>
    </row>
    <row r="355" spans="1:15" ht="31.5" x14ac:dyDescent="0.25">
      <c r="A355" s="3"/>
      <c r="B355" s="4"/>
      <c r="C355" s="5" t="s">
        <v>249</v>
      </c>
      <c r="D355" s="6"/>
      <c r="E355" s="7"/>
      <c r="F355" s="7"/>
      <c r="G355" s="8"/>
      <c r="H355" s="8">
        <f>SUM(H9:H354)</f>
        <v>0</v>
      </c>
      <c r="I355" s="8"/>
      <c r="J355" s="8">
        <f>SUM(J9:J354)</f>
        <v>0</v>
      </c>
      <c r="K355" s="8"/>
      <c r="L355" s="8">
        <f>SUM(L9:L354)</f>
        <v>0</v>
      </c>
      <c r="M355" s="8">
        <f>SUM(M9:M354)</f>
        <v>0</v>
      </c>
      <c r="N355" s="219"/>
    </row>
    <row r="356" spans="1:15" ht="47.25" x14ac:dyDescent="0.25">
      <c r="A356" s="9"/>
      <c r="B356" s="10"/>
      <c r="C356" s="11" t="s">
        <v>245</v>
      </c>
      <c r="D356" s="10"/>
      <c r="E356" s="12"/>
      <c r="F356" s="446"/>
      <c r="G356" s="13"/>
      <c r="H356" s="13"/>
      <c r="I356" s="13"/>
      <c r="J356" s="13"/>
      <c r="K356" s="13"/>
      <c r="L356" s="13"/>
      <c r="M356" s="14">
        <f>H355*F356</f>
        <v>0</v>
      </c>
      <c r="N356" s="219"/>
    </row>
    <row r="357" spans="1:15" ht="21.75" customHeight="1" x14ac:dyDescent="0.25">
      <c r="A357" s="9"/>
      <c r="B357" s="10"/>
      <c r="C357" s="15"/>
      <c r="D357" s="10"/>
      <c r="E357" s="12"/>
      <c r="F357" s="12"/>
      <c r="G357" s="13"/>
      <c r="H357" s="13"/>
      <c r="I357" s="13"/>
      <c r="J357" s="16" t="s">
        <v>10</v>
      </c>
      <c r="K357" s="13"/>
      <c r="L357" s="13"/>
      <c r="M357" s="14">
        <f>M355+M356</f>
        <v>0</v>
      </c>
      <c r="N357" s="219"/>
    </row>
    <row r="358" spans="1:15" ht="22.5" customHeight="1" x14ac:dyDescent="0.25">
      <c r="A358" s="3"/>
      <c r="B358" s="17"/>
      <c r="C358" s="18" t="s">
        <v>14</v>
      </c>
      <c r="D358" s="19"/>
      <c r="E358" s="20"/>
      <c r="F358" s="447"/>
      <c r="G358" s="14"/>
      <c r="H358" s="14"/>
      <c r="I358" s="14"/>
      <c r="J358" s="16"/>
      <c r="K358" s="14"/>
      <c r="L358" s="14"/>
      <c r="M358" s="14">
        <f>M357*F358</f>
        <v>0</v>
      </c>
      <c r="N358" s="1"/>
    </row>
    <row r="359" spans="1:15" s="222" customFormat="1" ht="22.5" customHeight="1" x14ac:dyDescent="0.25">
      <c r="A359" s="21"/>
      <c r="B359" s="22"/>
      <c r="C359" s="23"/>
      <c r="D359" s="24"/>
      <c r="E359" s="25"/>
      <c r="F359" s="25"/>
      <c r="G359" s="16"/>
      <c r="H359" s="16"/>
      <c r="I359" s="16"/>
      <c r="J359" s="16" t="s">
        <v>10</v>
      </c>
      <c r="K359" s="16"/>
      <c r="L359" s="16"/>
      <c r="M359" s="16">
        <f>M357+M358</f>
        <v>0</v>
      </c>
      <c r="N359" s="220"/>
      <c r="O359" s="221"/>
    </row>
    <row r="360" spans="1:15" ht="22.5" customHeight="1" x14ac:dyDescent="0.25">
      <c r="A360" s="21"/>
      <c r="B360" s="22"/>
      <c r="C360" s="26" t="s">
        <v>13</v>
      </c>
      <c r="D360" s="24"/>
      <c r="E360" s="27"/>
      <c r="F360" s="448"/>
      <c r="G360" s="28"/>
      <c r="H360" s="28"/>
      <c r="I360" s="28"/>
      <c r="J360" s="28"/>
      <c r="K360" s="28"/>
      <c r="L360" s="28"/>
      <c r="M360" s="28">
        <f>M359*F360</f>
        <v>0</v>
      </c>
      <c r="N360" s="1"/>
    </row>
    <row r="361" spans="1:15" s="222" customFormat="1" ht="21" customHeight="1" x14ac:dyDescent="0.25">
      <c r="A361" s="21"/>
      <c r="B361" s="22"/>
      <c r="C361" s="5" t="s">
        <v>181</v>
      </c>
      <c r="D361" s="24"/>
      <c r="E361" s="25"/>
      <c r="F361" s="25"/>
      <c r="G361" s="16"/>
      <c r="H361" s="16"/>
      <c r="I361" s="16"/>
      <c r="J361" s="16" t="s">
        <v>10</v>
      </c>
      <c r="K361" s="16"/>
      <c r="L361" s="16"/>
      <c r="M361" s="16">
        <f>M359+M360</f>
        <v>0</v>
      </c>
      <c r="N361" s="220"/>
      <c r="O361" s="221"/>
    </row>
    <row r="362" spans="1:15" ht="21.75" customHeight="1" x14ac:dyDescent="0.25">
      <c r="A362" s="3"/>
      <c r="B362" s="4"/>
      <c r="C362" s="29" t="s">
        <v>12</v>
      </c>
      <c r="D362" s="6"/>
      <c r="E362" s="30"/>
      <c r="F362" s="449">
        <v>0.03</v>
      </c>
      <c r="G362" s="31"/>
      <c r="H362" s="31"/>
      <c r="I362" s="31"/>
      <c r="J362" s="31"/>
      <c r="K362" s="31"/>
      <c r="L362" s="31"/>
      <c r="M362" s="31">
        <f>M361*F362</f>
        <v>0</v>
      </c>
      <c r="N362" s="1"/>
    </row>
    <row r="363" spans="1:15" ht="23.25" customHeight="1" x14ac:dyDescent="0.25">
      <c r="A363" s="3"/>
      <c r="B363" s="4"/>
      <c r="C363" s="33" t="s">
        <v>181</v>
      </c>
      <c r="D363" s="34"/>
      <c r="E363" s="35"/>
      <c r="F363" s="36"/>
      <c r="G363" s="37"/>
      <c r="H363" s="37"/>
      <c r="I363" s="37"/>
      <c r="J363" s="37"/>
      <c r="K363" s="37"/>
      <c r="L363" s="37"/>
      <c r="M363" s="16">
        <f>M361+M362</f>
        <v>0</v>
      </c>
      <c r="N363" s="1"/>
    </row>
    <row r="366" spans="1:15" x14ac:dyDescent="0.25">
      <c r="C366" s="45"/>
      <c r="H366" s="228"/>
      <c r="I366" s="228"/>
    </row>
    <row r="367" spans="1:15" x14ac:dyDescent="0.3">
      <c r="C367" s="229"/>
      <c r="D367" s="230"/>
      <c r="E367" s="231"/>
    </row>
    <row r="368" spans="1:15" x14ac:dyDescent="0.25">
      <c r="B368" s="232"/>
      <c r="C368" s="233"/>
      <c r="D368" s="233"/>
      <c r="E368" s="234"/>
    </row>
    <row r="373" spans="1:13" ht="31.5" hidden="1" x14ac:dyDescent="0.25">
      <c r="A373" s="235" t="s">
        <v>137</v>
      </c>
      <c r="B373" s="113"/>
      <c r="C373" s="5" t="s">
        <v>204</v>
      </c>
      <c r="D373" s="4"/>
      <c r="E373" s="236"/>
      <c r="F373" s="237"/>
      <c r="G373" s="172"/>
      <c r="H373" s="39">
        <f t="shared" ref="H373:H415" si="67">F373*G373</f>
        <v>0</v>
      </c>
      <c r="I373" s="39"/>
      <c r="J373" s="39">
        <f t="shared" ref="J373:J415" si="68">F373*I373</f>
        <v>0</v>
      </c>
      <c r="K373" s="39"/>
      <c r="L373" s="39">
        <f t="shared" ref="L373:L415" si="69">F373*K373</f>
        <v>0</v>
      </c>
      <c r="M373" s="39">
        <f t="shared" ref="M373:M415" si="70">H373+J373+L373</f>
        <v>0</v>
      </c>
    </row>
    <row r="374" spans="1:13" ht="47.25" hidden="1" x14ac:dyDescent="0.25">
      <c r="A374" s="483" t="s">
        <v>138</v>
      </c>
      <c r="B374" s="113" t="s">
        <v>133</v>
      </c>
      <c r="C374" s="5" t="s">
        <v>205</v>
      </c>
      <c r="D374" s="144" t="s">
        <v>71</v>
      </c>
      <c r="E374" s="238"/>
      <c r="F374" s="155">
        <v>0.87</v>
      </c>
      <c r="G374" s="8"/>
      <c r="H374" s="39">
        <f t="shared" si="67"/>
        <v>0</v>
      </c>
      <c r="I374" s="8"/>
      <c r="J374" s="39">
        <f t="shared" si="68"/>
        <v>0</v>
      </c>
      <c r="K374" s="8"/>
      <c r="L374" s="39">
        <f t="shared" si="69"/>
        <v>0</v>
      </c>
      <c r="M374" s="39">
        <f t="shared" si="70"/>
        <v>0</v>
      </c>
    </row>
    <row r="375" spans="1:13" hidden="1" x14ac:dyDescent="0.25">
      <c r="A375" s="484"/>
      <c r="B375" s="113"/>
      <c r="C375" s="139" t="s">
        <v>45</v>
      </c>
      <c r="D375" s="113" t="s">
        <v>50</v>
      </c>
      <c r="E375" s="117">
        <f>666*0.01</f>
        <v>6.66</v>
      </c>
      <c r="F375" s="114">
        <f>E375*F374</f>
        <v>5.7942</v>
      </c>
      <c r="G375" s="2"/>
      <c r="H375" s="39">
        <f t="shared" si="67"/>
        <v>0</v>
      </c>
      <c r="I375" s="2">
        <v>6</v>
      </c>
      <c r="J375" s="39">
        <f t="shared" si="68"/>
        <v>34.7652</v>
      </c>
      <c r="K375" s="2"/>
      <c r="L375" s="39">
        <f t="shared" si="69"/>
        <v>0</v>
      </c>
      <c r="M375" s="39">
        <f t="shared" si="70"/>
        <v>34.7652</v>
      </c>
    </row>
    <row r="376" spans="1:13" hidden="1" x14ac:dyDescent="0.25">
      <c r="A376" s="484"/>
      <c r="B376" s="113"/>
      <c r="C376" s="32" t="s">
        <v>24</v>
      </c>
      <c r="D376" s="78" t="s">
        <v>22</v>
      </c>
      <c r="E376" s="117">
        <f>59*0.01</f>
        <v>0.59</v>
      </c>
      <c r="F376" s="114">
        <f>E376*F374</f>
        <v>0.51329999999999998</v>
      </c>
      <c r="G376" s="2"/>
      <c r="H376" s="39">
        <f t="shared" si="67"/>
        <v>0</v>
      </c>
      <c r="I376" s="2"/>
      <c r="J376" s="39">
        <f t="shared" si="68"/>
        <v>0</v>
      </c>
      <c r="K376" s="2">
        <v>3.2</v>
      </c>
      <c r="L376" s="39">
        <f t="shared" si="69"/>
        <v>1.64256</v>
      </c>
      <c r="M376" s="39">
        <f t="shared" si="70"/>
        <v>1.64256</v>
      </c>
    </row>
    <row r="377" spans="1:13" hidden="1" x14ac:dyDescent="0.25">
      <c r="A377" s="484"/>
      <c r="B377" s="113" t="s">
        <v>86</v>
      </c>
      <c r="C377" s="139" t="s">
        <v>206</v>
      </c>
      <c r="D377" s="113" t="s">
        <v>72</v>
      </c>
      <c r="E377" s="117">
        <f>101.5*0.01</f>
        <v>1.0150000000000001</v>
      </c>
      <c r="F377" s="114">
        <f>E377*F374</f>
        <v>0.88305000000000011</v>
      </c>
      <c r="G377" s="2">
        <v>113</v>
      </c>
      <c r="H377" s="39">
        <f t="shared" si="67"/>
        <v>99.784650000000013</v>
      </c>
      <c r="I377" s="2"/>
      <c r="J377" s="39">
        <f t="shared" si="68"/>
        <v>0</v>
      </c>
      <c r="K377" s="2"/>
      <c r="L377" s="39">
        <f t="shared" si="69"/>
        <v>0</v>
      </c>
      <c r="M377" s="39">
        <f t="shared" si="70"/>
        <v>99.784650000000013</v>
      </c>
    </row>
    <row r="378" spans="1:13" hidden="1" x14ac:dyDescent="0.25">
      <c r="A378" s="484"/>
      <c r="B378" s="113" t="s">
        <v>113</v>
      </c>
      <c r="C378" s="139" t="s">
        <v>64</v>
      </c>
      <c r="D378" s="113" t="s">
        <v>66</v>
      </c>
      <c r="E378" s="117">
        <f>160*0.01</f>
        <v>1.6</v>
      </c>
      <c r="F378" s="114">
        <f>E378*F374</f>
        <v>1.3920000000000001</v>
      </c>
      <c r="G378" s="2">
        <v>12</v>
      </c>
      <c r="H378" s="39">
        <f t="shared" si="67"/>
        <v>16.704000000000001</v>
      </c>
      <c r="I378" s="2"/>
      <c r="J378" s="39">
        <f t="shared" si="68"/>
        <v>0</v>
      </c>
      <c r="K378" s="2"/>
      <c r="L378" s="39">
        <f t="shared" si="69"/>
        <v>0</v>
      </c>
      <c r="M378" s="39">
        <f t="shared" si="70"/>
        <v>16.704000000000001</v>
      </c>
    </row>
    <row r="379" spans="1:13" hidden="1" x14ac:dyDescent="0.25">
      <c r="A379" s="484"/>
      <c r="B379" s="113" t="s">
        <v>69</v>
      </c>
      <c r="C379" s="139" t="s">
        <v>65</v>
      </c>
      <c r="D379" s="113" t="s">
        <v>72</v>
      </c>
      <c r="E379" s="117">
        <f>1.83*0.01</f>
        <v>1.83E-2</v>
      </c>
      <c r="F379" s="114">
        <f>E379*F374</f>
        <v>1.5921000000000001E-2</v>
      </c>
      <c r="G379" s="2">
        <v>500</v>
      </c>
      <c r="H379" s="39">
        <f t="shared" si="67"/>
        <v>7.9605000000000006</v>
      </c>
      <c r="I379" s="2"/>
      <c r="J379" s="39">
        <f t="shared" si="68"/>
        <v>0</v>
      </c>
      <c r="K379" s="2"/>
      <c r="L379" s="39">
        <f t="shared" si="69"/>
        <v>0</v>
      </c>
      <c r="M379" s="39">
        <f t="shared" si="70"/>
        <v>7.9605000000000006</v>
      </c>
    </row>
    <row r="380" spans="1:13" hidden="1" x14ac:dyDescent="0.25">
      <c r="A380" s="484"/>
      <c r="B380" s="113"/>
      <c r="C380" s="32" t="s">
        <v>31</v>
      </c>
      <c r="D380" s="156" t="s">
        <v>22</v>
      </c>
      <c r="E380" s="117">
        <f>40*0.01</f>
        <v>0.4</v>
      </c>
      <c r="F380" s="114">
        <f>E380*F374</f>
        <v>0.34800000000000003</v>
      </c>
      <c r="G380" s="2">
        <v>3.2</v>
      </c>
      <c r="H380" s="39">
        <f t="shared" si="67"/>
        <v>1.1136000000000001</v>
      </c>
      <c r="I380" s="2"/>
      <c r="J380" s="39">
        <f t="shared" si="68"/>
        <v>0</v>
      </c>
      <c r="K380" s="2"/>
      <c r="L380" s="39">
        <f t="shared" si="69"/>
        <v>0</v>
      </c>
      <c r="M380" s="39">
        <f t="shared" si="70"/>
        <v>1.1136000000000001</v>
      </c>
    </row>
    <row r="381" spans="1:13" hidden="1" x14ac:dyDescent="0.25">
      <c r="A381" s="484"/>
      <c r="B381" s="113" t="s">
        <v>79</v>
      </c>
      <c r="C381" s="139" t="s">
        <v>421</v>
      </c>
      <c r="D381" s="113" t="s">
        <v>62</v>
      </c>
      <c r="E381" s="117">
        <v>1.03</v>
      </c>
      <c r="F381" s="114">
        <f>0.023+0.031</f>
        <v>5.3999999999999999E-2</v>
      </c>
      <c r="G381" s="2">
        <v>1505</v>
      </c>
      <c r="H381" s="39">
        <f t="shared" si="67"/>
        <v>81.27</v>
      </c>
      <c r="I381" s="2"/>
      <c r="J381" s="39">
        <f t="shared" si="68"/>
        <v>0</v>
      </c>
      <c r="K381" s="2"/>
      <c r="L381" s="39">
        <f t="shared" si="69"/>
        <v>0</v>
      </c>
      <c r="M381" s="39">
        <f t="shared" si="70"/>
        <v>81.27</v>
      </c>
    </row>
    <row r="382" spans="1:13" hidden="1" x14ac:dyDescent="0.25">
      <c r="A382" s="485"/>
      <c r="B382" s="113" t="s">
        <v>80</v>
      </c>
      <c r="C382" s="139" t="s">
        <v>422</v>
      </c>
      <c r="D382" s="113" t="s">
        <v>62</v>
      </c>
      <c r="E382" s="117">
        <v>1.03</v>
      </c>
      <c r="F382" s="114">
        <v>1.7999999999999999E-2</v>
      </c>
      <c r="G382" s="2">
        <v>1696</v>
      </c>
      <c r="H382" s="39">
        <f t="shared" si="67"/>
        <v>30.527999999999999</v>
      </c>
      <c r="I382" s="2"/>
      <c r="J382" s="39">
        <f t="shared" si="68"/>
        <v>0</v>
      </c>
      <c r="K382" s="2"/>
      <c r="L382" s="39">
        <f t="shared" si="69"/>
        <v>0</v>
      </c>
      <c r="M382" s="39">
        <f t="shared" si="70"/>
        <v>30.527999999999999</v>
      </c>
    </row>
    <row r="383" spans="1:13" ht="31.5" hidden="1" x14ac:dyDescent="0.25">
      <c r="A383" s="486" t="s">
        <v>139</v>
      </c>
      <c r="B383" s="113"/>
      <c r="C383" s="5" t="s">
        <v>207</v>
      </c>
      <c r="D383" s="4"/>
      <c r="E383" s="236"/>
      <c r="F383" s="237"/>
      <c r="G383" s="172"/>
      <c r="H383" s="39">
        <f t="shared" si="67"/>
        <v>0</v>
      </c>
      <c r="I383" s="2"/>
      <c r="J383" s="39">
        <f t="shared" si="68"/>
        <v>0</v>
      </c>
      <c r="K383" s="2"/>
      <c r="L383" s="39">
        <f t="shared" si="69"/>
        <v>0</v>
      </c>
      <c r="M383" s="39">
        <f t="shared" si="70"/>
        <v>0</v>
      </c>
    </row>
    <row r="384" spans="1:13" ht="31.5" hidden="1" x14ac:dyDescent="0.25">
      <c r="A384" s="487"/>
      <c r="B384" s="113"/>
      <c r="C384" s="72" t="s">
        <v>208</v>
      </c>
      <c r="D384" s="6" t="s">
        <v>20</v>
      </c>
      <c r="E384" s="239"/>
      <c r="F384" s="240">
        <v>0.38300000000000001</v>
      </c>
      <c r="G384" s="39"/>
      <c r="H384" s="39">
        <f t="shared" si="67"/>
        <v>0</v>
      </c>
      <c r="I384" s="2"/>
      <c r="J384" s="39">
        <f t="shared" si="68"/>
        <v>0</v>
      </c>
      <c r="K384" s="2"/>
      <c r="L384" s="39">
        <f t="shared" si="69"/>
        <v>0</v>
      </c>
      <c r="M384" s="39">
        <f t="shared" si="70"/>
        <v>0</v>
      </c>
    </row>
    <row r="385" spans="1:13" ht="31.5" hidden="1" x14ac:dyDescent="0.25">
      <c r="A385" s="487"/>
      <c r="B385" s="113"/>
      <c r="C385" s="72" t="s">
        <v>209</v>
      </c>
      <c r="D385" s="6" t="s">
        <v>20</v>
      </c>
      <c r="E385" s="239"/>
      <c r="F385" s="240">
        <v>0.26900000000000002</v>
      </c>
      <c r="G385" s="39"/>
      <c r="H385" s="39">
        <f t="shared" si="67"/>
        <v>0</v>
      </c>
      <c r="I385" s="2"/>
      <c r="J385" s="39">
        <f t="shared" si="68"/>
        <v>0</v>
      </c>
      <c r="K385" s="2"/>
      <c r="L385" s="39">
        <f t="shared" si="69"/>
        <v>0</v>
      </c>
      <c r="M385" s="39">
        <f t="shared" si="70"/>
        <v>0</v>
      </c>
    </row>
    <row r="386" spans="1:13" ht="31.5" hidden="1" x14ac:dyDescent="0.25">
      <c r="A386" s="487"/>
      <c r="B386" s="113"/>
      <c r="C386" s="72" t="s">
        <v>210</v>
      </c>
      <c r="D386" s="6" t="s">
        <v>20</v>
      </c>
      <c r="E386" s="239"/>
      <c r="F386" s="240">
        <v>2.5000000000000001E-2</v>
      </c>
      <c r="G386" s="39"/>
      <c r="H386" s="39">
        <f t="shared" si="67"/>
        <v>0</v>
      </c>
      <c r="I386" s="2"/>
      <c r="J386" s="39">
        <f t="shared" si="68"/>
        <v>0</v>
      </c>
      <c r="K386" s="2"/>
      <c r="L386" s="39">
        <f t="shared" si="69"/>
        <v>0</v>
      </c>
      <c r="M386" s="39">
        <f t="shared" si="70"/>
        <v>0</v>
      </c>
    </row>
    <row r="387" spans="1:13" ht="31.5" hidden="1" x14ac:dyDescent="0.25">
      <c r="A387" s="487"/>
      <c r="B387" s="113"/>
      <c r="C387" s="72" t="s">
        <v>211</v>
      </c>
      <c r="D387" s="6" t="s">
        <v>20</v>
      </c>
      <c r="E387" s="239"/>
      <c r="F387" s="240">
        <v>0.441</v>
      </c>
      <c r="G387" s="39"/>
      <c r="H387" s="39">
        <f t="shared" si="67"/>
        <v>0</v>
      </c>
      <c r="I387" s="2"/>
      <c r="J387" s="39">
        <f t="shared" si="68"/>
        <v>0</v>
      </c>
      <c r="K387" s="2"/>
      <c r="L387" s="39">
        <f t="shared" si="69"/>
        <v>0</v>
      </c>
      <c r="M387" s="39">
        <f t="shared" si="70"/>
        <v>0</v>
      </c>
    </row>
    <row r="388" spans="1:13" hidden="1" x14ac:dyDescent="0.25">
      <c r="A388" s="487"/>
      <c r="B388" s="113"/>
      <c r="C388" s="72" t="s">
        <v>212</v>
      </c>
      <c r="D388" s="6" t="s">
        <v>20</v>
      </c>
      <c r="E388" s="239"/>
      <c r="F388" s="240">
        <v>3.0000000000000001E-3</v>
      </c>
      <c r="G388" s="39"/>
      <c r="H388" s="39">
        <f t="shared" si="67"/>
        <v>0</v>
      </c>
      <c r="I388" s="2"/>
      <c r="J388" s="39">
        <f t="shared" si="68"/>
        <v>0</v>
      </c>
      <c r="K388" s="2"/>
      <c r="L388" s="39">
        <f t="shared" si="69"/>
        <v>0</v>
      </c>
      <c r="M388" s="39">
        <f t="shared" si="70"/>
        <v>0</v>
      </c>
    </row>
    <row r="389" spans="1:13" hidden="1" x14ac:dyDescent="0.25">
      <c r="A389" s="487"/>
      <c r="B389" s="113"/>
      <c r="C389" s="72"/>
      <c r="D389" s="6"/>
      <c r="E389" s="239"/>
      <c r="F389" s="240"/>
      <c r="G389" s="39"/>
      <c r="H389" s="39">
        <f t="shared" si="67"/>
        <v>0</v>
      </c>
      <c r="I389" s="2"/>
      <c r="J389" s="39">
        <f t="shared" si="68"/>
        <v>0</v>
      </c>
      <c r="K389" s="2"/>
      <c r="L389" s="39">
        <f t="shared" si="69"/>
        <v>0</v>
      </c>
      <c r="M389" s="39">
        <f t="shared" si="70"/>
        <v>0</v>
      </c>
    </row>
    <row r="390" spans="1:13" hidden="1" x14ac:dyDescent="0.25">
      <c r="A390" s="487"/>
      <c r="B390" s="4"/>
      <c r="C390" s="72" t="s">
        <v>213</v>
      </c>
      <c r="D390" s="6" t="s">
        <v>20</v>
      </c>
      <c r="E390" s="51"/>
      <c r="F390" s="7">
        <f>F384+F385+F386+F387+F388</f>
        <v>1.121</v>
      </c>
      <c r="G390" s="39"/>
      <c r="H390" s="39">
        <f t="shared" si="67"/>
        <v>0</v>
      </c>
      <c r="I390" s="2"/>
      <c r="J390" s="39">
        <f t="shared" si="68"/>
        <v>0</v>
      </c>
      <c r="K390" s="2"/>
      <c r="L390" s="39">
        <f t="shared" si="69"/>
        <v>0</v>
      </c>
      <c r="M390" s="39">
        <f t="shared" si="70"/>
        <v>0</v>
      </c>
    </row>
    <row r="391" spans="1:13" ht="47.25" hidden="1" x14ac:dyDescent="0.25">
      <c r="A391" s="487"/>
      <c r="B391" s="4" t="s">
        <v>134</v>
      </c>
      <c r="C391" s="72" t="s">
        <v>214</v>
      </c>
      <c r="D391" s="4" t="s">
        <v>20</v>
      </c>
      <c r="E391" s="54"/>
      <c r="F391" s="7">
        <f>F390</f>
        <v>1.121</v>
      </c>
      <c r="G391" s="31"/>
      <c r="H391" s="39">
        <f t="shared" si="67"/>
        <v>0</v>
      </c>
      <c r="I391" s="31"/>
      <c r="J391" s="39">
        <f t="shared" si="68"/>
        <v>0</v>
      </c>
      <c r="K391" s="31"/>
      <c r="L391" s="39">
        <f t="shared" si="69"/>
        <v>0</v>
      </c>
      <c r="M391" s="39">
        <f t="shared" si="70"/>
        <v>0</v>
      </c>
    </row>
    <row r="392" spans="1:13" hidden="1" x14ac:dyDescent="0.25">
      <c r="A392" s="487"/>
      <c r="B392" s="4"/>
      <c r="C392" s="32" t="s">
        <v>23</v>
      </c>
      <c r="D392" s="4" t="s">
        <v>25</v>
      </c>
      <c r="E392" s="54">
        <v>13.9</v>
      </c>
      <c r="F392" s="30">
        <f>F391*E392</f>
        <v>15.581900000000001</v>
      </c>
      <c r="G392" s="31"/>
      <c r="H392" s="39">
        <f t="shared" si="67"/>
        <v>0</v>
      </c>
      <c r="I392" s="31">
        <v>7.8</v>
      </c>
      <c r="J392" s="39">
        <f t="shared" si="68"/>
        <v>121.53882</v>
      </c>
      <c r="K392" s="31"/>
      <c r="L392" s="39">
        <f t="shared" si="69"/>
        <v>0</v>
      </c>
      <c r="M392" s="39">
        <f t="shared" si="70"/>
        <v>121.53882</v>
      </c>
    </row>
    <row r="393" spans="1:13" hidden="1" x14ac:dyDescent="0.25">
      <c r="A393" s="487"/>
      <c r="B393" s="4" t="s">
        <v>78</v>
      </c>
      <c r="C393" s="32" t="s">
        <v>84</v>
      </c>
      <c r="D393" s="4" t="s">
        <v>26</v>
      </c>
      <c r="E393" s="54">
        <v>0.82</v>
      </c>
      <c r="F393" s="30">
        <f>F391*E393</f>
        <v>0.91921999999999993</v>
      </c>
      <c r="G393" s="31"/>
      <c r="H393" s="39">
        <f t="shared" si="67"/>
        <v>0</v>
      </c>
      <c r="I393" s="31"/>
      <c r="J393" s="39">
        <f t="shared" si="68"/>
        <v>0</v>
      </c>
      <c r="K393" s="31">
        <v>47.41</v>
      </c>
      <c r="L393" s="39">
        <f t="shared" si="69"/>
        <v>43.580220199999992</v>
      </c>
      <c r="M393" s="39">
        <f t="shared" si="70"/>
        <v>43.580220199999992</v>
      </c>
    </row>
    <row r="394" spans="1:13" hidden="1" x14ac:dyDescent="0.25">
      <c r="A394" s="487"/>
      <c r="B394" s="4" t="s">
        <v>78</v>
      </c>
      <c r="C394" s="32" t="s">
        <v>85</v>
      </c>
      <c r="D394" s="4" t="s">
        <v>26</v>
      </c>
      <c r="E394" s="54">
        <v>0.25</v>
      </c>
      <c r="F394" s="30">
        <f>F391*E394</f>
        <v>0.28025</v>
      </c>
      <c r="G394" s="31"/>
      <c r="H394" s="39">
        <f t="shared" si="67"/>
        <v>0</v>
      </c>
      <c r="I394" s="31"/>
      <c r="J394" s="39">
        <f t="shared" si="68"/>
        <v>0</v>
      </c>
      <c r="K394" s="31">
        <v>39.880000000000003</v>
      </c>
      <c r="L394" s="39">
        <f t="shared" si="69"/>
        <v>11.17637</v>
      </c>
      <c r="M394" s="39">
        <f t="shared" si="70"/>
        <v>11.17637</v>
      </c>
    </row>
    <row r="395" spans="1:13" hidden="1" x14ac:dyDescent="0.25">
      <c r="A395" s="487"/>
      <c r="B395" s="4"/>
      <c r="C395" s="32" t="s">
        <v>24</v>
      </c>
      <c r="D395" s="4" t="s">
        <v>22</v>
      </c>
      <c r="E395" s="54">
        <v>3.38</v>
      </c>
      <c r="F395" s="30">
        <f>F391*E395</f>
        <v>3.78898</v>
      </c>
      <c r="G395" s="31"/>
      <c r="H395" s="39">
        <f t="shared" si="67"/>
        <v>0</v>
      </c>
      <c r="I395" s="31"/>
      <c r="J395" s="39">
        <f t="shared" si="68"/>
        <v>0</v>
      </c>
      <c r="K395" s="31">
        <v>3.2</v>
      </c>
      <c r="L395" s="39">
        <f t="shared" si="69"/>
        <v>12.124736</v>
      </c>
      <c r="M395" s="39">
        <f t="shared" si="70"/>
        <v>12.124736</v>
      </c>
    </row>
    <row r="396" spans="1:13" hidden="1" x14ac:dyDescent="0.25">
      <c r="A396" s="487"/>
      <c r="B396" s="4"/>
      <c r="C396" s="122" t="s">
        <v>208</v>
      </c>
      <c r="D396" s="4" t="s">
        <v>20</v>
      </c>
      <c r="E396" s="236"/>
      <c r="F396" s="237">
        <v>0.38300000000000001</v>
      </c>
      <c r="G396" s="172">
        <v>1830</v>
      </c>
      <c r="H396" s="39">
        <f t="shared" si="67"/>
        <v>700.89</v>
      </c>
      <c r="I396" s="31"/>
      <c r="J396" s="39">
        <f t="shared" si="68"/>
        <v>0</v>
      </c>
      <c r="K396" s="31"/>
      <c r="L396" s="39">
        <f t="shared" si="69"/>
        <v>0</v>
      </c>
      <c r="M396" s="39">
        <f t="shared" si="70"/>
        <v>700.89</v>
      </c>
    </row>
    <row r="397" spans="1:13" hidden="1" x14ac:dyDescent="0.25">
      <c r="A397" s="487"/>
      <c r="B397" s="4"/>
      <c r="C397" s="122" t="s">
        <v>209</v>
      </c>
      <c r="D397" s="4" t="s">
        <v>20</v>
      </c>
      <c r="E397" s="236"/>
      <c r="F397" s="237">
        <v>0.26900000000000002</v>
      </c>
      <c r="G397" s="172">
        <v>1830</v>
      </c>
      <c r="H397" s="39">
        <f t="shared" si="67"/>
        <v>492.27000000000004</v>
      </c>
      <c r="I397" s="31"/>
      <c r="J397" s="39">
        <f t="shared" si="68"/>
        <v>0</v>
      </c>
      <c r="K397" s="31"/>
      <c r="L397" s="39">
        <f t="shared" si="69"/>
        <v>0</v>
      </c>
      <c r="M397" s="39">
        <f t="shared" si="70"/>
        <v>492.27000000000004</v>
      </c>
    </row>
    <row r="398" spans="1:13" hidden="1" x14ac:dyDescent="0.25">
      <c r="A398" s="487"/>
      <c r="B398" s="4"/>
      <c r="C398" s="122" t="s">
        <v>210</v>
      </c>
      <c r="D398" s="4" t="s">
        <v>20</v>
      </c>
      <c r="E398" s="236"/>
      <c r="F398" s="237">
        <v>2.5000000000000001E-2</v>
      </c>
      <c r="G398" s="172">
        <v>1960</v>
      </c>
      <c r="H398" s="39">
        <f t="shared" si="67"/>
        <v>49</v>
      </c>
      <c r="I398" s="31"/>
      <c r="J398" s="39">
        <f t="shared" si="68"/>
        <v>0</v>
      </c>
      <c r="K398" s="31"/>
      <c r="L398" s="39">
        <f t="shared" si="69"/>
        <v>0</v>
      </c>
      <c r="M398" s="39">
        <f t="shared" si="70"/>
        <v>49</v>
      </c>
    </row>
    <row r="399" spans="1:13" ht="31.5" hidden="1" x14ac:dyDescent="0.25">
      <c r="A399" s="487"/>
      <c r="B399" s="4"/>
      <c r="C399" s="122" t="s">
        <v>211</v>
      </c>
      <c r="D399" s="4" t="s">
        <v>20</v>
      </c>
      <c r="E399" s="236"/>
      <c r="F399" s="237">
        <v>0.441</v>
      </c>
      <c r="G399" s="172">
        <v>1830</v>
      </c>
      <c r="H399" s="39">
        <f t="shared" si="67"/>
        <v>807.03</v>
      </c>
      <c r="I399" s="31"/>
      <c r="J399" s="39">
        <f t="shared" si="68"/>
        <v>0</v>
      </c>
      <c r="K399" s="31"/>
      <c r="L399" s="39">
        <f t="shared" si="69"/>
        <v>0</v>
      </c>
      <c r="M399" s="39">
        <f t="shared" si="70"/>
        <v>807.03</v>
      </c>
    </row>
    <row r="400" spans="1:13" hidden="1" x14ac:dyDescent="0.25">
      <c r="A400" s="487"/>
      <c r="B400" s="4"/>
      <c r="C400" s="122" t="s">
        <v>212</v>
      </c>
      <c r="D400" s="4" t="s">
        <v>20</v>
      </c>
      <c r="E400" s="236"/>
      <c r="F400" s="237">
        <v>3.0000000000000001E-3</v>
      </c>
      <c r="G400" s="172">
        <v>1950</v>
      </c>
      <c r="H400" s="39">
        <f t="shared" si="67"/>
        <v>5.8500000000000005</v>
      </c>
      <c r="I400" s="31"/>
      <c r="J400" s="39">
        <f t="shared" si="68"/>
        <v>0</v>
      </c>
      <c r="K400" s="31"/>
      <c r="L400" s="39">
        <f t="shared" si="69"/>
        <v>0</v>
      </c>
      <c r="M400" s="39">
        <f t="shared" si="70"/>
        <v>5.8500000000000005</v>
      </c>
    </row>
    <row r="401" spans="1:13" ht="31.5" hidden="1" x14ac:dyDescent="0.25">
      <c r="A401" s="487"/>
      <c r="B401" s="4"/>
      <c r="C401" s="122" t="s">
        <v>215</v>
      </c>
      <c r="D401" s="4" t="s">
        <v>15</v>
      </c>
      <c r="E401" s="236"/>
      <c r="F401" s="237">
        <v>24</v>
      </c>
      <c r="G401" s="172">
        <v>2</v>
      </c>
      <c r="H401" s="39">
        <f t="shared" si="67"/>
        <v>48</v>
      </c>
      <c r="I401" s="31"/>
      <c r="J401" s="39">
        <f t="shared" si="68"/>
        <v>0</v>
      </c>
      <c r="K401" s="31"/>
      <c r="L401" s="39">
        <f t="shared" si="69"/>
        <v>0</v>
      </c>
      <c r="M401" s="39">
        <f t="shared" si="70"/>
        <v>48</v>
      </c>
    </row>
    <row r="402" spans="1:13" hidden="1" x14ac:dyDescent="0.25">
      <c r="A402" s="487"/>
      <c r="B402" s="4"/>
      <c r="C402" s="122" t="s">
        <v>46</v>
      </c>
      <c r="D402" s="4" t="s">
        <v>19</v>
      </c>
      <c r="E402" s="236"/>
      <c r="F402" s="237">
        <f>8+7+10</f>
        <v>25</v>
      </c>
      <c r="G402" s="172">
        <v>3.7</v>
      </c>
      <c r="H402" s="39">
        <f t="shared" si="67"/>
        <v>92.5</v>
      </c>
      <c r="I402" s="31"/>
      <c r="J402" s="39">
        <f t="shared" si="68"/>
        <v>0</v>
      </c>
      <c r="K402" s="31"/>
      <c r="L402" s="39">
        <f t="shared" si="69"/>
        <v>0</v>
      </c>
      <c r="M402" s="39">
        <f t="shared" si="70"/>
        <v>92.5</v>
      </c>
    </row>
    <row r="403" spans="1:13" hidden="1" x14ac:dyDescent="0.25">
      <c r="A403" s="488"/>
      <c r="B403" s="4"/>
      <c r="C403" s="122" t="s">
        <v>31</v>
      </c>
      <c r="D403" s="4" t="s">
        <v>22</v>
      </c>
      <c r="E403" s="54">
        <v>2.78</v>
      </c>
      <c r="F403" s="30">
        <f>F391*E403</f>
        <v>3.1163799999999999</v>
      </c>
      <c r="G403" s="31">
        <v>3.2</v>
      </c>
      <c r="H403" s="39">
        <f t="shared" si="67"/>
        <v>9.9724160000000008</v>
      </c>
      <c r="I403" s="31"/>
      <c r="J403" s="39">
        <f t="shared" si="68"/>
        <v>0</v>
      </c>
      <c r="K403" s="31"/>
      <c r="L403" s="39">
        <f t="shared" si="69"/>
        <v>0</v>
      </c>
      <c r="M403" s="39">
        <f t="shared" si="70"/>
        <v>9.9724160000000008</v>
      </c>
    </row>
    <row r="404" spans="1:13" ht="47.25" hidden="1" x14ac:dyDescent="0.25">
      <c r="A404" s="489" t="s">
        <v>140</v>
      </c>
      <c r="B404" s="4" t="s">
        <v>216</v>
      </c>
      <c r="C404" s="97" t="s">
        <v>217</v>
      </c>
      <c r="D404" s="4" t="s">
        <v>103</v>
      </c>
      <c r="E404" s="54"/>
      <c r="F404" s="7">
        <f>(0.11+0.11)*2*20+(0.04+0.04)*2*80+0.53*1</f>
        <v>22.130000000000003</v>
      </c>
      <c r="G404" s="31"/>
      <c r="H404" s="39">
        <f t="shared" si="67"/>
        <v>0</v>
      </c>
      <c r="I404" s="31"/>
      <c r="J404" s="39">
        <f t="shared" si="68"/>
        <v>0</v>
      </c>
      <c r="K404" s="31"/>
      <c r="L404" s="39">
        <f t="shared" si="69"/>
        <v>0</v>
      </c>
      <c r="M404" s="39">
        <f t="shared" si="70"/>
        <v>0</v>
      </c>
    </row>
    <row r="405" spans="1:13" hidden="1" x14ac:dyDescent="0.25">
      <c r="A405" s="490"/>
      <c r="B405" s="4"/>
      <c r="C405" s="122" t="s">
        <v>23</v>
      </c>
      <c r="D405" s="4" t="s">
        <v>25</v>
      </c>
      <c r="E405" s="54">
        <v>38.799999999999997</v>
      </c>
      <c r="F405" s="30">
        <f>F404*E405</f>
        <v>858.64400000000001</v>
      </c>
      <c r="G405" s="31"/>
      <c r="H405" s="39">
        <f t="shared" si="67"/>
        <v>0</v>
      </c>
      <c r="I405" s="31">
        <v>7.8</v>
      </c>
      <c r="J405" s="39">
        <f t="shared" si="68"/>
        <v>6697.4232000000002</v>
      </c>
      <c r="K405" s="31"/>
      <c r="L405" s="39">
        <f t="shared" si="69"/>
        <v>0</v>
      </c>
      <c r="M405" s="39">
        <f t="shared" si="70"/>
        <v>6697.4232000000002</v>
      </c>
    </row>
    <row r="406" spans="1:13" hidden="1" x14ac:dyDescent="0.25">
      <c r="A406" s="490"/>
      <c r="B406" s="4"/>
      <c r="C406" s="122" t="s">
        <v>30</v>
      </c>
      <c r="D406" s="4" t="s">
        <v>25</v>
      </c>
      <c r="E406" s="54">
        <v>0.03</v>
      </c>
      <c r="F406" s="30">
        <f>F404*E406</f>
        <v>0.66390000000000005</v>
      </c>
      <c r="G406" s="31"/>
      <c r="H406" s="39">
        <f t="shared" si="67"/>
        <v>0</v>
      </c>
      <c r="I406" s="31"/>
      <c r="J406" s="39">
        <f t="shared" si="68"/>
        <v>0</v>
      </c>
      <c r="K406" s="31">
        <v>3.2</v>
      </c>
      <c r="L406" s="39">
        <f t="shared" si="69"/>
        <v>2.1244800000000001</v>
      </c>
      <c r="M406" s="39">
        <f t="shared" si="70"/>
        <v>2.1244800000000001</v>
      </c>
    </row>
    <row r="407" spans="1:13" hidden="1" x14ac:dyDescent="0.25">
      <c r="A407" s="490"/>
      <c r="B407" s="4" t="s">
        <v>218</v>
      </c>
      <c r="C407" s="122" t="s">
        <v>219</v>
      </c>
      <c r="D407" s="4" t="s">
        <v>19</v>
      </c>
      <c r="E407" s="54">
        <v>35</v>
      </c>
      <c r="F407" s="30">
        <f>F404*E407</f>
        <v>774.55000000000007</v>
      </c>
      <c r="G407" s="31">
        <v>4.2</v>
      </c>
      <c r="H407" s="39">
        <f t="shared" si="67"/>
        <v>3253.1100000000006</v>
      </c>
      <c r="I407" s="31"/>
      <c r="J407" s="39">
        <f t="shared" si="68"/>
        <v>0</v>
      </c>
      <c r="K407" s="31"/>
      <c r="L407" s="39">
        <f t="shared" si="69"/>
        <v>0</v>
      </c>
      <c r="M407" s="39">
        <f t="shared" si="70"/>
        <v>3253.1100000000006</v>
      </c>
    </row>
    <row r="408" spans="1:13" hidden="1" x14ac:dyDescent="0.25">
      <c r="A408" s="490"/>
      <c r="B408" s="4"/>
      <c r="C408" s="122" t="s">
        <v>31</v>
      </c>
      <c r="D408" s="4" t="s">
        <v>22</v>
      </c>
      <c r="E408" s="54">
        <v>0.19</v>
      </c>
      <c r="F408" s="30">
        <f>F404*E408</f>
        <v>4.2047000000000008</v>
      </c>
      <c r="G408" s="31">
        <v>3.2</v>
      </c>
      <c r="H408" s="39">
        <f t="shared" si="67"/>
        <v>13.455040000000004</v>
      </c>
      <c r="I408" s="31"/>
      <c r="J408" s="39">
        <f t="shared" si="68"/>
        <v>0</v>
      </c>
      <c r="K408" s="31"/>
      <c r="L408" s="39">
        <f t="shared" si="69"/>
        <v>0</v>
      </c>
      <c r="M408" s="39">
        <f t="shared" si="70"/>
        <v>13.455040000000004</v>
      </c>
    </row>
    <row r="409" spans="1:13" ht="63" hidden="1" x14ac:dyDescent="0.25">
      <c r="A409" s="490" t="s">
        <v>141</v>
      </c>
      <c r="B409" s="4" t="s">
        <v>220</v>
      </c>
      <c r="C409" s="97" t="s">
        <v>231</v>
      </c>
      <c r="D409" s="4" t="s">
        <v>103</v>
      </c>
      <c r="E409" s="54"/>
      <c r="F409" s="7">
        <f>61/100</f>
        <v>0.61</v>
      </c>
      <c r="G409" s="31"/>
      <c r="H409" s="39">
        <f t="shared" si="67"/>
        <v>0</v>
      </c>
      <c r="I409" s="31"/>
      <c r="J409" s="39">
        <f t="shared" si="68"/>
        <v>0</v>
      </c>
      <c r="K409" s="31"/>
      <c r="L409" s="39">
        <f t="shared" si="69"/>
        <v>0</v>
      </c>
      <c r="M409" s="39">
        <f t="shared" si="70"/>
        <v>0</v>
      </c>
    </row>
    <row r="410" spans="1:13" hidden="1" x14ac:dyDescent="0.25">
      <c r="A410" s="490"/>
      <c r="B410" s="4"/>
      <c r="C410" s="122" t="s">
        <v>23</v>
      </c>
      <c r="D410" s="4" t="s">
        <v>25</v>
      </c>
      <c r="E410" s="54">
        <v>42.9</v>
      </c>
      <c r="F410" s="30">
        <f>F409*E410</f>
        <v>26.168999999999997</v>
      </c>
      <c r="G410" s="31"/>
      <c r="H410" s="39">
        <f t="shared" si="67"/>
        <v>0</v>
      </c>
      <c r="I410" s="31">
        <v>7.8</v>
      </c>
      <c r="J410" s="39">
        <f t="shared" si="68"/>
        <v>204.11819999999997</v>
      </c>
      <c r="K410" s="31"/>
      <c r="L410" s="39">
        <f t="shared" si="69"/>
        <v>0</v>
      </c>
      <c r="M410" s="39">
        <f t="shared" si="70"/>
        <v>204.11819999999997</v>
      </c>
    </row>
    <row r="411" spans="1:13" hidden="1" x14ac:dyDescent="0.25">
      <c r="A411" s="490"/>
      <c r="B411" s="4"/>
      <c r="C411" s="122" t="s">
        <v>30</v>
      </c>
      <c r="D411" s="4" t="s">
        <v>26</v>
      </c>
      <c r="E411" s="54">
        <v>2.64</v>
      </c>
      <c r="F411" s="30">
        <f>F409*E411</f>
        <v>1.6104000000000001</v>
      </c>
      <c r="G411" s="31"/>
      <c r="H411" s="39">
        <f t="shared" si="67"/>
        <v>0</v>
      </c>
      <c r="I411" s="31"/>
      <c r="J411" s="39">
        <f t="shared" si="68"/>
        <v>0</v>
      </c>
      <c r="K411" s="31">
        <v>3.2</v>
      </c>
      <c r="L411" s="39">
        <f t="shared" si="69"/>
        <v>5.1532800000000005</v>
      </c>
      <c r="M411" s="39">
        <f t="shared" si="70"/>
        <v>5.1532800000000005</v>
      </c>
    </row>
    <row r="412" spans="1:13" ht="31.5" hidden="1" x14ac:dyDescent="0.25">
      <c r="A412" s="490"/>
      <c r="B412" s="4" t="s">
        <v>221</v>
      </c>
      <c r="C412" s="122" t="s">
        <v>222</v>
      </c>
      <c r="D412" s="4" t="s">
        <v>18</v>
      </c>
      <c r="E412" s="54">
        <v>130</v>
      </c>
      <c r="F412" s="30">
        <f>F409*E412</f>
        <v>79.3</v>
      </c>
      <c r="G412" s="31">
        <v>27</v>
      </c>
      <c r="H412" s="39">
        <f t="shared" si="67"/>
        <v>2141.1</v>
      </c>
      <c r="I412" s="31"/>
      <c r="J412" s="39">
        <f t="shared" si="68"/>
        <v>0</v>
      </c>
      <c r="K412" s="31"/>
      <c r="L412" s="39">
        <f t="shared" si="69"/>
        <v>0</v>
      </c>
      <c r="M412" s="39">
        <f t="shared" si="70"/>
        <v>2141.1</v>
      </c>
    </row>
    <row r="413" spans="1:13" hidden="1" x14ac:dyDescent="0.25">
      <c r="A413" s="490"/>
      <c r="B413" s="4" t="s">
        <v>136</v>
      </c>
      <c r="C413" s="122" t="s">
        <v>135</v>
      </c>
      <c r="D413" s="4" t="s">
        <v>15</v>
      </c>
      <c r="E413" s="54">
        <v>600</v>
      </c>
      <c r="F413" s="30">
        <f>F409*E413</f>
        <v>366</v>
      </c>
      <c r="G413" s="31">
        <v>0.12</v>
      </c>
      <c r="H413" s="39">
        <f t="shared" si="67"/>
        <v>43.92</v>
      </c>
      <c r="I413" s="31"/>
      <c r="J413" s="39">
        <f t="shared" si="68"/>
        <v>0</v>
      </c>
      <c r="K413" s="31"/>
      <c r="L413" s="39">
        <f t="shared" si="69"/>
        <v>0</v>
      </c>
      <c r="M413" s="39">
        <f t="shared" si="70"/>
        <v>43.92</v>
      </c>
    </row>
    <row r="414" spans="1:13" hidden="1" x14ac:dyDescent="0.25">
      <c r="A414" s="490"/>
      <c r="B414" s="4" t="s">
        <v>223</v>
      </c>
      <c r="C414" s="122" t="s">
        <v>224</v>
      </c>
      <c r="D414" s="4" t="s">
        <v>19</v>
      </c>
      <c r="E414" s="54">
        <v>7.9</v>
      </c>
      <c r="F414" s="30">
        <f>F409*E414</f>
        <v>4.819</v>
      </c>
      <c r="G414" s="31">
        <v>3.6</v>
      </c>
      <c r="H414" s="39">
        <f t="shared" si="67"/>
        <v>17.348400000000002</v>
      </c>
      <c r="I414" s="31"/>
      <c r="J414" s="39">
        <f t="shared" si="68"/>
        <v>0</v>
      </c>
      <c r="K414" s="31"/>
      <c r="L414" s="39">
        <f t="shared" si="69"/>
        <v>0</v>
      </c>
      <c r="M414" s="39">
        <f t="shared" si="70"/>
        <v>17.348400000000002</v>
      </c>
    </row>
    <row r="415" spans="1:13" hidden="1" x14ac:dyDescent="0.25">
      <c r="A415" s="491"/>
      <c r="B415" s="4"/>
      <c r="C415" s="122" t="s">
        <v>31</v>
      </c>
      <c r="D415" s="4" t="s">
        <v>22</v>
      </c>
      <c r="E415" s="54">
        <v>6.36</v>
      </c>
      <c r="F415" s="30">
        <f>F409*E415</f>
        <v>3.8795999999999999</v>
      </c>
      <c r="G415" s="31">
        <v>3.2</v>
      </c>
      <c r="H415" s="39">
        <f t="shared" si="67"/>
        <v>12.414720000000001</v>
      </c>
      <c r="I415" s="31"/>
      <c r="J415" s="39">
        <f t="shared" si="68"/>
        <v>0</v>
      </c>
      <c r="K415" s="31"/>
      <c r="L415" s="39">
        <f t="shared" si="69"/>
        <v>0</v>
      </c>
      <c r="M415" s="39">
        <f t="shared" si="70"/>
        <v>12.414720000000001</v>
      </c>
    </row>
    <row r="429" spans="1:14" ht="31.5" hidden="1" x14ac:dyDescent="0.25">
      <c r="A429" s="241" t="s">
        <v>111</v>
      </c>
      <c r="B429" s="4"/>
      <c r="C429" s="5" t="s">
        <v>268</v>
      </c>
      <c r="D429" s="4"/>
      <c r="E429" s="30"/>
      <c r="F429" s="30"/>
      <c r="G429" s="31"/>
      <c r="H429" s="31"/>
      <c r="I429" s="31"/>
      <c r="J429" s="31"/>
      <c r="K429" s="31"/>
      <c r="L429" s="31"/>
      <c r="M429" s="31"/>
      <c r="N429" s="1"/>
    </row>
    <row r="430" spans="1:14" hidden="1" x14ac:dyDescent="0.25">
      <c r="A430" s="480" t="s">
        <v>253</v>
      </c>
      <c r="B430" s="81" t="s">
        <v>73</v>
      </c>
      <c r="C430" s="89" t="s">
        <v>269</v>
      </c>
      <c r="D430" s="67" t="s">
        <v>17</v>
      </c>
      <c r="E430" s="68"/>
      <c r="F430" s="87">
        <f xml:space="preserve"> (1*2*2) *0.6*0.8+2.1*1.7*2*0.2</f>
        <v>3.3479999999999999</v>
      </c>
      <c r="G430" s="69"/>
      <c r="H430" s="31"/>
      <c r="I430" s="69"/>
      <c r="J430" s="31"/>
      <c r="K430" s="70"/>
      <c r="L430" s="31"/>
      <c r="M430" s="40"/>
      <c r="N430" s="1"/>
    </row>
    <row r="431" spans="1:14" hidden="1" x14ac:dyDescent="0.25">
      <c r="A431" s="482"/>
      <c r="B431" s="67"/>
      <c r="C431" s="66" t="s">
        <v>23</v>
      </c>
      <c r="D431" s="67" t="s">
        <v>25</v>
      </c>
      <c r="E431" s="68">
        <v>3.88</v>
      </c>
      <c r="F431" s="68">
        <f>F430*E431</f>
        <v>12.990239999999998</v>
      </c>
      <c r="G431" s="69"/>
      <c r="H431" s="31"/>
      <c r="I431" s="153">
        <v>3</v>
      </c>
      <c r="J431" s="40">
        <f>F431*I431</f>
        <v>38.970719999999993</v>
      </c>
      <c r="K431" s="40"/>
      <c r="L431" s="40"/>
      <c r="M431" s="40">
        <f>H431+J431+L431</f>
        <v>38.970719999999993</v>
      </c>
      <c r="N431" s="1"/>
    </row>
    <row r="432" spans="1:14" hidden="1" x14ac:dyDescent="0.25">
      <c r="A432" s="480" t="s">
        <v>254</v>
      </c>
      <c r="B432" s="81" t="s">
        <v>68</v>
      </c>
      <c r="C432" s="89" t="s">
        <v>267</v>
      </c>
      <c r="D432" s="67" t="s">
        <v>17</v>
      </c>
      <c r="E432" s="68"/>
      <c r="F432" s="87">
        <f>0.8*0.1*(1*2*2)+1.7*2.1*2*0.1</f>
        <v>1.034</v>
      </c>
      <c r="G432" s="69"/>
      <c r="H432" s="31"/>
      <c r="I432" s="69"/>
      <c r="J432" s="40"/>
      <c r="K432" s="40"/>
      <c r="L432" s="40"/>
      <c r="M432" s="40"/>
      <c r="N432" s="1"/>
    </row>
    <row r="433" spans="1:14" hidden="1" x14ac:dyDescent="0.25">
      <c r="A433" s="481"/>
      <c r="B433" s="67"/>
      <c r="C433" s="66" t="s">
        <v>81</v>
      </c>
      <c r="D433" s="67" t="s">
        <v>82</v>
      </c>
      <c r="E433" s="68">
        <v>3.52</v>
      </c>
      <c r="F433" s="68">
        <f>F432*E433</f>
        <v>3.6396800000000002</v>
      </c>
      <c r="G433" s="69"/>
      <c r="H433" s="31"/>
      <c r="I433" s="69">
        <v>6</v>
      </c>
      <c r="J433" s="31">
        <f>F433*I433</f>
        <v>21.838080000000001</v>
      </c>
      <c r="K433" s="70"/>
      <c r="L433" s="31"/>
      <c r="M433" s="31">
        <f>H433+J433+L433</f>
        <v>21.838080000000001</v>
      </c>
      <c r="N433" s="1"/>
    </row>
    <row r="434" spans="1:14" hidden="1" x14ac:dyDescent="0.25">
      <c r="A434" s="481"/>
      <c r="B434" s="67"/>
      <c r="C434" s="66" t="s">
        <v>30</v>
      </c>
      <c r="D434" s="67" t="s">
        <v>22</v>
      </c>
      <c r="E434" s="68">
        <v>1.06</v>
      </c>
      <c r="F434" s="68">
        <f>F432*E434</f>
        <v>1.0960400000000001</v>
      </c>
      <c r="G434" s="69"/>
      <c r="H434" s="31"/>
      <c r="I434" s="31"/>
      <c r="J434" s="31"/>
      <c r="K434" s="70">
        <v>3.2</v>
      </c>
      <c r="L434" s="31">
        <f>F434*K434</f>
        <v>3.5073280000000007</v>
      </c>
      <c r="M434" s="31">
        <f>H434+J434+L434</f>
        <v>3.5073280000000007</v>
      </c>
      <c r="N434" s="1"/>
    </row>
    <row r="435" spans="1:14" hidden="1" x14ac:dyDescent="0.25">
      <c r="A435" s="481"/>
      <c r="B435" s="67"/>
      <c r="C435" s="66" t="s">
        <v>124</v>
      </c>
      <c r="D435" s="67" t="s">
        <v>17</v>
      </c>
      <c r="E435" s="68">
        <f>0.18+0.09+0.97</f>
        <v>1.24</v>
      </c>
      <c r="F435" s="68">
        <f>F432*E435</f>
        <v>1.28216</v>
      </c>
      <c r="G435" s="69">
        <v>16</v>
      </c>
      <c r="H435" s="31">
        <f>F435*G435</f>
        <v>20.514559999999999</v>
      </c>
      <c r="I435" s="31"/>
      <c r="J435" s="31"/>
      <c r="K435" s="70"/>
      <c r="L435" s="31"/>
      <c r="M435" s="31">
        <f>H435+J435+L435</f>
        <v>20.514559999999999</v>
      </c>
      <c r="N435" s="1"/>
    </row>
    <row r="436" spans="1:14" hidden="1" x14ac:dyDescent="0.25">
      <c r="A436" s="482"/>
      <c r="B436" s="67"/>
      <c r="C436" s="66" t="s">
        <v>28</v>
      </c>
      <c r="D436" s="67" t="s">
        <v>22</v>
      </c>
      <c r="E436" s="68">
        <v>0.02</v>
      </c>
      <c r="F436" s="68">
        <f>F432*E436</f>
        <v>2.068E-2</v>
      </c>
      <c r="G436" s="69">
        <v>3.2</v>
      </c>
      <c r="H436" s="31">
        <f>F436*G436</f>
        <v>6.6175999999999999E-2</v>
      </c>
      <c r="I436" s="31"/>
      <c r="J436" s="31"/>
      <c r="K436" s="70"/>
      <c r="L436" s="31"/>
      <c r="M436" s="31">
        <f>H436+J436+L436</f>
        <v>6.6175999999999999E-2</v>
      </c>
      <c r="N436" s="1"/>
    </row>
    <row r="437" spans="1:14" ht="31.5" hidden="1" x14ac:dyDescent="0.25">
      <c r="A437" s="480" t="s">
        <v>197</v>
      </c>
      <c r="B437" s="81" t="s">
        <v>233</v>
      </c>
      <c r="C437" s="89" t="s">
        <v>232</v>
      </c>
      <c r="D437" s="67" t="s">
        <v>17</v>
      </c>
      <c r="E437" s="68"/>
      <c r="F437" s="87">
        <f>2.1*1.7*2*0.15+(0.3*0.15)/2*1.7*6*2+  (1*2*2)*(0.4+0.8+0.4*1.2)</f>
        <v>8.25</v>
      </c>
      <c r="G437" s="69"/>
      <c r="H437" s="31"/>
      <c r="I437" s="69"/>
      <c r="J437" s="31"/>
      <c r="K437" s="70"/>
      <c r="L437" s="31"/>
      <c r="M437" s="40"/>
      <c r="N437" s="1"/>
    </row>
    <row r="438" spans="1:14" hidden="1" x14ac:dyDescent="0.25">
      <c r="A438" s="481"/>
      <c r="B438" s="67"/>
      <c r="C438" s="66" t="s">
        <v>23</v>
      </c>
      <c r="D438" s="67" t="s">
        <v>234</v>
      </c>
      <c r="E438" s="68">
        <v>13.9</v>
      </c>
      <c r="F438" s="68">
        <f>F437*E438</f>
        <v>114.675</v>
      </c>
      <c r="G438" s="69"/>
      <c r="H438" s="31"/>
      <c r="I438" s="69">
        <v>4</v>
      </c>
      <c r="J438" s="40">
        <f>F438*I438</f>
        <v>458.7</v>
      </c>
      <c r="K438" s="40"/>
      <c r="L438" s="40"/>
      <c r="M438" s="40">
        <f t="shared" ref="M438:M446" si="71">H438+J438+L438</f>
        <v>458.7</v>
      </c>
      <c r="N438" s="1"/>
    </row>
    <row r="439" spans="1:14" hidden="1" x14ac:dyDescent="0.25">
      <c r="A439" s="481"/>
      <c r="B439" s="67"/>
      <c r="C439" s="66" t="s">
        <v>30</v>
      </c>
      <c r="D439" s="67" t="s">
        <v>22</v>
      </c>
      <c r="E439" s="68">
        <v>1.28</v>
      </c>
      <c r="F439" s="68">
        <f>F437*E439</f>
        <v>10.56</v>
      </c>
      <c r="G439" s="69"/>
      <c r="H439" s="31"/>
      <c r="I439" s="69"/>
      <c r="J439" s="31"/>
      <c r="K439" s="40">
        <v>3.2</v>
      </c>
      <c r="L439" s="40">
        <f>F439*K439</f>
        <v>33.792000000000002</v>
      </c>
      <c r="M439" s="40">
        <f t="shared" si="71"/>
        <v>33.792000000000002</v>
      </c>
      <c r="N439" s="1"/>
    </row>
    <row r="440" spans="1:14" hidden="1" x14ac:dyDescent="0.25">
      <c r="A440" s="481"/>
      <c r="B440" s="67"/>
      <c r="C440" s="66" t="s">
        <v>206</v>
      </c>
      <c r="D440" s="67" t="s">
        <v>17</v>
      </c>
      <c r="E440" s="68">
        <v>1.0149999999999999</v>
      </c>
      <c r="F440" s="68">
        <f>F437*E440</f>
        <v>8.3737499999999994</v>
      </c>
      <c r="G440" s="69">
        <v>113</v>
      </c>
      <c r="H440" s="40">
        <f t="shared" ref="H440:H446" si="72">F440*G440</f>
        <v>946.23374999999987</v>
      </c>
      <c r="I440" s="40"/>
      <c r="J440" s="40"/>
      <c r="K440" s="40"/>
      <c r="L440" s="40"/>
      <c r="M440" s="40">
        <f t="shared" si="71"/>
        <v>946.23374999999987</v>
      </c>
      <c r="N440" s="1"/>
    </row>
    <row r="441" spans="1:14" hidden="1" x14ac:dyDescent="0.25">
      <c r="A441" s="481"/>
      <c r="B441" s="67"/>
      <c r="C441" s="66" t="s">
        <v>235</v>
      </c>
      <c r="D441" s="67" t="s">
        <v>18</v>
      </c>
      <c r="E441" s="68">
        <v>2.29</v>
      </c>
      <c r="F441" s="68">
        <f>F437*E441</f>
        <v>18.892500000000002</v>
      </c>
      <c r="G441" s="69">
        <v>16</v>
      </c>
      <c r="H441" s="40">
        <f t="shared" si="72"/>
        <v>302.28000000000003</v>
      </c>
      <c r="I441" s="40"/>
      <c r="J441" s="40"/>
      <c r="K441" s="40"/>
      <c r="L441" s="40"/>
      <c r="M441" s="40">
        <f t="shared" si="71"/>
        <v>302.28000000000003</v>
      </c>
      <c r="N441" s="1"/>
    </row>
    <row r="442" spans="1:14" hidden="1" x14ac:dyDescent="0.25">
      <c r="A442" s="481"/>
      <c r="B442" s="67"/>
      <c r="C442" s="66" t="s">
        <v>190</v>
      </c>
      <c r="D442" s="67" t="s">
        <v>17</v>
      </c>
      <c r="E442" s="68">
        <f>(1.4+4.29+0.2)/100</f>
        <v>5.8899999999999994E-2</v>
      </c>
      <c r="F442" s="68">
        <f>F437*E442</f>
        <v>0.48592499999999994</v>
      </c>
      <c r="G442" s="69">
        <v>490</v>
      </c>
      <c r="H442" s="40">
        <f t="shared" si="72"/>
        <v>238.10324999999997</v>
      </c>
      <c r="I442" s="40"/>
      <c r="J442" s="40"/>
      <c r="K442" s="40"/>
      <c r="L442" s="40"/>
      <c r="M442" s="40">
        <f t="shared" si="71"/>
        <v>238.10324999999997</v>
      </c>
      <c r="N442" s="1"/>
    </row>
    <row r="443" spans="1:14" hidden="1" x14ac:dyDescent="0.25">
      <c r="A443" s="481"/>
      <c r="B443" s="67"/>
      <c r="C443" s="66" t="s">
        <v>46</v>
      </c>
      <c r="D443" s="67" t="s">
        <v>19</v>
      </c>
      <c r="E443" s="68">
        <v>2.5</v>
      </c>
      <c r="F443" s="68">
        <f>F437*E443</f>
        <v>20.625</v>
      </c>
      <c r="G443" s="69">
        <v>3.8</v>
      </c>
      <c r="H443" s="40">
        <f t="shared" si="72"/>
        <v>78.375</v>
      </c>
      <c r="I443" s="40"/>
      <c r="J443" s="40"/>
      <c r="K443" s="40"/>
      <c r="L443" s="40"/>
      <c r="M443" s="40">
        <f t="shared" si="71"/>
        <v>78.375</v>
      </c>
      <c r="N443" s="1"/>
    </row>
    <row r="444" spans="1:14" hidden="1" x14ac:dyDescent="0.25">
      <c r="A444" s="481"/>
      <c r="B444" s="67"/>
      <c r="C444" s="66" t="s">
        <v>28</v>
      </c>
      <c r="D444" s="67" t="s">
        <v>22</v>
      </c>
      <c r="E444" s="68">
        <v>0.93</v>
      </c>
      <c r="F444" s="68">
        <f>F437*E444</f>
        <v>7.6725000000000003</v>
      </c>
      <c r="G444" s="69">
        <v>3.2</v>
      </c>
      <c r="H444" s="40">
        <f t="shared" si="72"/>
        <v>24.552000000000003</v>
      </c>
      <c r="I444" s="40"/>
      <c r="J444" s="40"/>
      <c r="K444" s="40"/>
      <c r="L444" s="40"/>
      <c r="M444" s="40">
        <f t="shared" si="71"/>
        <v>24.552000000000003</v>
      </c>
      <c r="N444" s="1"/>
    </row>
    <row r="445" spans="1:14" hidden="1" x14ac:dyDescent="0.25">
      <c r="A445" s="481"/>
      <c r="B445" s="67"/>
      <c r="C445" s="138" t="s">
        <v>419</v>
      </c>
      <c r="D445" s="4" t="s">
        <v>226</v>
      </c>
      <c r="E445" s="123"/>
      <c r="F445" s="123">
        <f>(  (30*2*(1.6+0.8)) + (9+6)*2*(1*2*2)  )*0.395*1.03/1000     +   2*1.7*2.1*16*0.395*1.03/1000 + ( ((0.3+0.3)+(0.15+0.1))*((1.7/0.15)+1)+1.7*3 )*12*0.395*1.03/1000</f>
        <v>0.22996789400000001</v>
      </c>
      <c r="G445" s="2">
        <v>1561</v>
      </c>
      <c r="H445" s="31">
        <f t="shared" si="72"/>
        <v>358.97988253400001</v>
      </c>
      <c r="I445" s="31"/>
      <c r="J445" s="31"/>
      <c r="K445" s="31"/>
      <c r="L445" s="31"/>
      <c r="M445" s="31">
        <f t="shared" si="71"/>
        <v>358.97988253400001</v>
      </c>
      <c r="N445" s="1"/>
    </row>
    <row r="446" spans="1:14" hidden="1" x14ac:dyDescent="0.25">
      <c r="A446" s="482"/>
      <c r="B446" s="67"/>
      <c r="C446" s="138" t="s">
        <v>420</v>
      </c>
      <c r="D446" s="4" t="s">
        <v>226</v>
      </c>
      <c r="E446" s="123"/>
      <c r="F446" s="123">
        <f>30*7*0.5*0.222*1.03/1000</f>
        <v>2.4009300000000001E-2</v>
      </c>
      <c r="G446" s="31">
        <v>1760</v>
      </c>
      <c r="H446" s="31">
        <f t="shared" si="72"/>
        <v>42.256368000000002</v>
      </c>
      <c r="I446" s="31"/>
      <c r="J446" s="31"/>
      <c r="K446" s="31"/>
      <c r="L446" s="31"/>
      <c r="M446" s="31">
        <f t="shared" si="71"/>
        <v>42.256368000000002</v>
      </c>
      <c r="N446" s="1"/>
    </row>
  </sheetData>
  <autoFilter ref="A8:M361"/>
  <mergeCells count="54">
    <mergeCell ref="A10:A11"/>
    <mergeCell ref="A34:A36"/>
    <mergeCell ref="A37:A41"/>
    <mergeCell ref="A18:A19"/>
    <mergeCell ref="A29:A30"/>
    <mergeCell ref="A1:M1"/>
    <mergeCell ref="A3:M3"/>
    <mergeCell ref="A4:M4"/>
    <mergeCell ref="A6:A7"/>
    <mergeCell ref="B6:B7"/>
    <mergeCell ref="C6:C7"/>
    <mergeCell ref="D6:D7"/>
    <mergeCell ref="G6:H6"/>
    <mergeCell ref="I6:J6"/>
    <mergeCell ref="K6:L6"/>
    <mergeCell ref="M6:M7"/>
    <mergeCell ref="E6:F6"/>
    <mergeCell ref="A67:A73"/>
    <mergeCell ref="A122:A127"/>
    <mergeCell ref="A149:A155"/>
    <mergeCell ref="A140:A143"/>
    <mergeCell ref="A144:A148"/>
    <mergeCell ref="A138:A139"/>
    <mergeCell ref="A83:A84"/>
    <mergeCell ref="A85:A88"/>
    <mergeCell ref="A115:A121"/>
    <mergeCell ref="A89:A102"/>
    <mergeCell ref="A103:A108"/>
    <mergeCell ref="A190:A195"/>
    <mergeCell ref="A432:A436"/>
    <mergeCell ref="A430:A431"/>
    <mergeCell ref="A437:A446"/>
    <mergeCell ref="A109:A114"/>
    <mergeCell ref="A374:A382"/>
    <mergeCell ref="A383:A403"/>
    <mergeCell ref="A404:A408"/>
    <mergeCell ref="A409:A415"/>
    <mergeCell ref="A184:A189"/>
    <mergeCell ref="A177:A178"/>
    <mergeCell ref="A179:A183"/>
    <mergeCell ref="A241:A247"/>
    <mergeCell ref="A196:A200"/>
    <mergeCell ref="A278:A281"/>
    <mergeCell ref="A282:A286"/>
    <mergeCell ref="A202:A203"/>
    <mergeCell ref="A204:A208"/>
    <mergeCell ref="A209:A214"/>
    <mergeCell ref="A215:A220"/>
    <mergeCell ref="A287:A292"/>
    <mergeCell ref="A248:A251"/>
    <mergeCell ref="A252:A255"/>
    <mergeCell ref="A257:A262"/>
    <mergeCell ref="A263:A270"/>
    <mergeCell ref="A271:A277"/>
  </mergeCells>
  <conditionalFormatting sqref="C219:C220 D218:D220 D215:D216">
    <cfRule type="cellIs" dxfId="4" priority="5" stopIfTrue="1" operator="equal">
      <formula>8223.307275</formula>
    </cfRule>
  </conditionalFormatting>
  <conditionalFormatting sqref="C293:D293">
    <cfRule type="cellIs" dxfId="3" priority="3" stopIfTrue="1" operator="equal">
      <formula>8223.307275</formula>
    </cfRule>
  </conditionalFormatting>
  <conditionalFormatting sqref="C240:D252 C224:D238 F251 F256">
    <cfRule type="cellIs" dxfId="2" priority="2" stopIfTrue="1" operator="equal">
      <formula>8223.307275</formula>
    </cfRule>
  </conditionalFormatting>
  <pageMargins left="0.72" right="0.15748031496062992" top="0.55118110236220474" bottom="0.43307086614173229" header="0.27559055118110237" footer="0.31496062992125984"/>
  <pageSetup paperSize="9" scale="85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V55"/>
  <sheetViews>
    <sheetView zoomScale="110" zoomScaleNormal="110" zoomScaleSheetLayoutView="160" workbookViewId="0">
      <selection activeCell="C30" sqref="C30"/>
    </sheetView>
  </sheetViews>
  <sheetFormatPr defaultColWidth="8.85546875" defaultRowHeight="16.5" x14ac:dyDescent="0.25"/>
  <cols>
    <col min="1" max="1" width="8.7109375" style="224" customWidth="1"/>
    <col min="2" max="2" width="10.7109375" style="224" customWidth="1"/>
    <col min="3" max="3" width="39.85546875" style="44" customWidth="1"/>
    <col min="4" max="4" width="10.140625" style="225" customWidth="1"/>
    <col min="5" max="5" width="9.28515625" style="226" customWidth="1"/>
    <col min="6" max="6" width="10.5703125" style="226" customWidth="1"/>
    <col min="7" max="7" width="9" style="227" customWidth="1"/>
    <col min="8" max="8" width="12.42578125" style="227" customWidth="1"/>
    <col min="9" max="9" width="7.140625" style="227" customWidth="1"/>
    <col min="10" max="10" width="9.7109375" style="227" customWidth="1"/>
    <col min="11" max="11" width="7.28515625" style="227" customWidth="1"/>
    <col min="12" max="12" width="9.28515625" style="227" customWidth="1"/>
    <col min="13" max="13" width="18.28515625" style="227" customWidth="1"/>
    <col min="14" max="14" width="11.42578125" style="38" customWidth="1"/>
    <col min="15" max="15" width="7.5703125" style="52" customWidth="1"/>
    <col min="16" max="16" width="12.140625" style="52" customWidth="1"/>
    <col min="17" max="17" width="26.85546875" style="52" customWidth="1"/>
    <col min="18" max="18" width="37" style="52" customWidth="1"/>
    <col min="19" max="16384" width="8.85546875" style="52"/>
  </cols>
  <sheetData>
    <row r="1" spans="1:19" s="41" customFormat="1" ht="15.75" x14ac:dyDescent="0.25">
      <c r="A1" s="499" t="str">
        <f>krebsiti!A3</f>
        <v>q.borjomSi axali ubnis dasaxlebaSi გრ. ხანძთელის ქ.#9 mimdebared skveris mowyobis samuSaoebi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2"/>
    </row>
    <row r="2" spans="1:19" s="41" customFormat="1" ht="15.75" x14ac:dyDescent="0.25">
      <c r="A2" s="46"/>
      <c r="B2" s="46"/>
      <c r="C2" s="46"/>
      <c r="D2" s="46"/>
      <c r="E2" s="47"/>
      <c r="F2" s="47"/>
      <c r="G2" s="48"/>
      <c r="H2" s="48"/>
      <c r="I2" s="48"/>
      <c r="J2" s="48"/>
      <c r="K2" s="48"/>
      <c r="L2" s="48"/>
      <c r="M2" s="48"/>
      <c r="N2" s="42"/>
    </row>
    <row r="3" spans="1:19" s="41" customFormat="1" ht="15.75" customHeight="1" x14ac:dyDescent="0.25">
      <c r="A3" s="499" t="s">
        <v>47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2"/>
    </row>
    <row r="4" spans="1:19" s="41" customFormat="1" ht="15.75" x14ac:dyDescent="0.25">
      <c r="A4" s="46"/>
      <c r="B4" s="46"/>
      <c r="C4" s="46"/>
      <c r="D4" s="46"/>
      <c r="E4" s="47"/>
      <c r="F4" s="47"/>
      <c r="G4" s="48"/>
      <c r="H4" s="48"/>
      <c r="I4" s="48"/>
      <c r="J4" s="48"/>
      <c r="K4" s="48"/>
      <c r="L4" s="48"/>
      <c r="M4" s="48"/>
      <c r="N4" s="42"/>
    </row>
    <row r="5" spans="1:19" s="41" customFormat="1" ht="15.75" customHeight="1" x14ac:dyDescent="0.25">
      <c r="A5" s="499" t="s">
        <v>180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2"/>
    </row>
    <row r="6" spans="1:19" s="41" customFormat="1" ht="15.75" x14ac:dyDescent="0.25">
      <c r="A6" s="245"/>
      <c r="B6" s="245"/>
      <c r="C6" s="245"/>
      <c r="D6" s="277"/>
      <c r="E6" s="246"/>
      <c r="F6" s="246"/>
      <c r="G6" s="247"/>
      <c r="H6" s="247"/>
      <c r="I6" s="247"/>
      <c r="J6" s="247"/>
      <c r="K6" s="247"/>
      <c r="L6" s="247"/>
      <c r="M6" s="247"/>
      <c r="N6" s="42"/>
    </row>
    <row r="7" spans="1:19" s="41" customFormat="1" ht="15.75" customHeight="1" x14ac:dyDescent="0.25">
      <c r="A7" s="502" t="s">
        <v>0</v>
      </c>
      <c r="B7" s="502" t="s">
        <v>1</v>
      </c>
      <c r="C7" s="502" t="s">
        <v>2</v>
      </c>
      <c r="D7" s="502" t="s">
        <v>3</v>
      </c>
      <c r="E7" s="516" t="s">
        <v>4</v>
      </c>
      <c r="F7" s="516" t="s">
        <v>5</v>
      </c>
      <c r="G7" s="506" t="s">
        <v>6</v>
      </c>
      <c r="H7" s="507"/>
      <c r="I7" s="506" t="s">
        <v>7</v>
      </c>
      <c r="J7" s="507"/>
      <c r="K7" s="506" t="s">
        <v>27</v>
      </c>
      <c r="L7" s="507"/>
      <c r="M7" s="518" t="s">
        <v>8</v>
      </c>
      <c r="N7" s="42"/>
    </row>
    <row r="8" spans="1:19" s="41" customFormat="1" ht="31.5" x14ac:dyDescent="0.25">
      <c r="A8" s="503"/>
      <c r="B8" s="503"/>
      <c r="C8" s="503"/>
      <c r="D8" s="503"/>
      <c r="E8" s="517"/>
      <c r="F8" s="517"/>
      <c r="G8" s="31" t="s">
        <v>9</v>
      </c>
      <c r="H8" s="31" t="s">
        <v>10</v>
      </c>
      <c r="I8" s="31" t="s">
        <v>9</v>
      </c>
      <c r="J8" s="31" t="s">
        <v>10</v>
      </c>
      <c r="K8" s="31" t="s">
        <v>9</v>
      </c>
      <c r="L8" s="31" t="s">
        <v>10</v>
      </c>
      <c r="M8" s="519"/>
      <c r="N8" s="42"/>
    </row>
    <row r="9" spans="1:19" x14ac:dyDescent="0.25">
      <c r="A9" s="4">
        <v>1</v>
      </c>
      <c r="B9" s="4">
        <v>2</v>
      </c>
      <c r="C9" s="29">
        <v>3</v>
      </c>
      <c r="D9" s="4">
        <v>4</v>
      </c>
      <c r="E9" s="30">
        <v>5</v>
      </c>
      <c r="F9" s="4">
        <v>6</v>
      </c>
      <c r="G9" s="30">
        <v>7</v>
      </c>
      <c r="H9" s="4">
        <v>8</v>
      </c>
      <c r="I9" s="30">
        <v>9</v>
      </c>
      <c r="J9" s="4">
        <v>10</v>
      </c>
      <c r="K9" s="30">
        <v>11</v>
      </c>
      <c r="L9" s="4">
        <v>12</v>
      </c>
      <c r="M9" s="30">
        <v>13</v>
      </c>
    </row>
    <row r="10" spans="1:19" x14ac:dyDescent="0.25">
      <c r="A10" s="279"/>
      <c r="B10" s="279"/>
      <c r="C10" s="280" t="s">
        <v>176</v>
      </c>
      <c r="D10" s="281"/>
      <c r="E10" s="282"/>
      <c r="F10" s="282"/>
      <c r="G10" s="69"/>
      <c r="H10" s="31"/>
      <c r="I10" s="69"/>
      <c r="J10" s="31"/>
      <c r="K10" s="70"/>
      <c r="L10" s="31"/>
      <c r="M10" s="31"/>
    </row>
    <row r="11" spans="1:19" ht="31.5" x14ac:dyDescent="0.25">
      <c r="A11" s="4"/>
      <c r="B11" s="4"/>
      <c r="C11" s="97" t="s">
        <v>230</v>
      </c>
      <c r="D11" s="6" t="s">
        <v>130</v>
      </c>
      <c r="E11" s="30"/>
      <c r="F11" s="7">
        <v>4</v>
      </c>
      <c r="G11" s="69"/>
      <c r="H11" s="31"/>
      <c r="I11" s="69"/>
      <c r="J11" s="31"/>
      <c r="K11" s="70"/>
      <c r="L11" s="31"/>
      <c r="M11" s="31"/>
    </row>
    <row r="12" spans="1:19" ht="47.25" x14ac:dyDescent="0.25">
      <c r="A12" s="511">
        <v>1</v>
      </c>
      <c r="B12" s="283" t="s">
        <v>87</v>
      </c>
      <c r="C12" s="89" t="s">
        <v>172</v>
      </c>
      <c r="D12" s="283" t="s">
        <v>154</v>
      </c>
      <c r="E12" s="284"/>
      <c r="F12" s="285">
        <f>25*0.25*0.7/1000</f>
        <v>4.3750000000000004E-3</v>
      </c>
      <c r="G12" s="69"/>
      <c r="H12" s="31"/>
      <c r="I12" s="69"/>
      <c r="J12" s="31"/>
      <c r="K12" s="70"/>
      <c r="L12" s="31"/>
      <c r="M12" s="31"/>
    </row>
    <row r="13" spans="1:19" x14ac:dyDescent="0.25">
      <c r="A13" s="512"/>
      <c r="B13" s="286"/>
      <c r="C13" s="66" t="s">
        <v>155</v>
      </c>
      <c r="D13" s="286" t="s">
        <v>128</v>
      </c>
      <c r="E13" s="284">
        <v>15.4</v>
      </c>
      <c r="F13" s="284">
        <f>F12*E13</f>
        <v>6.7375000000000004E-2</v>
      </c>
      <c r="G13" s="69"/>
      <c r="H13" s="31"/>
      <c r="I13" s="69"/>
      <c r="J13" s="31">
        <f>F13*I13</f>
        <v>0</v>
      </c>
      <c r="K13" s="70"/>
      <c r="L13" s="31"/>
      <c r="M13" s="31">
        <f>H13+J13+L13</f>
        <v>0</v>
      </c>
    </row>
    <row r="14" spans="1:19" x14ac:dyDescent="0.25">
      <c r="A14" s="513"/>
      <c r="B14" s="286" t="s">
        <v>173</v>
      </c>
      <c r="C14" s="66" t="s">
        <v>156</v>
      </c>
      <c r="D14" s="286" t="s">
        <v>157</v>
      </c>
      <c r="E14" s="284">
        <v>72.599999999999994</v>
      </c>
      <c r="F14" s="284">
        <f>F12*E14</f>
        <v>0.31762499999999999</v>
      </c>
      <c r="G14" s="69"/>
      <c r="H14" s="31"/>
      <c r="I14" s="69"/>
      <c r="J14" s="31"/>
      <c r="K14" s="70"/>
      <c r="L14" s="31">
        <f>F14*K14</f>
        <v>0</v>
      </c>
      <c r="M14" s="31">
        <f>H14+J14+L14</f>
        <v>0</v>
      </c>
    </row>
    <row r="15" spans="1:19" ht="47.25" hidden="1" x14ac:dyDescent="0.25">
      <c r="A15" s="287">
        <v>2</v>
      </c>
      <c r="B15" s="81" t="s">
        <v>73</v>
      </c>
      <c r="C15" s="288" t="s">
        <v>158</v>
      </c>
      <c r="D15" s="283" t="s">
        <v>159</v>
      </c>
      <c r="E15" s="68"/>
      <c r="F15" s="289">
        <f>0.4*0.4*0.8*F11</f>
        <v>0.51200000000000012</v>
      </c>
      <c r="G15" s="290"/>
      <c r="H15" s="291"/>
      <c r="I15" s="290"/>
      <c r="J15" s="291"/>
      <c r="K15" s="292"/>
      <c r="L15" s="291"/>
      <c r="M15" s="291"/>
      <c r="N15" s="509" t="s">
        <v>386</v>
      </c>
      <c r="O15" s="510"/>
      <c r="P15" s="510"/>
      <c r="Q15" s="510"/>
      <c r="R15" s="510"/>
      <c r="S15" s="510"/>
    </row>
    <row r="16" spans="1:19" hidden="1" x14ac:dyDescent="0.25">
      <c r="A16" s="293"/>
      <c r="B16" s="67"/>
      <c r="C16" s="66" t="s">
        <v>155</v>
      </c>
      <c r="D16" s="67" t="s">
        <v>128</v>
      </c>
      <c r="E16" s="68">
        <v>3.88</v>
      </c>
      <c r="F16" s="294">
        <f>F15*E16</f>
        <v>1.9865600000000003</v>
      </c>
      <c r="G16" s="290"/>
      <c r="H16" s="291"/>
      <c r="I16" s="290"/>
      <c r="J16" s="291">
        <v>0</v>
      </c>
      <c r="K16" s="292"/>
      <c r="L16" s="291"/>
      <c r="M16" s="291">
        <v>0</v>
      </c>
    </row>
    <row r="17" spans="1:18" ht="31.5" x14ac:dyDescent="0.25">
      <c r="A17" s="514" t="s">
        <v>119</v>
      </c>
      <c r="B17" s="81" t="s">
        <v>67</v>
      </c>
      <c r="C17" s="288" t="s">
        <v>160</v>
      </c>
      <c r="D17" s="283" t="s">
        <v>159</v>
      </c>
      <c r="E17" s="68"/>
      <c r="F17" s="87">
        <f>0.25*0.7*25</f>
        <v>4.375</v>
      </c>
      <c r="G17" s="69"/>
      <c r="H17" s="31"/>
      <c r="I17" s="69"/>
      <c r="J17" s="31"/>
      <c r="K17" s="70"/>
      <c r="L17" s="31"/>
      <c r="M17" s="31"/>
    </row>
    <row r="18" spans="1:18" x14ac:dyDescent="0.25">
      <c r="A18" s="515"/>
      <c r="B18" s="67"/>
      <c r="C18" s="66" t="s">
        <v>155</v>
      </c>
      <c r="D18" s="67" t="s">
        <v>128</v>
      </c>
      <c r="E18" s="68">
        <v>2.06</v>
      </c>
      <c r="F18" s="68">
        <f>F17*E18</f>
        <v>9.0125000000000011</v>
      </c>
      <c r="G18" s="69"/>
      <c r="H18" s="31"/>
      <c r="I18" s="69"/>
      <c r="J18" s="31">
        <f>F18*I18</f>
        <v>0</v>
      </c>
      <c r="K18" s="70"/>
      <c r="L18" s="31"/>
      <c r="M18" s="31">
        <f>H18+J18+L18</f>
        <v>0</v>
      </c>
    </row>
    <row r="19" spans="1:18" ht="30.75" x14ac:dyDescent="0.25">
      <c r="A19" s="511" t="s">
        <v>120</v>
      </c>
      <c r="B19" s="283" t="s">
        <v>395</v>
      </c>
      <c r="C19" s="295" t="s">
        <v>460</v>
      </c>
      <c r="D19" s="283" t="s">
        <v>162</v>
      </c>
      <c r="E19" s="284"/>
      <c r="F19" s="285">
        <v>25</v>
      </c>
      <c r="G19" s="69"/>
      <c r="H19" s="31"/>
      <c r="I19" s="69"/>
      <c r="J19" s="31"/>
      <c r="K19" s="70"/>
      <c r="L19" s="31"/>
      <c r="M19" s="31"/>
      <c r="N19" s="296"/>
      <c r="O19" s="297"/>
      <c r="P19" s="297"/>
      <c r="Q19" s="297"/>
      <c r="R19" s="297"/>
    </row>
    <row r="20" spans="1:18" x14ac:dyDescent="0.25">
      <c r="A20" s="512"/>
      <c r="B20" s="286"/>
      <c r="C20" s="66" t="s">
        <v>155</v>
      </c>
      <c r="D20" s="286" t="s">
        <v>128</v>
      </c>
      <c r="E20" s="284">
        <v>0.13900000000000001</v>
      </c>
      <c r="F20" s="284">
        <f>F19*E20</f>
        <v>3.4750000000000005</v>
      </c>
      <c r="G20" s="69"/>
      <c r="H20" s="31"/>
      <c r="I20" s="69"/>
      <c r="J20" s="31">
        <f>F20*I20</f>
        <v>0</v>
      </c>
      <c r="K20" s="70"/>
      <c r="L20" s="31"/>
      <c r="M20" s="31">
        <f>H20+J20+L20</f>
        <v>0</v>
      </c>
    </row>
    <row r="21" spans="1:18" x14ac:dyDescent="0.25">
      <c r="A21" s="512"/>
      <c r="B21" s="286"/>
      <c r="C21" s="66" t="s">
        <v>163</v>
      </c>
      <c r="D21" s="286" t="s">
        <v>129</v>
      </c>
      <c r="E21" s="284">
        <v>0</v>
      </c>
      <c r="F21" s="284">
        <f>F19*E21</f>
        <v>0</v>
      </c>
      <c r="G21" s="69"/>
      <c r="H21" s="31"/>
      <c r="I21" s="69"/>
      <c r="J21" s="31"/>
      <c r="K21" s="70"/>
      <c r="L21" s="31">
        <f>F21*K21</f>
        <v>0</v>
      </c>
      <c r="M21" s="31">
        <f>H21+J21+L21</f>
        <v>0</v>
      </c>
    </row>
    <row r="22" spans="1:18" ht="30.75" x14ac:dyDescent="0.25">
      <c r="A22" s="512"/>
      <c r="B22" s="286"/>
      <c r="C22" s="298" t="s">
        <v>461</v>
      </c>
      <c r="D22" s="286" t="s">
        <v>162</v>
      </c>
      <c r="E22" s="284">
        <v>0.99</v>
      </c>
      <c r="F22" s="284">
        <f>F19*E22</f>
        <v>24.75</v>
      </c>
      <c r="G22" s="69"/>
      <c r="H22" s="31">
        <f t="shared" ref="H22:H23" si="0">F22*G22</f>
        <v>0</v>
      </c>
      <c r="I22" s="69"/>
      <c r="J22" s="31"/>
      <c r="K22" s="70"/>
      <c r="L22" s="31"/>
      <c r="M22" s="31">
        <f>H22+J22+L22</f>
        <v>0</v>
      </c>
    </row>
    <row r="23" spans="1:18" x14ac:dyDescent="0.25">
      <c r="A23" s="513"/>
      <c r="B23" s="286"/>
      <c r="C23" s="66" t="s">
        <v>164</v>
      </c>
      <c r="D23" s="286" t="s">
        <v>129</v>
      </c>
      <c r="E23" s="284">
        <v>3.65E-3</v>
      </c>
      <c r="F23" s="284">
        <f>F19*E23</f>
        <v>9.1249999999999998E-2</v>
      </c>
      <c r="G23" s="69"/>
      <c r="H23" s="31">
        <f t="shared" si="0"/>
        <v>0</v>
      </c>
      <c r="I23" s="69"/>
      <c r="J23" s="31"/>
      <c r="K23" s="70"/>
      <c r="L23" s="31"/>
      <c r="M23" s="31">
        <f>H23+J23+L23</f>
        <v>0</v>
      </c>
    </row>
    <row r="24" spans="1:18" ht="31.5" x14ac:dyDescent="0.25">
      <c r="A24" s="520" t="s">
        <v>111</v>
      </c>
      <c r="B24" s="118" t="s">
        <v>318</v>
      </c>
      <c r="C24" s="65" t="s">
        <v>165</v>
      </c>
      <c r="D24" s="118" t="s">
        <v>162</v>
      </c>
      <c r="E24" s="120"/>
      <c r="F24" s="120">
        <v>25</v>
      </c>
      <c r="G24" s="69"/>
      <c r="H24" s="31"/>
      <c r="I24" s="69"/>
      <c r="J24" s="31"/>
      <c r="K24" s="70"/>
      <c r="L24" s="31"/>
      <c r="M24" s="31"/>
    </row>
    <row r="25" spans="1:18" x14ac:dyDescent="0.25">
      <c r="A25" s="521"/>
      <c r="B25" s="121"/>
      <c r="C25" s="15" t="s">
        <v>155</v>
      </c>
      <c r="D25" s="286" t="s">
        <v>128</v>
      </c>
      <c r="E25" s="119">
        <f>11/1000</f>
        <v>1.0999999999999999E-2</v>
      </c>
      <c r="F25" s="119">
        <f>F24*E25</f>
        <v>0.27499999999999997</v>
      </c>
      <c r="G25" s="69"/>
      <c r="H25" s="31"/>
      <c r="I25" s="69"/>
      <c r="J25" s="31">
        <f>F25*I25</f>
        <v>0</v>
      </c>
      <c r="K25" s="70"/>
      <c r="L25" s="31"/>
      <c r="M25" s="31">
        <f>H25+J25+L25</f>
        <v>0</v>
      </c>
    </row>
    <row r="26" spans="1:18" x14ac:dyDescent="0.25">
      <c r="A26" s="522"/>
      <c r="B26" s="299"/>
      <c r="C26" s="300" t="s">
        <v>166</v>
      </c>
      <c r="D26" s="301" t="s">
        <v>162</v>
      </c>
      <c r="E26" s="302"/>
      <c r="F26" s="302">
        <f>F24</f>
        <v>25</v>
      </c>
      <c r="G26" s="69"/>
      <c r="H26" s="31">
        <f>F26*G26</f>
        <v>0</v>
      </c>
      <c r="I26" s="69"/>
      <c r="J26" s="31"/>
      <c r="K26" s="70"/>
      <c r="L26" s="31"/>
      <c r="M26" s="31">
        <f>H26+J26+L26</f>
        <v>0</v>
      </c>
    </row>
    <row r="27" spans="1:18" ht="31.5" x14ac:dyDescent="0.25">
      <c r="A27" s="523" t="s">
        <v>153</v>
      </c>
      <c r="B27" s="303" t="s">
        <v>88</v>
      </c>
      <c r="C27" s="304" t="s">
        <v>167</v>
      </c>
      <c r="D27" s="303" t="s">
        <v>161</v>
      </c>
      <c r="E27" s="305"/>
      <c r="F27" s="306">
        <f>+F17</f>
        <v>4.375</v>
      </c>
      <c r="G27" s="69"/>
      <c r="H27" s="31"/>
      <c r="I27" s="69"/>
      <c r="J27" s="31"/>
      <c r="K27" s="70"/>
      <c r="L27" s="31"/>
      <c r="M27" s="31"/>
    </row>
    <row r="28" spans="1:18" x14ac:dyDescent="0.25">
      <c r="A28" s="524"/>
      <c r="B28" s="307"/>
      <c r="C28" s="308" t="s">
        <v>155</v>
      </c>
      <c r="D28" s="307" t="s">
        <v>128</v>
      </c>
      <c r="E28" s="305">
        <v>1.21</v>
      </c>
      <c r="F28" s="305">
        <f>F27*E28</f>
        <v>5.2937500000000002</v>
      </c>
      <c r="G28" s="69"/>
      <c r="H28" s="31"/>
      <c r="I28" s="69"/>
      <c r="J28" s="31">
        <f>F28*I28</f>
        <v>0</v>
      </c>
      <c r="K28" s="70"/>
      <c r="L28" s="31"/>
      <c r="M28" s="31">
        <f>H28+J28+L28</f>
        <v>0</v>
      </c>
    </row>
    <row r="29" spans="1:18" ht="49.5" customHeight="1" x14ac:dyDescent="0.25">
      <c r="A29" s="511" t="s">
        <v>183</v>
      </c>
      <c r="B29" s="283" t="s">
        <v>396</v>
      </c>
      <c r="C29" s="89" t="s">
        <v>168</v>
      </c>
      <c r="D29" s="283" t="s">
        <v>161</v>
      </c>
      <c r="E29" s="284"/>
      <c r="F29" s="285">
        <f>0.4*0.4*(0.8)*F11</f>
        <v>0.51200000000000012</v>
      </c>
      <c r="G29" s="290"/>
      <c r="H29" s="291"/>
      <c r="I29" s="290"/>
      <c r="J29" s="291"/>
      <c r="K29" s="292"/>
      <c r="L29" s="291"/>
      <c r="M29" s="291"/>
      <c r="N29" s="296"/>
      <c r="O29" s="297"/>
      <c r="P29" s="297"/>
      <c r="Q29" s="297"/>
    </row>
    <row r="30" spans="1:18" x14ac:dyDescent="0.25">
      <c r="A30" s="512"/>
      <c r="B30" s="286"/>
      <c r="C30" s="66" t="s">
        <v>155</v>
      </c>
      <c r="D30" s="286" t="s">
        <v>128</v>
      </c>
      <c r="E30" s="284">
        <v>1.96</v>
      </c>
      <c r="F30" s="309">
        <f>F29*E30</f>
        <v>1.0035200000000002</v>
      </c>
      <c r="G30" s="290"/>
      <c r="H30" s="291"/>
      <c r="I30" s="310"/>
      <c r="J30" s="311">
        <f>F30*I30</f>
        <v>0</v>
      </c>
      <c r="K30" s="312"/>
      <c r="L30" s="311"/>
      <c r="M30" s="311">
        <f t="shared" ref="M30:M33" si="1">H30+J30+L30</f>
        <v>0</v>
      </c>
    </row>
    <row r="31" spans="1:18" x14ac:dyDescent="0.25">
      <c r="A31" s="512"/>
      <c r="B31" s="286"/>
      <c r="C31" s="66" t="s">
        <v>163</v>
      </c>
      <c r="D31" s="286" t="s">
        <v>129</v>
      </c>
      <c r="E31" s="284">
        <v>0</v>
      </c>
      <c r="F31" s="309">
        <f>F29*E31</f>
        <v>0</v>
      </c>
      <c r="G31" s="290"/>
      <c r="H31" s="291"/>
      <c r="I31" s="310"/>
      <c r="J31" s="311"/>
      <c r="K31" s="312"/>
      <c r="L31" s="311">
        <f>F31*K31</f>
        <v>0</v>
      </c>
      <c r="M31" s="311">
        <f t="shared" si="1"/>
        <v>0</v>
      </c>
    </row>
    <row r="32" spans="1:18" x14ac:dyDescent="0.25">
      <c r="A32" s="512"/>
      <c r="B32" s="286"/>
      <c r="C32" s="66" t="s">
        <v>327</v>
      </c>
      <c r="D32" s="286" t="s">
        <v>161</v>
      </c>
      <c r="E32" s="284">
        <v>1.0149999999999999</v>
      </c>
      <c r="F32" s="309">
        <f>F29*E32</f>
        <v>0.51968000000000003</v>
      </c>
      <c r="G32" s="310"/>
      <c r="H32" s="311">
        <f>F32*G32</f>
        <v>0</v>
      </c>
      <c r="I32" s="310"/>
      <c r="J32" s="311"/>
      <c r="K32" s="312"/>
      <c r="L32" s="311"/>
      <c r="M32" s="311">
        <f t="shared" si="1"/>
        <v>0</v>
      </c>
    </row>
    <row r="33" spans="1:22" ht="31.5" x14ac:dyDescent="0.25">
      <c r="A33" s="513"/>
      <c r="B33" s="4"/>
      <c r="C33" s="122" t="s">
        <v>169</v>
      </c>
      <c r="D33" s="4" t="s">
        <v>170</v>
      </c>
      <c r="E33" s="284" t="s">
        <v>311</v>
      </c>
      <c r="F33" s="313">
        <f>0.4*4*2*0.395*1.03/1000*F11</f>
        <v>5.207680000000001E-3</v>
      </c>
      <c r="G33" s="310"/>
      <c r="H33" s="311">
        <f>F33*G33</f>
        <v>0</v>
      </c>
      <c r="I33" s="310"/>
      <c r="J33" s="311"/>
      <c r="K33" s="312"/>
      <c r="L33" s="311"/>
      <c r="M33" s="311">
        <f t="shared" si="1"/>
        <v>0</v>
      </c>
    </row>
    <row r="34" spans="1:22" ht="47.25" x14ac:dyDescent="0.25">
      <c r="A34" s="525" t="s">
        <v>186</v>
      </c>
      <c r="B34" s="314" t="s">
        <v>397</v>
      </c>
      <c r="C34" s="72" t="s">
        <v>242</v>
      </c>
      <c r="D34" s="4" t="s">
        <v>130</v>
      </c>
      <c r="E34" s="30"/>
      <c r="F34" s="7">
        <f>F11</f>
        <v>4</v>
      </c>
      <c r="G34" s="31"/>
      <c r="H34" s="31"/>
      <c r="I34" s="31"/>
      <c r="J34" s="31"/>
      <c r="K34" s="31"/>
      <c r="L34" s="31"/>
      <c r="M34" s="31"/>
      <c r="N34" s="315"/>
      <c r="O34" s="316"/>
      <c r="P34" s="316"/>
      <c r="Q34" s="316"/>
      <c r="R34" s="317"/>
      <c r="S34" s="316"/>
      <c r="T34" s="316"/>
      <c r="U34" s="316"/>
      <c r="V34" s="316"/>
    </row>
    <row r="35" spans="1:22" x14ac:dyDescent="0.25">
      <c r="A35" s="526"/>
      <c r="B35" s="307"/>
      <c r="C35" s="318" t="s">
        <v>155</v>
      </c>
      <c r="D35" s="307" t="s">
        <v>128</v>
      </c>
      <c r="E35" s="319">
        <v>2.52</v>
      </c>
      <c r="F35" s="319">
        <f>F34*E35</f>
        <v>10.08</v>
      </c>
      <c r="G35" s="83"/>
      <c r="H35" s="40"/>
      <c r="I35" s="83"/>
      <c r="J35" s="40">
        <f>F35*I35</f>
        <v>0</v>
      </c>
      <c r="K35" s="84"/>
      <c r="L35" s="40"/>
      <c r="M35" s="40">
        <f>J35</f>
        <v>0</v>
      </c>
      <c r="R35" s="317"/>
    </row>
    <row r="36" spans="1:22" x14ac:dyDescent="0.25">
      <c r="A36" s="526"/>
      <c r="B36" s="307" t="s">
        <v>401</v>
      </c>
      <c r="C36" s="318" t="s">
        <v>398</v>
      </c>
      <c r="D36" s="307" t="s">
        <v>26</v>
      </c>
      <c r="E36" s="319">
        <v>1.2</v>
      </c>
      <c r="F36" s="319">
        <f>F34*E36</f>
        <v>4.8</v>
      </c>
      <c r="G36" s="83"/>
      <c r="H36" s="40"/>
      <c r="I36" s="83"/>
      <c r="J36" s="40"/>
      <c r="K36" s="84"/>
      <c r="L36" s="40">
        <f>F36*K36</f>
        <v>0</v>
      </c>
      <c r="M36" s="40">
        <f>L36</f>
        <v>0</v>
      </c>
      <c r="R36" s="317"/>
    </row>
    <row r="37" spans="1:22" x14ac:dyDescent="0.25">
      <c r="A37" s="526"/>
      <c r="B37" s="307" t="s">
        <v>400</v>
      </c>
      <c r="C37" s="318" t="s">
        <v>399</v>
      </c>
      <c r="D37" s="307" t="s">
        <v>26</v>
      </c>
      <c r="E37" s="319">
        <v>1.25</v>
      </c>
      <c r="F37" s="319">
        <f>F34*E37</f>
        <v>5</v>
      </c>
      <c r="G37" s="83"/>
      <c r="H37" s="40"/>
      <c r="I37" s="83"/>
      <c r="J37" s="40"/>
      <c r="K37" s="84"/>
      <c r="L37" s="40">
        <f>F37*K37</f>
        <v>0</v>
      </c>
      <c r="M37" s="40">
        <f>L37</f>
        <v>0</v>
      </c>
      <c r="R37" s="317"/>
    </row>
    <row r="38" spans="1:22" ht="40.5" x14ac:dyDescent="0.25">
      <c r="A38" s="526"/>
      <c r="B38" s="4"/>
      <c r="C38" s="85" t="s">
        <v>387</v>
      </c>
      <c r="D38" s="4" t="s">
        <v>171</v>
      </c>
      <c r="E38" s="54">
        <v>1</v>
      </c>
      <c r="F38" s="54">
        <f>F34*E38</f>
        <v>4</v>
      </c>
      <c r="G38" s="40"/>
      <c r="H38" s="40">
        <f>F38*G38</f>
        <v>0</v>
      </c>
      <c r="I38" s="83"/>
      <c r="J38" s="40"/>
      <c r="K38" s="40"/>
      <c r="L38" s="40"/>
      <c r="M38" s="40">
        <f>H38</f>
        <v>0</v>
      </c>
      <c r="O38" s="52">
        <f>455/1.18</f>
        <v>385.59322033898309</v>
      </c>
    </row>
    <row r="39" spans="1:22" x14ac:dyDescent="0.25">
      <c r="A39" s="526"/>
      <c r="B39" s="4"/>
      <c r="C39" s="32" t="s">
        <v>433</v>
      </c>
      <c r="D39" s="4" t="s">
        <v>11</v>
      </c>
      <c r="E39" s="30"/>
      <c r="F39" s="30">
        <v>80</v>
      </c>
      <c r="G39" s="31"/>
      <c r="H39" s="31">
        <f>F39*G39</f>
        <v>0</v>
      </c>
      <c r="I39" s="69"/>
      <c r="J39" s="31"/>
      <c r="K39" s="31"/>
      <c r="L39" s="31"/>
      <c r="M39" s="31">
        <f>H39</f>
        <v>0</v>
      </c>
      <c r="O39" s="52">
        <f>240/1.18</f>
        <v>203.38983050847457</v>
      </c>
    </row>
    <row r="40" spans="1:22" x14ac:dyDescent="0.25">
      <c r="A40" s="526"/>
      <c r="B40" s="4"/>
      <c r="C40" s="32" t="s">
        <v>432</v>
      </c>
      <c r="D40" s="4" t="s">
        <v>11</v>
      </c>
      <c r="E40" s="30"/>
      <c r="F40" s="30">
        <v>16</v>
      </c>
      <c r="G40" s="31"/>
      <c r="H40" s="31">
        <f>F40*G40</f>
        <v>0</v>
      </c>
      <c r="I40" s="69"/>
      <c r="J40" s="31"/>
      <c r="K40" s="31"/>
      <c r="L40" s="31"/>
      <c r="M40" s="31">
        <f>H40</f>
        <v>0</v>
      </c>
    </row>
    <row r="41" spans="1:22" x14ac:dyDescent="0.25">
      <c r="A41" s="527"/>
      <c r="B41" s="4"/>
      <c r="C41" s="85" t="s">
        <v>28</v>
      </c>
      <c r="D41" s="4" t="s">
        <v>22</v>
      </c>
      <c r="E41" s="54">
        <v>5.0000000000000001E-3</v>
      </c>
      <c r="F41" s="54">
        <f>F34*E41</f>
        <v>0.02</v>
      </c>
      <c r="G41" s="40"/>
      <c r="H41" s="40">
        <f>F41*G41</f>
        <v>0</v>
      </c>
      <c r="I41" s="83"/>
      <c r="J41" s="40"/>
      <c r="K41" s="40"/>
      <c r="L41" s="40"/>
      <c r="M41" s="40">
        <f>H41</f>
        <v>0</v>
      </c>
    </row>
    <row r="42" spans="1:22" ht="19.5" customHeight="1" x14ac:dyDescent="0.25">
      <c r="A42" s="6"/>
      <c r="B42" s="6"/>
      <c r="C42" s="6" t="s">
        <v>248</v>
      </c>
      <c r="D42" s="320"/>
      <c r="E42" s="321"/>
      <c r="F42" s="7"/>
      <c r="G42" s="322"/>
      <c r="H42" s="8">
        <f>SUM(H11:H41)</f>
        <v>0</v>
      </c>
      <c r="I42" s="322"/>
      <c r="J42" s="8">
        <f>SUM(J10:J41)</f>
        <v>0</v>
      </c>
      <c r="K42" s="323"/>
      <c r="L42" s="8">
        <f>SUM(L10:L41)</f>
        <v>0</v>
      </c>
      <c r="M42" s="8">
        <f>SUM(M10:M41)</f>
        <v>0</v>
      </c>
      <c r="N42" s="324"/>
    </row>
    <row r="43" spans="1:22" ht="39" customHeight="1" x14ac:dyDescent="0.25">
      <c r="A43" s="325"/>
      <c r="B43" s="325"/>
      <c r="C43" s="121" t="s">
        <v>245</v>
      </c>
      <c r="D43" s="325"/>
      <c r="E43" s="326"/>
      <c r="F43" s="443"/>
      <c r="G43" s="327"/>
      <c r="H43" s="327"/>
      <c r="I43" s="327"/>
      <c r="J43" s="327"/>
      <c r="K43" s="327"/>
      <c r="L43" s="327"/>
      <c r="M43" s="14">
        <f>H42*F43</f>
        <v>0</v>
      </c>
    </row>
    <row r="44" spans="1:22" x14ac:dyDescent="0.25">
      <c r="A44" s="325"/>
      <c r="B44" s="325"/>
      <c r="C44" s="16" t="s">
        <v>21</v>
      </c>
      <c r="D44" s="325"/>
      <c r="E44" s="326"/>
      <c r="F44" s="326"/>
      <c r="G44" s="327"/>
      <c r="H44" s="327"/>
      <c r="I44" s="327"/>
      <c r="K44" s="327"/>
      <c r="L44" s="327"/>
      <c r="M44" s="14">
        <f>M42+M43</f>
        <v>0</v>
      </c>
    </row>
    <row r="45" spans="1:22" ht="40.5" x14ac:dyDescent="0.25">
      <c r="A45" s="4"/>
      <c r="B45" s="4"/>
      <c r="C45" s="4" t="s">
        <v>177</v>
      </c>
      <c r="D45" s="6"/>
      <c r="E45" s="30"/>
      <c r="F45" s="444"/>
      <c r="G45" s="31"/>
      <c r="H45" s="31"/>
      <c r="I45" s="31"/>
      <c r="J45" s="31"/>
      <c r="K45" s="31"/>
      <c r="L45" s="31"/>
      <c r="M45" s="31">
        <f>+J42*F45</f>
        <v>0</v>
      </c>
    </row>
    <row r="46" spans="1:22" x14ac:dyDescent="0.25">
      <c r="A46" s="6"/>
      <c r="B46" s="6"/>
      <c r="C46" s="5" t="s">
        <v>21</v>
      </c>
      <c r="D46" s="6"/>
      <c r="E46" s="7"/>
      <c r="F46" s="7"/>
      <c r="G46" s="8"/>
      <c r="H46" s="8"/>
      <c r="I46" s="8"/>
      <c r="J46" s="8"/>
      <c r="K46" s="8"/>
      <c r="L46" s="8"/>
      <c r="M46" s="8">
        <f>+M44+M45</f>
        <v>0</v>
      </c>
    </row>
    <row r="47" spans="1:22" x14ac:dyDescent="0.25">
      <c r="A47" s="4"/>
      <c r="B47" s="4"/>
      <c r="C47" s="29" t="s">
        <v>34</v>
      </c>
      <c r="D47" s="6"/>
      <c r="E47" s="30"/>
      <c r="F47" s="444"/>
      <c r="G47" s="31"/>
      <c r="H47" s="8"/>
      <c r="I47" s="31"/>
      <c r="J47" s="31"/>
      <c r="K47" s="31"/>
      <c r="L47" s="31"/>
      <c r="M47" s="31">
        <f>+M46*F47</f>
        <v>0</v>
      </c>
    </row>
    <row r="48" spans="1:22" x14ac:dyDescent="0.25">
      <c r="A48" s="24"/>
      <c r="B48" s="24"/>
      <c r="C48" s="23" t="s">
        <v>21</v>
      </c>
      <c r="D48" s="24"/>
      <c r="E48" s="25"/>
      <c r="F48" s="25"/>
      <c r="G48" s="16"/>
      <c r="H48" s="16"/>
      <c r="I48" s="16"/>
      <c r="J48" s="16"/>
      <c r="K48" s="16"/>
      <c r="L48" s="16"/>
      <c r="M48" s="16">
        <f>+M46+M47</f>
        <v>0</v>
      </c>
    </row>
    <row r="49" spans="1:13" ht="22.5" customHeight="1" x14ac:dyDescent="0.25">
      <c r="A49" s="4"/>
      <c r="B49" s="4"/>
      <c r="C49" s="29" t="s">
        <v>12</v>
      </c>
      <c r="D49" s="6"/>
      <c r="E49" s="30"/>
      <c r="F49" s="445">
        <v>0.03</v>
      </c>
      <c r="G49" s="31"/>
      <c r="H49" s="31"/>
      <c r="I49" s="31"/>
      <c r="J49" s="31"/>
      <c r="K49" s="31"/>
      <c r="L49" s="31"/>
      <c r="M49" s="31">
        <f>M48*F49</f>
        <v>0</v>
      </c>
    </row>
    <row r="50" spans="1:13" ht="17.25" customHeight="1" x14ac:dyDescent="0.25">
      <c r="A50" s="4"/>
      <c r="B50" s="4"/>
      <c r="C50" s="23" t="s">
        <v>247</v>
      </c>
      <c r="D50" s="4"/>
      <c r="E50" s="30"/>
      <c r="F50" s="54"/>
      <c r="G50" s="31"/>
      <c r="H50" s="31"/>
      <c r="I50" s="31"/>
      <c r="J50" s="31"/>
      <c r="K50" s="31"/>
      <c r="L50" s="31"/>
      <c r="M50" s="16">
        <f>M48+M49</f>
        <v>0</v>
      </c>
    </row>
    <row r="53" spans="1:13" x14ac:dyDescent="0.2">
      <c r="A53" s="267"/>
      <c r="C53" s="45"/>
      <c r="D53" s="328"/>
      <c r="E53" s="329"/>
      <c r="I53" s="228"/>
      <c r="J53" s="228"/>
    </row>
    <row r="54" spans="1:13" x14ac:dyDescent="0.25">
      <c r="C54" s="330"/>
      <c r="D54" s="331"/>
      <c r="E54" s="332"/>
    </row>
    <row r="55" spans="1:13" x14ac:dyDescent="0.25">
      <c r="B55" s="233"/>
      <c r="C55" s="233"/>
      <c r="D55" s="233"/>
      <c r="E55" s="234"/>
      <c r="F55" s="234"/>
    </row>
  </sheetData>
  <autoFilter ref="A9:M44"/>
  <mergeCells count="21">
    <mergeCell ref="A19:A23"/>
    <mergeCell ref="A24:A26"/>
    <mergeCell ref="A27:A28"/>
    <mergeCell ref="A29:A33"/>
    <mergeCell ref="A34:A41"/>
    <mergeCell ref="N15:S15"/>
    <mergeCell ref="A12:A14"/>
    <mergeCell ref="A17:A18"/>
    <mergeCell ref="A1:M1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pageMargins left="0.43307086614173229" right="0.19685039370078741" top="0.44" bottom="0.33" header="0.19685039370078741" footer="0.15748031496062992"/>
  <pageSetup paperSize="9" scale="85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P9" sqref="P9"/>
    </sheetView>
  </sheetViews>
  <sheetFormatPr defaultColWidth="8.85546875" defaultRowHeight="15" x14ac:dyDescent="0.25"/>
  <cols>
    <col min="1" max="1" width="4.5703125" style="376" customWidth="1"/>
    <col min="2" max="2" width="14.42578125" style="376" customWidth="1"/>
    <col min="3" max="3" width="40" style="376" customWidth="1"/>
    <col min="4" max="6" width="8.85546875" style="376"/>
    <col min="7" max="7" width="12.5703125" style="376" customWidth="1"/>
    <col min="8" max="8" width="14.28515625" style="376" customWidth="1"/>
    <col min="9" max="16384" width="8.85546875" style="376"/>
  </cols>
  <sheetData>
    <row r="2" spans="1:9" ht="16.149999999999999" customHeight="1" x14ac:dyDescent="0.25">
      <c r="A2" s="468" t="s">
        <v>465</v>
      </c>
      <c r="B2" s="468"/>
      <c r="C2" s="468"/>
      <c r="D2" s="468"/>
      <c r="E2" s="468"/>
      <c r="F2" s="468"/>
      <c r="G2" s="468"/>
      <c r="H2" s="468"/>
      <c r="I2" s="468"/>
    </row>
    <row r="3" spans="1:9" ht="6" customHeight="1" x14ac:dyDescent="0.25"/>
    <row r="4" spans="1:9" ht="18.75" customHeight="1" x14ac:dyDescent="0.25">
      <c r="A4" s="544" t="s">
        <v>502</v>
      </c>
      <c r="B4" s="544"/>
      <c r="C4" s="544"/>
      <c r="D4" s="544"/>
      <c r="E4" s="544"/>
      <c r="F4" s="544"/>
      <c r="G4" s="544"/>
      <c r="H4" s="544"/>
    </row>
    <row r="5" spans="1:9" ht="15.75" thickBot="1" x14ac:dyDescent="0.3"/>
    <row r="6" spans="1:9" ht="15" customHeight="1" thickBot="1" x14ac:dyDescent="0.3">
      <c r="A6" s="529" t="s">
        <v>491</v>
      </c>
      <c r="B6" s="531" t="s">
        <v>492</v>
      </c>
      <c r="C6" s="533" t="s">
        <v>2</v>
      </c>
      <c r="D6" s="533" t="s">
        <v>493</v>
      </c>
      <c r="E6" s="533" t="s">
        <v>494</v>
      </c>
      <c r="F6" s="533" t="s">
        <v>495</v>
      </c>
      <c r="G6" s="535" t="s">
        <v>496</v>
      </c>
      <c r="H6" s="536"/>
    </row>
    <row r="7" spans="1:9" ht="15.75" thickBot="1" x14ac:dyDescent="0.3">
      <c r="A7" s="530"/>
      <c r="B7" s="532"/>
      <c r="C7" s="534"/>
      <c r="D7" s="534"/>
      <c r="E7" s="534"/>
      <c r="F7" s="534"/>
      <c r="G7" s="369" t="s">
        <v>497</v>
      </c>
      <c r="H7" s="370" t="s">
        <v>10</v>
      </c>
    </row>
    <row r="8" spans="1:9" x14ac:dyDescent="0.25">
      <c r="A8" s="371">
        <v>1</v>
      </c>
      <c r="B8" s="372">
        <v>2</v>
      </c>
      <c r="C8" s="372">
        <v>3</v>
      </c>
      <c r="D8" s="372">
        <v>4</v>
      </c>
      <c r="E8" s="372">
        <v>5</v>
      </c>
      <c r="F8" s="372">
        <v>6</v>
      </c>
      <c r="G8" s="373">
        <v>7</v>
      </c>
      <c r="H8" s="374">
        <v>13</v>
      </c>
    </row>
    <row r="9" spans="1:9" ht="30" x14ac:dyDescent="0.25">
      <c r="A9" s="351">
        <v>1</v>
      </c>
      <c r="B9" s="49" t="s">
        <v>466</v>
      </c>
      <c r="C9" s="377" t="s">
        <v>467</v>
      </c>
      <c r="D9" s="352" t="s">
        <v>468</v>
      </c>
      <c r="E9" s="350"/>
      <c r="F9" s="378">
        <v>90</v>
      </c>
      <c r="G9" s="379"/>
      <c r="H9" s="380">
        <f t="shared" ref="H9:H20" si="0">F9*G9</f>
        <v>0</v>
      </c>
    </row>
    <row r="10" spans="1:9" ht="40.9" customHeight="1" x14ac:dyDescent="0.25">
      <c r="A10" s="351">
        <v>2</v>
      </c>
      <c r="B10" s="354" t="s">
        <v>469</v>
      </c>
      <c r="C10" s="377" t="s">
        <v>470</v>
      </c>
      <c r="D10" s="349" t="s">
        <v>471</v>
      </c>
      <c r="E10" s="381"/>
      <c r="F10" s="382">
        <f>+F9*0.2</f>
        <v>18</v>
      </c>
      <c r="G10" s="379"/>
      <c r="H10" s="380">
        <f t="shared" si="0"/>
        <v>0</v>
      </c>
    </row>
    <row r="11" spans="1:9" ht="42.6" customHeight="1" x14ac:dyDescent="0.25">
      <c r="A11" s="383"/>
      <c r="B11" s="348" t="s">
        <v>472</v>
      </c>
      <c r="C11" s="377" t="s">
        <v>473</v>
      </c>
      <c r="D11" s="349" t="s">
        <v>170</v>
      </c>
      <c r="E11" s="353"/>
      <c r="F11" s="382">
        <f>+F10*2</f>
        <v>36</v>
      </c>
      <c r="G11" s="379"/>
      <c r="H11" s="380">
        <f t="shared" si="0"/>
        <v>0</v>
      </c>
    </row>
    <row r="12" spans="1:9" ht="48.6" customHeight="1" x14ac:dyDescent="0.25">
      <c r="A12" s="351">
        <v>3</v>
      </c>
      <c r="B12" s="354" t="s">
        <v>474</v>
      </c>
      <c r="C12" s="377" t="s">
        <v>475</v>
      </c>
      <c r="D12" s="348" t="s">
        <v>476</v>
      </c>
      <c r="E12" s="355"/>
      <c r="F12" s="378">
        <v>90</v>
      </c>
      <c r="G12" s="379"/>
      <c r="H12" s="380">
        <f t="shared" si="0"/>
        <v>0</v>
      </c>
    </row>
    <row r="13" spans="1:9" ht="30" x14ac:dyDescent="0.25">
      <c r="A13" s="356"/>
      <c r="B13" s="348" t="s">
        <v>472</v>
      </c>
      <c r="C13" s="377" t="s">
        <v>477</v>
      </c>
      <c r="D13" s="349" t="s">
        <v>170</v>
      </c>
      <c r="E13" s="353"/>
      <c r="F13" s="382">
        <f>0.2*90*2</f>
        <v>36</v>
      </c>
      <c r="G13" s="379"/>
      <c r="H13" s="380">
        <f t="shared" si="0"/>
        <v>0</v>
      </c>
    </row>
    <row r="14" spans="1:9" ht="31.5" x14ac:dyDescent="0.25">
      <c r="A14" s="422">
        <v>4</v>
      </c>
      <c r="B14" s="423" t="s">
        <v>478</v>
      </c>
      <c r="C14" s="424" t="s">
        <v>479</v>
      </c>
      <c r="D14" s="425" t="s">
        <v>170</v>
      </c>
      <c r="E14" s="426"/>
      <c r="F14" s="427">
        <v>6.3E-2</v>
      </c>
      <c r="G14" s="428"/>
      <c r="H14" s="429">
        <f>F14*G14</f>
        <v>0</v>
      </c>
    </row>
    <row r="15" spans="1:9" ht="31.9" customHeight="1" x14ac:dyDescent="0.25">
      <c r="A15" s="360"/>
      <c r="B15" s="361"/>
      <c r="C15" s="377" t="s">
        <v>480</v>
      </c>
      <c r="D15" s="50" t="s">
        <v>170</v>
      </c>
      <c r="E15" s="362"/>
      <c r="F15" s="384">
        <v>0.15</v>
      </c>
      <c r="G15" s="379"/>
      <c r="H15" s="380">
        <f t="shared" si="0"/>
        <v>0</v>
      </c>
    </row>
    <row r="16" spans="1:9" ht="60.6" customHeight="1" x14ac:dyDescent="0.25">
      <c r="A16" s="351">
        <v>5</v>
      </c>
      <c r="B16" s="357" t="s">
        <v>481</v>
      </c>
      <c r="C16" s="385" t="s">
        <v>482</v>
      </c>
      <c r="D16" s="358" t="s">
        <v>468</v>
      </c>
      <c r="E16" s="359"/>
      <c r="F16" s="378">
        <f>F12</f>
        <v>90</v>
      </c>
      <c r="G16" s="379"/>
      <c r="H16" s="380">
        <f t="shared" si="0"/>
        <v>0</v>
      </c>
    </row>
    <row r="17" spans="1:8" ht="33" customHeight="1" x14ac:dyDescent="0.25">
      <c r="A17" s="360"/>
      <c r="B17" s="361"/>
      <c r="C17" s="377" t="s">
        <v>483</v>
      </c>
      <c r="D17" s="50" t="s">
        <v>170</v>
      </c>
      <c r="E17" s="362"/>
      <c r="F17" s="384">
        <f>0.1*90*2</f>
        <v>18</v>
      </c>
      <c r="G17" s="379"/>
      <c r="H17" s="380">
        <f t="shared" si="0"/>
        <v>0</v>
      </c>
    </row>
    <row r="18" spans="1:8" ht="49.15" customHeight="1" x14ac:dyDescent="0.25">
      <c r="A18" s="351">
        <v>6</v>
      </c>
      <c r="B18" s="423" t="s">
        <v>478</v>
      </c>
      <c r="C18" s="424" t="s">
        <v>484</v>
      </c>
      <c r="D18" s="425" t="s">
        <v>170</v>
      </c>
      <c r="E18" s="426"/>
      <c r="F18" s="427">
        <v>3.1E-2</v>
      </c>
      <c r="G18" s="428"/>
      <c r="H18" s="429">
        <f t="shared" si="0"/>
        <v>0</v>
      </c>
    </row>
    <row r="19" spans="1:8" ht="28.15" customHeight="1" x14ac:dyDescent="0.25">
      <c r="A19" s="360"/>
      <c r="B19" s="361"/>
      <c r="C19" s="377" t="s">
        <v>480</v>
      </c>
      <c r="D19" s="50" t="s">
        <v>170</v>
      </c>
      <c r="E19" s="362"/>
      <c r="F19" s="384">
        <f>0.15*11*7.5*2</f>
        <v>24.75</v>
      </c>
      <c r="G19" s="379"/>
      <c r="H19" s="380">
        <f t="shared" si="0"/>
        <v>0</v>
      </c>
    </row>
    <row r="20" spans="1:8" ht="43.15" customHeight="1" x14ac:dyDescent="0.25">
      <c r="A20" s="351">
        <v>7</v>
      </c>
      <c r="B20" s="357" t="s">
        <v>481</v>
      </c>
      <c r="C20" s="385" t="s">
        <v>485</v>
      </c>
      <c r="D20" s="358" t="s">
        <v>468</v>
      </c>
      <c r="E20" s="359"/>
      <c r="F20" s="378">
        <f>F16</f>
        <v>90</v>
      </c>
      <c r="G20" s="379"/>
      <c r="H20" s="380">
        <f t="shared" si="0"/>
        <v>0</v>
      </c>
    </row>
    <row r="21" spans="1:8" ht="38.25" customHeight="1" thickBot="1" x14ac:dyDescent="0.3">
      <c r="A21" s="363"/>
      <c r="B21" s="364"/>
      <c r="C21" s="386" t="s">
        <v>483</v>
      </c>
      <c r="D21" s="278" t="s">
        <v>170</v>
      </c>
      <c r="E21" s="365"/>
      <c r="F21" s="387">
        <v>16</v>
      </c>
      <c r="G21" s="388"/>
      <c r="H21" s="380">
        <f>F21*G21</f>
        <v>0</v>
      </c>
    </row>
    <row r="22" spans="1:8" ht="23.25" customHeight="1" thickBot="1" x14ac:dyDescent="0.3">
      <c r="A22" s="389"/>
      <c r="B22" s="390"/>
      <c r="C22" s="391" t="s">
        <v>498</v>
      </c>
      <c r="D22" s="392" t="s">
        <v>129</v>
      </c>
      <c r="E22" s="393"/>
      <c r="F22" s="393"/>
      <c r="G22" s="394"/>
      <c r="H22" s="395">
        <f>SUM(H9:H21)</f>
        <v>0</v>
      </c>
    </row>
    <row r="23" spans="1:8" ht="27.75" customHeight="1" x14ac:dyDescent="0.25">
      <c r="A23" s="396"/>
      <c r="B23" s="397"/>
      <c r="C23" s="398" t="s">
        <v>486</v>
      </c>
      <c r="D23" s="399" t="s">
        <v>487</v>
      </c>
      <c r="E23" s="450"/>
      <c r="F23" s="400"/>
      <c r="G23" s="366"/>
      <c r="H23" s="401">
        <f>+H22*E23</f>
        <v>0</v>
      </c>
    </row>
    <row r="24" spans="1:8" ht="27.75" customHeight="1" x14ac:dyDescent="0.25">
      <c r="A24" s="402"/>
      <c r="B24" s="403"/>
      <c r="C24" s="404" t="s">
        <v>488</v>
      </c>
      <c r="D24" s="405" t="s">
        <v>129</v>
      </c>
      <c r="E24" s="406"/>
      <c r="F24" s="367"/>
      <c r="G24" s="367"/>
      <c r="H24" s="407">
        <f>+H22+H23</f>
        <v>0</v>
      </c>
    </row>
    <row r="25" spans="1:8" ht="27.75" customHeight="1" x14ac:dyDescent="0.25">
      <c r="A25" s="402"/>
      <c r="B25" s="403"/>
      <c r="C25" s="398" t="s">
        <v>499</v>
      </c>
      <c r="D25" s="349" t="s">
        <v>487</v>
      </c>
      <c r="E25" s="451"/>
      <c r="F25" s="367"/>
      <c r="G25" s="368"/>
      <c r="H25" s="407">
        <f>+H24*E25</f>
        <v>0</v>
      </c>
    </row>
    <row r="26" spans="1:8" ht="27.75" customHeight="1" x14ac:dyDescent="0.25">
      <c r="A26" s="402"/>
      <c r="B26" s="403"/>
      <c r="C26" s="408" t="s">
        <v>488</v>
      </c>
      <c r="D26" s="405" t="s">
        <v>129</v>
      </c>
      <c r="E26" s="409"/>
      <c r="F26" s="367"/>
      <c r="G26" s="367"/>
      <c r="H26" s="407">
        <f>+H24+H25</f>
        <v>0</v>
      </c>
    </row>
    <row r="27" spans="1:8" ht="27.75" customHeight="1" thickBot="1" x14ac:dyDescent="0.3">
      <c r="A27" s="410"/>
      <c r="B27" s="411"/>
      <c r="C27" s="412" t="s">
        <v>489</v>
      </c>
      <c r="D27" s="349" t="s">
        <v>487</v>
      </c>
      <c r="E27" s="452">
        <v>0.03</v>
      </c>
      <c r="F27" s="413"/>
      <c r="G27" s="414"/>
      <c r="H27" s="415">
        <f>H26*E27</f>
        <v>0</v>
      </c>
    </row>
    <row r="28" spans="1:8" ht="36.75" customHeight="1" thickBot="1" x14ac:dyDescent="0.3">
      <c r="A28" s="416"/>
      <c r="B28" s="417"/>
      <c r="C28" s="418" t="s">
        <v>490</v>
      </c>
      <c r="D28" s="392" t="s">
        <v>129</v>
      </c>
      <c r="E28" s="419"/>
      <c r="F28" s="420"/>
      <c r="G28" s="420"/>
      <c r="H28" s="421">
        <f>H26+H27</f>
        <v>0</v>
      </c>
    </row>
    <row r="31" spans="1:8" ht="48.6" customHeight="1" x14ac:dyDescent="0.25">
      <c r="B31" s="528" t="s">
        <v>459</v>
      </c>
      <c r="C31" s="528"/>
    </row>
  </sheetData>
  <mergeCells count="10">
    <mergeCell ref="B31:C31"/>
    <mergeCell ref="A2:I2"/>
    <mergeCell ref="A6:A7"/>
    <mergeCell ref="B6:B7"/>
    <mergeCell ref="C6:C7"/>
    <mergeCell ref="D6:D7"/>
    <mergeCell ref="E6:E7"/>
    <mergeCell ref="F6:F7"/>
    <mergeCell ref="G6:H6"/>
    <mergeCell ref="A4:H4"/>
  </mergeCells>
  <conditionalFormatting sqref="E9:F21">
    <cfRule type="cellIs" dxfId="1" priority="1" stopIfTrue="1" operator="equal">
      <formula>8223.307275</formula>
    </cfRule>
  </conditionalFormatting>
  <conditionalFormatting sqref="C9:F21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O34"/>
  <sheetViews>
    <sheetView topLeftCell="A8" zoomScaleNormal="100" zoomScaleSheetLayoutView="120" workbookViewId="0">
      <selection activeCell="C21" sqref="C21"/>
    </sheetView>
  </sheetViews>
  <sheetFormatPr defaultColWidth="8.85546875" defaultRowHeight="15.75" x14ac:dyDescent="0.25"/>
  <cols>
    <col min="1" max="1" width="5.140625" style="224" customWidth="1"/>
    <col min="2" max="2" width="11.42578125" style="225" customWidth="1"/>
    <col min="3" max="3" width="37.140625" style="44" customWidth="1"/>
    <col min="4" max="4" width="6.42578125" style="224" customWidth="1"/>
    <col min="5" max="5" width="6.5703125" style="226" customWidth="1"/>
    <col min="6" max="6" width="10.7109375" style="226" customWidth="1"/>
    <col min="7" max="7" width="10" style="227" customWidth="1"/>
    <col min="8" max="8" width="11.85546875" style="227" customWidth="1"/>
    <col min="9" max="9" width="9.5703125" style="227" customWidth="1"/>
    <col min="10" max="10" width="12" style="227" customWidth="1"/>
    <col min="11" max="11" width="8.140625" style="227" customWidth="1"/>
    <col min="12" max="12" width="10.42578125" style="227" customWidth="1"/>
    <col min="13" max="13" width="18" style="227" customWidth="1"/>
    <col min="14" max="14" width="8.42578125" style="41" bestFit="1" customWidth="1"/>
    <col min="15" max="16384" width="8.85546875" style="41"/>
  </cols>
  <sheetData>
    <row r="1" spans="1:15" ht="29.25" customHeight="1" x14ac:dyDescent="0.25">
      <c r="A1" s="499" t="str">
        <f>krebsiti!A3</f>
        <v>q.borjomSi axali ubnis dasaxlebaSi გრ. ხანძთელის ქ.#9 mimdebared skveris mowyobis samuSaoebi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15" ht="16.5" x14ac:dyDescent="0.25">
      <c r="A2" s="538" t="s">
        <v>127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</row>
    <row r="3" spans="1:15" ht="8.25" customHeight="1" x14ac:dyDescent="0.25">
      <c r="A3" s="225"/>
      <c r="C3" s="46"/>
      <c r="D3" s="225"/>
      <c r="E3" s="47"/>
      <c r="F3" s="47"/>
      <c r="G3" s="48"/>
      <c r="H3" s="48"/>
      <c r="I3" s="48"/>
      <c r="J3" s="48"/>
      <c r="K3" s="48"/>
      <c r="L3" s="48"/>
      <c r="M3" s="48"/>
    </row>
    <row r="4" spans="1:15" ht="16.5" x14ac:dyDescent="0.25">
      <c r="A4" s="538" t="s">
        <v>89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</row>
    <row r="5" spans="1:15" ht="13.5" customHeight="1" x14ac:dyDescent="0.25">
      <c r="A5" s="243"/>
      <c r="B5" s="244"/>
      <c r="C5" s="245"/>
      <c r="D5" s="243"/>
      <c r="E5" s="246"/>
      <c r="F5" s="246"/>
      <c r="G5" s="247"/>
      <c r="H5" s="247"/>
      <c r="I5" s="247"/>
      <c r="J5" s="247"/>
      <c r="K5" s="247"/>
      <c r="L5" s="247"/>
      <c r="M5" s="247"/>
    </row>
    <row r="6" spans="1:15" ht="38.450000000000003" customHeight="1" x14ac:dyDescent="0.25">
      <c r="A6" s="539" t="s">
        <v>0</v>
      </c>
      <c r="B6" s="540" t="s">
        <v>1</v>
      </c>
      <c r="C6" s="539" t="s">
        <v>2</v>
      </c>
      <c r="D6" s="539" t="s">
        <v>3</v>
      </c>
      <c r="E6" s="541" t="s">
        <v>4</v>
      </c>
      <c r="F6" s="541" t="s">
        <v>5</v>
      </c>
      <c r="G6" s="542" t="s">
        <v>6</v>
      </c>
      <c r="H6" s="542"/>
      <c r="I6" s="542" t="s">
        <v>7</v>
      </c>
      <c r="J6" s="542"/>
      <c r="K6" s="542" t="s">
        <v>27</v>
      </c>
      <c r="L6" s="542"/>
      <c r="M6" s="542" t="s">
        <v>8</v>
      </c>
    </row>
    <row r="7" spans="1:15" ht="27" x14ac:dyDescent="0.25">
      <c r="A7" s="539"/>
      <c r="B7" s="540"/>
      <c r="C7" s="539"/>
      <c r="D7" s="539"/>
      <c r="E7" s="541"/>
      <c r="F7" s="541"/>
      <c r="G7" s="40" t="s">
        <v>9</v>
      </c>
      <c r="H7" s="40" t="s">
        <v>10</v>
      </c>
      <c r="I7" s="40" t="s">
        <v>9</v>
      </c>
      <c r="J7" s="40" t="s">
        <v>10</v>
      </c>
      <c r="K7" s="40" t="s">
        <v>9</v>
      </c>
      <c r="L7" s="40" t="s">
        <v>10</v>
      </c>
      <c r="M7" s="542"/>
    </row>
    <row r="8" spans="1:15" x14ac:dyDescent="0.25">
      <c r="A8" s="4">
        <v>1</v>
      </c>
      <c r="B8" s="6">
        <v>2</v>
      </c>
      <c r="C8" s="29">
        <v>3</v>
      </c>
      <c r="D8" s="4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1">
        <v>13</v>
      </c>
    </row>
    <row r="9" spans="1:15" ht="47.25" hidden="1" x14ac:dyDescent="0.25">
      <c r="A9" s="4" t="s">
        <v>83</v>
      </c>
      <c r="B9" s="6" t="s">
        <v>250</v>
      </c>
      <c r="C9" s="5" t="s">
        <v>118</v>
      </c>
      <c r="D9" s="248" t="s">
        <v>146</v>
      </c>
      <c r="E9" s="30"/>
      <c r="F9" s="30">
        <v>0</v>
      </c>
      <c r="G9" s="31">
        <v>430</v>
      </c>
      <c r="H9" s="31">
        <f>F9*G9</f>
        <v>0</v>
      </c>
      <c r="I9" s="31">
        <v>250</v>
      </c>
      <c r="J9" s="31">
        <f>F9*I9</f>
        <v>0</v>
      </c>
      <c r="K9" s="31"/>
      <c r="L9" s="31">
        <f>F9*K9</f>
        <v>0</v>
      </c>
      <c r="M9" s="31">
        <f>H9+J9+L9</f>
        <v>0</v>
      </c>
    </row>
    <row r="10" spans="1:15" x14ac:dyDescent="0.25">
      <c r="A10" s="4"/>
      <c r="B10" s="453"/>
      <c r="C10" s="464" t="s">
        <v>251</v>
      </c>
      <c r="D10" s="248"/>
      <c r="E10" s="30"/>
      <c r="F10" s="30"/>
      <c r="G10" s="31"/>
      <c r="H10" s="31"/>
      <c r="I10" s="31"/>
      <c r="J10" s="31"/>
      <c r="K10" s="31"/>
      <c r="L10" s="31"/>
      <c r="M10" s="31"/>
    </row>
    <row r="11" spans="1:15" ht="47.25" x14ac:dyDescent="0.25">
      <c r="A11" s="4" t="s">
        <v>83</v>
      </c>
      <c r="B11" s="453" t="s">
        <v>250</v>
      </c>
      <c r="C11" s="97" t="s">
        <v>462</v>
      </c>
      <c r="D11" s="248" t="s">
        <v>15</v>
      </c>
      <c r="E11" s="30"/>
      <c r="F11" s="7">
        <v>2</v>
      </c>
      <c r="G11" s="31"/>
      <c r="H11" s="31">
        <f t="shared" ref="H11:H15" si="0">F11*G11</f>
        <v>0</v>
      </c>
      <c r="I11" s="31"/>
      <c r="J11" s="31">
        <f t="shared" ref="J11:J15" si="1">F11*I11</f>
        <v>0</v>
      </c>
      <c r="K11" s="31"/>
      <c r="L11" s="31"/>
      <c r="M11" s="31">
        <f t="shared" ref="M11" si="2">H11+J11+L11</f>
        <v>0</v>
      </c>
    </row>
    <row r="12" spans="1:15" ht="63" hidden="1" x14ac:dyDescent="0.25">
      <c r="A12" s="4" t="s">
        <v>120</v>
      </c>
      <c r="B12" s="455" t="s">
        <v>250</v>
      </c>
      <c r="C12" s="97" t="s">
        <v>309</v>
      </c>
      <c r="D12" s="248" t="s">
        <v>15</v>
      </c>
      <c r="E12" s="30"/>
      <c r="F12" s="7">
        <v>0</v>
      </c>
      <c r="G12" s="31"/>
      <c r="H12" s="31">
        <f t="shared" si="0"/>
        <v>0</v>
      </c>
      <c r="I12" s="31"/>
      <c r="J12" s="31">
        <f t="shared" si="1"/>
        <v>0</v>
      </c>
      <c r="K12" s="31"/>
      <c r="L12" s="31"/>
      <c r="M12" s="31">
        <f>H12+J12+L12</f>
        <v>0</v>
      </c>
      <c r="N12" s="249"/>
      <c r="O12" s="250"/>
    </row>
    <row r="13" spans="1:15" ht="31.5" x14ac:dyDescent="0.25">
      <c r="A13" s="4"/>
      <c r="B13" s="455"/>
      <c r="C13" s="97" t="s">
        <v>357</v>
      </c>
      <c r="D13" s="248" t="s">
        <v>15</v>
      </c>
      <c r="E13" s="30"/>
      <c r="F13" s="7">
        <v>2</v>
      </c>
      <c r="G13" s="31"/>
      <c r="H13" s="31">
        <f t="shared" ref="H13" si="3">F13*G13</f>
        <v>0</v>
      </c>
      <c r="I13" s="31"/>
      <c r="J13" s="31">
        <f t="shared" ref="J13" si="4">F13*I13</f>
        <v>0</v>
      </c>
      <c r="K13" s="31"/>
      <c r="L13" s="31"/>
      <c r="M13" s="31">
        <f>H13+J13+L13</f>
        <v>0</v>
      </c>
      <c r="N13" s="251"/>
      <c r="O13" s="250"/>
    </row>
    <row r="14" spans="1:15" ht="20.25" customHeight="1" x14ac:dyDescent="0.25">
      <c r="A14" s="4" t="s">
        <v>111</v>
      </c>
      <c r="B14" s="453" t="s">
        <v>250</v>
      </c>
      <c r="C14" s="97" t="s">
        <v>143</v>
      </c>
      <c r="D14" s="248" t="s">
        <v>15</v>
      </c>
      <c r="E14" s="30"/>
      <c r="F14" s="7">
        <v>3</v>
      </c>
      <c r="G14" s="31"/>
      <c r="H14" s="31">
        <f t="shared" si="0"/>
        <v>0</v>
      </c>
      <c r="I14" s="31"/>
      <c r="J14" s="31">
        <f t="shared" si="1"/>
        <v>0</v>
      </c>
      <c r="K14" s="31"/>
      <c r="L14" s="31"/>
      <c r="M14" s="31">
        <f>H14+J14+L14</f>
        <v>0</v>
      </c>
      <c r="N14" s="1"/>
      <c r="O14" s="1"/>
    </row>
    <row r="15" spans="1:15" ht="20.25" customHeight="1" x14ac:dyDescent="0.25">
      <c r="A15" s="4" t="s">
        <v>153</v>
      </c>
      <c r="B15" s="453" t="s">
        <v>250</v>
      </c>
      <c r="C15" s="97" t="s">
        <v>308</v>
      </c>
      <c r="D15" s="248" t="s">
        <v>15</v>
      </c>
      <c r="E15" s="30"/>
      <c r="F15" s="7">
        <v>2</v>
      </c>
      <c r="G15" s="31"/>
      <c r="H15" s="31">
        <f t="shared" si="0"/>
        <v>0</v>
      </c>
      <c r="I15" s="31"/>
      <c r="J15" s="31">
        <f t="shared" si="1"/>
        <v>0</v>
      </c>
      <c r="K15" s="31"/>
      <c r="L15" s="31"/>
      <c r="M15" s="31">
        <f>H15+J15+L15</f>
        <v>0</v>
      </c>
      <c r="N15" s="1"/>
      <c r="O15" s="1"/>
    </row>
    <row r="16" spans="1:15" ht="33.75" customHeight="1" x14ac:dyDescent="0.25">
      <c r="A16" s="4"/>
      <c r="B16" s="454"/>
      <c r="C16" s="464" t="s">
        <v>227</v>
      </c>
      <c r="D16" s="248"/>
      <c r="E16" s="30"/>
      <c r="F16" s="7"/>
      <c r="G16" s="31"/>
      <c r="H16" s="31"/>
      <c r="I16" s="31"/>
      <c r="J16" s="31"/>
      <c r="K16" s="31"/>
      <c r="L16" s="31"/>
      <c r="M16" s="31"/>
      <c r="N16" s="1"/>
      <c r="O16" s="1"/>
    </row>
    <row r="17" spans="1:15" ht="23.25" customHeight="1" x14ac:dyDescent="0.25">
      <c r="A17" s="4" t="s">
        <v>119</v>
      </c>
      <c r="B17" s="453" t="s">
        <v>250</v>
      </c>
      <c r="C17" s="122" t="s">
        <v>464</v>
      </c>
      <c r="D17" s="252" t="s">
        <v>15</v>
      </c>
      <c r="E17" s="30"/>
      <c r="F17" s="7">
        <v>1</v>
      </c>
      <c r="G17" s="39"/>
      <c r="H17" s="31">
        <f>F17*G17</f>
        <v>0</v>
      </c>
      <c r="I17" s="31"/>
      <c r="J17" s="31">
        <f>F17*I17</f>
        <v>0</v>
      </c>
      <c r="K17" s="31"/>
      <c r="L17" s="31"/>
      <c r="M17" s="31">
        <f>H17+J17+L17</f>
        <v>0</v>
      </c>
      <c r="N17" s="1"/>
      <c r="O17" s="1"/>
    </row>
    <row r="18" spans="1:15" ht="63" x14ac:dyDescent="0.25">
      <c r="A18" s="4" t="s">
        <v>120</v>
      </c>
      <c r="B18" s="453" t="s">
        <v>250</v>
      </c>
      <c r="C18" s="122" t="s">
        <v>463</v>
      </c>
      <c r="D18" s="252" t="s">
        <v>15</v>
      </c>
      <c r="E18" s="30"/>
      <c r="F18" s="7">
        <v>1</v>
      </c>
      <c r="G18" s="39"/>
      <c r="H18" s="31">
        <f>F18*G18</f>
        <v>0</v>
      </c>
      <c r="I18" s="31"/>
      <c r="J18" s="31">
        <f>F18*I18</f>
        <v>0</v>
      </c>
      <c r="K18" s="31"/>
      <c r="L18" s="31"/>
      <c r="M18" s="31">
        <f>H18+J18+L18</f>
        <v>0</v>
      </c>
      <c r="N18" s="1"/>
      <c r="O18" s="1"/>
    </row>
    <row r="19" spans="1:15" ht="31.5" customHeight="1" x14ac:dyDescent="0.25">
      <c r="A19" s="6"/>
      <c r="B19" s="453"/>
      <c r="C19" s="464" t="s">
        <v>248</v>
      </c>
      <c r="D19" s="6"/>
      <c r="E19" s="7"/>
      <c r="F19" s="7"/>
      <c r="G19" s="8"/>
      <c r="H19" s="8">
        <f>SUM(H11:H18)</f>
        <v>0</v>
      </c>
      <c r="I19" s="8"/>
      <c r="J19" s="8">
        <f>SUM(J9:J18)</f>
        <v>0</v>
      </c>
      <c r="K19" s="8"/>
      <c r="L19" s="8">
        <f>SUM(L9:L18)</f>
        <v>0</v>
      </c>
      <c r="M19" s="8">
        <f>SUM(M9:M18)</f>
        <v>0</v>
      </c>
      <c r="N19" s="227">
        <f>H19+J19+L19</f>
        <v>0</v>
      </c>
    </row>
    <row r="20" spans="1:15" ht="46.5" customHeight="1" x14ac:dyDescent="0.25">
      <c r="A20" s="6"/>
      <c r="B20" s="453"/>
      <c r="C20" s="11" t="s">
        <v>245</v>
      </c>
      <c r="D20" s="6"/>
      <c r="E20" s="7"/>
      <c r="F20" s="443"/>
      <c r="G20" s="8"/>
      <c r="H20" s="8"/>
      <c r="I20" s="8"/>
      <c r="J20" s="8"/>
      <c r="K20" s="8"/>
      <c r="L20" s="8"/>
      <c r="M20" s="8">
        <f>H19*F20</f>
        <v>0</v>
      </c>
      <c r="N20" s="227"/>
    </row>
    <row r="21" spans="1:15" ht="33" customHeight="1" x14ac:dyDescent="0.25">
      <c r="A21" s="4"/>
      <c r="B21" s="453"/>
      <c r="C21" s="465" t="s">
        <v>177</v>
      </c>
      <c r="D21" s="4"/>
      <c r="E21" s="30"/>
      <c r="F21" s="445"/>
      <c r="G21" s="31"/>
      <c r="H21" s="31"/>
      <c r="I21" s="31"/>
      <c r="J21" s="31"/>
      <c r="K21" s="31"/>
      <c r="L21" s="31"/>
      <c r="M21" s="31">
        <f>J19*F21</f>
        <v>0</v>
      </c>
    </row>
    <row r="22" spans="1:15" x14ac:dyDescent="0.25">
      <c r="A22" s="4"/>
      <c r="B22" s="453"/>
      <c r="C22" s="543" t="s">
        <v>21</v>
      </c>
      <c r="D22" s="4"/>
      <c r="E22" s="30"/>
      <c r="F22" s="7"/>
      <c r="G22" s="31"/>
      <c r="H22" s="31"/>
      <c r="I22" s="31"/>
      <c r="K22" s="31"/>
      <c r="L22" s="31"/>
      <c r="M22" s="31">
        <f>M19+M20+M21</f>
        <v>0</v>
      </c>
    </row>
    <row r="23" spans="1:15" x14ac:dyDescent="0.25">
      <c r="A23" s="4"/>
      <c r="B23" s="453"/>
      <c r="C23" s="463" t="s">
        <v>34</v>
      </c>
      <c r="D23" s="4"/>
      <c r="E23" s="30"/>
      <c r="F23" s="445"/>
      <c r="G23" s="31"/>
      <c r="H23" s="8">
        <f>H19</f>
        <v>0</v>
      </c>
      <c r="I23" s="31"/>
      <c r="J23" s="8"/>
      <c r="K23" s="31"/>
      <c r="L23" s="31"/>
      <c r="M23" s="31">
        <f>(M22-H23)*F23</f>
        <v>0</v>
      </c>
    </row>
    <row r="24" spans="1:15" ht="18" customHeight="1" x14ac:dyDescent="0.25">
      <c r="A24" s="130"/>
      <c r="B24" s="456"/>
      <c r="C24" s="464" t="s">
        <v>246</v>
      </c>
      <c r="D24" s="24"/>
      <c r="E24" s="25"/>
      <c r="F24" s="25"/>
      <c r="G24" s="16"/>
      <c r="H24" s="16"/>
      <c r="I24" s="16"/>
      <c r="J24" s="16"/>
      <c r="K24" s="16"/>
      <c r="L24" s="16"/>
      <c r="M24" s="16">
        <f>M22+M23</f>
        <v>0</v>
      </c>
    </row>
    <row r="25" spans="1:15" ht="17.25" customHeight="1" x14ac:dyDescent="0.25">
      <c r="A25" s="6"/>
      <c r="B25" s="453"/>
      <c r="C25" s="463" t="s">
        <v>12</v>
      </c>
      <c r="D25" s="6"/>
      <c r="E25" s="30"/>
      <c r="F25" s="445">
        <v>0.03</v>
      </c>
      <c r="G25" s="31"/>
      <c r="H25" s="31"/>
      <c r="I25" s="31"/>
      <c r="J25" s="8"/>
      <c r="K25" s="31"/>
      <c r="L25" s="31"/>
      <c r="M25" s="31">
        <f>M24*F25</f>
        <v>0</v>
      </c>
    </row>
    <row r="26" spans="1:15" ht="18.75" customHeight="1" x14ac:dyDescent="0.25">
      <c r="A26" s="6"/>
      <c r="B26" s="453"/>
      <c r="C26" s="464" t="s">
        <v>246</v>
      </c>
      <c r="D26" s="6"/>
      <c r="E26" s="30"/>
      <c r="F26" s="7"/>
      <c r="G26" s="31"/>
      <c r="H26" s="31"/>
      <c r="I26" s="31"/>
      <c r="J26" s="31"/>
      <c r="K26" s="31"/>
      <c r="L26" s="31"/>
      <c r="M26" s="165">
        <f>M24+M25</f>
        <v>0</v>
      </c>
    </row>
    <row r="27" spans="1:15" ht="19.5" customHeight="1" x14ac:dyDescent="0.25">
      <c r="A27" s="253"/>
      <c r="B27" s="453"/>
      <c r="C27" s="464" t="s">
        <v>388</v>
      </c>
      <c r="D27" s="253"/>
      <c r="E27" s="254"/>
      <c r="F27" s="254"/>
      <c r="G27" s="255"/>
      <c r="H27" s="255"/>
      <c r="I27" s="255"/>
      <c r="J27" s="255"/>
      <c r="K27" s="255"/>
      <c r="L27" s="255"/>
      <c r="M27" s="165">
        <f>H23</f>
        <v>0</v>
      </c>
    </row>
    <row r="28" spans="1:15" ht="18" customHeight="1" x14ac:dyDescent="0.25">
      <c r="A28" s="253"/>
      <c r="B28" s="453"/>
      <c r="C28" s="464" t="s">
        <v>389</v>
      </c>
      <c r="D28" s="6"/>
      <c r="E28" s="30"/>
      <c r="F28" s="30"/>
      <c r="G28" s="31"/>
      <c r="H28" s="31"/>
      <c r="I28" s="256"/>
      <c r="J28" s="256"/>
      <c r="K28" s="256"/>
      <c r="L28" s="256"/>
      <c r="M28" s="165">
        <f>M26-M27</f>
        <v>0</v>
      </c>
    </row>
    <row r="29" spans="1:15" x14ac:dyDescent="0.25">
      <c r="A29" s="243"/>
      <c r="C29" s="45"/>
      <c r="D29" s="225"/>
      <c r="I29" s="228"/>
      <c r="J29" s="228"/>
      <c r="K29" s="228"/>
      <c r="L29" s="228"/>
      <c r="M29" s="257"/>
    </row>
    <row r="30" spans="1:15" ht="15" customHeight="1" x14ac:dyDescent="0.25">
      <c r="A30" s="243"/>
      <c r="B30" s="258"/>
      <c r="C30" s="259"/>
      <c r="D30" s="260"/>
      <c r="E30" s="261"/>
      <c r="F30" s="262"/>
      <c r="G30" s="263"/>
      <c r="H30" s="247"/>
      <c r="I30" s="247"/>
      <c r="J30" s="247"/>
      <c r="K30" s="247"/>
      <c r="L30" s="247"/>
      <c r="M30" s="247"/>
    </row>
    <row r="31" spans="1:15" ht="45.6" hidden="1" customHeight="1" x14ac:dyDescent="0.25">
      <c r="A31" s="243"/>
      <c r="B31" s="258"/>
      <c r="C31" s="537"/>
      <c r="D31" s="537"/>
      <c r="E31" s="537"/>
      <c r="F31" s="537"/>
      <c r="G31" s="537"/>
      <c r="H31" s="247"/>
      <c r="I31" s="247"/>
      <c r="J31" s="247"/>
      <c r="K31" s="247"/>
      <c r="L31" s="247"/>
      <c r="M31" s="247"/>
    </row>
    <row r="32" spans="1:15" x14ac:dyDescent="0.25">
      <c r="A32" s="243"/>
      <c r="B32" s="264"/>
      <c r="C32" s="265"/>
      <c r="D32" s="265"/>
      <c r="E32" s="266"/>
      <c r="F32" s="262"/>
      <c r="G32" s="263"/>
      <c r="H32" s="247"/>
      <c r="I32" s="247"/>
      <c r="J32" s="247"/>
      <c r="K32" s="247"/>
      <c r="L32" s="247"/>
      <c r="M32" s="247"/>
    </row>
    <row r="33" spans="1:13" x14ac:dyDescent="0.25">
      <c r="A33" s="267"/>
      <c r="B33" s="268"/>
      <c r="C33" s="269"/>
      <c r="D33" s="270"/>
      <c r="E33" s="271"/>
      <c r="F33" s="271"/>
      <c r="G33" s="272"/>
      <c r="H33" s="273"/>
      <c r="I33" s="273"/>
      <c r="J33" s="273"/>
      <c r="K33" s="273"/>
      <c r="L33" s="273"/>
      <c r="M33" s="273"/>
    </row>
    <row r="34" spans="1:13" x14ac:dyDescent="0.25">
      <c r="B34" s="258"/>
      <c r="C34" s="265"/>
      <c r="D34" s="274"/>
      <c r="E34" s="275"/>
      <c r="F34" s="275"/>
      <c r="G34" s="276"/>
    </row>
  </sheetData>
  <mergeCells count="14">
    <mergeCell ref="C31:G31"/>
    <mergeCell ref="A1:M1"/>
    <mergeCell ref="A2:M2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M6:M7"/>
  </mergeCells>
  <pageMargins left="0.59055118110236227" right="0.19685039370078741" top="0.48" bottom="0.36" header="0.19685039370078741" footer="0.19685039370078741"/>
  <pageSetup paperSize="9" scale="85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krebsiti</vt:lpstr>
      <vt:lpstr>#1</vt:lpstr>
      <vt:lpstr>#2</vt:lpstr>
      <vt:lpstr>#3</vt:lpstr>
      <vt:lpstr>ინვენტარი</vt:lpstr>
      <vt:lpstr>'#1'!Print_Area</vt:lpstr>
      <vt:lpstr>'#2'!Print_Area</vt:lpstr>
      <vt:lpstr>krebsiti!Print_Area</vt:lpstr>
      <vt:lpstr>ინვენტარი!Print_Area</vt:lpstr>
      <vt:lpstr>'#1'!Print_Titles</vt:lpstr>
      <vt:lpstr>'#2'!Print_Titles</vt:lpstr>
      <vt:lpstr>ინვენტარი!Print_Titles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2021-02-12T10:13:52Z</dcterms:modified>
</cp:coreProperties>
</file>