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10875" tabRatio="878" activeTab="0"/>
  </bookViews>
  <sheets>
    <sheet name="AA" sheetId="1" r:id="rId1"/>
    <sheet name="კოშკი და რეზერვუარი" sheetId="2" r:id="rId2"/>
    <sheet name="რეზერვუარის ტექნოლ." sheetId="3" r:id="rId3"/>
    <sheet name="საქლორატორო" sheetId="4" r:id="rId4"/>
    <sheet name="საქლორატოროს ტექნოლ." sheetId="5" r:id="rId5"/>
    <sheet name="შიდა ქსელი." sheetId="6" r:id="rId6"/>
    <sheet name="ჭაბურღილის მოწყობა" sheetId="7" r:id="rId7"/>
  </sheets>
  <definedNames>
    <definedName name="_xlnm.Print_Area" localSheetId="0">'AA'!$A$1:$D$28</definedName>
    <definedName name="_xlnm.Print_Area" localSheetId="1">'კოშკი და რეზერვუარი'!$A$1:$M$100</definedName>
    <definedName name="_xlnm.Print_Area" localSheetId="2">'რეზერვუარის ტექნოლ.'!$A$1:$M$115</definedName>
    <definedName name="_xlnm.Print_Area" localSheetId="3">'საქლორატორო'!$A$1:$M$195</definedName>
    <definedName name="_xlnm.Print_Area" localSheetId="4">'საქლორატოროს ტექნოლ.'!$A$1:$M$101</definedName>
    <definedName name="_xlnm.Print_Area" localSheetId="5">'შიდა ქსელი.'!$A$1:$M$401</definedName>
    <definedName name="_xlnm.Print_Area" localSheetId="6">'ჭაბურღილის მოწყობა'!$A$1:$M$303</definedName>
  </definedNames>
  <calcPr fullCalcOnLoad="1"/>
</workbook>
</file>

<file path=xl/sharedStrings.xml><?xml version="1.0" encoding="utf-8"?>
<sst xmlns="http://schemas.openxmlformats.org/spreadsheetml/2006/main" count="2319" uniqueCount="675">
  <si>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</si>
  <si>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</si>
  <si>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</si>
  <si>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</si>
  <si>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</si>
  <si>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</si>
  <si>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</si>
  <si>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</si>
  <si>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</si>
  <si>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</si>
  <si>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</si>
  <si>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</si>
  <si>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</si>
  <si>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</si>
  <si>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manqanebi</t>
  </si>
  <si>
    <t>kac/sT</t>
  </si>
  <si>
    <t xml:space="preserve">masalis transporti </t>
  </si>
  <si>
    <t>masalebi</t>
  </si>
  <si>
    <t>sxva masala</t>
  </si>
  <si>
    <t xml:space="preserve">gegmiuri dagroveba </t>
  </si>
  <si>
    <t>m</t>
  </si>
  <si>
    <t xml:space="preserve">   jami</t>
  </si>
  <si>
    <t>man/sT</t>
  </si>
  <si>
    <t>r e s u r s e b i</t>
  </si>
  <si>
    <t>c</t>
  </si>
  <si>
    <t>sxva manqanebi</t>
  </si>
  <si>
    <t>10 m3</t>
  </si>
  <si>
    <t>dRg</t>
  </si>
  <si>
    <t>rk/b Wis Ziri</t>
  </si>
  <si>
    <t xml:space="preserve">zednadebi xarjebi </t>
  </si>
  <si>
    <t>tn.</t>
  </si>
  <si>
    <r>
      <t>m</t>
    </r>
    <r>
      <rPr>
        <b/>
        <vertAlign val="superscript"/>
        <sz val="12"/>
        <rFont val="AcadMtavr"/>
        <family val="0"/>
      </rPr>
      <t>3</t>
    </r>
  </si>
  <si>
    <r>
      <t>m</t>
    </r>
    <r>
      <rPr>
        <b/>
        <vertAlign val="superscript"/>
        <sz val="10"/>
        <rFont val="AcadMtavr"/>
        <family val="0"/>
      </rPr>
      <t>2</t>
    </r>
  </si>
  <si>
    <t>grZ.m.</t>
  </si>
  <si>
    <t>gauTvaliswinebeli xarji</t>
  </si>
  <si>
    <t>aT.lari</t>
  </si>
  <si>
    <t>saxarjTaRricxvo Rirebuleba</t>
  </si>
  <si>
    <t>m.S. xelfasi</t>
  </si>
  <si>
    <t>proeqt</t>
  </si>
  <si>
    <t>betonis saxuravi fila, polimeruli xufiT</t>
  </si>
  <si>
    <t>rk/betonis Wis kedlebis gare zedapiris damuSaveba 2 fena cxeli bitumiT (hidroizoliacia)</t>
  </si>
  <si>
    <r>
      <t>m</t>
    </r>
    <r>
      <rPr>
        <vertAlign val="superscript"/>
        <sz val="12"/>
        <rFont val="AcadMtavr"/>
        <family val="0"/>
      </rPr>
      <t>3</t>
    </r>
  </si>
  <si>
    <t>m3</t>
  </si>
  <si>
    <t xml:space="preserve">rk/b Wa d=1500mm </t>
  </si>
  <si>
    <r>
      <t>eqskavatori pnevmoTvlian svlaze 0.5 m</t>
    </r>
    <r>
      <rPr>
        <vertAlign val="superscript"/>
        <sz val="10"/>
        <rFont val="AcadMtavr"/>
        <family val="0"/>
      </rPr>
      <t>3</t>
    </r>
  </si>
  <si>
    <t>tranSeis Sevseba adgilobrivi gruntiT datkepniT</t>
  </si>
  <si>
    <t>buldozeri 80 cx.Z</t>
  </si>
  <si>
    <t>bitumis emulsia</t>
  </si>
  <si>
    <r>
      <t>m</t>
    </r>
    <r>
      <rPr>
        <vertAlign val="superscript"/>
        <sz val="10"/>
        <rFont val="AcadMtavr"/>
        <family val="0"/>
      </rPr>
      <t>3</t>
    </r>
  </si>
  <si>
    <t>wyalsadenis anakrebi rk/b Wis mowyoba d=1500mm 1-kompl. simaRliT 1.m. polimeruli xufiT</t>
  </si>
  <si>
    <t>sxva masalebi</t>
  </si>
  <si>
    <t>kompl</t>
  </si>
  <si>
    <t>grZ.m</t>
  </si>
  <si>
    <t>minabamba sisqiT 5 sm</t>
  </si>
  <si>
    <r>
      <t>m</t>
    </r>
    <r>
      <rPr>
        <vertAlign val="superscript"/>
        <sz val="12"/>
        <rFont val="AcadMtavr"/>
        <family val="0"/>
      </rPr>
      <t>2</t>
    </r>
  </si>
  <si>
    <r>
      <t>m</t>
    </r>
    <r>
      <rPr>
        <b/>
        <vertAlign val="superscript"/>
        <sz val="12"/>
        <rFont val="AcadMtavr"/>
        <family val="0"/>
      </rPr>
      <t>2</t>
    </r>
  </si>
  <si>
    <t>laki antikoroziuli</t>
  </si>
  <si>
    <t>kg</t>
  </si>
  <si>
    <t>sasmeli wylis sistemis mowyobis samuSaoebi</t>
  </si>
  <si>
    <t>lokaluri xarjTaRricxva #3</t>
  </si>
  <si>
    <t>saqloratoros Senobis mowyoba</t>
  </si>
  <si>
    <t>wyalsadenis Sida qselis mowyoba</t>
  </si>
  <si>
    <t>lokaluri xarjTaRricxva #4</t>
  </si>
  <si>
    <t>III kategoriis gruntis damuSaveba  xeliT.</t>
  </si>
  <si>
    <t>betonis momzadebis fena saZirkvlebis qveS m-100, sisqiT 10 sm.</t>
  </si>
  <si>
    <r>
      <t>betoni b-7,5 B(</t>
    </r>
    <r>
      <rPr>
        <sz val="10"/>
        <rFont val="Arial"/>
        <family val="2"/>
      </rPr>
      <t>M</t>
    </r>
    <r>
      <rPr>
        <sz val="10"/>
        <rFont val="AcadMtavr"/>
        <family val="0"/>
      </rPr>
      <t>-100)</t>
    </r>
  </si>
  <si>
    <r>
      <t>m</t>
    </r>
    <r>
      <rPr>
        <vertAlign val="superscript"/>
        <sz val="11"/>
        <rFont val="AcadMtavr"/>
        <family val="0"/>
      </rPr>
      <t>3</t>
    </r>
  </si>
  <si>
    <r>
      <t xml:space="preserve">monoliTuri rk/betonis lenturi saZirkvelis mowyoba betoniT </t>
    </r>
    <r>
      <rPr>
        <b/>
        <sz val="10"/>
        <rFont val="Calibri"/>
        <family val="2"/>
      </rPr>
      <t>B-15</t>
    </r>
  </si>
  <si>
    <r>
      <t>betoni b-15 B(</t>
    </r>
    <r>
      <rPr>
        <sz val="10"/>
        <rFont val="Arial"/>
        <family val="2"/>
      </rPr>
      <t>M-200)</t>
    </r>
  </si>
  <si>
    <r>
      <t>m</t>
    </r>
    <r>
      <rPr>
        <vertAlign val="superscript"/>
        <sz val="11"/>
        <rFont val="AcadMtavr"/>
        <family val="0"/>
      </rPr>
      <t>2</t>
    </r>
  </si>
  <si>
    <r>
      <t xml:space="preserve">armatura </t>
    </r>
    <r>
      <rPr>
        <sz val="10"/>
        <rFont val="Calibri"/>
        <family val="2"/>
      </rPr>
      <t>AIII</t>
    </r>
  </si>
  <si>
    <t>gruntis ukumiyra xeliT</t>
  </si>
  <si>
    <t>zedmeti gruntis mosworeba teritoriaze</t>
  </si>
  <si>
    <t>kedlebis wyoba msubuqi blokiT sisqiT 40 sm</t>
  </si>
  <si>
    <t>xsnari qviSa-cementis m-100</t>
  </si>
  <si>
    <t>blokebi 40X20X20</t>
  </si>
  <si>
    <t>cali</t>
  </si>
  <si>
    <t>horizontaluri hidroizolaciis mowyoba sisqiT 30 mm.</t>
  </si>
  <si>
    <r>
      <t xml:space="preserve">monoliTuri rk/betonis gadaxurvis filis mowyoba betoniT </t>
    </r>
    <r>
      <rPr>
        <b/>
        <sz val="10"/>
        <rFont val="Calibri"/>
        <family val="2"/>
      </rPr>
      <t>B-22,5</t>
    </r>
  </si>
  <si>
    <r>
      <t>betoni b-22,5 B(</t>
    </r>
    <r>
      <rPr>
        <sz val="10"/>
        <rFont val="Arial"/>
        <family val="2"/>
      </rPr>
      <t>M-300)</t>
    </r>
  </si>
  <si>
    <r>
      <t xml:space="preserve">armatura </t>
    </r>
    <r>
      <rPr>
        <sz val="10"/>
        <rFont val="Calibri"/>
        <family val="2"/>
      </rPr>
      <t>AI</t>
    </r>
  </si>
  <si>
    <t>monoliTuri rk/betonis zRudarebis mowyoba</t>
  </si>
  <si>
    <r>
      <t>betoni b-20 B(</t>
    </r>
    <r>
      <rPr>
        <sz val="10"/>
        <rFont val="Arial"/>
        <family val="2"/>
      </rPr>
      <t>M-250)</t>
    </r>
  </si>
  <si>
    <t>saxuravis xis konstruqciis mowyoba</t>
  </si>
  <si>
    <t>lari.</t>
  </si>
  <si>
    <t>toli</t>
  </si>
  <si>
    <t>lursmani</t>
  </si>
  <si>
    <t>kg.</t>
  </si>
  <si>
    <t>mavTuli</t>
  </si>
  <si>
    <t>molartyvis mowyoba</t>
  </si>
  <si>
    <r>
      <t>m</t>
    </r>
    <r>
      <rPr>
        <b/>
        <vertAlign val="superscript"/>
        <sz val="11"/>
        <rFont val="AcadMtavr"/>
        <family val="0"/>
      </rPr>
      <t>2</t>
    </r>
  </si>
  <si>
    <t>saxuravis mowyoba profilirebuli feniliT</t>
  </si>
  <si>
    <t>avtoamwe 6,3 t</t>
  </si>
  <si>
    <t>profilirebuli Tunuqi sisqiT 0,5 mm</t>
  </si>
  <si>
    <t>moTuTiebuli liTonis furceli sisqiT 0,5 mm</t>
  </si>
  <si>
    <t>samagri detalebi</t>
  </si>
  <si>
    <t>WanWikebi</t>
  </si>
  <si>
    <t>plastmasis wyalSemkrebi Rarebis dayeneba</t>
  </si>
  <si>
    <t>grZ/m</t>
  </si>
  <si>
    <t>SromiTi resursebi</t>
  </si>
  <si>
    <t>plastmasis wyalSemkrebi Rari</t>
  </si>
  <si>
    <t>plastmasis wyalSemkrebi Zabrebis mowyoba samagrebiT</t>
  </si>
  <si>
    <t>plastmasis wyalSemkrebi Zabri samagriT</t>
  </si>
  <si>
    <t>plastmasis wylis CamSvebi milebis mowyoba samagrebiT</t>
  </si>
  <si>
    <t>iatakis betonis filis mowyoba</t>
  </si>
  <si>
    <t>betoni m-200</t>
  </si>
  <si>
    <t>iatakis moWimva cementis xsnariT sisqiT 30mm</t>
  </si>
  <si>
    <t>liTonis karebis   montaJi</t>
  </si>
  <si>
    <t>Sromis danaxarjebi</t>
  </si>
  <si>
    <t xml:space="preserve">sxva manqana </t>
  </si>
  <si>
    <t>eleqtrodi</t>
  </si>
  <si>
    <t>liTonis kari</t>
  </si>
  <si>
    <r>
      <t>m</t>
    </r>
    <r>
      <rPr>
        <vertAlign val="superscript"/>
        <sz val="10"/>
        <rFont val="AcadMtavr"/>
        <family val="0"/>
      </rPr>
      <t>2</t>
    </r>
  </si>
  <si>
    <t>Seminuli metaloplastmasis fanjrebis mowyoba</t>
  </si>
  <si>
    <t>metaloplastmasis fanjara</t>
  </si>
  <si>
    <t>liTonis karebis SeRebva zeTovani saRebaviT  (2 fena)</t>
  </si>
  <si>
    <t>zeTovani saRebavi</t>
  </si>
  <si>
    <t>olifa</t>
  </si>
  <si>
    <t>Sida kedlebisa da Weris Selesva  qvisa_cementis  xsnariT</t>
  </si>
  <si>
    <t>cementis xsnari mosapirkeTebeli 1:2</t>
  </si>
  <si>
    <t>fasadis maRalxarisxovani  Selesva  cementis xsnariT</t>
  </si>
  <si>
    <t>Sida kedlebis da Weris SeRebva wyalemulsiis saRebaviT</t>
  </si>
  <si>
    <t>fiTxi</t>
  </si>
  <si>
    <t>wyalemulsia</t>
  </si>
  <si>
    <t>fasadis  SeRebva fasadis saRebaviT</t>
  </si>
  <si>
    <t>fasadis saRebavi</t>
  </si>
  <si>
    <t>Senobis garSemo betonis sarinelis mowyoba 1m siganiT</t>
  </si>
  <si>
    <r>
      <t>m</t>
    </r>
    <r>
      <rPr>
        <b/>
        <vertAlign val="superscript"/>
        <sz val="11"/>
        <rFont val="AcadMtavr"/>
        <family val="0"/>
      </rPr>
      <t>3</t>
    </r>
  </si>
  <si>
    <t>lokaluri xarjTaRricxva #5</t>
  </si>
  <si>
    <t>saqloratoros teqnologiuri danadgarebisa da milgayvanilobis mowyoba</t>
  </si>
  <si>
    <t>ficarnagis mowyoba polieTilenis CanebisaTvis</t>
  </si>
  <si>
    <t>lagebi</t>
  </si>
  <si>
    <t xml:space="preserve">lursmani </t>
  </si>
  <si>
    <t>ventilebisa da Zabrebis montaJi</t>
  </si>
  <si>
    <t>plastmasis Zabri d=20mm</t>
  </si>
  <si>
    <t xml:space="preserve">viniplastis ventili d=20 mm </t>
  </si>
  <si>
    <t>damxarjavi onkanis dayeneba</t>
  </si>
  <si>
    <t>viniplastis mili d-15 mm</t>
  </si>
  <si>
    <t>viniplastis mili d-20 mm</t>
  </si>
  <si>
    <t>Tboizolaciis mowyoba minbambiT</t>
  </si>
  <si>
    <t>minabamba</t>
  </si>
  <si>
    <t>moTuTiebuli furclovani foladi sisqiT 3-mm</t>
  </si>
  <si>
    <t>liTonis milebis SeRebva zeTovani saRebaviT  (2 fena)</t>
  </si>
  <si>
    <t xml:space="preserve">   sul</t>
  </si>
  <si>
    <t>IV kategoriis gruntis damuSaveba eqskavatoriT adgilze dayriT</t>
  </si>
  <si>
    <t>qvabulis damuSaveba xeliT IV kategoriis gruntebSi</t>
  </si>
  <si>
    <r>
      <t>m</t>
    </r>
    <r>
      <rPr>
        <b/>
        <vertAlign val="superscript"/>
        <sz val="10"/>
        <rFont val="AcadMtavr"/>
        <family val="0"/>
      </rPr>
      <t>3</t>
    </r>
  </si>
  <si>
    <t>qviSa-RorRi fraqcia 10-20 mm</t>
  </si>
  <si>
    <t>xreSi safuZvlis mowyoba datkepvniT fundametis qveS</t>
  </si>
  <si>
    <r>
      <t xml:space="preserve">monoliTuri rk/betonis wertilovani saZirkvelis mowyoba betoniT </t>
    </r>
    <r>
      <rPr>
        <b/>
        <sz val="10"/>
        <rFont val="Calibri"/>
        <family val="2"/>
      </rPr>
      <t>B-22,5</t>
    </r>
  </si>
  <si>
    <t>liTonis samagri detalebi</t>
  </si>
  <si>
    <t>amwe saavtomobilo svlaze 16t.</t>
  </si>
  <si>
    <r>
      <t>liTonis rezervuari V=50 m</t>
    </r>
    <r>
      <rPr>
        <vertAlign val="superscript"/>
        <sz val="10"/>
        <rFont val="AcadMtavr"/>
        <family val="0"/>
      </rPr>
      <t>3</t>
    </r>
  </si>
  <si>
    <t>rezervuaris SefuTva minabambiT</t>
  </si>
  <si>
    <t>rezervuaris SefuTva talRovani moTuTiebuli furclebiT</t>
  </si>
  <si>
    <t>moTuTiebuli liTonis talRovani furceli sisqiT 0,5 mm</t>
  </si>
  <si>
    <t>liTonis milebis SeRebva antikoroziuli laqiT</t>
  </si>
  <si>
    <t>teritoriis moxreSva fraqciuli RorRiT sisqiT 20 sm</t>
  </si>
  <si>
    <r>
      <t>liTonis V=50m</t>
    </r>
    <r>
      <rPr>
        <b/>
        <vertAlign val="superscript"/>
        <sz val="10"/>
        <rFont val="AcadMtavr"/>
        <family val="0"/>
      </rPr>
      <t>3</t>
    </r>
    <r>
      <rPr>
        <b/>
        <sz val="10"/>
        <rFont val="AcadMtavr"/>
        <family val="0"/>
      </rPr>
      <t xml:space="preserve"> rezervuaris montaJi</t>
    </r>
  </si>
  <si>
    <r>
      <t>sadawneo koSkisa da V=50 m</t>
    </r>
    <r>
      <rPr>
        <b/>
        <vertAlign val="superscript"/>
        <sz val="12"/>
        <rFont val="AcadMtavr"/>
        <family val="0"/>
      </rPr>
      <t>3</t>
    </r>
    <r>
      <rPr>
        <b/>
        <sz val="12"/>
        <rFont val="AcadMtavr"/>
        <family val="0"/>
      </rPr>
      <t xml:space="preserve"> rezervuaris montaJi</t>
    </r>
  </si>
  <si>
    <t>rezervuaris teqnologia</t>
  </si>
  <si>
    <t>liTonis samagri detalebis montaJi</t>
  </si>
  <si>
    <t>liTonis damxarji milebis mowyoba 108X4 mm</t>
  </si>
  <si>
    <t>liTonis mili d=108X4 mm</t>
  </si>
  <si>
    <t>liTonis gadamRvreli da gamrecxi milebis mowyoba 108X4 mm</t>
  </si>
  <si>
    <t>miltuCis montaJi d-100</t>
  </si>
  <si>
    <t>rezervuarSi Camketi orkonturiani tivtivas montaJi</t>
  </si>
  <si>
    <t>kompl.</t>
  </si>
  <si>
    <t>orkonturiani tivtiva</t>
  </si>
  <si>
    <t>obieqturi xarjTaRricxva</t>
  </si>
  <si>
    <t>saxarjTaRicxvo Rirebuleba:</t>
  </si>
  <si>
    <t>xarjTaRricxva</t>
  </si>
  <si>
    <t>dasaxeleba</t>
  </si>
  <si>
    <t>lokaluri xarjTaRricxva #2</t>
  </si>
  <si>
    <t>sadawneo koSkisa da V=50 m3 rezervuaris montaJi</t>
  </si>
  <si>
    <t>xarjTaRricxva #2</t>
  </si>
  <si>
    <t>xarjTaRricxva #3</t>
  </si>
  <si>
    <t>xarjTaRricxva #4</t>
  </si>
  <si>
    <t>xarjTaRricxva #5</t>
  </si>
  <si>
    <t>xarjTaRricxva #6</t>
  </si>
  <si>
    <t>plastmasis muxlebis mowyoba</t>
  </si>
  <si>
    <t>saqloratoros tumbodozatoris montaJi</t>
  </si>
  <si>
    <t>tumbodozatori</t>
  </si>
  <si>
    <t xml:space="preserve"> Sifri</t>
  </si>
  <si>
    <t xml:space="preserve"> Tavi I                                    წყალსადენის შიდა დამხარჯი ქსელი                         </t>
  </si>
  <si>
    <t>IV კატეგორიის  გრუნტის დამუშავება  თხრილში ექსკავატორით</t>
  </si>
  <si>
    <t>1-11-16</t>
  </si>
  <si>
    <t>IV kategoriis gruntis damuSaveba xeliT</t>
  </si>
  <si>
    <t xml:space="preserve">1-80-4 </t>
  </si>
  <si>
    <t>zedmeti gruntis gatana 1km-ze</t>
  </si>
  <si>
    <t>lamiT baliSis mowyoba  milebis garSemo</t>
  </si>
  <si>
    <t xml:space="preserve"> 23-1-1 </t>
  </si>
  <si>
    <t>resursebi</t>
  </si>
  <si>
    <t xml:space="preserve">lami </t>
  </si>
  <si>
    <r>
      <t>m</t>
    </r>
    <r>
      <rPr>
        <vertAlign val="superscript"/>
        <sz val="10"/>
        <rFont val="AcadNusx"/>
        <family val="0"/>
      </rPr>
      <t>3</t>
    </r>
  </si>
  <si>
    <t xml:space="preserve">22-8-3   </t>
  </si>
  <si>
    <t xml:space="preserve">22-8-1   </t>
  </si>
  <si>
    <r>
      <t xml:space="preserve">mili d=20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-16</t>
    </r>
  </si>
  <si>
    <t>ელ.ფუზიური უნაგირების მონტაჟი</t>
  </si>
  <si>
    <t>22-23-2</t>
  </si>
  <si>
    <t>ცალი</t>
  </si>
  <si>
    <r>
      <t xml:space="preserve">უნაგირი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–75</t>
    </r>
    <r>
      <rPr>
        <sz val="10"/>
        <rFont val="Calibri"/>
        <family val="2"/>
      </rPr>
      <t>×</t>
    </r>
    <r>
      <rPr>
        <sz val="10"/>
        <rFont val="AcadNusx"/>
        <family val="0"/>
      </rPr>
      <t>20</t>
    </r>
  </si>
  <si>
    <t>ელ.ფუზიური საცობების მონტაჟი</t>
  </si>
  <si>
    <t>22-23-1</t>
  </si>
  <si>
    <r>
      <t xml:space="preserve">საცობი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–40</t>
    </r>
  </si>
  <si>
    <t>ქურო პოლიეთ. ელ.ფუზიური მონტაჟი</t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</si>
  <si>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 xml:space="preserve">–90 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</si>
  <si>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 xml:space="preserve">–75 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</si>
  <si>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–50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</si>
  <si>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–40</t>
    </r>
  </si>
  <si>
    <t>სამკაპების მონტაჟი</t>
  </si>
  <si>
    <t>hidrantis mowyoba  d-80</t>
  </si>
  <si>
    <t xml:space="preserve">22-26-3 </t>
  </si>
  <si>
    <t>hidranti</t>
  </si>
  <si>
    <t>1000 m2</t>
  </si>
  <si>
    <t>wyali</t>
  </si>
  <si>
    <t>22-20-2</t>
  </si>
  <si>
    <t>m/sT</t>
  </si>
  <si>
    <t>gruntis ukumiyra  xeliT</t>
  </si>
  <si>
    <t>1-81-3</t>
  </si>
  <si>
    <t>avtogreideri 79kvt.</t>
  </si>
  <si>
    <t>sagzao mtkep. TviTm. pnev.svlaze 18t.</t>
  </si>
  <si>
    <t>sagzao mtkepnavi TviTm. gluvi 5t.</t>
  </si>
  <si>
    <t>igive, 10toniani</t>
  </si>
  <si>
    <t>sarwyavi manqana</t>
  </si>
  <si>
    <t>kub.m.</t>
  </si>
  <si>
    <t>Tavi I</t>
  </si>
  <si>
    <r>
      <rPr>
        <sz val="14"/>
        <rFont val="AcadNusx"/>
        <family val="0"/>
      </rPr>
      <t xml:space="preserve"> Tavi </t>
    </r>
    <r>
      <rPr>
        <sz val="12"/>
        <rFont val="AcadNusx"/>
        <family val="0"/>
      </rPr>
      <t>II</t>
    </r>
    <r>
      <rPr>
        <sz val="14"/>
        <rFont val="AcadNusx"/>
        <family val="0"/>
      </rPr>
      <t xml:space="preserve"> </t>
    </r>
    <r>
      <rPr>
        <sz val="10"/>
        <rFont val="AcadNusx"/>
        <family val="0"/>
      </rPr>
      <t xml:space="preserve">                                   წყალსადენის შიდა დამხარჯი ქსელიs Webi Camket-maregurilebeli armaturiT                         </t>
    </r>
  </si>
  <si>
    <t>22-30-1</t>
  </si>
  <si>
    <t>betoni saxuravi fila, xufiT</t>
  </si>
  <si>
    <t>rk/b Wis Ziris</t>
  </si>
  <si>
    <t>22-29-3</t>
  </si>
  <si>
    <t xml:space="preserve">polieTilenis miltuCa adaptoris montaJi d-90 </t>
  </si>
  <si>
    <t>miltuCa adaptori d-90</t>
  </si>
  <si>
    <t>22-29-2</t>
  </si>
  <si>
    <t>foladis miltuCis montaJi d-90</t>
  </si>
  <si>
    <t>miltuCi d-90</t>
  </si>
  <si>
    <t>22-25-2 miyenebiT</t>
  </si>
  <si>
    <t xml:space="preserve">urduli d=65mm </t>
  </si>
  <si>
    <t>wyalmzomi kvanZis mowyoba d-20</t>
  </si>
  <si>
    <t xml:space="preserve">16-19-1    miyenebiT    </t>
  </si>
  <si>
    <t>kvanZi</t>
  </si>
  <si>
    <t xml:space="preserve">Sr. danaxarjebi </t>
  </si>
  <si>
    <t>sxva manqana</t>
  </si>
  <si>
    <t xml:space="preserve">wyalmzomi </t>
  </si>
  <si>
    <t>komp.</t>
  </si>
  <si>
    <t>ukusarqveli</t>
  </si>
  <si>
    <t xml:space="preserve">cali </t>
  </si>
  <si>
    <t>ventili</t>
  </si>
  <si>
    <t xml:space="preserve">filtri </t>
  </si>
  <si>
    <t>gadamyvani</t>
  </si>
  <si>
    <t>sabazro</t>
  </si>
  <si>
    <t xml:space="preserve">plastmasis Wis nakeTobebi pirobiT 1 metr CaRrmavebaze </t>
  </si>
  <si>
    <t>sul jami</t>
  </si>
  <si>
    <t>gegmiuri dagroveba</t>
  </si>
  <si>
    <t>gauTvaliwinebeli xarjebi</t>
  </si>
  <si>
    <r>
      <t xml:space="preserve">უნაგირი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–110</t>
    </r>
    <r>
      <rPr>
        <sz val="10"/>
        <rFont val="Calibri"/>
        <family val="2"/>
      </rPr>
      <t>×</t>
    </r>
    <r>
      <rPr>
        <sz val="10"/>
        <rFont val="AcadNusx"/>
        <family val="0"/>
      </rPr>
      <t>20</t>
    </r>
  </si>
  <si>
    <r>
      <t xml:space="preserve">უნაგირი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–63</t>
    </r>
    <r>
      <rPr>
        <sz val="10"/>
        <rFont val="Calibri"/>
        <family val="2"/>
      </rPr>
      <t>×</t>
    </r>
    <r>
      <rPr>
        <sz val="10"/>
        <rFont val="AcadNusx"/>
        <family val="0"/>
      </rPr>
      <t>20</t>
    </r>
  </si>
  <si>
    <r>
      <t xml:space="preserve">უნაგირი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–50</t>
    </r>
    <r>
      <rPr>
        <sz val="10"/>
        <rFont val="Calibri"/>
        <family val="2"/>
      </rPr>
      <t>×</t>
    </r>
    <r>
      <rPr>
        <sz val="10"/>
        <rFont val="AcadNusx"/>
        <family val="0"/>
      </rPr>
      <t>20</t>
    </r>
  </si>
  <si>
    <t>polieTilenis gadamyvani მონტაჟი</t>
  </si>
  <si>
    <t>muxlis მონტაჟი</t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</si>
  <si>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 xml:space="preserve">–63 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</si>
  <si>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–110</t>
    </r>
  </si>
  <si>
    <t>polieTilenis miltuCa adaptoris montaJi d-110</t>
  </si>
  <si>
    <t>miltuCa adaptori d-110</t>
  </si>
  <si>
    <t>polieTilenis miltuCa adaptoris montaJi d-63</t>
  </si>
  <si>
    <t>miltuCa adaptori d-63</t>
  </si>
  <si>
    <t>polieTilenis miltuCa adaptoris montaJi d-50</t>
  </si>
  <si>
    <t>miltuCa adaptori d-50</t>
  </si>
  <si>
    <t xml:space="preserve">foladis miltuCis montaJi d-110 </t>
  </si>
  <si>
    <t>miltuCi d-110</t>
  </si>
  <si>
    <t>foladis miltuCis montaJi d-63</t>
  </si>
  <si>
    <t>miltuCi d-63</t>
  </si>
  <si>
    <t>foladis miltuCis montaJi d-50</t>
  </si>
  <si>
    <t>22-29-1</t>
  </si>
  <si>
    <t>miltuCi d-50</t>
  </si>
  <si>
    <t xml:space="preserve">22-25-2 </t>
  </si>
  <si>
    <t>milebis gamocda statikur wnevaze da gamorecxva qloriani wyliT</t>
  </si>
  <si>
    <t>სარწყავი არხების გადაკვეთაზე საპროექტო წყალსადენებისათვის გარცმის მოწყობა დ-219*4 მმ ფოლადის მილით</t>
  </si>
  <si>
    <t xml:space="preserve">mili d-219*4 მმ </t>
  </si>
  <si>
    <t>სარწყავი არხების გადაკვეთაზე საპროექტო წყალსადენებისათვის გარცმის მოწყობა დ-159*4 მმ ფოლადის მილით</t>
  </si>
  <si>
    <t>mili დ-159*4</t>
  </si>
  <si>
    <t xml:space="preserve">4-9-2
</t>
  </si>
  <si>
    <t>100 m</t>
  </si>
  <si>
    <t>saburRi mowyobilebis kompleqti</t>
  </si>
  <si>
    <t>saburRi milebi (Stangebi)</t>
  </si>
  <si>
    <t>saburRi milebi damamZimebeli</t>
  </si>
  <si>
    <t>saRaraviani satexi</t>
  </si>
  <si>
    <t>WaburRilidan wylis amotumbva erliftiT</t>
  </si>
  <si>
    <t>4-40-1</t>
  </si>
  <si>
    <t>dRe/Rame</t>
  </si>
  <si>
    <t>kompresori</t>
  </si>
  <si>
    <t xml:space="preserve">                Sedgenilia 1984 w. s.n.w. sabaziso normebiT mimdinare fasebSi </t>
  </si>
  <si>
    <t>Tavi I. burRviTi samuSaoebi</t>
  </si>
  <si>
    <t>masalis transporti</t>
  </si>
  <si>
    <t>jami Tavi I</t>
  </si>
  <si>
    <t>Tavi II. samSeneblo samuSaoebi</t>
  </si>
  <si>
    <t>WaburRilis irgvliv  IIIkat. gruntis damuSaveba</t>
  </si>
  <si>
    <t>1-80-7</t>
  </si>
  <si>
    <t>qviSa-RorRis safenis mowyoba sis: 10sm, datkepniT</t>
  </si>
  <si>
    <t xml:space="preserve">Sromis danaxarji </t>
  </si>
  <si>
    <t>kub.m</t>
  </si>
  <si>
    <t>WaburRilis igvliv betonis saTavisis mowyoba zom: მ-250 3*3*0.2მ</t>
  </si>
  <si>
    <t>6-1-2</t>
  </si>
  <si>
    <t>100 m3</t>
  </si>
  <si>
    <t>m2</t>
  </si>
  <si>
    <t>liTonis mili d-75,</t>
  </si>
  <si>
    <t>liTonis wyalsawevi specialuri milebis fasonuri naawilebi d=75 mm</t>
  </si>
  <si>
    <t>liTonis wyalsawevi specialuri milebis da WaburRilis Tavze mowyobili milebis gamorecxva dezinfeqciiT    d=75 mm</t>
  </si>
  <si>
    <t>liTonis wyalsawevi specialuri milebis da WaburRilis Tavze mowyobili milebis hidroizolacia ormagi feniT    d=75 mm</t>
  </si>
  <si>
    <t xml:space="preserve">antikoroziuli saRebavi </t>
  </si>
  <si>
    <t>WaburRilis irgvliv  III kat. gruntis damuSaveba</t>
  </si>
  <si>
    <t>betonis m200 wertilovani saZirkvlis mowyoba zom. 1X1X0.5m</t>
  </si>
  <si>
    <t>Sr. danaxarji</t>
  </si>
  <si>
    <t xml:space="preserve">16-19-4      </t>
  </si>
  <si>
    <t xml:space="preserve">vantuzi d=25mm montaJi </t>
  </si>
  <si>
    <t xml:space="preserve">vantuzi d=25mm </t>
  </si>
  <si>
    <t xml:space="preserve">manometris montaJi </t>
  </si>
  <si>
    <t>milis izolacia folgiani minabambiT da damcavi Sris mowyoba  moTuTiebuli Tunuqis furcliT 3mm</t>
  </si>
  <si>
    <t>26-15-7      miy.</t>
  </si>
  <si>
    <t>folgiani minabamba 50mm</t>
  </si>
  <si>
    <t>moTuTiebuli Tunuqis furceli 3mm</t>
  </si>
  <si>
    <t>jami Tavi II</t>
  </si>
  <si>
    <t>Tavi III. mowyobilobebi</t>
  </si>
  <si>
    <t>tumbo</t>
  </si>
  <si>
    <t>zednadebi xarjebi montaJis xelfasze</t>
  </si>
  <si>
    <t>gegmiuri dagroveba  (mowyobilobis gareSe)</t>
  </si>
  <si>
    <t>jami Tavi III</t>
  </si>
  <si>
    <t>ჭაბურღილის რეაბილიტაცია</t>
  </si>
  <si>
    <t>WaburRilis mowyoba</t>
  </si>
  <si>
    <t>rotoruli burRva pirdapiri garecxviT saSualod III-IV kategoriis gruntSi d-394</t>
  </si>
  <si>
    <t>rotoruli burRva pirdapiri garecxviT saSualod V-VI kategoriis gruntSi d-394</t>
  </si>
  <si>
    <t xml:space="preserve">4-9-3
</t>
  </si>
  <si>
    <t>rotoruli burRva pirdapiri garecxviT saSualod VII kategoriis gruntSi d-394</t>
  </si>
  <si>
    <t xml:space="preserve">4-9-4
</t>
  </si>
  <si>
    <t>rotoruli burRva pirdapiri garecxviT saSualod VIII kategoriis gruntSi d-394</t>
  </si>
  <si>
    <t xml:space="preserve">4-9-5
</t>
  </si>
  <si>
    <t>rotoruli burRva pirdapiri garecxviT saSualod VIII kategoriis gruntSi d-215</t>
  </si>
  <si>
    <t xml:space="preserve">4-33-3 </t>
  </si>
  <si>
    <t>SesaduRebeli manqana</t>
  </si>
  <si>
    <t>fol. milebiT d-114/4.5mm filtrebis  mm damzzadeba mowyoba (perforirebuli)</t>
  </si>
  <si>
    <t xml:space="preserve">gol. mili d-114/4.5mm </t>
  </si>
  <si>
    <t>fol. sacavi  milebis SeduReba d-273X4mm</t>
  </si>
  <si>
    <t xml:space="preserve">gol. mili d-273/4mm </t>
  </si>
  <si>
    <t>fol. milebiT d-114/4mm filtrebis  mm damzzadeba mowyoba (perforirebuli)</t>
  </si>
  <si>
    <t xml:space="preserve">gol. mili d-114/4mm </t>
  </si>
  <si>
    <t>sacavi milebisa da filtrebis CaSveba</t>
  </si>
  <si>
    <t>4-38-2</t>
  </si>
  <si>
    <t>WaburRilis filtrebis Sesabamisi zomis RorRis garsacmis mowyoba</t>
  </si>
  <si>
    <t>wyalmzomi kvanZis mowyoba d-100</t>
  </si>
  <si>
    <t>komp</t>
  </si>
  <si>
    <t xml:space="preserve">liTonis milis mowyoba WaburRilis Tavze mricxvelisTvis d=100 mm, </t>
  </si>
  <si>
    <r>
      <t xml:space="preserve">urduli d=100 mm </t>
    </r>
    <r>
      <rPr>
        <sz val="10"/>
        <rFont val="Arial"/>
        <family val="2"/>
      </rPr>
      <t>PN16</t>
    </r>
  </si>
  <si>
    <t>სულ ჯამი</t>
  </si>
  <si>
    <t>ელ. ენერგიის ტექ პირობის ათება 10 კვ. მდე ჭაბურღილისთვის</t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</si>
  <si>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–75X75X75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</si>
  <si>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 xml:space="preserve">–75X50X75 </t>
    </r>
  </si>
  <si>
    <t xml:space="preserve">    Sedgenilia 1984 w. s.n.w. sabaziso normebiT. s.r.f. 2019 wlis I kvartlis doneze</t>
  </si>
  <si>
    <t>safuZveli</t>
  </si>
  <si>
    <t>yalibis fari 25 mm</t>
  </si>
  <si>
    <t>xe masala 25-32 mm III xarisxi</t>
  </si>
  <si>
    <r>
      <t xml:space="preserve">sn da w
9-23-1     </t>
    </r>
    <r>
      <rPr>
        <b/>
        <sz val="7"/>
        <rFont val="AcadMtavr"/>
        <family val="0"/>
      </rPr>
      <t>miyenebiT</t>
    </r>
  </si>
  <si>
    <t>sn da w
9-4-1</t>
  </si>
  <si>
    <t xml:space="preserve">sn da w
15-166-3  </t>
  </si>
  <si>
    <t>sn da w
1-81-4</t>
  </si>
  <si>
    <t>maT Soria liTon konstriqciebis</t>
  </si>
  <si>
    <t>liTon konstriqciebis gareSe</t>
  </si>
  <si>
    <t>zednadebi xarjebi liTon konstruqciebis</t>
  </si>
  <si>
    <t>sn da w
22-5-4</t>
  </si>
  <si>
    <t>liTonis gadamRvreli da gamrecxi milebis mowyoba 89X3 mm</t>
  </si>
  <si>
    <t>sn da w
22-5-3</t>
  </si>
  <si>
    <t>liTonis mili d=89X3 mm</t>
  </si>
  <si>
    <t xml:space="preserve">defleqtodis montaJi </t>
  </si>
  <si>
    <t xml:space="preserve">sn. da w. 20-12-1  </t>
  </si>
  <si>
    <t>materialuri resursebi</t>
  </si>
  <si>
    <r>
      <t xml:space="preserve">defleqtori </t>
    </r>
  </si>
  <si>
    <t>sn da w
22-30-1</t>
  </si>
  <si>
    <t>sn da w
8-4-7</t>
  </si>
  <si>
    <t>Tujis urduli d=100 mm montaJi</t>
  </si>
  <si>
    <t xml:space="preserve">sn da w
22-25-2 </t>
  </si>
  <si>
    <t xml:space="preserve">urduli d=100 mm </t>
  </si>
  <si>
    <t>sn da w
22-29-3</t>
  </si>
  <si>
    <t>Tujis miltuCi d-100</t>
  </si>
  <si>
    <t xml:space="preserve">sn da w
1-80-3 </t>
  </si>
  <si>
    <t>sn da w
6-1-1</t>
  </si>
  <si>
    <t xml:space="preserve">sn da w
6-1-22 </t>
  </si>
  <si>
    <t>sn da w
8-15-2</t>
  </si>
  <si>
    <t>sn da w
11-8-1,2</t>
  </si>
  <si>
    <t>xsnari cementis m-200</t>
  </si>
  <si>
    <t>sn da w
6-16-1</t>
  </si>
  <si>
    <t>sn da w
6-15-9</t>
  </si>
  <si>
    <t>sn da w
10-11-1</t>
  </si>
  <si>
    <t>sn da w
10-10-1</t>
  </si>
  <si>
    <t>plastmasis wylis CamSvebi milebi samagriT დ=100 მმ</t>
  </si>
  <si>
    <t>plastmasis muxli დ=100 მმ</t>
  </si>
  <si>
    <t>sn da w
11-1-11</t>
  </si>
  <si>
    <t>sn da w
9-5-2</t>
  </si>
  <si>
    <t>sn da w
9-14-5</t>
  </si>
  <si>
    <t>sn da w
15-164-8</t>
  </si>
  <si>
    <t>sn da w
15-55-9</t>
  </si>
  <si>
    <t>sn da w
15-52-1</t>
  </si>
  <si>
    <t>sn da w
15-168-8</t>
  </si>
  <si>
    <t>sn da w
15-156-2</t>
  </si>
  <si>
    <t>sn da w
11-27-2</t>
  </si>
  <si>
    <t>iatakis ficari 25-32 mm 1 xarisxi</t>
  </si>
  <si>
    <r>
      <t xml:space="preserve">plastmasis avzebis SeZena-montaJi </t>
    </r>
    <r>
      <rPr>
        <b/>
        <sz val="10"/>
        <rFont val="Arial"/>
        <family val="2"/>
      </rPr>
      <t>D</t>
    </r>
    <r>
      <rPr>
        <b/>
        <sz val="10"/>
        <rFont val="AcadMtavr"/>
        <family val="0"/>
      </rPr>
      <t>=750 l</t>
    </r>
  </si>
  <si>
    <r>
      <t xml:space="preserve">plastmasis avzi </t>
    </r>
    <r>
      <rPr>
        <sz val="10"/>
        <rFont val="Arial"/>
        <family val="2"/>
      </rPr>
      <t>D</t>
    </r>
    <r>
      <rPr>
        <sz val="10"/>
        <rFont val="AcadMtavr"/>
        <family val="0"/>
      </rPr>
      <t>=750 l</t>
    </r>
  </si>
  <si>
    <r>
      <t xml:space="preserve">plastmasis avzebis SeZena-montaJi </t>
    </r>
    <r>
      <rPr>
        <b/>
        <sz val="10"/>
        <rFont val="Arial"/>
        <family val="2"/>
      </rPr>
      <t>D</t>
    </r>
    <r>
      <rPr>
        <b/>
        <sz val="10"/>
        <rFont val="AcadMtavr"/>
        <family val="0"/>
      </rPr>
      <t>=500l</t>
    </r>
  </si>
  <si>
    <r>
      <t xml:space="preserve">plastmasis avzi </t>
    </r>
    <r>
      <rPr>
        <sz val="10"/>
        <rFont val="Arial"/>
        <family val="2"/>
      </rPr>
      <t>D</t>
    </r>
    <r>
      <rPr>
        <sz val="10"/>
        <rFont val="AcadMtavr"/>
        <family val="0"/>
      </rPr>
      <t>=500l</t>
    </r>
  </si>
  <si>
    <t>sn da w
16-12-1</t>
  </si>
  <si>
    <t xml:space="preserve">brinjaos ventili  d=15 mm </t>
  </si>
  <si>
    <t>sn da w
16-16-2</t>
  </si>
  <si>
    <t>პლასმასის gadamyvani 25X15</t>
  </si>
  <si>
    <t>milgayvaniloba plastmasisis milebiT diametriT 15 mm</t>
  </si>
  <si>
    <t>sn da w
16-24-1</t>
  </si>
  <si>
    <t>sn da w
16-24-2</t>
  </si>
  <si>
    <t>sn da w
26-4-3</t>
  </si>
  <si>
    <t>fol. sacavi  milebis SeduReba და ფილტრების დამზადება d-273X8.0 mm</t>
  </si>
  <si>
    <t>fol. mili d-273/8 mm</t>
  </si>
  <si>
    <t>srf 2,1 gv:13pr8</t>
  </si>
  <si>
    <t>srf 2,1/54</t>
  </si>
  <si>
    <t>1-80-3</t>
  </si>
  <si>
    <t>8-3-2</t>
  </si>
  <si>
    <t>srf 4,1/253</t>
  </si>
  <si>
    <t>6-1-15</t>
  </si>
  <si>
    <t>betoni b-20 B(M-250)</t>
  </si>
  <si>
    <t>srf:4,1/349</t>
  </si>
  <si>
    <t>srf:5/80</t>
  </si>
  <si>
    <t>srf:5/19</t>
  </si>
  <si>
    <t>liTonis wyalsawevi specialuri milebis mowyoba d=76X3,5 mm, WaburRilSi hidravlikuri SemowmebiT</t>
  </si>
  <si>
    <t xml:space="preserve">22-6-2   </t>
  </si>
  <si>
    <t>liTonis mili d-76X3,5,</t>
  </si>
  <si>
    <t>srf 2,1/33</t>
  </si>
  <si>
    <t>22-22-5</t>
  </si>
  <si>
    <t>fasonuri detali</t>
  </si>
  <si>
    <t>flanecebis gadabma liTonis wyalsawevi specialuri milebze  d=90 mm</t>
  </si>
  <si>
    <t>flaneci d=80 mm</t>
  </si>
  <si>
    <t>srf 6/185</t>
  </si>
  <si>
    <r>
      <t xml:space="preserve">gadamRvreli urdulis mowyoba d-100 </t>
    </r>
    <r>
      <rPr>
        <b/>
        <sz val="10"/>
        <rFont val="Arial"/>
        <family val="2"/>
      </rPr>
      <t>PN16</t>
    </r>
  </si>
  <si>
    <t>22-26-1</t>
  </si>
  <si>
    <t xml:space="preserve"> 18-15-2</t>
  </si>
  <si>
    <t>manometri საშვალო შკალით 25 ბარი</t>
  </si>
  <si>
    <t>ventili TTberis d=25 mm</t>
  </si>
  <si>
    <t>tumbos win WaburRilSi wyasawneo milze ukusarqvelis mowyoba d-65</t>
  </si>
  <si>
    <t>,16-12-2</t>
  </si>
  <si>
    <t>ukusarqveli- d=65 mm</t>
  </si>
  <si>
    <r>
      <t>WaburRilis tumbos SeZena marTvis fariTa da avtomatikiT CaSveba WaburRilSi, el kabeliT qselSi daerTebiT awevis simaRle 150 m.</t>
    </r>
    <r>
      <rPr>
        <b/>
        <sz val="10"/>
        <rFont val="Cambria"/>
        <family val="1"/>
      </rPr>
      <t xml:space="preserve"> Q=8 </t>
    </r>
    <r>
      <rPr>
        <b/>
        <sz val="10"/>
        <rFont val="AcadNusx"/>
        <family val="0"/>
      </rPr>
      <t>m3/sT</t>
    </r>
  </si>
  <si>
    <t>18-8-1      miyenebiT</t>
  </si>
  <si>
    <t>Tavi IV. EWaburRilis el momarageba</t>
  </si>
  <si>
    <t>samSeneblo nawili</t>
  </si>
  <si>
    <t xml:space="preserve">ormos damuSaveba III jgufis yamirSi xeliT sayrdenebisaTvis </t>
  </si>
  <si>
    <t>normatiuli Sromatevadoba</t>
  </si>
  <si>
    <t>III jgufis yamiris Cayra TxrilSi da ormoSi xeliT, datkepniT</t>
  </si>
  <si>
    <r>
      <t xml:space="preserve">liTonis anZis dayeneba </t>
    </r>
    <r>
      <rPr>
        <b/>
        <sz val="10"/>
        <rFont val="Arial"/>
        <family val="2"/>
      </rPr>
      <t>H=(4)</t>
    </r>
    <r>
      <rPr>
        <b/>
        <sz val="10"/>
        <rFont val="AcadNusx"/>
        <family val="0"/>
      </rPr>
      <t xml:space="preserve">m, </t>
    </r>
    <r>
      <rPr>
        <b/>
        <sz val="10"/>
        <rFont val="Arial"/>
        <family val="2"/>
      </rPr>
      <t xml:space="preserve"> D=127  </t>
    </r>
    <r>
      <rPr>
        <b/>
        <sz val="10"/>
        <rFont val="AcadNusx"/>
        <family val="0"/>
      </rPr>
      <t xml:space="preserve">mm  </t>
    </r>
    <r>
      <rPr>
        <b/>
        <sz val="10"/>
        <rFont val="Arial"/>
        <family val="2"/>
      </rPr>
      <t xml:space="preserve">t= 4 </t>
    </r>
    <r>
      <rPr>
        <b/>
        <sz val="10"/>
        <rFont val="AcadNusx"/>
        <family val="0"/>
      </rPr>
      <t>mm</t>
    </r>
  </si>
  <si>
    <t>33-7-1 miyenebiT</t>
  </si>
  <si>
    <t>tn</t>
  </si>
  <si>
    <t>amwe traqtorze 5t</t>
  </si>
  <si>
    <t>manq/sT</t>
  </si>
  <si>
    <t>traqtori 96 kvt</t>
  </si>
  <si>
    <t>liTonis anZis Rirebuleba</t>
  </si>
  <si>
    <r>
      <t xml:space="preserve">anZis Ziris dabetoneba </t>
    </r>
    <r>
      <rPr>
        <b/>
        <sz val="10"/>
        <rFont val="Arial"/>
        <family val="2"/>
      </rPr>
      <t>M</t>
    </r>
    <r>
      <rPr>
        <b/>
        <sz val="10"/>
        <rFont val="AcadNusx"/>
        <family val="0"/>
      </rPr>
      <t>-200</t>
    </r>
  </si>
  <si>
    <t xml:space="preserve">normatiuli Sromatevadoba  </t>
  </si>
  <si>
    <t xml:space="preserve">manqanebi   </t>
  </si>
  <si>
    <t>betoni   m200</t>
  </si>
  <si>
    <t>yaliobis fari</t>
  </si>
  <si>
    <t>yalibis ficari III xar. 40mm da meti</t>
  </si>
  <si>
    <t xml:space="preserve">sxva masalebi   </t>
  </si>
  <si>
    <t>anZis SeRebva 1 cali</t>
  </si>
  <si>
    <t>34-33-7. miyenebiT</t>
  </si>
  <si>
    <t>surinji</t>
  </si>
  <si>
    <t>sul</t>
  </si>
  <si>
    <t>satransporto xarji 4%</t>
  </si>
  <si>
    <t xml:space="preserve">sul </t>
  </si>
  <si>
    <t>zednadebi xarjebi 10%</t>
  </si>
  <si>
    <t>saxarjTaRricxvo mogeba 8 %</t>
  </si>
  <si>
    <t>samontaJo samuSaoebi</t>
  </si>
  <si>
    <t>liTonis erTmklava kronSteinis montaJi</t>
  </si>
  <si>
    <t>8-364-1</t>
  </si>
  <si>
    <r>
      <t>kabeli</t>
    </r>
    <r>
      <rPr>
        <b/>
        <sz val="10"/>
        <rFont val="Sylfaen"/>
        <family val="1"/>
      </rPr>
      <t xml:space="preserve"> NYM-J </t>
    </r>
    <r>
      <rPr>
        <b/>
        <sz val="10"/>
        <rFont val="AcadNusx"/>
        <family val="0"/>
      </rPr>
      <t>3*1,5mm2</t>
    </r>
  </si>
  <si>
    <t>8-402-1</t>
  </si>
  <si>
    <t>g.m.</t>
  </si>
  <si>
    <t>kabeli СИП-2 4*35mm2+1*50</t>
  </si>
  <si>
    <t>8-148-1</t>
  </si>
  <si>
    <t>tumbos marTvis karada</t>
  </si>
  <si>
    <t>21-7-1.</t>
  </si>
  <si>
    <t>saxarjTaRricxvo mogeba 8%</t>
  </si>
  <si>
    <r>
      <t xml:space="preserve">kabeli </t>
    </r>
    <r>
      <rPr>
        <b/>
        <sz val="10"/>
        <rFont val="Sylfaen"/>
        <family val="1"/>
      </rPr>
      <t>NYM-J</t>
    </r>
    <r>
      <rPr>
        <b/>
        <sz val="10"/>
        <rFont val="AcadNusx"/>
        <family val="0"/>
      </rPr>
      <t xml:space="preserve"> 3*1,5mm2</t>
    </r>
  </si>
  <si>
    <r>
      <t xml:space="preserve">liTonis erTmklava kronSteini </t>
    </r>
    <r>
      <rPr>
        <b/>
        <sz val="10"/>
        <rFont val="Arial"/>
        <family val="2"/>
      </rPr>
      <t>L</t>
    </r>
    <r>
      <rPr>
        <b/>
        <sz val="10"/>
        <rFont val="AcadNusx"/>
        <family val="0"/>
      </rPr>
      <t xml:space="preserve">=1,5 m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=1,0 m</t>
    </r>
  </si>
  <si>
    <t>sul elmomarageba</t>
  </si>
  <si>
    <t xml:space="preserve">ელ. ენერგიის ტექ პირობის ათება 6 კვ. მდე </t>
  </si>
  <si>
    <t>masalis transportireba 16 km-ze</t>
  </si>
  <si>
    <t>srf 14/16</t>
  </si>
  <si>
    <t xml:space="preserve">22-6-6   </t>
  </si>
  <si>
    <t xml:space="preserve">22-6-5  </t>
  </si>
  <si>
    <r>
      <t xml:space="preserve">mili d-110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-9,5</t>
    </r>
  </si>
  <si>
    <r>
      <t xml:space="preserve">polieTilenis milis montaJi d-110 mm-mde hidravlikuri SemowmebiT </t>
    </r>
    <r>
      <rPr>
        <b/>
        <sz val="10"/>
        <rFont val="Calibri"/>
        <family val="2"/>
      </rPr>
      <t>PN-9,5</t>
    </r>
  </si>
  <si>
    <r>
      <t xml:space="preserve">polieTilenis milis montaJi d-90 mm-mde hidravlikuri SemowmebiT </t>
    </r>
    <r>
      <rPr>
        <b/>
        <sz val="10"/>
        <rFont val="Calibri"/>
        <family val="2"/>
      </rPr>
      <t>PN-9,5</t>
    </r>
  </si>
  <si>
    <r>
      <t xml:space="preserve">mili d=90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-9,5</t>
    </r>
  </si>
  <si>
    <r>
      <t xml:space="preserve">polieTilenis milis montaJi d-75 mm-mde hidravlikuri SemowmebiT </t>
    </r>
    <r>
      <rPr>
        <b/>
        <sz val="10"/>
        <rFont val="Calibri"/>
        <family val="2"/>
      </rPr>
      <t>PN-9,5</t>
    </r>
  </si>
  <si>
    <t>22-8-2</t>
  </si>
  <si>
    <r>
      <t xml:space="preserve">mili d=75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-9,5</t>
    </r>
  </si>
  <si>
    <r>
      <t xml:space="preserve">polieTilenis milis montaJi d-63 mm-mde hidravlikuri SemowmebiT </t>
    </r>
    <r>
      <rPr>
        <b/>
        <sz val="10"/>
        <rFont val="Calibri"/>
        <family val="2"/>
      </rPr>
      <t>PN-9,5</t>
    </r>
  </si>
  <si>
    <r>
      <t xml:space="preserve">mili d=63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-9,5</t>
    </r>
  </si>
  <si>
    <r>
      <t xml:space="preserve">polieTilenis milis montaJi d-50 mm-mde hidravlikuri SemowmebiT </t>
    </r>
    <r>
      <rPr>
        <b/>
        <sz val="10"/>
        <rFont val="Calibri"/>
        <family val="2"/>
      </rPr>
      <t>PN-9,5</t>
    </r>
  </si>
  <si>
    <r>
      <t xml:space="preserve">mili d=50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-9,5</t>
    </r>
  </si>
  <si>
    <r>
      <t xml:space="preserve">polieTilenis milis montaJi d-40 mm-mde hidravlikuri SemowmebiT </t>
    </r>
    <r>
      <rPr>
        <b/>
        <sz val="10"/>
        <rFont val="Calibri"/>
        <family val="2"/>
      </rPr>
      <t>PN-9,5</t>
    </r>
  </si>
  <si>
    <r>
      <t xml:space="preserve">mili დ40 მმ </t>
    </r>
    <r>
      <rPr>
        <sz val="10"/>
        <rFont val="Calibri"/>
        <family val="2"/>
      </rPr>
      <t>PN</t>
    </r>
    <r>
      <rPr>
        <sz val="10"/>
        <rFont val="AcadNusx"/>
        <family val="0"/>
      </rPr>
      <t>-9,5</t>
    </r>
  </si>
  <si>
    <r>
      <t xml:space="preserve">polieTilenis milis montaJi d-20 mm-mde hidravlikuri SemowmebiT </t>
    </r>
    <r>
      <rPr>
        <b/>
        <sz val="10"/>
        <rFont val="Calibri"/>
        <family val="2"/>
      </rPr>
      <t>PN-16</t>
    </r>
  </si>
  <si>
    <r>
      <t xml:space="preserve">პოლიეთილენის muxli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–110</t>
    </r>
  </si>
  <si>
    <t>27-10-1.
27-10-4</t>
  </si>
  <si>
    <t xml:space="preserve">balasti </t>
  </si>
  <si>
    <t>balasti gzis mowyoba saSvalod 30 sm sisqeze</t>
  </si>
  <si>
    <t>srf 4,1/109</t>
  </si>
  <si>
    <t>srf 4,1/102</t>
  </si>
  <si>
    <t>srf 4,1/103</t>
  </si>
  <si>
    <t>gadamyvani nipeli ormxrivi xraxniT (baCoki)</t>
  </si>
  <si>
    <t>xarjTaRricxva #1</t>
  </si>
  <si>
    <t>ც</t>
  </si>
  <si>
    <r>
      <t xml:space="preserve">polieTilenis milis montaJi d-160 mm-mde hidravlikuri SemowmebiT </t>
    </r>
    <r>
      <rPr>
        <b/>
        <sz val="10"/>
        <rFont val="Calibri"/>
        <family val="2"/>
      </rPr>
      <t>PN-9,5</t>
    </r>
  </si>
  <si>
    <t xml:space="preserve">22-8-5  </t>
  </si>
  <si>
    <r>
      <t xml:space="preserve">mili d-160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-9,5</t>
    </r>
  </si>
  <si>
    <r>
      <t xml:space="preserve">polieTilenis milis montaJi d-200 mm-mde hidravlikuri SemowmebiT </t>
    </r>
    <r>
      <rPr>
        <b/>
        <sz val="10"/>
        <rFont val="Calibri"/>
        <family val="2"/>
      </rPr>
      <t>PN-9,5</t>
    </r>
  </si>
  <si>
    <t xml:space="preserve">22-8-6  </t>
  </si>
  <si>
    <t>22-8-3</t>
  </si>
  <si>
    <r>
      <t xml:space="preserve">mili d-200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-9,5</t>
    </r>
  </si>
  <si>
    <r>
      <t xml:space="preserve">mili დ -32 მმ </t>
    </r>
    <r>
      <rPr>
        <sz val="10"/>
        <rFont val="Sylfaen"/>
        <family val="1"/>
      </rPr>
      <t>PN-</t>
    </r>
    <r>
      <rPr>
        <sz val="10"/>
        <rFont val="AcadNusx"/>
        <family val="0"/>
      </rPr>
      <t>9,5</t>
    </r>
  </si>
  <si>
    <t>srf 14/1</t>
  </si>
  <si>
    <t>srf 2,1/85</t>
  </si>
  <si>
    <t>srf 2,1/75</t>
  </si>
  <si>
    <t>srf 2,6/81</t>
  </si>
  <si>
    <t>srf 2,6/83</t>
  </si>
  <si>
    <t>srf 2,6/78</t>
  </si>
  <si>
    <t>srf 2,677</t>
  </si>
  <si>
    <t>srf 2,6/76</t>
  </si>
  <si>
    <t>srf 2,6/75</t>
  </si>
  <si>
    <t>srf 2,6/74</t>
  </si>
  <si>
    <t>srf 2,6/73</t>
  </si>
  <si>
    <t>srf 13/198</t>
  </si>
  <si>
    <t>srf 13/218</t>
  </si>
  <si>
    <t>srf 13/222</t>
  </si>
  <si>
    <t>srf 13/219</t>
  </si>
  <si>
    <t>srf 13/229</t>
  </si>
  <si>
    <t>srf 4,1/249</t>
  </si>
  <si>
    <t xml:space="preserve">rk/b Wa d=1000 mm </t>
  </si>
  <si>
    <t>srf 4,1/139</t>
  </si>
  <si>
    <t>srf 4,1/111</t>
  </si>
  <si>
    <t>srf 4,1/140</t>
  </si>
  <si>
    <t>urduli d=100 mm pn-10</t>
  </si>
  <si>
    <t>Tujis urduli d=100 mm montaJi pn 10</t>
  </si>
  <si>
    <t>srf 6/252</t>
  </si>
  <si>
    <t>srf 6/251</t>
  </si>
  <si>
    <t>Tujis urduli d=65 mm montaJi pn 10</t>
  </si>
  <si>
    <t>Tujis urduli d=80 mm montaJi pn 10</t>
  </si>
  <si>
    <t xml:space="preserve">urduli d=80 mm </t>
  </si>
  <si>
    <t>lokaluri xarjTaRricxva #</t>
  </si>
  <si>
    <t>polieTilenis milis montaJi d-32 mm-mde hidravlikuri SemowmebiT PN-16</t>
  </si>
  <si>
    <t>srf 2,6/119</t>
  </si>
  <si>
    <t>srf 2,6/117</t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</si>
  <si>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–160X160X160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</si>
  <si>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–160X75X160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</si>
  <si>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–160X110X160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</si>
  <si>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–110X110X110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</si>
  <si>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–110X75X110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</si>
  <si>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–110X63X110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</si>
  <si>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–110X50X110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</si>
  <si>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–90X90X90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</si>
  <si>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–90X75X90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</si>
  <si>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–90X50X90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</si>
  <si>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–90X40X90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</si>
  <si>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–50X50X50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</si>
  <si>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–32X32X32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</si>
  <si>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–160</t>
    </r>
  </si>
  <si>
    <t xml:space="preserve">jveridini </t>
  </si>
  <si>
    <r>
      <t xml:space="preserve">jvaredini  </t>
    </r>
    <r>
      <rPr>
        <sz val="10"/>
        <rFont val="Calibri"/>
        <family val="2"/>
      </rPr>
      <t>Ø</t>
    </r>
    <r>
      <rPr>
        <sz val="10"/>
        <rFont val="AcadNusx"/>
        <family val="0"/>
      </rPr>
      <t>–75</t>
    </r>
    <r>
      <rPr>
        <sz val="10"/>
        <rFont val="Calibri"/>
        <family val="2"/>
      </rPr>
      <t>×</t>
    </r>
    <r>
      <rPr>
        <sz val="10"/>
        <rFont val="AcadNusx"/>
        <family val="0"/>
      </rPr>
      <t>75×75×75</t>
    </r>
  </si>
  <si>
    <r>
      <t xml:space="preserve">jvaredini 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–110</t>
    </r>
    <r>
      <rPr>
        <sz val="10"/>
        <rFont val="Calibri"/>
        <family val="2"/>
      </rPr>
      <t>×</t>
    </r>
    <r>
      <rPr>
        <sz val="10"/>
        <rFont val="AcadNusx"/>
        <family val="0"/>
      </rPr>
      <t>110×110×110</t>
    </r>
  </si>
  <si>
    <r>
      <t xml:space="preserve">jvaredini  </t>
    </r>
    <r>
      <rPr>
        <sz val="10"/>
        <rFont val="Calibri"/>
        <family val="2"/>
      </rPr>
      <t>Ø</t>
    </r>
    <r>
      <rPr>
        <sz val="10"/>
        <rFont val="AcadNusx"/>
        <family val="0"/>
      </rPr>
      <t>–90</t>
    </r>
    <r>
      <rPr>
        <sz val="10"/>
        <rFont val="Calibri"/>
        <family val="2"/>
      </rPr>
      <t>×</t>
    </r>
    <r>
      <rPr>
        <sz val="10"/>
        <rFont val="AcadNusx"/>
        <family val="0"/>
      </rPr>
      <t>90×90×90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</si>
  <si>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–160</t>
    </r>
    <r>
      <rPr>
        <sz val="10"/>
        <rFont val="Calibri"/>
        <family val="2"/>
      </rPr>
      <t>×</t>
    </r>
    <r>
      <rPr>
        <sz val="10"/>
        <rFont val="AcadNusx"/>
        <family val="0"/>
      </rPr>
      <t>40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</si>
  <si>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–110</t>
    </r>
    <r>
      <rPr>
        <sz val="10"/>
        <rFont val="Calibri"/>
        <family val="2"/>
      </rPr>
      <t>×</t>
    </r>
    <r>
      <rPr>
        <sz val="10"/>
        <rFont val="AcadNusx"/>
        <family val="0"/>
      </rPr>
      <t>90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</si>
  <si>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–110</t>
    </r>
    <r>
      <rPr>
        <sz val="10"/>
        <rFont val="Calibri"/>
        <family val="2"/>
      </rPr>
      <t>×</t>
    </r>
    <r>
      <rPr>
        <sz val="10"/>
        <rFont val="AcadNusx"/>
        <family val="0"/>
      </rPr>
      <t>75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</si>
  <si>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–110</t>
    </r>
    <r>
      <rPr>
        <sz val="10"/>
        <rFont val="Calibri"/>
        <family val="2"/>
      </rPr>
      <t>×</t>
    </r>
    <r>
      <rPr>
        <sz val="10"/>
        <rFont val="AcadNusx"/>
        <family val="0"/>
      </rPr>
      <t>50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</si>
  <si>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–90</t>
    </r>
    <r>
      <rPr>
        <sz val="10"/>
        <rFont val="Calibri"/>
        <family val="2"/>
      </rPr>
      <t>×</t>
    </r>
    <r>
      <rPr>
        <sz val="10"/>
        <rFont val="AcadNusx"/>
        <family val="0"/>
      </rPr>
      <t>75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</si>
  <si>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–90</t>
    </r>
    <r>
      <rPr>
        <sz val="10"/>
        <rFont val="Calibri"/>
        <family val="2"/>
      </rPr>
      <t>×</t>
    </r>
    <r>
      <rPr>
        <sz val="10"/>
        <rFont val="AcadNusx"/>
        <family val="0"/>
      </rPr>
      <t>40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</si>
  <si>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–75</t>
    </r>
    <r>
      <rPr>
        <sz val="10"/>
        <rFont val="Calibri"/>
        <family val="2"/>
      </rPr>
      <t>×50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</si>
  <si>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–75</t>
    </r>
    <r>
      <rPr>
        <sz val="10"/>
        <rFont val="Calibri"/>
        <family val="2"/>
      </rPr>
      <t>×40</t>
    </r>
  </si>
  <si>
    <r>
      <t xml:space="preserve">უნაგირი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–90</t>
    </r>
    <r>
      <rPr>
        <sz val="10"/>
        <rFont val="Calibri"/>
        <family val="2"/>
      </rPr>
      <t>×</t>
    </r>
    <r>
      <rPr>
        <sz val="10"/>
        <rFont val="AcadNusx"/>
        <family val="0"/>
      </rPr>
      <t>20</t>
    </r>
  </si>
  <si>
    <r>
      <t xml:space="preserve">უნაგირი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–40</t>
    </r>
    <r>
      <rPr>
        <sz val="10"/>
        <rFont val="Calibri"/>
        <family val="2"/>
      </rPr>
      <t>×</t>
    </r>
    <r>
      <rPr>
        <sz val="10"/>
        <rFont val="AcadNusx"/>
        <family val="0"/>
      </rPr>
      <t>20</t>
    </r>
  </si>
  <si>
    <t>goris municipaliteti   sofeli qiwnisi</t>
  </si>
  <si>
    <t>polieTilenis milis montaJi d-25 mm-mde hidravlikuri SemowmebiT PN-16</t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</si>
  <si>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–160</t>
    </r>
    <r>
      <rPr>
        <sz val="10"/>
        <rFont val="Calibri"/>
        <family val="2"/>
      </rPr>
      <t>×50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</si>
  <si>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–160</t>
    </r>
    <r>
      <rPr>
        <sz val="10"/>
        <rFont val="Calibri"/>
        <family val="2"/>
      </rPr>
      <t>×110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</si>
  <si>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–160</t>
    </r>
    <r>
      <rPr>
        <sz val="10"/>
        <rFont val="Calibri"/>
        <family val="2"/>
      </rPr>
      <t>×90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</si>
  <si>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–200</t>
    </r>
    <r>
      <rPr>
        <sz val="10"/>
        <rFont val="Calibri"/>
        <family val="2"/>
      </rPr>
      <t>×110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</si>
  <si>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–200</t>
    </r>
    <r>
      <rPr>
        <sz val="10"/>
        <rFont val="Calibri"/>
        <family val="2"/>
      </rPr>
      <t>×90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</si>
  <si>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–200</t>
    </r>
    <r>
      <rPr>
        <sz val="10"/>
        <rFont val="Calibri"/>
        <family val="2"/>
      </rPr>
      <t>×75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</si>
  <si>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–200</t>
    </r>
    <r>
      <rPr>
        <sz val="10"/>
        <rFont val="Calibri"/>
        <family val="2"/>
      </rPr>
      <t>×63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</si>
  <si>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–200</t>
    </r>
    <r>
      <rPr>
        <sz val="10"/>
        <rFont val="Calibri"/>
        <family val="2"/>
      </rPr>
      <t>×50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</si>
  <si>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–90</t>
    </r>
    <r>
      <rPr>
        <sz val="10"/>
        <rFont val="Calibri"/>
        <family val="2"/>
      </rPr>
      <t>×</t>
    </r>
    <r>
      <rPr>
        <sz val="10"/>
        <rFont val="AcadNusx"/>
        <family val="0"/>
      </rPr>
      <t>50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</si>
  <si>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–75</t>
    </r>
    <r>
      <rPr>
        <sz val="10"/>
        <rFont val="Calibri"/>
        <family val="2"/>
      </rPr>
      <t>×25</t>
    </r>
  </si>
  <si>
    <r>
      <t>polieTilenis gadamyvani</t>
    </r>
    <r>
      <rPr>
        <sz val="10"/>
        <rFont val="Calibri"/>
        <family val="2"/>
      </rPr>
      <t>Ø</t>
    </r>
    <r>
      <rPr>
        <sz val="10"/>
        <rFont val="AcadNusx"/>
        <family val="0"/>
      </rPr>
      <t>–50</t>
    </r>
    <r>
      <rPr>
        <sz val="10"/>
        <rFont val="Calibri"/>
        <family val="2"/>
      </rPr>
      <t>×32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</si>
  <si>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–90</t>
    </r>
    <r>
      <rPr>
        <sz val="10"/>
        <rFont val="Calibri"/>
        <family val="2"/>
      </rPr>
      <t>×90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</si>
  <si>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–200X200X200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</si>
  <si>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–200X160X200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</si>
  <si>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–110X40X110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</si>
  <si>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–90X63X90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</si>
  <si>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 xml:space="preserve">–75X40X75 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</si>
  <si>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–75X32X75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</si>
  <si>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–63X40X63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</si>
  <si>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–50X32X50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</si>
  <si>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–50X25X50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</si>
  <si>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–200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</si>
  <si>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–32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</si>
  <si>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–25</t>
    </r>
  </si>
  <si>
    <t>yalibis fari</t>
  </si>
  <si>
    <t>xe masala</t>
  </si>
  <si>
    <t>koSkis liTonis konstruqciis damzadeba da montaJi</t>
  </si>
  <si>
    <t>liTonis masalebi</t>
  </si>
  <si>
    <t>liTonis konstruqciis SeRebva antikoroziuli laqiT</t>
  </si>
  <si>
    <t xml:space="preserve">შ.პ.ს. „მშენგრუპი“-ის   დირექტორი: </t>
  </si>
  <si>
    <t>ნიკოლოზ ლაფაი</t>
  </si>
  <si>
    <t>goris municipaliteti   sofeli qiwnisSi</t>
  </si>
  <si>
    <t>sul 8 koSki</t>
  </si>
  <si>
    <t>sul 8 kompleqti</t>
  </si>
  <si>
    <t>სულ 4 საქლორატორო</t>
  </si>
  <si>
    <t>balasti Cayra tranSeaSi buldozeriT saSvalod 45 sm sisqeze</t>
  </si>
  <si>
    <t>1-31-3</t>
  </si>
  <si>
    <t>1000 m3</t>
  </si>
  <si>
    <t>buldozeri 80cxZ.</t>
  </si>
  <si>
    <t>srf: 13/141 kod 1009</t>
  </si>
  <si>
    <t>srf 4,1/236</t>
  </si>
  <si>
    <t>balsatis tkepna</t>
  </si>
  <si>
    <t>1-118-10</t>
  </si>
  <si>
    <t>SromiTi danaxarji</t>
  </si>
  <si>
    <t>k/sT</t>
  </si>
  <si>
    <t>pnevmosatkepni</t>
  </si>
  <si>
    <t>srf 339 კოდ: 3416</t>
  </si>
  <si>
    <t>anakrebi rk/b Wis mowyoba d=1500 mm 5 kompl. simaRliT 1,0.m. xufiT</t>
  </si>
  <si>
    <t>anakrebi rk/b Wis mowyoba d=1000 mm 8 kompl. simaRliT 1,0.m. xufiT</t>
  </si>
  <si>
    <t xml:space="preserve">polieTilenis miltuCa adaptoris montaJi d-160 </t>
  </si>
  <si>
    <t>miltuCa adaptori d-160</t>
  </si>
  <si>
    <t xml:space="preserve">foladis miltuCis montaJi d-150 </t>
  </si>
  <si>
    <t>miltuCi d-150</t>
  </si>
  <si>
    <t>Tujis urduli d=150 mm montaJi pn 10</t>
  </si>
  <si>
    <t>urduli d=150 mm pn-10</t>
  </si>
  <si>
    <t>ჯამი 2 ჭაბურღილი</t>
  </si>
  <si>
    <t>goris municipaliteti   sofeli ქიწნისში</t>
  </si>
  <si>
    <t>RorRis safuZvelis mowyoba ასფალტისათვის</t>
  </si>
  <si>
    <t>27-11-1</t>
  </si>
  <si>
    <t>avtogreideri saSvalo tipis 79 kvt (108 cx.Z.)</t>
  </si>
  <si>
    <t>srf 13.200 კოდ: 15,04</t>
  </si>
  <si>
    <t>sagzao satkepni 5t</t>
  </si>
  <si>
    <t>srf 13.220 კოდ: 1523</t>
  </si>
  <si>
    <t>sagzao satkepni 10t</t>
  </si>
  <si>
    <t>mosarwyavi manqana 6000 l</t>
  </si>
  <si>
    <t>qvis namtrevis manawilebeli</t>
  </si>
  <si>
    <t>RorRi 10-20 mm transportirebiT</t>
  </si>
  <si>
    <t>srf 4,1/239</t>
  </si>
  <si>
    <t>asfaltobetonis safaris mowyoba sisqiT 50 mm msxvilmarcvlovani</t>
  </si>
  <si>
    <t>27-39-1
27-42-1</t>
  </si>
  <si>
    <t>satkepni manqana 5t</t>
  </si>
  <si>
    <t>satkepni manqana 10t</t>
  </si>
  <si>
    <t>srf 13.219 კოდ: 1522</t>
  </si>
  <si>
    <t>asfalto betonis damgebi</t>
  </si>
  <si>
    <t>srf 13.232 კოდ: 1564</t>
  </si>
  <si>
    <t>asfaltobetoni msxvilmarcvlovani</t>
  </si>
  <si>
    <t>სრფ გვ:  39</t>
  </si>
  <si>
    <t>masalis transportireba 14 km-ze</t>
  </si>
  <si>
    <t>srf 14/14</t>
  </si>
  <si>
    <t>asfaltobetonis safaris mowyoba sisqiT 30 mm wvrilmarcvlovani</t>
  </si>
  <si>
    <t>27-39-1 27-42-1.2</t>
  </si>
  <si>
    <t>srf 13.218 კოდ: 1521</t>
  </si>
  <si>
    <t>asfaltobetoni wvrilmarcvlovani</t>
  </si>
  <si>
    <t>%</t>
  </si>
  <si>
    <t>satransporto xarji %</t>
  </si>
  <si>
    <t>zednadebi xarjebi % xelfasze</t>
  </si>
  <si>
    <t>saxarjTaRricxvo mogeba %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</si>
</sst>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.00\ _₾_-;\-* #,##0.00\ _₾_-;_-* &quot;-&quot;??\ _₾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_-* #,##0.000_р_._-;\-* #,##0.000_р_._-;_-* &quot;-&quot;???_р_._-;_-@_-"/>
    <numFmt numFmtId="178" formatCode="_-* #,##0.00_р_._-;\-* #,##0.00_р_._-;_-* &quot;-&quot;???_р_._-;_-@_-"/>
    <numFmt numFmtId="179" formatCode="0.00000"/>
    <numFmt numFmtId="180" formatCode="_-* #,##0.0000_-;\-* #,##0.0000_-;_-* &quot;-&quot;??_-;_-@_-"/>
    <numFmt numFmtId="181" formatCode="_-* #,##0.000_-;\-* #,##0.000_-;_-* &quot;-&quot;??_-;_-@_-"/>
    <numFmt numFmtId="182" formatCode="_-* #,##0.00\ _L_a_r_i_-;\-* #,##0.00\ _L_a_r_i_-;_-* &quot;-&quot;??\ _L_a_r_i_-;_-@_-"/>
    <numFmt numFmtId="183" formatCode="0.0%"/>
    <numFmt numFmtId="184" formatCode="_-* #,##0.000_р_._-;\-* #,##0.000_р_._-;_-* &quot;-&quot;??_р_._-;_-@_-"/>
    <numFmt numFmtId="185" formatCode="_-* #,##0.0_р_._-;\-* #,##0.0_р_._-;_-* &quot;-&quot;??_р_._-;_-@_-"/>
    <numFmt numFmtId="186" formatCode="0.00;[Red]0.00"/>
    <numFmt numFmtId="187" formatCode="_(* #,##0_);_(* \(#,##0\);_(* &quot;-&quot;??_);_(@_)"/>
    <numFmt numFmtId="188" formatCode="_-* #,##0.00000_-;\-* #,##0.00000_-;_-* &quot;-&quot;??_-;_-@_-"/>
  </numFmts>
  <fonts count="91">
    <font>
      <sz val="10"/>
      <name val="Arial"/>
      <family val="0"/>
    </font>
    <font>
      <sz val="11"/>
      <color indexed="8"/>
      <name val="Sylfaen"/>
      <family val="2"/>
    </font>
    <font>
      <sz val="8"/>
      <name val="AcadMtavr"/>
      <family val="0"/>
    </font>
    <font>
      <sz val="10"/>
      <name val="AcadMtavr"/>
      <family val="0"/>
    </font>
    <font>
      <b/>
      <sz val="10"/>
      <name val="AcadMtavr"/>
      <family val="0"/>
    </font>
    <font>
      <vertAlign val="superscript"/>
      <sz val="10"/>
      <name val="AcadMtavr"/>
      <family val="0"/>
    </font>
    <font>
      <i/>
      <sz val="10"/>
      <name val="AcadMtavr"/>
      <family val="0"/>
    </font>
    <font>
      <b/>
      <i/>
      <sz val="10"/>
      <name val="AcadMtavr"/>
      <family val="0"/>
    </font>
    <font>
      <sz val="9"/>
      <name val="AcadMtavr"/>
      <family val="0"/>
    </font>
    <font>
      <b/>
      <vertAlign val="superscript"/>
      <sz val="12"/>
      <name val="AcadMtavr"/>
      <family val="0"/>
    </font>
    <font>
      <b/>
      <vertAlign val="superscript"/>
      <sz val="10"/>
      <name val="AcadMtavr"/>
      <family val="0"/>
    </font>
    <font>
      <b/>
      <sz val="12"/>
      <name val="AcadMtavr"/>
      <family val="0"/>
    </font>
    <font>
      <b/>
      <sz val="11"/>
      <name val="AcadMtavr"/>
      <family val="0"/>
    </font>
    <font>
      <sz val="10"/>
      <name val="AcadNusx"/>
      <family val="0"/>
    </font>
    <font>
      <vertAlign val="superscript"/>
      <sz val="12"/>
      <name val="AcadMtavr"/>
      <family val="0"/>
    </font>
    <font>
      <b/>
      <sz val="8"/>
      <name val="AcadMtavr"/>
      <family val="0"/>
    </font>
    <font>
      <sz val="11"/>
      <name val="AcadMtavr"/>
      <family val="0"/>
    </font>
    <font>
      <sz val="12"/>
      <name val="AcadMtavr"/>
      <family val="0"/>
    </font>
    <font>
      <b/>
      <sz val="10"/>
      <name val="Arial"/>
      <family val="2"/>
    </font>
    <font>
      <vertAlign val="superscript"/>
      <sz val="11"/>
      <name val="AcadMtavr"/>
      <family val="0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1"/>
      <name val="AcadMtavr"/>
      <family val="0"/>
    </font>
    <font>
      <b/>
      <sz val="9"/>
      <name val="AcadMtavr"/>
      <family val="0"/>
    </font>
    <font>
      <sz val="8"/>
      <name val="AcadNusx"/>
      <family val="0"/>
    </font>
    <font>
      <sz val="11"/>
      <name val="AcadNusx"/>
      <family val="0"/>
    </font>
    <font>
      <b/>
      <sz val="14"/>
      <name val="AcadMtavr"/>
      <family val="0"/>
    </font>
    <font>
      <b/>
      <u val="single"/>
      <sz val="14"/>
      <name val="AcadMtavr"/>
      <family val="0"/>
    </font>
    <font>
      <b/>
      <sz val="11"/>
      <name val="AcadNusx"/>
      <family val="0"/>
    </font>
    <font>
      <b/>
      <sz val="9"/>
      <name val="AcadNusx"/>
      <family val="0"/>
    </font>
    <font>
      <b/>
      <u val="single"/>
      <sz val="12"/>
      <name val="AcadMtavr"/>
      <family val="0"/>
    </font>
    <font>
      <sz val="12"/>
      <name val="AcadNusx"/>
      <family val="0"/>
    </font>
    <font>
      <sz val="9"/>
      <name val="AcadNusx"/>
      <family val="0"/>
    </font>
    <font>
      <vertAlign val="superscript"/>
      <sz val="10"/>
      <name val="AcadNusx"/>
      <family val="0"/>
    </font>
    <font>
      <i/>
      <sz val="10"/>
      <name val="AcadNusx"/>
      <family val="0"/>
    </font>
    <font>
      <sz val="10"/>
      <name val="Arachveulebrivi Thin"/>
      <family val="2"/>
    </font>
    <font>
      <b/>
      <sz val="10"/>
      <name val="AcadNusx"/>
      <family val="0"/>
    </font>
    <font>
      <sz val="14"/>
      <name val="AcadNusx"/>
      <family val="0"/>
    </font>
    <font>
      <sz val="10"/>
      <name val="Times New Roman"/>
      <family val="1"/>
    </font>
    <font>
      <b/>
      <sz val="12"/>
      <name val="AcadNusx"/>
      <family val="0"/>
    </font>
    <font>
      <sz val="10"/>
      <name val="Grigolia"/>
      <family val="0"/>
    </font>
    <font>
      <b/>
      <sz val="8"/>
      <name val="AcadNusx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Cambria"/>
      <family val="1"/>
    </font>
    <font>
      <b/>
      <sz val="7"/>
      <name val="AcadMtavr"/>
      <family val="0"/>
    </font>
    <font>
      <sz val="10"/>
      <name val="Academiuri Normaluri"/>
      <family val="0"/>
    </font>
    <font>
      <b/>
      <u val="single"/>
      <sz val="10"/>
      <name val="AcadNusx"/>
      <family val="0"/>
    </font>
    <font>
      <b/>
      <sz val="10"/>
      <name val="Sylfaen"/>
      <family val="1"/>
    </font>
    <font>
      <sz val="10"/>
      <name val="Sylfae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Mtavr"/>
      <family val="0"/>
    </font>
    <font>
      <sz val="10"/>
      <color indexed="8"/>
      <name val="AcadMtavr"/>
      <family val="0"/>
    </font>
    <font>
      <sz val="9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04998999834060669"/>
      <name val="AcadMtavr"/>
      <family val="0"/>
    </font>
    <font>
      <sz val="10"/>
      <color theme="1" tint="0.04998999834060669"/>
      <name val="AcadMtavr"/>
      <family val="0"/>
    </font>
    <font>
      <sz val="9"/>
      <color theme="1" tint="0.04998999834060669"/>
      <name val="AcadMtav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3" fontId="5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2" fontId="3" fillId="33" borderId="10" xfId="127" applyNumberFormat="1" applyFont="1" applyFill="1" applyBorder="1" applyAlignment="1">
      <alignment horizontal="center" vertical="center"/>
      <protection/>
    </xf>
    <xf numFmtId="176" fontId="3" fillId="33" borderId="10" xfId="82" applyNumberFormat="1" applyFont="1" applyFill="1" applyBorder="1" applyAlignment="1">
      <alignment horizontal="center" vertical="center"/>
      <protection/>
    </xf>
    <xf numFmtId="0" fontId="3" fillId="33" borderId="10" xfId="127" applyFont="1" applyFill="1" applyBorder="1" applyAlignment="1">
      <alignment horizontal="center" vertical="center"/>
      <protection/>
    </xf>
    <xf numFmtId="174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3" fontId="7" fillId="33" borderId="10" xfId="42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9" fontId="3" fillId="33" borderId="10" xfId="0" applyNumberFormat="1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1" fillId="0" borderId="0" xfId="138" applyFont="1" applyAlignment="1">
      <alignment horizontal="center" vertical="center" wrapText="1" shrinkToFit="1"/>
      <protection/>
    </xf>
    <xf numFmtId="0" fontId="16" fillId="0" borderId="0" xfId="0" applyFont="1" applyAlignment="1">
      <alignment vertical="center"/>
    </xf>
    <xf numFmtId="0" fontId="3" fillId="0" borderId="0" xfId="117" applyFont="1" applyAlignment="1">
      <alignment horizontal="left"/>
      <protection/>
    </xf>
    <xf numFmtId="0" fontId="16" fillId="0" borderId="0" xfId="0" applyFont="1" applyAlignment="1">
      <alignment horizontal="center" vertical="center" wrapText="1"/>
    </xf>
    <xf numFmtId="0" fontId="16" fillId="0" borderId="0" xfId="117" applyFont="1" applyAlignment="1">
      <alignment horizontal="right"/>
      <protection/>
    </xf>
    <xf numFmtId="0" fontId="2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138" applyFont="1" applyBorder="1" applyAlignment="1">
      <alignment vertical="center" wrapText="1"/>
      <protection/>
    </xf>
    <xf numFmtId="0" fontId="25" fillId="0" borderId="0" xfId="138" applyFont="1" applyAlignment="1">
      <alignment vertical="center" wrapText="1"/>
      <protection/>
    </xf>
    <xf numFmtId="0" fontId="13" fillId="33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42" applyNumberFormat="1" applyFont="1" applyFill="1" applyBorder="1" applyAlignment="1">
      <alignment horizontal="center" vertical="center" wrapText="1"/>
    </xf>
    <xf numFmtId="2" fontId="12" fillId="0" borderId="10" xfId="42" applyNumberFormat="1" applyFont="1" applyBorder="1" applyAlignment="1">
      <alignment horizontal="center" vertical="center" wrapText="1"/>
    </xf>
    <xf numFmtId="2" fontId="30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24" fillId="33" borderId="0" xfId="0" applyFont="1" applyFill="1" applyAlignment="1">
      <alignment/>
    </xf>
    <xf numFmtId="1" fontId="24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24" fillId="33" borderId="10" xfId="99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13" fillId="33" borderId="10" xfId="99" applyFont="1" applyFill="1" applyBorder="1" applyAlignment="1">
      <alignment horizontal="center" vertical="center" wrapText="1"/>
      <protection/>
    </xf>
    <xf numFmtId="0" fontId="13" fillId="33" borderId="10" xfId="99" applyFont="1" applyFill="1" applyBorder="1" applyAlignment="1">
      <alignment vertical="center" wrapText="1"/>
      <protection/>
    </xf>
    <xf numFmtId="0" fontId="13" fillId="33" borderId="10" xfId="99" applyFont="1" applyFill="1" applyBorder="1" applyAlignment="1">
      <alignment horizontal="center" vertical="center"/>
      <protection/>
    </xf>
    <xf numFmtId="1" fontId="32" fillId="33" borderId="10" xfId="0" applyNumberFormat="1" applyFont="1" applyFill="1" applyBorder="1" applyAlignment="1">
      <alignment horizontal="center" vertical="center" wrapText="1"/>
    </xf>
    <xf numFmtId="1" fontId="32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13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>
      <alignment vertical="center"/>
    </xf>
    <xf numFmtId="0" fontId="13" fillId="33" borderId="10" xfId="127" applyFont="1" applyFill="1" applyBorder="1" applyAlignment="1">
      <alignment horizontal="center" vertical="center"/>
      <protection/>
    </xf>
    <xf numFmtId="1" fontId="13" fillId="33" borderId="10" xfId="127" applyNumberFormat="1" applyFont="1" applyFill="1" applyBorder="1" applyAlignment="1">
      <alignment horizontal="center" vertical="center"/>
      <protection/>
    </xf>
    <xf numFmtId="176" fontId="13" fillId="33" borderId="10" xfId="82" applyNumberFormat="1" applyFont="1" applyFill="1" applyBorder="1" applyAlignment="1">
      <alignment horizontal="center" vertical="center"/>
      <protection/>
    </xf>
    <xf numFmtId="174" fontId="13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176" fontId="13" fillId="33" borderId="0" xfId="0" applyNumberFormat="1" applyFont="1" applyFill="1" applyAlignment="1">
      <alignment/>
    </xf>
    <xf numFmtId="0" fontId="25" fillId="33" borderId="0" xfId="0" applyFont="1" applyFill="1" applyAlignment="1">
      <alignment vertical="center"/>
    </xf>
    <xf numFmtId="176" fontId="25" fillId="33" borderId="0" xfId="0" applyNumberFormat="1" applyFont="1" applyFill="1" applyAlignment="1">
      <alignment vertical="center"/>
    </xf>
    <xf numFmtId="176" fontId="13" fillId="33" borderId="10" xfId="0" applyNumberFormat="1" applyFont="1" applyFill="1" applyBorder="1" applyAlignment="1">
      <alignment horizontal="center" vertical="center" wrapText="1"/>
    </xf>
    <xf numFmtId="177" fontId="13" fillId="33" borderId="10" xfId="0" applyNumberFormat="1" applyFont="1" applyFill="1" applyBorder="1" applyAlignment="1">
      <alignment horizontal="center" vertical="center"/>
    </xf>
    <xf numFmtId="0" fontId="13" fillId="33" borderId="10" xfId="119" applyFont="1" applyFill="1" applyBorder="1" applyAlignment="1">
      <alignment horizontal="left" vertical="center" wrapText="1"/>
      <protection/>
    </xf>
    <xf numFmtId="0" fontId="13" fillId="33" borderId="10" xfId="121" applyFont="1" applyFill="1" applyBorder="1" applyAlignment="1">
      <alignment horizontal="center" vertical="center" wrapText="1"/>
      <protection/>
    </xf>
    <xf numFmtId="2" fontId="13" fillId="33" borderId="10" xfId="84" applyNumberFormat="1" applyFont="1" applyFill="1" applyBorder="1" applyAlignment="1">
      <alignment horizontal="center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2" fontId="13" fillId="33" borderId="10" xfId="90" applyNumberFormat="1" applyFont="1" applyFill="1" applyBorder="1" applyAlignment="1">
      <alignment horizontal="center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2" fontId="13" fillId="33" borderId="10" xfId="105" applyNumberFormat="1" applyFont="1" applyFill="1" applyBorder="1" applyAlignment="1">
      <alignment horizontal="center" vertical="center" wrapText="1"/>
      <protection/>
    </xf>
    <xf numFmtId="0" fontId="13" fillId="33" borderId="10" xfId="107" applyFont="1" applyFill="1" applyBorder="1" applyAlignment="1">
      <alignment horizontal="left" vertical="center" wrapText="1"/>
      <protection/>
    </xf>
    <xf numFmtId="0" fontId="13" fillId="33" borderId="10" xfId="0" applyFont="1" applyFill="1" applyBorder="1" applyAlignment="1">
      <alignment horizontal="center" vertical="top" wrapText="1"/>
    </xf>
    <xf numFmtId="178" fontId="13" fillId="33" borderId="10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top" wrapText="1"/>
    </xf>
    <xf numFmtId="3" fontId="13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1" fontId="34" fillId="33" borderId="10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 quotePrefix="1">
      <alignment horizontal="center" vertical="top" wrapText="1"/>
    </xf>
    <xf numFmtId="0" fontId="24" fillId="33" borderId="10" xfId="0" applyFont="1" applyFill="1" applyBorder="1" applyAlignment="1" quotePrefix="1">
      <alignment horizontal="center" vertical="center" wrapText="1"/>
    </xf>
    <xf numFmtId="171" fontId="13" fillId="33" borderId="10" xfId="140" applyNumberFormat="1" applyFont="1" applyFill="1" applyBorder="1" applyAlignment="1">
      <alignment horizontal="left" vertical="center" wrapText="1"/>
    </xf>
    <xf numFmtId="49" fontId="13" fillId="33" borderId="10" xfId="99" applyNumberFormat="1" applyFont="1" applyFill="1" applyBorder="1" applyAlignment="1">
      <alignment horizontal="center" vertical="center" wrapText="1"/>
      <protection/>
    </xf>
    <xf numFmtId="0" fontId="35" fillId="33" borderId="12" xfId="90" applyFont="1" applyFill="1" applyBorder="1" applyAlignment="1">
      <alignment horizontal="center"/>
      <protection/>
    </xf>
    <xf numFmtId="171" fontId="13" fillId="33" borderId="10" xfId="140" applyNumberFormat="1" applyFont="1" applyFill="1" applyBorder="1" applyAlignment="1">
      <alignment horizontal="left" vertical="center"/>
    </xf>
    <xf numFmtId="0" fontId="13" fillId="33" borderId="10" xfId="82" applyFont="1" applyFill="1" applyBorder="1" applyAlignment="1">
      <alignment horizontal="center"/>
      <protection/>
    </xf>
    <xf numFmtId="0" fontId="35" fillId="33" borderId="13" xfId="90" applyFont="1" applyFill="1" applyBorder="1" applyAlignment="1">
      <alignment horizontal="center"/>
      <protection/>
    </xf>
    <xf numFmtId="0" fontId="13" fillId="33" borderId="10" xfId="90" applyFont="1" applyFill="1" applyBorder="1" applyAlignment="1">
      <alignment horizontal="center" vertical="center"/>
      <protection/>
    </xf>
    <xf numFmtId="171" fontId="13" fillId="33" borderId="10" xfId="140" applyNumberFormat="1" applyFont="1" applyFill="1" applyBorder="1" applyAlignment="1">
      <alignment horizontal="center"/>
    </xf>
    <xf numFmtId="171" fontId="13" fillId="33" borderId="10" xfId="140" applyNumberFormat="1" applyFont="1" applyFill="1" applyBorder="1" applyAlignment="1">
      <alignment horizontal="right"/>
    </xf>
    <xf numFmtId="0" fontId="35" fillId="33" borderId="10" xfId="90" applyFont="1" applyFill="1" applyBorder="1" applyAlignment="1">
      <alignment horizontal="center"/>
      <protection/>
    </xf>
    <xf numFmtId="0" fontId="13" fillId="33" borderId="12" xfId="138" applyFont="1" applyFill="1" applyBorder="1" applyAlignment="1">
      <alignment horizontal="center" vertical="center"/>
      <protection/>
    </xf>
    <xf numFmtId="0" fontId="36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 quotePrefix="1">
      <alignment horizontal="center" vertical="center" wrapText="1"/>
    </xf>
    <xf numFmtId="1" fontId="36" fillId="33" borderId="12" xfId="0" applyNumberFormat="1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/>
    </xf>
    <xf numFmtId="3" fontId="36" fillId="33" borderId="12" xfId="0" applyNumberFormat="1" applyFont="1" applyFill="1" applyBorder="1" applyAlignment="1">
      <alignment horizontal="center" vertical="center" wrapText="1"/>
    </xf>
    <xf numFmtId="1" fontId="13" fillId="33" borderId="10" xfId="82" applyNumberFormat="1" applyFont="1" applyFill="1" applyBorder="1" applyAlignment="1">
      <alignment horizontal="center" vertical="center"/>
      <protection/>
    </xf>
    <xf numFmtId="49" fontId="13" fillId="33" borderId="10" xfId="0" applyNumberFormat="1" applyFont="1" applyFill="1" applyBorder="1" applyAlignment="1">
      <alignment horizontal="center" vertical="top" wrapText="1"/>
    </xf>
    <xf numFmtId="0" fontId="38" fillId="33" borderId="0" xfId="0" applyFont="1" applyFill="1" applyAlignment="1">
      <alignment/>
    </xf>
    <xf numFmtId="0" fontId="36" fillId="33" borderId="10" xfId="138" applyFont="1" applyFill="1" applyBorder="1" applyAlignment="1">
      <alignment horizontal="center" vertical="center"/>
      <protection/>
    </xf>
    <xf numFmtId="0" fontId="36" fillId="33" borderId="10" xfId="123" applyFont="1" applyFill="1" applyBorder="1" applyAlignment="1">
      <alignment horizontal="left" vertical="center" wrapText="1"/>
      <protection/>
    </xf>
    <xf numFmtId="0" fontId="32" fillId="33" borderId="10" xfId="123" applyFont="1" applyFill="1" applyBorder="1" applyAlignment="1">
      <alignment horizontal="center" vertical="center" wrapText="1"/>
      <protection/>
    </xf>
    <xf numFmtId="0" fontId="36" fillId="33" borderId="10" xfId="123" applyFont="1" applyFill="1" applyBorder="1" applyAlignment="1">
      <alignment horizontal="center" vertical="center" wrapText="1"/>
      <protection/>
    </xf>
    <xf numFmtId="0" fontId="29" fillId="33" borderId="10" xfId="123" applyFont="1" applyFill="1" applyBorder="1" applyAlignment="1">
      <alignment horizontal="center" vertical="center" wrapText="1"/>
      <protection/>
    </xf>
    <xf numFmtId="0" fontId="13" fillId="33" borderId="10" xfId="123" applyFont="1" applyFill="1" applyBorder="1" applyAlignment="1">
      <alignment horizontal="left" vertical="center" wrapText="1"/>
      <protection/>
    </xf>
    <xf numFmtId="0" fontId="13" fillId="33" borderId="10" xfId="123" applyFont="1" applyFill="1" applyBorder="1" applyAlignment="1">
      <alignment horizontal="center" vertical="center" wrapText="1"/>
      <protection/>
    </xf>
    <xf numFmtId="0" fontId="13" fillId="33" borderId="10" xfId="123" applyFont="1" applyFill="1" applyBorder="1" applyAlignment="1">
      <alignment vertical="center" wrapText="1"/>
      <protection/>
    </xf>
    <xf numFmtId="0" fontId="36" fillId="33" borderId="10" xfId="99" applyFont="1" applyFill="1" applyBorder="1" applyAlignment="1">
      <alignment horizontal="center" vertical="center" wrapText="1"/>
      <protection/>
    </xf>
    <xf numFmtId="0" fontId="36" fillId="33" borderId="10" xfId="0" applyFont="1" applyFill="1" applyBorder="1" applyAlignment="1">
      <alignment horizontal="center" vertical="center" wrapText="1"/>
    </xf>
    <xf numFmtId="174" fontId="32" fillId="33" borderId="10" xfId="123" applyNumberFormat="1" applyFont="1" applyFill="1" applyBorder="1" applyAlignment="1">
      <alignment horizontal="center" vertical="center" wrapText="1"/>
      <protection/>
    </xf>
    <xf numFmtId="0" fontId="24" fillId="33" borderId="10" xfId="138" applyFont="1" applyFill="1" applyBorder="1" applyAlignment="1">
      <alignment horizontal="center" vertical="center" wrapText="1"/>
      <protection/>
    </xf>
    <xf numFmtId="1" fontId="13" fillId="33" borderId="10" xfId="47" applyNumberFormat="1" applyFont="1" applyFill="1" applyBorder="1" applyAlignment="1">
      <alignment horizontal="center" vertical="center"/>
    </xf>
    <xf numFmtId="43" fontId="13" fillId="33" borderId="10" xfId="47" applyFont="1" applyFill="1" applyBorder="1" applyAlignment="1">
      <alignment horizontal="center" vertical="center"/>
    </xf>
    <xf numFmtId="9" fontId="24" fillId="33" borderId="10" xfId="0" applyNumberFormat="1" applyFont="1" applyFill="1" applyBorder="1" applyAlignment="1">
      <alignment horizontal="center" vertical="center" wrapText="1"/>
    </xf>
    <xf numFmtId="1" fontId="13" fillId="33" borderId="10" xfId="47" applyNumberFormat="1" applyFont="1" applyFill="1" applyBorder="1" applyAlignment="1">
      <alignment horizontal="center" vertical="center" wrapText="1"/>
    </xf>
    <xf numFmtId="43" fontId="13" fillId="33" borderId="10" xfId="47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/>
    </xf>
    <xf numFmtId="0" fontId="12" fillId="33" borderId="0" xfId="138" applyFont="1" applyFill="1" applyAlignment="1">
      <alignment horizontal="center" vertical="center" shrinkToFit="1"/>
      <protection/>
    </xf>
    <xf numFmtId="2" fontId="16" fillId="0" borderId="0" xfId="0" applyNumberFormat="1" applyFont="1" applyAlignment="1">
      <alignment vertical="center"/>
    </xf>
    <xf numFmtId="0" fontId="24" fillId="33" borderId="10" xfId="99" applyFont="1" applyFill="1" applyBorder="1" applyAlignment="1">
      <alignment horizontal="center" vertical="center"/>
      <protection/>
    </xf>
    <xf numFmtId="0" fontId="13" fillId="33" borderId="10" xfId="139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top" wrapText="1"/>
    </xf>
    <xf numFmtId="2" fontId="28" fillId="33" borderId="0" xfId="42" applyNumberFormat="1" applyFont="1" applyFill="1" applyAlignment="1">
      <alignment horizontal="center" vertical="center" wrapText="1"/>
    </xf>
    <xf numFmtId="0" fontId="11" fillId="33" borderId="0" xfId="139" applyFont="1" applyFill="1" applyAlignment="1">
      <alignment horizontal="center" vertical="center" shrinkToFit="1"/>
      <protection/>
    </xf>
    <xf numFmtId="43" fontId="12" fillId="33" borderId="16" xfId="139" applyNumberFormat="1" applyFont="1" applyFill="1" applyBorder="1" applyAlignment="1">
      <alignment horizontal="center" vertical="center" shrinkToFit="1"/>
      <protection/>
    </xf>
    <xf numFmtId="0" fontId="2" fillId="33" borderId="0" xfId="139" applyFont="1" applyFill="1" applyAlignment="1">
      <alignment horizontal="left" vertical="center" shrinkToFit="1"/>
      <protection/>
    </xf>
    <xf numFmtId="173" fontId="12" fillId="33" borderId="17" xfId="139" applyNumberFormat="1" applyFont="1" applyFill="1" applyBorder="1" applyAlignment="1">
      <alignment horizontal="center" vertical="center" shrinkToFit="1"/>
      <protection/>
    </xf>
    <xf numFmtId="0" fontId="0" fillId="33" borderId="0" xfId="0" applyFont="1" applyFill="1" applyAlignment="1">
      <alignment/>
    </xf>
    <xf numFmtId="0" fontId="2" fillId="33" borderId="0" xfId="139" applyFont="1" applyFill="1" applyAlignment="1">
      <alignment vertical="center" shrinkToFit="1"/>
      <protection/>
    </xf>
    <xf numFmtId="173" fontId="4" fillId="33" borderId="0" xfId="139" applyNumberFormat="1" applyFont="1" applyFill="1" applyAlignment="1">
      <alignment horizontal="center" vertical="center" shrinkToFit="1"/>
      <protection/>
    </xf>
    <xf numFmtId="49" fontId="15" fillId="33" borderId="10" xfId="0" applyNumberFormat="1" applyFont="1" applyFill="1" applyBorder="1" applyAlignment="1">
      <alignment horizontal="center" vertical="center" wrapText="1"/>
    </xf>
    <xf numFmtId="43" fontId="3" fillId="33" borderId="10" xfId="42" applyFont="1" applyFill="1" applyBorder="1" applyAlignment="1">
      <alignment horizontal="center" vertical="center"/>
    </xf>
    <xf numFmtId="0" fontId="4" fillId="33" borderId="10" xfId="117" applyFont="1" applyFill="1" applyBorder="1" applyAlignment="1">
      <alignment horizontal="left" vertical="center" wrapText="1"/>
      <protection/>
    </xf>
    <xf numFmtId="0" fontId="13" fillId="33" borderId="10" xfId="117" applyFont="1" applyFill="1" applyBorder="1" applyAlignment="1">
      <alignment horizontal="center" vertical="center"/>
      <protection/>
    </xf>
    <xf numFmtId="0" fontId="3" fillId="33" borderId="10" xfId="117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/>
    </xf>
    <xf numFmtId="43" fontId="3" fillId="33" borderId="10" xfId="42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vertical="center" wrapText="1"/>
    </xf>
    <xf numFmtId="0" fontId="4" fillId="33" borderId="10" xfId="99" applyFont="1" applyFill="1" applyBorder="1" applyAlignment="1">
      <alignment vertical="center" wrapText="1"/>
      <protection/>
    </xf>
    <xf numFmtId="0" fontId="4" fillId="33" borderId="18" xfId="139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43" fontId="4" fillId="33" borderId="19" xfId="42" applyFont="1" applyFill="1" applyBorder="1" applyAlignment="1">
      <alignment horizontal="center" vertical="center" wrapText="1"/>
    </xf>
    <xf numFmtId="43" fontId="7" fillId="33" borderId="19" xfId="42" applyFont="1" applyFill="1" applyBorder="1" applyAlignment="1">
      <alignment horizontal="center" vertical="center"/>
    </xf>
    <xf numFmtId="0" fontId="4" fillId="33" borderId="0" xfId="139" applyFont="1" applyFill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center" wrapText="1"/>
    </xf>
    <xf numFmtId="43" fontId="4" fillId="33" borderId="14" xfId="42" applyFont="1" applyFill="1" applyBorder="1" applyAlignment="1">
      <alignment horizontal="center" vertical="center" wrapText="1"/>
    </xf>
    <xf numFmtId="43" fontId="7" fillId="33" borderId="14" xfId="42" applyFont="1" applyFill="1" applyBorder="1" applyAlignment="1">
      <alignment horizontal="center" vertical="center"/>
    </xf>
    <xf numFmtId="0" fontId="3" fillId="33" borderId="20" xfId="139" applyFont="1" applyFill="1" applyBorder="1" applyAlignment="1">
      <alignment horizontal="center" vertical="center"/>
      <protection/>
    </xf>
    <xf numFmtId="0" fontId="4" fillId="33" borderId="10" xfId="139" applyFont="1" applyFill="1" applyBorder="1" applyAlignment="1">
      <alignment horizontal="center" vertical="center"/>
      <protection/>
    </xf>
    <xf numFmtId="43" fontId="4" fillId="33" borderId="10" xfId="42" applyFont="1" applyFill="1" applyBorder="1" applyAlignment="1">
      <alignment horizontal="center" vertical="center" wrapText="1"/>
    </xf>
    <xf numFmtId="0" fontId="3" fillId="33" borderId="10" xfId="139" applyFont="1" applyFill="1" applyBorder="1" applyAlignment="1">
      <alignment horizontal="center" vertical="center"/>
      <protection/>
    </xf>
    <xf numFmtId="43" fontId="3" fillId="33" borderId="10" xfId="42" applyFont="1" applyFill="1" applyBorder="1" applyAlignment="1">
      <alignment/>
    </xf>
    <xf numFmtId="0" fontId="2" fillId="33" borderId="0" xfId="139" applyFont="1" applyFill="1" applyAlignment="1">
      <alignment horizontal="center" vertical="center" shrinkToFit="1"/>
      <protection/>
    </xf>
    <xf numFmtId="0" fontId="88" fillId="33" borderId="10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74" fontId="4" fillId="33" borderId="10" xfId="99" applyNumberFormat="1" applyFont="1" applyFill="1" applyBorder="1" applyAlignment="1">
      <alignment horizontal="center" vertical="center" wrapText="1"/>
      <protection/>
    </xf>
    <xf numFmtId="43" fontId="4" fillId="33" borderId="10" xfId="42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center"/>
    </xf>
    <xf numFmtId="43" fontId="13" fillId="33" borderId="10" xfId="42" applyFont="1" applyFill="1" applyBorder="1" applyAlignment="1">
      <alignment horizontal="center" vertical="center"/>
    </xf>
    <xf numFmtId="43" fontId="3" fillId="33" borderId="10" xfId="42" applyFont="1" applyFill="1" applyBorder="1" applyAlignment="1">
      <alignment horizontal="left" vertical="center" wrapText="1"/>
    </xf>
    <xf numFmtId="43" fontId="6" fillId="33" borderId="10" xfId="42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top" wrapText="1"/>
    </xf>
    <xf numFmtId="43" fontId="3" fillId="33" borderId="10" xfId="42" applyFont="1" applyFill="1" applyBorder="1" applyAlignment="1">
      <alignment horizontal="left" vertical="top" wrapText="1"/>
    </xf>
    <xf numFmtId="43" fontId="6" fillId="33" borderId="10" xfId="42" applyFont="1" applyFill="1" applyBorder="1" applyAlignment="1">
      <alignment horizontal="left" vertical="top" wrapText="1"/>
    </xf>
    <xf numFmtId="0" fontId="4" fillId="33" borderId="0" xfId="139" applyFont="1" applyFill="1" applyAlignment="1">
      <alignment horizontal="center" vertical="center" shrinkToFit="1"/>
      <protection/>
    </xf>
    <xf numFmtId="43" fontId="4" fillId="33" borderId="0" xfId="139" applyNumberFormat="1" applyFont="1" applyFill="1" applyAlignment="1">
      <alignment horizontal="center" vertical="center" shrinkToFit="1"/>
      <protection/>
    </xf>
    <xf numFmtId="0" fontId="3" fillId="33" borderId="0" xfId="139" applyFont="1" applyFill="1" applyAlignment="1">
      <alignment horizontal="left" vertical="center" shrinkToFit="1"/>
      <protection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117" applyFont="1" applyFill="1" applyBorder="1" applyAlignment="1">
      <alignment vertical="center" wrapText="1"/>
      <protection/>
    </xf>
    <xf numFmtId="0" fontId="4" fillId="33" borderId="19" xfId="139" applyFont="1" applyFill="1" applyBorder="1" applyAlignment="1">
      <alignment horizontal="center" vertical="center"/>
      <protection/>
    </xf>
    <xf numFmtId="0" fontId="4" fillId="33" borderId="20" xfId="139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3" fillId="33" borderId="10" xfId="117" applyFont="1" applyFill="1" applyBorder="1" applyAlignment="1">
      <alignment vertical="center" wrapText="1"/>
      <protection/>
    </xf>
    <xf numFmtId="49" fontId="15" fillId="33" borderId="21" xfId="0" applyNumberFormat="1" applyFont="1" applyFill="1" applyBorder="1" applyAlignment="1">
      <alignment horizontal="center" vertical="center" wrapText="1"/>
    </xf>
    <xf numFmtId="0" fontId="4" fillId="33" borderId="15" xfId="139" applyFont="1" applyFill="1" applyBorder="1" applyAlignment="1">
      <alignment horizontal="center" vertical="center"/>
      <protection/>
    </xf>
    <xf numFmtId="0" fontId="36" fillId="33" borderId="10" xfId="0" applyFont="1" applyFill="1" applyBorder="1" applyAlignment="1">
      <alignment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173" fontId="36" fillId="33" borderId="10" xfId="42" applyNumberFormat="1" applyFont="1" applyFill="1" applyBorder="1" applyAlignment="1">
      <alignment horizontal="center" vertical="center"/>
    </xf>
    <xf numFmtId="2" fontId="36" fillId="33" borderId="1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/>
    </xf>
    <xf numFmtId="175" fontId="13" fillId="33" borderId="10" xfId="0" applyNumberFormat="1" applyFont="1" applyFill="1" applyBorder="1" applyAlignment="1">
      <alignment horizontal="center" vertical="center"/>
    </xf>
    <xf numFmtId="0" fontId="36" fillId="33" borderId="10" xfId="139" applyFont="1" applyFill="1" applyBorder="1" applyAlignment="1">
      <alignment horizontal="center" vertical="center"/>
      <protection/>
    </xf>
    <xf numFmtId="49" fontId="3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 wrapText="1"/>
    </xf>
    <xf numFmtId="176" fontId="36" fillId="33" borderId="10" xfId="0" applyNumberFormat="1" applyFont="1" applyFill="1" applyBorder="1" applyAlignment="1">
      <alignment horizontal="center" vertical="center" wrapText="1"/>
    </xf>
    <xf numFmtId="177" fontId="36" fillId="33" borderId="10" xfId="0" applyNumberFormat="1" applyFont="1" applyFill="1" applyBorder="1" applyAlignment="1">
      <alignment horizontal="center" vertical="center"/>
    </xf>
    <xf numFmtId="43" fontId="36" fillId="33" borderId="10" xfId="42" applyFont="1" applyFill="1" applyBorder="1" applyAlignment="1">
      <alignment horizontal="center" vertical="center"/>
    </xf>
    <xf numFmtId="43" fontId="13" fillId="33" borderId="10" xfId="42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2" fontId="36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3" fontId="0" fillId="33" borderId="10" xfId="42" applyFont="1" applyFill="1" applyBorder="1" applyAlignment="1">
      <alignment horizontal="center" vertical="center"/>
    </xf>
    <xf numFmtId="43" fontId="0" fillId="33" borderId="10" xfId="42" applyFont="1" applyFill="1" applyBorder="1" applyAlignment="1">
      <alignment horizontal="center" vertical="center" wrapText="1"/>
    </xf>
    <xf numFmtId="175" fontId="43" fillId="33" borderId="10" xfId="0" applyNumberFormat="1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0" fontId="36" fillId="33" borderId="12" xfId="0" applyFont="1" applyFill="1" applyBorder="1" applyAlignment="1" quotePrefix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3" fontId="18" fillId="33" borderId="10" xfId="42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left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left" vertical="center" wrapText="1"/>
    </xf>
    <xf numFmtId="2" fontId="13" fillId="33" borderId="10" xfId="0" applyNumberFormat="1" applyFont="1" applyFill="1" applyBorder="1" applyAlignment="1">
      <alignment vertical="center"/>
    </xf>
    <xf numFmtId="49" fontId="36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top" wrapText="1"/>
    </xf>
    <xf numFmtId="0" fontId="13" fillId="33" borderId="10" xfId="83" applyFont="1" applyFill="1" applyBorder="1" applyAlignment="1">
      <alignment horizontal="left" wrapText="1"/>
      <protection/>
    </xf>
    <xf numFmtId="0" fontId="36" fillId="33" borderId="10" xfId="83" applyFont="1" applyFill="1" applyBorder="1" applyAlignment="1">
      <alignment horizontal="center"/>
      <protection/>
    </xf>
    <xf numFmtId="0" fontId="13" fillId="33" borderId="10" xfId="83" applyFont="1" applyFill="1" applyBorder="1" applyAlignment="1">
      <alignment horizontal="left"/>
      <protection/>
    </xf>
    <xf numFmtId="2" fontId="13" fillId="33" borderId="10" xfId="83" applyNumberFormat="1" applyFont="1" applyFill="1" applyBorder="1" applyAlignment="1">
      <alignment horizontal="center"/>
      <protection/>
    </xf>
    <xf numFmtId="174" fontId="36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9" fontId="13" fillId="33" borderId="10" xfId="0" applyNumberFormat="1" applyFont="1" applyFill="1" applyBorder="1" applyAlignment="1">
      <alignment horizontal="center" vertical="center"/>
    </xf>
    <xf numFmtId="171" fontId="13" fillId="33" borderId="10" xfId="46" applyNumberFormat="1" applyFont="1" applyFill="1" applyBorder="1" applyAlignment="1">
      <alignment horizontal="center" vertical="center"/>
    </xf>
    <xf numFmtId="171" fontId="13" fillId="33" borderId="10" xfId="46" applyNumberFormat="1" applyFont="1" applyFill="1" applyBorder="1" applyAlignment="1">
      <alignment horizontal="left" vertical="center"/>
    </xf>
    <xf numFmtId="49" fontId="41" fillId="33" borderId="10" xfId="99" applyNumberFormat="1" applyFont="1" applyFill="1" applyBorder="1" applyAlignment="1">
      <alignment horizontal="center" vertical="center" wrapText="1"/>
      <protection/>
    </xf>
    <xf numFmtId="0" fontId="36" fillId="33" borderId="10" xfId="99" applyFont="1" applyFill="1" applyBorder="1" applyAlignment="1">
      <alignment horizontal="center" vertical="center"/>
      <protection/>
    </xf>
    <xf numFmtId="0" fontId="41" fillId="33" borderId="10" xfId="99" applyFont="1" applyFill="1" applyBorder="1" applyAlignment="1">
      <alignment horizontal="center" vertical="center"/>
      <protection/>
    </xf>
    <xf numFmtId="43" fontId="36" fillId="33" borderId="10" xfId="42" applyFont="1" applyFill="1" applyBorder="1" applyAlignment="1">
      <alignment horizontal="center" vertical="center" wrapText="1"/>
    </xf>
    <xf numFmtId="43" fontId="25" fillId="33" borderId="10" xfId="42" applyFont="1" applyFill="1" applyBorder="1" applyAlignment="1">
      <alignment horizontal="center" vertical="center"/>
    </xf>
    <xf numFmtId="0" fontId="31" fillId="33" borderId="10" xfId="87" applyFont="1" applyFill="1" applyBorder="1" applyAlignment="1">
      <alignment horizontal="left" vertical="center" wrapText="1"/>
      <protection/>
    </xf>
    <xf numFmtId="0" fontId="31" fillId="33" borderId="10" xfId="87" applyFont="1" applyFill="1" applyBorder="1" applyAlignment="1">
      <alignment horizontal="center" vertical="center" wrapText="1"/>
      <protection/>
    </xf>
    <xf numFmtId="43" fontId="31" fillId="33" borderId="10" xfId="42" applyFont="1" applyFill="1" applyBorder="1" applyAlignment="1">
      <alignment horizontal="center" vertical="center" wrapText="1"/>
    </xf>
    <xf numFmtId="43" fontId="31" fillId="33" borderId="10" xfId="42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1" fillId="33" borderId="0" xfId="0" applyFont="1" applyFill="1" applyAlignment="1">
      <alignment/>
    </xf>
    <xf numFmtId="0" fontId="3" fillId="33" borderId="2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9" fontId="3" fillId="33" borderId="20" xfId="0" applyNumberFormat="1" applyFont="1" applyFill="1" applyBorder="1" applyAlignment="1">
      <alignment horizontal="center" vertical="center" wrapText="1"/>
    </xf>
    <xf numFmtId="43" fontId="3" fillId="33" borderId="20" xfId="42" applyFont="1" applyFill="1" applyBorder="1" applyAlignment="1">
      <alignment horizontal="center" vertical="center" wrapText="1"/>
    </xf>
    <xf numFmtId="43" fontId="6" fillId="33" borderId="20" xfId="42" applyFont="1" applyFill="1" applyBorder="1" applyAlignment="1">
      <alignment horizontal="center" vertical="center"/>
    </xf>
    <xf numFmtId="43" fontId="0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2" fontId="3" fillId="33" borderId="20" xfId="0" applyNumberFormat="1" applyFont="1" applyFill="1" applyBorder="1" applyAlignment="1">
      <alignment horizontal="center" vertical="center" wrapText="1"/>
    </xf>
    <xf numFmtId="49" fontId="36" fillId="33" borderId="10" xfId="99" applyNumberFormat="1" applyFont="1" applyFill="1" applyBorder="1" applyAlignment="1">
      <alignment horizontal="center" vertical="center" wrapText="1"/>
      <protection/>
    </xf>
    <xf numFmtId="43" fontId="35" fillId="33" borderId="10" xfId="42" applyFont="1" applyFill="1" applyBorder="1" applyAlignment="1">
      <alignment horizontal="center" vertical="center"/>
    </xf>
    <xf numFmtId="43" fontId="35" fillId="33" borderId="14" xfId="42" applyFont="1" applyFill="1" applyBorder="1" applyAlignment="1">
      <alignment horizontal="center" vertical="center"/>
    </xf>
    <xf numFmtId="43" fontId="13" fillId="33" borderId="10" xfId="42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43" fontId="40" fillId="33" borderId="10" xfId="42" applyFont="1" applyFill="1" applyBorder="1" applyAlignment="1">
      <alignment horizontal="center" vertical="center"/>
    </xf>
    <xf numFmtId="0" fontId="24" fillId="33" borderId="0" xfId="139" applyFont="1" applyFill="1" applyAlignment="1">
      <alignment horizontal="center" vertical="center" shrinkToFit="1"/>
      <protection/>
    </xf>
    <xf numFmtId="0" fontId="24" fillId="33" borderId="0" xfId="139" applyFont="1" applyFill="1" applyAlignment="1">
      <alignment horizontal="center" vertical="center" wrapText="1" shrinkToFit="1"/>
      <protection/>
    </xf>
    <xf numFmtId="2" fontId="24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185" fontId="36" fillId="33" borderId="10" xfId="42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9" fontId="13" fillId="33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9" fontId="13" fillId="33" borderId="10" xfId="0" applyNumberFormat="1" applyFont="1" applyFill="1" applyBorder="1" applyAlignment="1">
      <alignment horizontal="center" vertical="center" wrapText="1"/>
    </xf>
    <xf numFmtId="183" fontId="13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36" fillId="33" borderId="10" xfId="0" applyNumberFormat="1" applyFont="1" applyFill="1" applyBorder="1" applyAlignment="1">
      <alignment horizontal="center" vertical="center"/>
    </xf>
    <xf numFmtId="184" fontId="36" fillId="33" borderId="10" xfId="42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1" fontId="36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/>
    </xf>
    <xf numFmtId="2" fontId="32" fillId="33" borderId="10" xfId="0" applyNumberFormat="1" applyFont="1" applyFill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43" fontId="36" fillId="33" borderId="10" xfId="42" applyFont="1" applyFill="1" applyBorder="1" applyAlignment="1">
      <alignment horizontal="center" vertical="top" wrapText="1"/>
    </xf>
    <xf numFmtId="43" fontId="13" fillId="33" borderId="10" xfId="42" applyFont="1" applyFill="1" applyBorder="1" applyAlignment="1">
      <alignment horizontal="left" vertical="top" wrapText="1"/>
    </xf>
    <xf numFmtId="43" fontId="34" fillId="33" borderId="10" xfId="42" applyFont="1" applyFill="1" applyBorder="1" applyAlignment="1">
      <alignment horizontal="left" vertical="top" wrapText="1"/>
    </xf>
    <xf numFmtId="43" fontId="13" fillId="33" borderId="10" xfId="42" applyFont="1" applyFill="1" applyBorder="1" applyAlignment="1">
      <alignment horizontal="center" vertical="top" wrapText="1"/>
    </xf>
    <xf numFmtId="14" fontId="29" fillId="33" borderId="10" xfId="0" applyNumberFormat="1" applyFont="1" applyFill="1" applyBorder="1" applyAlignment="1">
      <alignment horizontal="center" vertical="center" wrapText="1"/>
    </xf>
    <xf numFmtId="43" fontId="32" fillId="33" borderId="10" xfId="42" applyFont="1" applyFill="1" applyBorder="1" applyAlignment="1">
      <alignment horizontal="center" vertical="center" wrapText="1"/>
    </xf>
    <xf numFmtId="0" fontId="13" fillId="33" borderId="0" xfId="139" applyFont="1" applyFill="1" applyAlignment="1">
      <alignment vertical="center"/>
      <protection/>
    </xf>
    <xf numFmtId="9" fontId="41" fillId="33" borderId="10" xfId="0" applyNumberFormat="1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/>
    </xf>
    <xf numFmtId="2" fontId="36" fillId="33" borderId="1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2" fontId="13" fillId="35" borderId="10" xfId="0" applyNumberFormat="1" applyFont="1" applyFill="1" applyBorder="1" applyAlignment="1">
      <alignment horizontal="center" vertical="center" wrapText="1"/>
    </xf>
    <xf numFmtId="0" fontId="36" fillId="35" borderId="10" xfId="99" applyFont="1" applyFill="1" applyBorder="1" applyAlignment="1">
      <alignment vertical="center" wrapText="1"/>
      <protection/>
    </xf>
    <xf numFmtId="176" fontId="36" fillId="35" borderId="10" xfId="99" applyNumberFormat="1" applyFont="1" applyFill="1" applyBorder="1" applyAlignment="1">
      <alignment horizontal="center" vertical="center" wrapText="1"/>
      <protection/>
    </xf>
    <xf numFmtId="49" fontId="36" fillId="35" borderId="10" xfId="99" applyNumberFormat="1" applyFont="1" applyFill="1" applyBorder="1" applyAlignment="1">
      <alignment horizontal="center" vertical="center" wrapText="1"/>
      <protection/>
    </xf>
    <xf numFmtId="175" fontId="13" fillId="33" borderId="10" xfId="0" applyNumberFormat="1" applyFont="1" applyFill="1" applyBorder="1" applyAlignment="1">
      <alignment horizontal="center" vertical="center" wrapText="1"/>
    </xf>
    <xf numFmtId="49" fontId="41" fillId="35" borderId="10" xfId="99" applyNumberFormat="1" applyFont="1" applyFill="1" applyBorder="1" applyAlignment="1">
      <alignment horizontal="center" vertical="center" wrapText="1"/>
      <protection/>
    </xf>
    <xf numFmtId="43" fontId="13" fillId="35" borderId="10" xfId="42" applyFont="1" applyFill="1" applyBorder="1" applyAlignment="1">
      <alignment horizontal="center" vertical="center" wrapText="1"/>
    </xf>
    <xf numFmtId="43" fontId="13" fillId="0" borderId="10" xfId="42" applyFont="1" applyFill="1" applyBorder="1" applyAlignment="1">
      <alignment horizontal="center" vertical="center"/>
    </xf>
    <xf numFmtId="43" fontId="13" fillId="33" borderId="10" xfId="42" applyFont="1" applyFill="1" applyBorder="1" applyAlignment="1" quotePrefix="1">
      <alignment horizontal="center" vertical="center" wrapText="1"/>
    </xf>
    <xf numFmtId="43" fontId="13" fillId="0" borderId="10" xfId="42" applyFont="1" applyFill="1" applyBorder="1" applyAlignment="1">
      <alignment horizontal="center" vertical="center" wrapText="1"/>
    </xf>
    <xf numFmtId="0" fontId="13" fillId="35" borderId="10" xfId="99" applyFont="1" applyFill="1" applyBorder="1" applyAlignment="1">
      <alignment horizontal="center" vertical="center"/>
      <protection/>
    </xf>
    <xf numFmtId="49" fontId="24" fillId="35" borderId="10" xfId="99" applyNumberFormat="1" applyFont="1" applyFill="1" applyBorder="1" applyAlignment="1">
      <alignment horizontal="center" vertical="center" wrapText="1"/>
      <protection/>
    </xf>
    <xf numFmtId="171" fontId="13" fillId="35" borderId="10" xfId="46" applyNumberFormat="1" applyFont="1" applyFill="1" applyBorder="1" applyAlignment="1">
      <alignment horizontal="left" vertical="center"/>
    </xf>
    <xf numFmtId="49" fontId="13" fillId="35" borderId="10" xfId="99" applyNumberFormat="1" applyFont="1" applyFill="1" applyBorder="1" applyAlignment="1">
      <alignment horizontal="center" vertical="center" wrapText="1"/>
      <protection/>
    </xf>
    <xf numFmtId="43" fontId="13" fillId="35" borderId="10" xfId="42" applyFont="1" applyFill="1" applyBorder="1" applyAlignment="1">
      <alignment horizontal="center" vertical="center"/>
    </xf>
    <xf numFmtId="43" fontId="13" fillId="35" borderId="10" xfId="42" applyFont="1" applyFill="1" applyBorder="1" applyAlignment="1">
      <alignment horizontal="center"/>
    </xf>
    <xf numFmtId="0" fontId="13" fillId="35" borderId="10" xfId="127" applyFont="1" applyFill="1" applyBorder="1" applyAlignment="1">
      <alignment horizontal="center" vertical="center"/>
      <protection/>
    </xf>
    <xf numFmtId="0" fontId="13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 quotePrefix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/>
    </xf>
    <xf numFmtId="43" fontId="36" fillId="35" borderId="10" xfId="42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2" fontId="36" fillId="35" borderId="10" xfId="99" applyNumberFormat="1" applyFont="1" applyFill="1" applyBorder="1" applyAlignment="1">
      <alignment horizontal="center" vertical="center" wrapText="1"/>
      <protection/>
    </xf>
    <xf numFmtId="2" fontId="36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1" fontId="13" fillId="35" borderId="10" xfId="125" applyNumberFormat="1" applyFont="1" applyFill="1" applyBorder="1" applyAlignment="1">
      <alignment horizontal="center" vertical="center" wrapText="1"/>
      <protection/>
    </xf>
    <xf numFmtId="176" fontId="13" fillId="35" borderId="10" xfId="0" applyNumberFormat="1" applyFont="1" applyFill="1" applyBorder="1" applyAlignment="1">
      <alignment horizontal="center" vertical="center" wrapText="1"/>
    </xf>
    <xf numFmtId="0" fontId="12" fillId="33" borderId="0" xfId="138" applyFont="1" applyFill="1" applyAlignment="1">
      <alignment horizontal="center" vertical="center" shrinkToFit="1"/>
      <protection/>
    </xf>
    <xf numFmtId="0" fontId="13" fillId="36" borderId="0" xfId="0" applyFont="1" applyFill="1" applyAlignment="1">
      <alignment/>
    </xf>
    <xf numFmtId="0" fontId="0" fillId="36" borderId="0" xfId="0" applyFill="1" applyAlignment="1">
      <alignment/>
    </xf>
    <xf numFmtId="0" fontId="13" fillId="35" borderId="10" xfId="0" applyFont="1" applyFill="1" applyBorder="1" applyAlignment="1">
      <alignment horizontal="left" vertical="center" wrapText="1"/>
    </xf>
    <xf numFmtId="0" fontId="13" fillId="35" borderId="10" xfId="99" applyFont="1" applyFill="1" applyBorder="1" applyAlignment="1">
      <alignment vertical="center" wrapText="1"/>
      <protection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171" fontId="13" fillId="0" borderId="10" xfId="46" applyNumberFormat="1" applyFont="1" applyFill="1" applyBorder="1" applyAlignment="1">
      <alignment horizontal="left" vertical="center"/>
    </xf>
    <xf numFmtId="174" fontId="13" fillId="0" borderId="10" xfId="0" applyNumberFormat="1" applyFont="1" applyFill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99" applyNumberFormat="1" applyFont="1" applyFill="1" applyBorder="1" applyAlignment="1">
      <alignment horizontal="center" vertical="center" wrapText="1"/>
      <protection/>
    </xf>
    <xf numFmtId="176" fontId="13" fillId="0" borderId="10" xfId="0" applyNumberFormat="1" applyFont="1" applyFill="1" applyBorder="1" applyAlignment="1">
      <alignment horizontal="center" vertical="center" wrapText="1"/>
    </xf>
    <xf numFmtId="1" fontId="13" fillId="0" borderId="10" xfId="125" applyNumberFormat="1" applyFont="1" applyFill="1" applyBorder="1" applyAlignment="1">
      <alignment horizontal="center" vertical="center" wrapText="1"/>
      <protection/>
    </xf>
    <xf numFmtId="174" fontId="13" fillId="0" borderId="10" xfId="99" applyNumberFormat="1" applyFont="1" applyFill="1" applyBorder="1" applyAlignment="1">
      <alignment horizontal="center" vertical="center" wrapText="1"/>
      <protection/>
    </xf>
    <xf numFmtId="2" fontId="32" fillId="0" borderId="10" xfId="0" applyNumberFormat="1" applyFont="1" applyFill="1" applyBorder="1" applyAlignment="1">
      <alignment horizontal="center" vertical="center"/>
    </xf>
    <xf numFmtId="174" fontId="3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0" xfId="97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74" fontId="36" fillId="0" borderId="10" xfId="99" applyNumberFormat="1" applyFont="1" applyFill="1" applyBorder="1" applyAlignment="1">
      <alignment horizontal="center" vertical="center" wrapText="1"/>
      <protection/>
    </xf>
    <xf numFmtId="171" fontId="13" fillId="0" borderId="10" xfId="140" applyNumberFormat="1" applyFont="1" applyFill="1" applyBorder="1" applyAlignment="1">
      <alignment horizontal="left" vertical="center"/>
    </xf>
    <xf numFmtId="171" fontId="13" fillId="0" borderId="10" xfId="14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 horizontal="center" vertical="center" wrapText="1"/>
    </xf>
    <xf numFmtId="1" fontId="36" fillId="0" borderId="10" xfId="123" applyNumberFormat="1" applyFont="1" applyFill="1" applyBorder="1" applyAlignment="1">
      <alignment horizontal="center" vertical="center" wrapText="1"/>
      <protection/>
    </xf>
    <xf numFmtId="2" fontId="13" fillId="0" borderId="10" xfId="123" applyNumberFormat="1" applyFont="1" applyFill="1" applyBorder="1" applyAlignment="1">
      <alignment horizontal="center" vertical="center" wrapText="1"/>
      <protection/>
    </xf>
    <xf numFmtId="1" fontId="13" fillId="0" borderId="10" xfId="123" applyNumberFormat="1" applyFont="1" applyFill="1" applyBorder="1" applyAlignment="1">
      <alignment horizontal="center" vertical="center" wrapText="1"/>
      <protection/>
    </xf>
    <xf numFmtId="0" fontId="31" fillId="0" borderId="10" xfId="87" applyFont="1" applyFill="1" applyBorder="1" applyAlignment="1">
      <alignment horizontal="center" vertical="center" wrapText="1"/>
      <protection/>
    </xf>
    <xf numFmtId="174" fontId="13" fillId="0" borderId="10" xfId="123" applyNumberFormat="1" applyFont="1" applyFill="1" applyBorder="1" applyAlignment="1">
      <alignment horizontal="center" vertical="center" wrapText="1"/>
      <protection/>
    </xf>
    <xf numFmtId="0" fontId="13" fillId="0" borderId="10" xfId="13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1" fillId="0" borderId="0" xfId="139" applyFont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12" fillId="0" borderId="0" xfId="139" applyFont="1" applyAlignment="1">
      <alignment horizontal="center" vertical="center" shrinkToFit="1"/>
      <protection/>
    </xf>
    <xf numFmtId="43" fontId="12" fillId="0" borderId="16" xfId="139" applyNumberFormat="1" applyFont="1" applyBorder="1" applyAlignment="1">
      <alignment horizontal="center" vertical="center" shrinkToFit="1"/>
      <protection/>
    </xf>
    <xf numFmtId="0" fontId="2" fillId="0" borderId="0" xfId="139" applyFont="1" applyAlignment="1">
      <alignment horizontal="left" vertical="center" shrinkToFit="1"/>
      <protection/>
    </xf>
    <xf numFmtId="173" fontId="12" fillId="0" borderId="17" xfId="139" applyNumberFormat="1" applyFont="1" applyBorder="1" applyAlignment="1">
      <alignment horizontal="center" vertical="center" shrinkToFit="1"/>
      <protection/>
    </xf>
    <xf numFmtId="0" fontId="2" fillId="0" borderId="0" xfId="139" applyFont="1" applyAlignment="1">
      <alignment vertical="center" shrinkToFit="1"/>
      <protection/>
    </xf>
    <xf numFmtId="173" fontId="4" fillId="0" borderId="0" xfId="139" applyNumberFormat="1" applyFont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117" applyFont="1" applyBorder="1" applyAlignment="1">
      <alignment horizontal="left" vertical="center" wrapText="1"/>
      <protection/>
    </xf>
    <xf numFmtId="0" fontId="13" fillId="0" borderId="10" xfId="117" applyFont="1" applyBorder="1" applyAlignment="1">
      <alignment horizontal="center" vertical="center"/>
      <protection/>
    </xf>
    <xf numFmtId="0" fontId="3" fillId="0" borderId="10" xfId="117" applyFont="1" applyBorder="1" applyAlignment="1">
      <alignment horizontal="left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99" applyFont="1" applyBorder="1" applyAlignment="1">
      <alignment vertical="center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15" fillId="0" borderId="10" xfId="99" applyFont="1" applyBorder="1" applyAlignment="1">
      <alignment horizontal="center" vertical="center"/>
      <protection/>
    </xf>
    <xf numFmtId="2" fontId="4" fillId="0" borderId="10" xfId="99" applyNumberFormat="1" applyFont="1" applyBorder="1" applyAlignment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4" borderId="18" xfId="139" applyFont="1" applyFill="1" applyBorder="1" applyAlignment="1">
      <alignment horizontal="center" vertical="center"/>
      <protection/>
    </xf>
    <xf numFmtId="0" fontId="4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 wrapText="1"/>
    </xf>
    <xf numFmtId="43" fontId="7" fillId="34" borderId="19" xfId="42" applyFont="1" applyFill="1" applyBorder="1" applyAlignment="1">
      <alignment horizontal="center" vertical="center"/>
    </xf>
    <xf numFmtId="43" fontId="4" fillId="34" borderId="19" xfId="42" applyFont="1" applyFill="1" applyBorder="1" applyAlignment="1">
      <alignment horizontal="center" vertical="center" wrapText="1"/>
    </xf>
    <xf numFmtId="0" fontId="4" fillId="34" borderId="0" xfId="139" applyFont="1" applyFill="1" applyAlignment="1">
      <alignment horizontal="center" vertical="center"/>
      <protection/>
    </xf>
    <xf numFmtId="0" fontId="4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43" fontId="7" fillId="34" borderId="14" xfId="42" applyFont="1" applyFill="1" applyBorder="1" applyAlignment="1">
      <alignment horizontal="center" vertical="center"/>
    </xf>
    <xf numFmtId="43" fontId="4" fillId="34" borderId="14" xfId="42" applyFont="1" applyFill="1" applyBorder="1" applyAlignment="1">
      <alignment horizontal="center" vertical="center" wrapText="1"/>
    </xf>
    <xf numFmtId="0" fontId="3" fillId="0" borderId="20" xfId="139" applyFont="1" applyBorder="1" applyAlignment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43" fontId="6" fillId="0" borderId="20" xfId="42" applyFont="1" applyFill="1" applyBorder="1" applyAlignment="1">
      <alignment horizontal="center" vertical="center"/>
    </xf>
    <xf numFmtId="0" fontId="4" fillId="34" borderId="10" xfId="139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43" fontId="7" fillId="34" borderId="10" xfId="42" applyFont="1" applyFill="1" applyBorder="1" applyAlignment="1">
      <alignment horizontal="center" vertical="center"/>
    </xf>
    <xf numFmtId="0" fontId="3" fillId="0" borderId="10" xfId="139" applyFont="1" applyBorder="1" applyAlignment="1">
      <alignment horizontal="center" vertical="center"/>
      <protection/>
    </xf>
    <xf numFmtId="9" fontId="3" fillId="0" borderId="10" xfId="0" applyNumberFormat="1" applyFont="1" applyBorder="1" applyAlignment="1">
      <alignment horizontal="center" vertical="center" wrapText="1"/>
    </xf>
    <xf numFmtId="43" fontId="6" fillId="0" borderId="10" xfId="42" applyFont="1" applyFill="1" applyBorder="1" applyAlignment="1">
      <alignment horizontal="center" vertical="center"/>
    </xf>
    <xf numFmtId="0" fontId="4" fillId="0" borderId="10" xfId="139" applyFont="1" applyBorder="1" applyAlignment="1">
      <alignment horizontal="center" vertic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43" fontId="7" fillId="0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87" fontId="13" fillId="33" borderId="10" xfId="42" applyNumberFormat="1" applyFont="1" applyFill="1" applyBorder="1" applyAlignment="1">
      <alignment horizontal="center" vertical="center" wrapText="1"/>
    </xf>
    <xf numFmtId="188" fontId="13" fillId="33" borderId="10" xfId="42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174" fontId="13" fillId="33" borderId="10" xfId="99" applyNumberFormat="1" applyFont="1" applyFill="1" applyBorder="1" applyAlignment="1">
      <alignment horizontal="center" vertical="center" wrapText="1"/>
      <protection/>
    </xf>
    <xf numFmtId="0" fontId="32" fillId="33" borderId="10" xfId="0" applyFont="1" applyFill="1" applyBorder="1" applyAlignment="1">
      <alignment vertical="center" wrapText="1"/>
    </xf>
    <xf numFmtId="2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/>
    </xf>
    <xf numFmtId="1" fontId="32" fillId="33" borderId="10" xfId="0" applyNumberFormat="1" applyFont="1" applyFill="1" applyBorder="1" applyAlignment="1">
      <alignment/>
    </xf>
    <xf numFmtId="171" fontId="13" fillId="33" borderId="10" xfId="46" applyFont="1" applyFill="1" applyBorder="1" applyAlignment="1">
      <alignment horizontal="left" vertical="center"/>
    </xf>
    <xf numFmtId="0" fontId="36" fillId="33" borderId="10" xfId="99" applyFont="1" applyFill="1" applyBorder="1" applyAlignment="1">
      <alignment vertical="center" wrapText="1"/>
      <protection/>
    </xf>
    <xf numFmtId="174" fontId="32" fillId="33" borderId="10" xfId="0" applyNumberFormat="1" applyFont="1" applyFill="1" applyBorder="1" applyAlignment="1">
      <alignment horizontal="center" vertical="center"/>
    </xf>
    <xf numFmtId="171" fontId="13" fillId="33" borderId="10" xfId="46" applyFont="1" applyFill="1" applyBorder="1" applyAlignment="1">
      <alignment horizontal="center" vertical="center"/>
    </xf>
    <xf numFmtId="0" fontId="26" fillId="0" borderId="0" xfId="138" applyFont="1" applyAlignment="1">
      <alignment horizontal="center" vertical="center" wrapText="1" shrinkToFit="1"/>
      <protection/>
    </xf>
    <xf numFmtId="0" fontId="27" fillId="0" borderId="0" xfId="117" applyFont="1" applyAlignment="1">
      <alignment horizont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139" applyFont="1" applyAlignment="1">
      <alignment horizontal="center" vertical="center" shrinkToFit="1"/>
      <protection/>
    </xf>
    <xf numFmtId="0" fontId="12" fillId="0" borderId="0" xfId="139" applyFont="1" applyAlignment="1">
      <alignment horizontal="center" vertical="center" shrinkToFit="1"/>
      <protection/>
    </xf>
    <xf numFmtId="0" fontId="16" fillId="0" borderId="0" xfId="139" applyFont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139" applyFont="1" applyAlignment="1">
      <alignment horizontal="right" vertical="center" shrinkToFit="1"/>
      <protection/>
    </xf>
    <xf numFmtId="0" fontId="2" fillId="0" borderId="0" xfId="139" applyFont="1" applyAlignment="1">
      <alignment horizontal="center" vertical="center" shrinkToFi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139" applyFont="1" applyFill="1" applyAlignment="1">
      <alignment horizontal="center" vertical="center" shrinkToFit="1"/>
      <protection/>
    </xf>
    <xf numFmtId="0" fontId="12" fillId="33" borderId="0" xfId="138" applyFont="1" applyFill="1" applyAlignment="1">
      <alignment horizontal="center" vertical="center" shrinkToFit="1"/>
      <protection/>
    </xf>
    <xf numFmtId="0" fontId="16" fillId="33" borderId="0" xfId="138" applyFont="1" applyFill="1" applyAlignment="1">
      <alignment horizontal="center" vertical="center" shrinkToFit="1"/>
      <protection/>
    </xf>
    <xf numFmtId="0" fontId="11" fillId="33" borderId="0" xfId="138" applyFont="1" applyFill="1" applyAlignment="1">
      <alignment horizontal="center" vertical="center" shrinkToFit="1"/>
      <protection/>
    </xf>
    <xf numFmtId="0" fontId="2" fillId="33" borderId="0" xfId="139" applyFont="1" applyFill="1" applyAlignment="1">
      <alignment horizontal="right" vertical="center" shrinkToFit="1"/>
      <protection/>
    </xf>
    <xf numFmtId="0" fontId="8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139" applyFont="1" applyFill="1" applyAlignment="1">
      <alignment horizontal="right" vertical="center" shrinkToFi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7" fillId="33" borderId="0" xfId="138" applyFont="1" applyFill="1" applyAlignment="1">
      <alignment horizontal="center" vertical="center" shrinkToFi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1" fillId="0" borderId="0" xfId="138" applyFont="1" applyFill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36" fillId="33" borderId="0" xfId="139" applyFont="1" applyFill="1" applyAlignment="1">
      <alignment horizontal="center" vertical="center" wrapText="1" shrinkToFit="1"/>
      <protection/>
    </xf>
    <xf numFmtId="0" fontId="24" fillId="33" borderId="23" xfId="0" applyFont="1" applyFill="1" applyBorder="1" applyAlignment="1">
      <alignment horizontal="right" vertical="center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2" xfId="47"/>
    <cellStyle name="Comma 2 2" xfId="48"/>
    <cellStyle name="Comma 2 2 2 2" xfId="49"/>
    <cellStyle name="Comma 2 3" xfId="50"/>
    <cellStyle name="Comma 2 4" xfId="51"/>
    <cellStyle name="Comma 3" xfId="52"/>
    <cellStyle name="Comma 3 2" xfId="53"/>
    <cellStyle name="Comma 3 2 2" xfId="54"/>
    <cellStyle name="Comma 3 2 3" xfId="55"/>
    <cellStyle name="Comma 3 2 3 2" xfId="56"/>
    <cellStyle name="Comma 3 2 4" xfId="57"/>
    <cellStyle name="Comma 3 3" xfId="58"/>
    <cellStyle name="Comma 3 4" xfId="59"/>
    <cellStyle name="Comma 3 4 2" xfId="60"/>
    <cellStyle name="Comma 3 5" xfId="61"/>
    <cellStyle name="Comma 4" xfId="62"/>
    <cellStyle name="Comma 4 2" xfId="63"/>
    <cellStyle name="Comma 4 3" xfId="64"/>
    <cellStyle name="Comma 5" xfId="65"/>
    <cellStyle name="Comma 5 2" xfId="66"/>
    <cellStyle name="Comma 6" xfId="67"/>
    <cellStyle name="Comma 6 2" xfId="68"/>
    <cellStyle name="Comma 7" xfId="69"/>
    <cellStyle name="Comma 8" xfId="70"/>
    <cellStyle name="Currency" xfId="71"/>
    <cellStyle name="Currency [0]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rmal 10" xfId="82"/>
    <cellStyle name="Normal 11 2 2" xfId="83"/>
    <cellStyle name="Normal 12" xfId="84"/>
    <cellStyle name="Normal 12 2" xfId="85"/>
    <cellStyle name="Normal 14" xfId="86"/>
    <cellStyle name="Normal 14 2" xfId="87"/>
    <cellStyle name="Normal 15" xfId="88"/>
    <cellStyle name="Normal 15 2" xfId="89"/>
    <cellStyle name="Normal 16" xfId="90"/>
    <cellStyle name="Normal 16 2" xfId="91"/>
    <cellStyle name="Normal 16_axalqalaqis skola " xfId="92"/>
    <cellStyle name="Normal 17" xfId="93"/>
    <cellStyle name="Normal 17 2" xfId="94"/>
    <cellStyle name="Normal 18" xfId="95"/>
    <cellStyle name="Normal 18 2" xfId="96"/>
    <cellStyle name="Normal 19" xfId="97"/>
    <cellStyle name="Normal 19 2" xfId="98"/>
    <cellStyle name="Normal 2" xfId="99"/>
    <cellStyle name="Normal 2 2" xfId="100"/>
    <cellStyle name="Normal 2 2 2" xfId="101"/>
    <cellStyle name="Normal 2 2_MCXETA yazarma- Copy" xfId="102"/>
    <cellStyle name="Normal 2 3" xfId="103"/>
    <cellStyle name="Normal 2_---SUL--- GORI-HOSPITALI-BOLO" xfId="104"/>
    <cellStyle name="Normal 20" xfId="105"/>
    <cellStyle name="Normal 20 2" xfId="106"/>
    <cellStyle name="Normal 21" xfId="107"/>
    <cellStyle name="Normal 21 2" xfId="108"/>
    <cellStyle name="Normal 22" xfId="109"/>
    <cellStyle name="Normal 22 2" xfId="110"/>
    <cellStyle name="Normal 23" xfId="111"/>
    <cellStyle name="Normal 23 2" xfId="112"/>
    <cellStyle name="Normal 24" xfId="113"/>
    <cellStyle name="Normal 24 2" xfId="114"/>
    <cellStyle name="Normal 25" xfId="115"/>
    <cellStyle name="Normal 25 2" xfId="116"/>
    <cellStyle name="Normal 3" xfId="117"/>
    <cellStyle name="Normal 42" xfId="118"/>
    <cellStyle name="Normal 6" xfId="119"/>
    <cellStyle name="Normal 6 2" xfId="120"/>
    <cellStyle name="Normal 7" xfId="121"/>
    <cellStyle name="Normal 7 2" xfId="122"/>
    <cellStyle name="Normal 7 3" xfId="123"/>
    <cellStyle name="Normal 8" xfId="124"/>
    <cellStyle name="Normal 9" xfId="125"/>
    <cellStyle name="Normal 9 2" xfId="126"/>
    <cellStyle name="Normal_gare wyalsadfenigagarini 2 2" xfId="127"/>
    <cellStyle name="Note" xfId="128"/>
    <cellStyle name="Output" xfId="129"/>
    <cellStyle name="Percent" xfId="130"/>
    <cellStyle name="Title" xfId="131"/>
    <cellStyle name="Total" xfId="132"/>
    <cellStyle name="Warning Text" xfId="133"/>
    <cellStyle name="Обычный 2" xfId="134"/>
    <cellStyle name="Обычный 2 2" xfId="135"/>
    <cellStyle name="Обычный 3" xfId="136"/>
    <cellStyle name="Обычный 5 2" xfId="137"/>
    <cellStyle name="Обычный_Лист1" xfId="138"/>
    <cellStyle name="Обычный_Лист1 2" xfId="139"/>
    <cellStyle name="Финансовый 2" xfId="140"/>
    <cellStyle name="Финансовый 2 2" xfId="141"/>
    <cellStyle name="Финансовый 2 3" xfId="142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6.00390625" style="0" customWidth="1"/>
    <col min="2" max="2" width="28.8515625" style="0" customWidth="1"/>
    <col min="3" max="3" width="63.140625" style="0" customWidth="1"/>
    <col min="4" max="4" width="28.00390625" style="0" customWidth="1"/>
  </cols>
  <sheetData>
    <row r="1" spans="1:4" ht="19.5">
      <c r="A1" s="504" t="s">
        <v>644</v>
      </c>
      <c r="B1" s="504"/>
      <c r="C1" s="504"/>
      <c r="D1" s="504"/>
    </row>
    <row r="2" spans="1:4" ht="19.5">
      <c r="A2" s="504" t="s">
        <v>58</v>
      </c>
      <c r="B2" s="504"/>
      <c r="C2" s="504"/>
      <c r="D2" s="504"/>
    </row>
    <row r="3" spans="1:4" ht="15">
      <c r="A3" s="35"/>
      <c r="B3" s="35"/>
      <c r="C3" s="35"/>
      <c r="D3" s="35"/>
    </row>
    <row r="4" spans="1:4" ht="19.5">
      <c r="A4" s="505" t="s">
        <v>169</v>
      </c>
      <c r="B4" s="505"/>
      <c r="C4" s="505"/>
      <c r="D4" s="505"/>
    </row>
    <row r="5" spans="1:4" ht="15">
      <c r="A5" s="36"/>
      <c r="B5" s="36"/>
      <c r="C5" s="37"/>
      <c r="D5" s="51"/>
    </row>
    <row r="6" spans="1:4" ht="24" customHeight="1">
      <c r="A6" s="38"/>
      <c r="B6" s="38"/>
      <c r="C6" s="39" t="s">
        <v>170</v>
      </c>
      <c r="D6" s="50">
        <f>D16</f>
        <v>0</v>
      </c>
    </row>
    <row r="7" spans="1:4" ht="14.25">
      <c r="A7" s="38"/>
      <c r="B7" s="38"/>
      <c r="C7" s="39"/>
      <c r="D7" s="148"/>
    </row>
    <row r="8" spans="1:4" ht="32.25" customHeight="1">
      <c r="A8" s="45" t="s">
        <v>1</v>
      </c>
      <c r="B8" s="45" t="s">
        <v>171</v>
      </c>
      <c r="C8" s="46" t="s">
        <v>172</v>
      </c>
      <c r="D8" s="46" t="s">
        <v>36</v>
      </c>
    </row>
    <row r="9" spans="1:4" ht="12.75">
      <c r="A9" s="47">
        <v>1</v>
      </c>
      <c r="B9" s="47">
        <v>2</v>
      </c>
      <c r="C9" s="47">
        <v>3</v>
      </c>
      <c r="D9" s="48">
        <v>4</v>
      </c>
    </row>
    <row r="10" spans="1:4" ht="15.75">
      <c r="A10" s="40">
        <v>2</v>
      </c>
      <c r="B10" s="45" t="s">
        <v>516</v>
      </c>
      <c r="C10" s="41" t="s">
        <v>174</v>
      </c>
      <c r="D10" s="49"/>
    </row>
    <row r="11" spans="1:4" ht="15.75">
      <c r="A11" s="40">
        <v>3</v>
      </c>
      <c r="B11" s="45" t="s">
        <v>175</v>
      </c>
      <c r="C11" s="41" t="s">
        <v>160</v>
      </c>
      <c r="D11" s="49"/>
    </row>
    <row r="12" spans="1:4" ht="15.75">
      <c r="A12" s="40">
        <v>4</v>
      </c>
      <c r="B12" s="45" t="s">
        <v>176</v>
      </c>
      <c r="C12" s="41" t="s">
        <v>60</v>
      </c>
      <c r="D12" s="49"/>
    </row>
    <row r="13" spans="1:4" ht="28.5">
      <c r="A13" s="40">
        <v>5</v>
      </c>
      <c r="B13" s="45" t="s">
        <v>177</v>
      </c>
      <c r="C13" s="42" t="s">
        <v>129</v>
      </c>
      <c r="D13" s="49"/>
    </row>
    <row r="14" spans="1:4" ht="15.75">
      <c r="A14" s="40">
        <v>6</v>
      </c>
      <c r="B14" s="45" t="s">
        <v>178</v>
      </c>
      <c r="C14" s="41" t="s">
        <v>61</v>
      </c>
      <c r="D14" s="49"/>
    </row>
    <row r="15" spans="1:4" ht="15.75">
      <c r="A15" s="40"/>
      <c r="B15" s="45" t="s">
        <v>179</v>
      </c>
      <c r="C15" s="41" t="s">
        <v>328</v>
      </c>
      <c r="D15" s="49"/>
    </row>
    <row r="16" spans="1:4" ht="15.75">
      <c r="A16" s="40">
        <v>7</v>
      </c>
      <c r="B16" s="45" t="s">
        <v>8</v>
      </c>
      <c r="C16" s="41"/>
      <c r="D16" s="49"/>
    </row>
    <row r="17" spans="1:4" ht="16.5">
      <c r="A17" s="34"/>
      <c r="B17" s="34"/>
      <c r="C17" s="43"/>
      <c r="D17" s="154"/>
    </row>
    <row r="18" spans="1:5" ht="25.5">
      <c r="A18" s="34"/>
      <c r="B18" s="284" t="s">
        <v>617</v>
      </c>
      <c r="C18" s="222"/>
      <c r="D18" s="506" t="s">
        <v>618</v>
      </c>
      <c r="E18" s="506"/>
    </row>
    <row r="19" spans="1:5" ht="15.75">
      <c r="A19" s="34"/>
      <c r="B19" s="159"/>
      <c r="C19" s="222"/>
      <c r="D19" s="222"/>
      <c r="E19" s="222"/>
    </row>
    <row r="20" spans="1:5" ht="15.75">
      <c r="A20" s="34"/>
      <c r="B20" s="222"/>
      <c r="C20" s="222"/>
      <c r="D20" s="222"/>
      <c r="E20" s="222"/>
    </row>
    <row r="21" spans="1:5" ht="15.75">
      <c r="A21" s="34"/>
      <c r="B21" s="222"/>
      <c r="C21" s="222"/>
      <c r="D21" s="222"/>
      <c r="E21" s="222"/>
    </row>
    <row r="22" spans="1:5" ht="15.75">
      <c r="A22" s="34"/>
      <c r="B22" s="283"/>
      <c r="C22" s="283"/>
      <c r="D22" s="222"/>
      <c r="E22" s="222"/>
    </row>
    <row r="23" spans="2:5" ht="12.75">
      <c r="B23" s="283"/>
      <c r="D23" s="222"/>
      <c r="E23" s="222"/>
    </row>
    <row r="24" spans="2:5" ht="12.75">
      <c r="B24" s="284"/>
      <c r="C24" s="222"/>
      <c r="D24" s="506"/>
      <c r="E24" s="506"/>
    </row>
    <row r="25" spans="2:5" ht="12.75">
      <c r="B25" s="507"/>
      <c r="C25" s="507"/>
      <c r="D25" s="222"/>
      <c r="E25" s="222"/>
    </row>
    <row r="26" spans="2:5" ht="12.75">
      <c r="B26" s="222"/>
      <c r="C26" s="222"/>
      <c r="D26" s="222"/>
      <c r="E26" s="222"/>
    </row>
    <row r="27" spans="2:5" ht="12.75">
      <c r="B27" s="222"/>
      <c r="C27" s="222"/>
      <c r="D27" s="222"/>
      <c r="E27" s="222"/>
    </row>
    <row r="28" spans="2:5" ht="12.75">
      <c r="B28" s="222"/>
      <c r="C28" s="222"/>
      <c r="D28" s="222"/>
      <c r="E28" s="222"/>
    </row>
    <row r="29" spans="2:5" ht="12.75">
      <c r="B29" s="222"/>
      <c r="C29" s="222"/>
      <c r="D29" s="222"/>
      <c r="E29" s="222"/>
    </row>
    <row r="30" spans="2:5" ht="12.75">
      <c r="B30" s="222"/>
      <c r="C30" s="222"/>
      <c r="D30" s="222"/>
      <c r="E30" s="222"/>
    </row>
    <row r="31" spans="2:5" ht="12.75">
      <c r="B31" s="159"/>
      <c r="C31" s="222"/>
      <c r="D31" s="222"/>
      <c r="E31" s="222"/>
    </row>
  </sheetData>
  <sheetProtection/>
  <mergeCells count="6">
    <mergeCell ref="A1:D1"/>
    <mergeCell ref="A2:D2"/>
    <mergeCell ref="A4:D4"/>
    <mergeCell ref="D24:E24"/>
    <mergeCell ref="B25:C25"/>
    <mergeCell ref="D18:E18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104"/>
  <sheetViews>
    <sheetView view="pageBreakPreview" zoomScale="93" zoomScaleSheetLayoutView="93" zoomScalePageLayoutView="0" workbookViewId="0" topLeftCell="A61">
      <selection activeCell="F85" sqref="F85:L96"/>
    </sheetView>
  </sheetViews>
  <sheetFormatPr defaultColWidth="9.140625" defaultRowHeight="12.75"/>
  <cols>
    <col min="1" max="1" width="2.7109375" style="414" customWidth="1"/>
    <col min="2" max="2" width="45.57421875" style="414" customWidth="1"/>
    <col min="3" max="4" width="7.7109375" style="414" customWidth="1"/>
    <col min="5" max="5" width="10.8515625" style="414" customWidth="1"/>
    <col min="6" max="6" width="9.140625" style="414" customWidth="1"/>
    <col min="7" max="7" width="12.7109375" style="414" bestFit="1" customWidth="1"/>
    <col min="8" max="8" width="9.140625" style="414" customWidth="1"/>
    <col min="9" max="9" width="11.28125" style="414" customWidth="1"/>
    <col min="10" max="10" width="9.7109375" style="414" customWidth="1"/>
    <col min="11" max="11" width="12.00390625" style="414" bestFit="1" customWidth="1"/>
    <col min="12" max="12" width="12.8515625" style="414" customWidth="1"/>
    <col min="13" max="13" width="16.28125" style="414" customWidth="1"/>
    <col min="14" max="16384" width="9.140625" style="414" customWidth="1"/>
  </cols>
  <sheetData>
    <row r="2" spans="1:12" ht="15">
      <c r="A2" s="508" t="s">
        <v>619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ht="14.25">
      <c r="A3" s="509" t="s">
        <v>58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</row>
    <row r="4" spans="1:12" ht="14.25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</row>
    <row r="5" spans="1:12" ht="14.25">
      <c r="A5" s="510" t="s">
        <v>173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</row>
    <row r="6" spans="1:12" ht="18.75">
      <c r="A6" s="508" t="s">
        <v>159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</row>
    <row r="7" spans="1:12" ht="15.75" thickBot="1">
      <c r="A7" s="413"/>
      <c r="B7" s="413"/>
      <c r="C7" s="413"/>
      <c r="D7" s="413"/>
      <c r="E7" s="413"/>
      <c r="F7" s="413"/>
      <c r="G7" s="515" t="s">
        <v>36</v>
      </c>
      <c r="H7" s="515"/>
      <c r="I7" s="515"/>
      <c r="J7" s="515"/>
      <c r="K7" s="416">
        <f>L96/1000</f>
        <v>0</v>
      </c>
      <c r="L7" s="417" t="s">
        <v>35</v>
      </c>
    </row>
    <row r="8" spans="1:12" ht="15.75" thickBot="1">
      <c r="A8" s="516"/>
      <c r="B8" s="516"/>
      <c r="C8" s="516"/>
      <c r="D8" s="413"/>
      <c r="E8" s="413"/>
      <c r="F8" s="413"/>
      <c r="G8" s="515" t="s">
        <v>37</v>
      </c>
      <c r="H8" s="515"/>
      <c r="I8" s="515"/>
      <c r="J8" s="515"/>
      <c r="K8" s="418">
        <f>I85/1000</f>
        <v>0</v>
      </c>
      <c r="L8" s="417" t="s">
        <v>35</v>
      </c>
    </row>
    <row r="9" spans="2:12" ht="12.75">
      <c r="B9" s="516"/>
      <c r="C9" s="516"/>
      <c r="D9" s="516"/>
      <c r="E9" s="516"/>
      <c r="F9" s="516"/>
      <c r="G9" s="419"/>
      <c r="H9" s="419"/>
      <c r="I9" s="419"/>
      <c r="J9" s="419"/>
      <c r="K9" s="420"/>
      <c r="L9" s="417"/>
    </row>
    <row r="11" spans="1:12" ht="12.75">
      <c r="A11" s="511" t="s">
        <v>1</v>
      </c>
      <c r="B11" s="513" t="s">
        <v>2</v>
      </c>
      <c r="C11" s="511" t="s">
        <v>3</v>
      </c>
      <c r="D11" s="511" t="s">
        <v>11</v>
      </c>
      <c r="E11" s="511" t="s">
        <v>4</v>
      </c>
      <c r="F11" s="514" t="s">
        <v>17</v>
      </c>
      <c r="G11" s="514"/>
      <c r="H11" s="514" t="s">
        <v>5</v>
      </c>
      <c r="I11" s="514"/>
      <c r="J11" s="511" t="s">
        <v>6</v>
      </c>
      <c r="K11" s="511"/>
      <c r="L11" s="424" t="s">
        <v>21</v>
      </c>
    </row>
    <row r="12" spans="1:12" ht="12.75">
      <c r="A12" s="511"/>
      <c r="B12" s="513"/>
      <c r="C12" s="511"/>
      <c r="D12" s="511"/>
      <c r="E12" s="511"/>
      <c r="F12" s="423" t="s">
        <v>7</v>
      </c>
      <c r="G12" s="425" t="s">
        <v>8</v>
      </c>
      <c r="H12" s="423" t="s">
        <v>7</v>
      </c>
      <c r="I12" s="425" t="s">
        <v>8</v>
      </c>
      <c r="J12" s="423" t="s">
        <v>7</v>
      </c>
      <c r="K12" s="425" t="s">
        <v>9</v>
      </c>
      <c r="L12" s="423" t="s">
        <v>10</v>
      </c>
    </row>
    <row r="13" spans="1:12" ht="12.75">
      <c r="A13" s="421">
        <v>1</v>
      </c>
      <c r="B13" s="421">
        <v>2</v>
      </c>
      <c r="C13" s="421">
        <v>3</v>
      </c>
      <c r="D13" s="421">
        <v>4</v>
      </c>
      <c r="E13" s="421">
        <v>5</v>
      </c>
      <c r="F13" s="421">
        <v>6</v>
      </c>
      <c r="G13" s="421">
        <v>7</v>
      </c>
      <c r="H13" s="421">
        <v>8</v>
      </c>
      <c r="I13" s="421">
        <v>9</v>
      </c>
      <c r="J13" s="421">
        <v>10</v>
      </c>
      <c r="K13" s="421">
        <v>11</v>
      </c>
      <c r="L13" s="421">
        <v>12</v>
      </c>
    </row>
    <row r="14" spans="1:12" ht="25.5">
      <c r="A14" s="512">
        <v>1</v>
      </c>
      <c r="B14" s="427" t="s">
        <v>144</v>
      </c>
      <c r="C14" s="426" t="s">
        <v>31</v>
      </c>
      <c r="D14" s="428"/>
      <c r="E14" s="429">
        <v>218</v>
      </c>
      <c r="F14" s="430"/>
      <c r="G14" s="431"/>
      <c r="H14" s="430"/>
      <c r="I14" s="431"/>
      <c r="J14" s="430"/>
      <c r="K14" s="431"/>
      <c r="L14" s="431"/>
    </row>
    <row r="15" spans="1:12" ht="12.75">
      <c r="A15" s="512"/>
      <c r="B15" s="432" t="s">
        <v>12</v>
      </c>
      <c r="C15" s="430" t="s">
        <v>15</v>
      </c>
      <c r="D15" s="433">
        <v>0.1215</v>
      </c>
      <c r="E15" s="434">
        <f>D15*E14</f>
        <v>26.487</v>
      </c>
      <c r="F15" s="430"/>
      <c r="G15" s="431"/>
      <c r="H15" s="431"/>
      <c r="I15" s="431"/>
      <c r="J15" s="430"/>
      <c r="K15" s="431"/>
      <c r="L15" s="431"/>
    </row>
    <row r="16" spans="1:12" ht="15">
      <c r="A16" s="512"/>
      <c r="B16" s="432" t="s">
        <v>44</v>
      </c>
      <c r="C16" s="428" t="s">
        <v>22</v>
      </c>
      <c r="D16" s="433">
        <f>D15*2.26</f>
        <v>0.27458999999999995</v>
      </c>
      <c r="E16" s="434">
        <f>D16*E14</f>
        <v>59.86061999999999</v>
      </c>
      <c r="F16" s="430"/>
      <c r="G16" s="431"/>
      <c r="H16" s="430"/>
      <c r="I16" s="431"/>
      <c r="J16" s="430"/>
      <c r="K16" s="431"/>
      <c r="L16" s="431"/>
    </row>
    <row r="17" spans="1:12" ht="25.5">
      <c r="A17" s="512">
        <v>2</v>
      </c>
      <c r="B17" s="435" t="s">
        <v>145</v>
      </c>
      <c r="C17" s="426" t="s">
        <v>41</v>
      </c>
      <c r="D17" s="436"/>
      <c r="E17" s="429">
        <v>15</v>
      </c>
      <c r="F17" s="430"/>
      <c r="G17" s="431"/>
      <c r="H17" s="430"/>
      <c r="I17" s="431"/>
      <c r="J17" s="430"/>
      <c r="K17" s="431"/>
      <c r="L17" s="431"/>
    </row>
    <row r="18" spans="1:12" ht="13.5">
      <c r="A18" s="512"/>
      <c r="B18" s="437" t="s">
        <v>12</v>
      </c>
      <c r="C18" s="430" t="s">
        <v>15</v>
      </c>
      <c r="D18" s="436">
        <v>2.99</v>
      </c>
      <c r="E18" s="438">
        <f>D18*E17</f>
        <v>44.85</v>
      </c>
      <c r="F18" s="430"/>
      <c r="G18" s="431"/>
      <c r="H18" s="431"/>
      <c r="I18" s="431"/>
      <c r="J18" s="430"/>
      <c r="K18" s="431"/>
      <c r="L18" s="431"/>
    </row>
    <row r="19" spans="1:12" ht="25.5">
      <c r="A19" s="512">
        <v>3</v>
      </c>
      <c r="B19" s="439" t="s">
        <v>148</v>
      </c>
      <c r="C19" s="426" t="s">
        <v>146</v>
      </c>
      <c r="D19" s="428"/>
      <c r="E19" s="429">
        <v>2.15</v>
      </c>
      <c r="F19" s="410"/>
      <c r="G19" s="2"/>
      <c r="H19" s="410"/>
      <c r="I19" s="2"/>
      <c r="J19" s="410"/>
      <c r="K19" s="2"/>
      <c r="L19" s="26"/>
    </row>
    <row r="20" spans="1:12" ht="12.75">
      <c r="A20" s="512"/>
      <c r="B20" s="432" t="s">
        <v>12</v>
      </c>
      <c r="C20" s="410" t="s">
        <v>15</v>
      </c>
      <c r="D20" s="428">
        <v>0.89</v>
      </c>
      <c r="E20" s="438">
        <f>D20*E19</f>
        <v>1.9135</v>
      </c>
      <c r="F20" s="410"/>
      <c r="G20" s="2"/>
      <c r="H20" s="2"/>
      <c r="I20" s="2"/>
      <c r="J20" s="410"/>
      <c r="K20" s="2"/>
      <c r="L20" s="26"/>
    </row>
    <row r="21" spans="1:12" ht="12.75">
      <c r="A21" s="512"/>
      <c r="B21" s="432" t="s">
        <v>25</v>
      </c>
      <c r="C21" s="411" t="s">
        <v>22</v>
      </c>
      <c r="D21" s="428">
        <v>0.37</v>
      </c>
      <c r="E21" s="438">
        <f>D21*E19</f>
        <v>0.7955</v>
      </c>
      <c r="F21" s="410"/>
      <c r="G21" s="2"/>
      <c r="H21" s="410"/>
      <c r="I21" s="2"/>
      <c r="J21" s="2"/>
      <c r="K21" s="2"/>
      <c r="L21" s="26"/>
    </row>
    <row r="22" spans="1:12" ht="12.75">
      <c r="A22" s="512"/>
      <c r="B22" s="411" t="s">
        <v>23</v>
      </c>
      <c r="C22" s="428"/>
      <c r="D22" s="428"/>
      <c r="E22" s="438"/>
      <c r="F22" s="410"/>
      <c r="G22" s="2"/>
      <c r="H22" s="410"/>
      <c r="I22" s="2"/>
      <c r="J22" s="410"/>
      <c r="K22" s="2"/>
      <c r="L22" s="26"/>
    </row>
    <row r="23" spans="1:12" ht="15">
      <c r="A23" s="512"/>
      <c r="B23" s="432" t="s">
        <v>147</v>
      </c>
      <c r="C23" s="428" t="s">
        <v>48</v>
      </c>
      <c r="D23" s="428">
        <v>1.15</v>
      </c>
      <c r="E23" s="438">
        <f>D23*E19</f>
        <v>2.4724999999999997</v>
      </c>
      <c r="F23" s="2"/>
      <c r="G23" s="2"/>
      <c r="H23" s="410"/>
      <c r="I23" s="2"/>
      <c r="J23" s="410"/>
      <c r="K23" s="2"/>
      <c r="L23" s="26"/>
    </row>
    <row r="24" spans="1:12" ht="12.75">
      <c r="A24" s="512"/>
      <c r="B24" s="432" t="s">
        <v>18</v>
      </c>
      <c r="C24" s="428" t="s">
        <v>0</v>
      </c>
      <c r="D24" s="428">
        <v>0.02</v>
      </c>
      <c r="E24" s="438">
        <f>D24*E19</f>
        <v>0.043</v>
      </c>
      <c r="F24" s="2"/>
      <c r="G24" s="2"/>
      <c r="H24" s="410"/>
      <c r="I24" s="2"/>
      <c r="J24" s="410"/>
      <c r="K24" s="2"/>
      <c r="L24" s="26"/>
    </row>
    <row r="25" spans="1:12" ht="38.25">
      <c r="A25" s="512">
        <v>4</v>
      </c>
      <c r="B25" s="439" t="s">
        <v>149</v>
      </c>
      <c r="C25" s="426" t="s">
        <v>31</v>
      </c>
      <c r="D25" s="428"/>
      <c r="E25" s="440">
        <v>6.68</v>
      </c>
      <c r="F25" s="410"/>
      <c r="G25" s="2"/>
      <c r="H25" s="410"/>
      <c r="I25" s="2"/>
      <c r="J25" s="410"/>
      <c r="K25" s="2"/>
      <c r="L25" s="26"/>
    </row>
    <row r="26" spans="1:12" ht="12.75">
      <c r="A26" s="512"/>
      <c r="B26" s="432" t="s">
        <v>12</v>
      </c>
      <c r="C26" s="410" t="s">
        <v>15</v>
      </c>
      <c r="D26" s="428">
        <v>6.67</v>
      </c>
      <c r="E26" s="438">
        <f>D26*E25</f>
        <v>44.5556</v>
      </c>
      <c r="F26" s="410"/>
      <c r="G26" s="2"/>
      <c r="H26" s="2"/>
      <c r="I26" s="2"/>
      <c r="J26" s="410"/>
      <c r="K26" s="2"/>
      <c r="L26" s="26"/>
    </row>
    <row r="27" spans="1:12" ht="12.75">
      <c r="A27" s="512"/>
      <c r="B27" s="432" t="s">
        <v>25</v>
      </c>
      <c r="C27" s="428" t="s">
        <v>0</v>
      </c>
      <c r="D27" s="428">
        <v>0.59</v>
      </c>
      <c r="E27" s="438">
        <f>D27*E25</f>
        <v>3.9412</v>
      </c>
      <c r="F27" s="410"/>
      <c r="G27" s="2"/>
      <c r="H27" s="410"/>
      <c r="I27" s="2"/>
      <c r="J27" s="2"/>
      <c r="K27" s="2"/>
      <c r="L27" s="26"/>
    </row>
    <row r="28" spans="1:12" ht="12.75">
      <c r="A28" s="512"/>
      <c r="B28" s="411" t="s">
        <v>23</v>
      </c>
      <c r="C28" s="428"/>
      <c r="D28" s="428"/>
      <c r="E28" s="438"/>
      <c r="F28" s="410"/>
      <c r="G28" s="2"/>
      <c r="H28" s="410"/>
      <c r="I28" s="2"/>
      <c r="J28" s="410"/>
      <c r="K28" s="2"/>
      <c r="L28" s="26"/>
    </row>
    <row r="29" spans="1:12" ht="16.5">
      <c r="A29" s="512"/>
      <c r="B29" s="432" t="s">
        <v>79</v>
      </c>
      <c r="C29" s="428" t="s">
        <v>66</v>
      </c>
      <c r="D29" s="428">
        <v>1.015</v>
      </c>
      <c r="E29" s="438">
        <f>D29*E25</f>
        <v>6.780199999999999</v>
      </c>
      <c r="F29" s="2"/>
      <c r="G29" s="2"/>
      <c r="H29" s="410"/>
      <c r="I29" s="2"/>
      <c r="J29" s="410"/>
      <c r="K29" s="2"/>
      <c r="L29" s="26"/>
    </row>
    <row r="30" spans="1:12" ht="16.5">
      <c r="A30" s="512"/>
      <c r="B30" s="432" t="s">
        <v>612</v>
      </c>
      <c r="C30" s="428" t="s">
        <v>69</v>
      </c>
      <c r="D30" s="434">
        <v>1.6</v>
      </c>
      <c r="E30" s="438">
        <f>D30*E25</f>
        <v>10.688</v>
      </c>
      <c r="F30" s="2"/>
      <c r="G30" s="2"/>
      <c r="H30" s="410"/>
      <c r="I30" s="2"/>
      <c r="J30" s="410"/>
      <c r="K30" s="2"/>
      <c r="L30" s="2"/>
    </row>
    <row r="31" spans="1:12" ht="16.5">
      <c r="A31" s="512"/>
      <c r="B31" s="432" t="s">
        <v>613</v>
      </c>
      <c r="C31" s="428" t="s">
        <v>66</v>
      </c>
      <c r="D31" s="428">
        <v>0.0183</v>
      </c>
      <c r="E31" s="438">
        <f>D31*E25</f>
        <v>0.12224399999999999</v>
      </c>
      <c r="F31" s="2"/>
      <c r="G31" s="2"/>
      <c r="H31" s="410"/>
      <c r="I31" s="2"/>
      <c r="J31" s="410"/>
      <c r="K31" s="2"/>
      <c r="L31" s="2"/>
    </row>
    <row r="32" spans="1:12" ht="12.75">
      <c r="A32" s="512"/>
      <c r="B32" s="432" t="s">
        <v>80</v>
      </c>
      <c r="C32" s="428" t="s">
        <v>30</v>
      </c>
      <c r="D32" s="422" t="s">
        <v>38</v>
      </c>
      <c r="E32" s="438">
        <v>0.043</v>
      </c>
      <c r="F32" s="2"/>
      <c r="G32" s="2"/>
      <c r="H32" s="410"/>
      <c r="I32" s="2"/>
      <c r="J32" s="410"/>
      <c r="K32" s="2"/>
      <c r="L32" s="26"/>
    </row>
    <row r="33" spans="1:12" ht="12.75">
      <c r="A33" s="512"/>
      <c r="B33" s="432" t="s">
        <v>70</v>
      </c>
      <c r="C33" s="428" t="s">
        <v>30</v>
      </c>
      <c r="D33" s="422" t="s">
        <v>38</v>
      </c>
      <c r="E33" s="438">
        <v>0.832</v>
      </c>
      <c r="F33" s="2"/>
      <c r="G33" s="2"/>
      <c r="H33" s="410"/>
      <c r="I33" s="2"/>
      <c r="J33" s="410"/>
      <c r="K33" s="2"/>
      <c r="L33" s="26"/>
    </row>
    <row r="34" spans="1:12" ht="12.75">
      <c r="A34" s="512"/>
      <c r="B34" s="432" t="s">
        <v>50</v>
      </c>
      <c r="C34" s="428" t="s">
        <v>0</v>
      </c>
      <c r="D34" s="434">
        <v>0.4</v>
      </c>
      <c r="E34" s="438">
        <f>D34*E25</f>
        <v>2.672</v>
      </c>
      <c r="F34" s="2"/>
      <c r="G34" s="2"/>
      <c r="H34" s="410"/>
      <c r="I34" s="2"/>
      <c r="J34" s="410"/>
      <c r="K34" s="2"/>
      <c r="L34" s="26"/>
    </row>
    <row r="35" spans="1:12" ht="25.5">
      <c r="A35" s="512">
        <v>5</v>
      </c>
      <c r="B35" s="439" t="s">
        <v>614</v>
      </c>
      <c r="C35" s="426" t="s">
        <v>30</v>
      </c>
      <c r="D35" s="428"/>
      <c r="E35" s="440">
        <v>5.431</v>
      </c>
      <c r="F35" s="410"/>
      <c r="G35" s="2"/>
      <c r="H35" s="410"/>
      <c r="I35" s="2"/>
      <c r="J35" s="410"/>
      <c r="K35" s="2"/>
      <c r="L35" s="26"/>
    </row>
    <row r="36" spans="1:12" ht="12.75">
      <c r="A36" s="512"/>
      <c r="B36" s="432" t="s">
        <v>12</v>
      </c>
      <c r="C36" s="410" t="s">
        <v>15</v>
      </c>
      <c r="D36" s="428">
        <v>21.8</v>
      </c>
      <c r="E36" s="438">
        <f>D36*E35</f>
        <v>118.39580000000001</v>
      </c>
      <c r="F36" s="410"/>
      <c r="G36" s="2"/>
      <c r="H36" s="2"/>
      <c r="I36" s="2"/>
      <c r="J36" s="410"/>
      <c r="K36" s="2"/>
      <c r="L36" s="26"/>
    </row>
    <row r="37" spans="1:12" ht="12.75">
      <c r="A37" s="512"/>
      <c r="B37" s="432" t="s">
        <v>151</v>
      </c>
      <c r="C37" s="428" t="s">
        <v>22</v>
      </c>
      <c r="D37" s="434">
        <v>6.2</v>
      </c>
      <c r="E37" s="438">
        <f>D37*E35</f>
        <v>33.672200000000004</v>
      </c>
      <c r="F37" s="410"/>
      <c r="G37" s="2"/>
      <c r="H37" s="410"/>
      <c r="I37" s="2"/>
      <c r="J37" s="2"/>
      <c r="K37" s="2"/>
      <c r="L37" s="26"/>
    </row>
    <row r="38" spans="1:12" ht="12.75">
      <c r="A38" s="512"/>
      <c r="B38" s="432" t="s">
        <v>25</v>
      </c>
      <c r="C38" s="428" t="s">
        <v>22</v>
      </c>
      <c r="D38" s="428">
        <v>1.76</v>
      </c>
      <c r="E38" s="438">
        <f>D38*E35</f>
        <v>9.55856</v>
      </c>
      <c r="F38" s="410"/>
      <c r="G38" s="2"/>
      <c r="H38" s="410"/>
      <c r="I38" s="2"/>
      <c r="J38" s="2"/>
      <c r="K38" s="2"/>
      <c r="L38" s="26"/>
    </row>
    <row r="39" spans="1:12" ht="12.75">
      <c r="A39" s="512"/>
      <c r="B39" s="411" t="s">
        <v>23</v>
      </c>
      <c r="C39" s="428"/>
      <c r="D39" s="428"/>
      <c r="E39" s="438"/>
      <c r="F39" s="410"/>
      <c r="G39" s="2"/>
      <c r="H39" s="410"/>
      <c r="I39" s="2"/>
      <c r="J39" s="410"/>
      <c r="K39" s="2"/>
      <c r="L39" s="26"/>
    </row>
    <row r="40" spans="1:12" ht="12.75">
      <c r="A40" s="512"/>
      <c r="B40" s="432" t="s">
        <v>615</v>
      </c>
      <c r="C40" s="428" t="s">
        <v>30</v>
      </c>
      <c r="D40" s="434">
        <v>1</v>
      </c>
      <c r="E40" s="438">
        <f>D40*E35</f>
        <v>5.431</v>
      </c>
      <c r="F40" s="2"/>
      <c r="G40" s="2"/>
      <c r="H40" s="410"/>
      <c r="I40" s="2"/>
      <c r="J40" s="410"/>
      <c r="K40" s="2"/>
      <c r="L40" s="26"/>
    </row>
    <row r="41" spans="1:12" ht="12.75">
      <c r="A41" s="512"/>
      <c r="B41" s="432" t="s">
        <v>150</v>
      </c>
      <c r="C41" s="428" t="s">
        <v>57</v>
      </c>
      <c r="D41" s="434">
        <v>38.6</v>
      </c>
      <c r="E41" s="438">
        <f>D41*E35</f>
        <v>209.63660000000002</v>
      </c>
      <c r="F41" s="2"/>
      <c r="G41" s="2"/>
      <c r="H41" s="410"/>
      <c r="I41" s="2"/>
      <c r="J41" s="410"/>
      <c r="K41" s="2"/>
      <c r="L41" s="2"/>
    </row>
    <row r="42" spans="1:12" ht="12.75">
      <c r="A42" s="512"/>
      <c r="B42" s="432" t="s">
        <v>110</v>
      </c>
      <c r="C42" s="428" t="s">
        <v>57</v>
      </c>
      <c r="D42" s="434">
        <v>2.3</v>
      </c>
      <c r="E42" s="438">
        <f>D42*E35</f>
        <v>12.491299999999999</v>
      </c>
      <c r="F42" s="2"/>
      <c r="G42" s="2"/>
      <c r="H42" s="410"/>
      <c r="I42" s="2"/>
      <c r="J42" s="410"/>
      <c r="K42" s="2"/>
      <c r="L42" s="2"/>
    </row>
    <row r="43" spans="1:12" ht="12.75">
      <c r="A43" s="512"/>
      <c r="B43" s="432" t="s">
        <v>18</v>
      </c>
      <c r="C43" s="428" t="s">
        <v>0</v>
      </c>
      <c r="D43" s="434">
        <v>2.78</v>
      </c>
      <c r="E43" s="438">
        <f>D43*E35</f>
        <v>15.09818</v>
      </c>
      <c r="F43" s="2"/>
      <c r="G43" s="2"/>
      <c r="H43" s="410"/>
      <c r="I43" s="2"/>
      <c r="J43" s="410"/>
      <c r="K43" s="2"/>
      <c r="L43" s="26"/>
    </row>
    <row r="44" spans="1:12" ht="15">
      <c r="A44" s="512">
        <v>6</v>
      </c>
      <c r="B44" s="427" t="s">
        <v>158</v>
      </c>
      <c r="C44" s="426" t="s">
        <v>30</v>
      </c>
      <c r="D44" s="428"/>
      <c r="E44" s="429">
        <v>6.2</v>
      </c>
      <c r="F44" s="410"/>
      <c r="G44" s="2"/>
      <c r="H44" s="410"/>
      <c r="I44" s="2"/>
      <c r="J44" s="410"/>
      <c r="K44" s="2"/>
      <c r="L44" s="26"/>
    </row>
    <row r="45" spans="1:12" ht="12.75">
      <c r="A45" s="512"/>
      <c r="B45" s="432" t="s">
        <v>12</v>
      </c>
      <c r="C45" s="410" t="s">
        <v>15</v>
      </c>
      <c r="D45" s="428">
        <v>16.5</v>
      </c>
      <c r="E45" s="438">
        <f>D45*E44</f>
        <v>102.3</v>
      </c>
      <c r="F45" s="410"/>
      <c r="G45" s="2"/>
      <c r="H45" s="2"/>
      <c r="I45" s="2"/>
      <c r="J45" s="410"/>
      <c r="K45" s="2"/>
      <c r="L45" s="26"/>
    </row>
    <row r="46" spans="1:12" ht="12.75">
      <c r="A46" s="512"/>
      <c r="B46" s="432" t="s">
        <v>151</v>
      </c>
      <c r="C46" s="428" t="s">
        <v>22</v>
      </c>
      <c r="D46" s="434">
        <v>1.69</v>
      </c>
      <c r="E46" s="438">
        <f>D46*E44</f>
        <v>10.478</v>
      </c>
      <c r="F46" s="410"/>
      <c r="G46" s="2"/>
      <c r="H46" s="410"/>
      <c r="I46" s="2"/>
      <c r="J46" s="2"/>
      <c r="K46" s="2"/>
      <c r="L46" s="26"/>
    </row>
    <row r="47" spans="1:12" ht="12.75">
      <c r="A47" s="512"/>
      <c r="B47" s="432" t="s">
        <v>25</v>
      </c>
      <c r="C47" s="428" t="s">
        <v>22</v>
      </c>
      <c r="D47" s="428">
        <v>14.4</v>
      </c>
      <c r="E47" s="438">
        <f>D47*E44</f>
        <v>89.28</v>
      </c>
      <c r="F47" s="410"/>
      <c r="G47" s="2"/>
      <c r="H47" s="410"/>
      <c r="I47" s="2"/>
      <c r="J47" s="2"/>
      <c r="K47" s="2"/>
      <c r="L47" s="26"/>
    </row>
    <row r="48" spans="1:12" ht="12.75">
      <c r="A48" s="512"/>
      <c r="B48" s="411" t="s">
        <v>23</v>
      </c>
      <c r="C48" s="428"/>
      <c r="D48" s="428"/>
      <c r="E48" s="438"/>
      <c r="F48" s="410"/>
      <c r="G48" s="2"/>
      <c r="H48" s="410"/>
      <c r="I48" s="2"/>
      <c r="J48" s="410"/>
      <c r="K48" s="2"/>
      <c r="L48" s="26"/>
    </row>
    <row r="49" spans="1:12" ht="15">
      <c r="A49" s="512"/>
      <c r="B49" s="432" t="s">
        <v>152</v>
      </c>
      <c r="C49" s="428" t="s">
        <v>24</v>
      </c>
      <c r="D49" s="441" t="s">
        <v>38</v>
      </c>
      <c r="E49" s="442">
        <v>1</v>
      </c>
      <c r="F49" s="2"/>
      <c r="G49" s="2"/>
      <c r="H49" s="410"/>
      <c r="I49" s="2"/>
      <c r="J49" s="410"/>
      <c r="K49" s="2"/>
      <c r="L49" s="26"/>
    </row>
    <row r="50" spans="1:12" ht="12.75">
      <c r="A50" s="512"/>
      <c r="B50" s="432" t="s">
        <v>150</v>
      </c>
      <c r="C50" s="428" t="s">
        <v>57</v>
      </c>
      <c r="D50" s="434">
        <v>35.6</v>
      </c>
      <c r="E50" s="438">
        <f>D50*E44</f>
        <v>220.72000000000003</v>
      </c>
      <c r="F50" s="2"/>
      <c r="G50" s="2"/>
      <c r="H50" s="410"/>
      <c r="I50" s="2"/>
      <c r="J50" s="410"/>
      <c r="K50" s="2"/>
      <c r="L50" s="2"/>
    </row>
    <row r="51" spans="1:12" ht="12.75">
      <c r="A51" s="512"/>
      <c r="B51" s="432" t="s">
        <v>110</v>
      </c>
      <c r="C51" s="428" t="s">
        <v>57</v>
      </c>
      <c r="D51" s="434">
        <v>3</v>
      </c>
      <c r="E51" s="438">
        <f>D51*E44</f>
        <v>18.6</v>
      </c>
      <c r="F51" s="2"/>
      <c r="G51" s="2"/>
      <c r="H51" s="410"/>
      <c r="I51" s="2"/>
      <c r="J51" s="410"/>
      <c r="K51" s="2"/>
      <c r="L51" s="2"/>
    </row>
    <row r="52" spans="1:12" ht="12.75">
      <c r="A52" s="512"/>
      <c r="B52" s="432" t="s">
        <v>18</v>
      </c>
      <c r="C52" s="428" t="s">
        <v>0</v>
      </c>
      <c r="D52" s="434">
        <v>5.3</v>
      </c>
      <c r="E52" s="438">
        <f>D52*E44</f>
        <v>32.86</v>
      </c>
      <c r="F52" s="2"/>
      <c r="G52" s="2"/>
      <c r="H52" s="410"/>
      <c r="I52" s="2"/>
      <c r="J52" s="410"/>
      <c r="K52" s="2"/>
      <c r="L52" s="26"/>
    </row>
    <row r="53" spans="1:12" ht="18.75">
      <c r="A53" s="512">
        <v>7</v>
      </c>
      <c r="B53" s="443" t="s">
        <v>153</v>
      </c>
      <c r="C53" s="426" t="s">
        <v>31</v>
      </c>
      <c r="D53" s="444"/>
      <c r="E53" s="440">
        <v>3.48</v>
      </c>
      <c r="F53" s="445"/>
      <c r="G53" s="446"/>
      <c r="H53" s="444"/>
      <c r="I53" s="446"/>
      <c r="J53" s="444"/>
      <c r="K53" s="446"/>
      <c r="L53" s="446"/>
    </row>
    <row r="54" spans="1:12" ht="12.75">
      <c r="A54" s="512"/>
      <c r="B54" s="447" t="s">
        <v>12</v>
      </c>
      <c r="C54" s="430" t="s">
        <v>15</v>
      </c>
      <c r="D54" s="430">
        <v>13.6</v>
      </c>
      <c r="E54" s="431">
        <f>E53*D54</f>
        <v>47.327999999999996</v>
      </c>
      <c r="F54" s="430"/>
      <c r="G54" s="431"/>
      <c r="H54" s="431"/>
      <c r="I54" s="431"/>
      <c r="J54" s="430"/>
      <c r="K54" s="431"/>
      <c r="L54" s="431"/>
    </row>
    <row r="55" spans="1:12" ht="12.75">
      <c r="A55" s="512"/>
      <c r="B55" s="447" t="s">
        <v>14</v>
      </c>
      <c r="C55" s="428" t="s">
        <v>0</v>
      </c>
      <c r="D55" s="430">
        <v>0.14</v>
      </c>
      <c r="E55" s="448">
        <f>D55*E53</f>
        <v>0.4872</v>
      </c>
      <c r="F55" s="430"/>
      <c r="G55" s="431"/>
      <c r="H55" s="430"/>
      <c r="I55" s="431"/>
      <c r="J55" s="431"/>
      <c r="K55" s="431"/>
      <c r="L55" s="431"/>
    </row>
    <row r="56" spans="1:12" ht="12.75">
      <c r="A56" s="512"/>
      <c r="B56" s="428" t="s">
        <v>23</v>
      </c>
      <c r="C56" s="428"/>
      <c r="D56" s="428"/>
      <c r="E56" s="434"/>
      <c r="F56" s="428"/>
      <c r="G56" s="434"/>
      <c r="H56" s="430"/>
      <c r="I56" s="434"/>
      <c r="J56" s="428"/>
      <c r="K56" s="434"/>
      <c r="L56" s="434"/>
    </row>
    <row r="57" spans="1:12" ht="18.75">
      <c r="A57" s="512"/>
      <c r="B57" s="432" t="s">
        <v>53</v>
      </c>
      <c r="C57" s="428" t="s">
        <v>54</v>
      </c>
      <c r="D57" s="422" t="s">
        <v>38</v>
      </c>
      <c r="E57" s="434">
        <v>90</v>
      </c>
      <c r="F57" s="434"/>
      <c r="G57" s="434"/>
      <c r="H57" s="430"/>
      <c r="I57" s="434"/>
      <c r="J57" s="428"/>
      <c r="K57" s="434"/>
      <c r="L57" s="434"/>
    </row>
    <row r="58" spans="1:12" ht="12.75">
      <c r="A58" s="512"/>
      <c r="B58" s="447" t="s">
        <v>18</v>
      </c>
      <c r="C58" s="428" t="s">
        <v>0</v>
      </c>
      <c r="D58" s="428">
        <v>0.53</v>
      </c>
      <c r="E58" s="438">
        <f>D58*E53</f>
        <v>1.8444</v>
      </c>
      <c r="F58" s="434"/>
      <c r="G58" s="438"/>
      <c r="H58" s="430"/>
      <c r="I58" s="434"/>
      <c r="J58" s="428"/>
      <c r="K58" s="434"/>
      <c r="L58" s="434"/>
    </row>
    <row r="59" spans="1:12" ht="25.5">
      <c r="A59" s="512">
        <v>8</v>
      </c>
      <c r="B59" s="427" t="s">
        <v>154</v>
      </c>
      <c r="C59" s="426" t="s">
        <v>90</v>
      </c>
      <c r="D59" s="428"/>
      <c r="E59" s="429">
        <v>85</v>
      </c>
      <c r="F59" s="410"/>
      <c r="G59" s="2"/>
      <c r="H59" s="410"/>
      <c r="I59" s="2"/>
      <c r="J59" s="410"/>
      <c r="K59" s="2"/>
      <c r="L59" s="2"/>
    </row>
    <row r="60" spans="1:12" ht="12.75">
      <c r="A60" s="512"/>
      <c r="B60" s="20" t="s">
        <v>12</v>
      </c>
      <c r="C60" s="422" t="s">
        <v>15</v>
      </c>
      <c r="D60" s="428">
        <v>0.314</v>
      </c>
      <c r="E60" s="438">
        <f>D60*E59</f>
        <v>26.69</v>
      </c>
      <c r="F60" s="410"/>
      <c r="G60" s="2"/>
      <c r="H60" s="2"/>
      <c r="I60" s="2"/>
      <c r="J60" s="410"/>
      <c r="K60" s="2"/>
      <c r="L60" s="2"/>
    </row>
    <row r="61" spans="1:12" ht="12.75">
      <c r="A61" s="512"/>
      <c r="B61" s="432" t="s">
        <v>92</v>
      </c>
      <c r="C61" s="428" t="s">
        <v>22</v>
      </c>
      <c r="D61" s="428">
        <v>0.0277</v>
      </c>
      <c r="E61" s="438">
        <f>D61*E59</f>
        <v>2.3545</v>
      </c>
      <c r="F61" s="410"/>
      <c r="G61" s="2"/>
      <c r="H61" s="410"/>
      <c r="I61" s="2"/>
      <c r="J61" s="2"/>
      <c r="K61" s="2"/>
      <c r="L61" s="2"/>
    </row>
    <row r="62" spans="1:12" ht="12.75">
      <c r="A62" s="512"/>
      <c r="B62" s="432" t="s">
        <v>25</v>
      </c>
      <c r="C62" s="428" t="s">
        <v>0</v>
      </c>
      <c r="D62" s="428">
        <v>0.34</v>
      </c>
      <c r="E62" s="438">
        <f>E59*D62</f>
        <v>28.900000000000002</v>
      </c>
      <c r="F62" s="410"/>
      <c r="G62" s="2"/>
      <c r="H62" s="410"/>
      <c r="I62" s="2"/>
      <c r="J62" s="2"/>
      <c r="K62" s="2"/>
      <c r="L62" s="2"/>
    </row>
    <row r="63" spans="1:12" ht="12.75">
      <c r="A63" s="512"/>
      <c r="B63" s="411" t="s">
        <v>23</v>
      </c>
      <c r="C63" s="428"/>
      <c r="D63" s="428"/>
      <c r="E63" s="438"/>
      <c r="F63" s="410"/>
      <c r="G63" s="2"/>
      <c r="H63" s="410"/>
      <c r="I63" s="2"/>
      <c r="J63" s="410"/>
      <c r="K63" s="2"/>
      <c r="L63" s="2"/>
    </row>
    <row r="64" spans="1:12" ht="25.5">
      <c r="A64" s="512"/>
      <c r="B64" s="432" t="s">
        <v>155</v>
      </c>
      <c r="C64" s="428" t="s">
        <v>69</v>
      </c>
      <c r="D64" s="422" t="s">
        <v>38</v>
      </c>
      <c r="E64" s="438">
        <v>93.5</v>
      </c>
      <c r="F64" s="2"/>
      <c r="G64" s="2"/>
      <c r="H64" s="410"/>
      <c r="I64" s="2"/>
      <c r="J64" s="410"/>
      <c r="K64" s="2"/>
      <c r="L64" s="2"/>
    </row>
    <row r="65" spans="1:12" ht="12.75">
      <c r="A65" s="512"/>
      <c r="B65" s="432" t="s">
        <v>95</v>
      </c>
      <c r="C65" s="428" t="s">
        <v>87</v>
      </c>
      <c r="D65" s="428">
        <v>0.05</v>
      </c>
      <c r="E65" s="438">
        <f>D65*E59</f>
        <v>4.25</v>
      </c>
      <c r="F65" s="2"/>
      <c r="G65" s="2"/>
      <c r="H65" s="410"/>
      <c r="I65" s="2"/>
      <c r="J65" s="410"/>
      <c r="K65" s="2"/>
      <c r="L65" s="2"/>
    </row>
    <row r="66" spans="1:12" ht="12.75">
      <c r="A66" s="512"/>
      <c r="B66" s="432" t="s">
        <v>96</v>
      </c>
      <c r="C66" s="428" t="s">
        <v>87</v>
      </c>
      <c r="D66" s="428">
        <v>0.02</v>
      </c>
      <c r="E66" s="438">
        <f>D66*E59</f>
        <v>1.7</v>
      </c>
      <c r="F66" s="2"/>
      <c r="G66" s="2"/>
      <c r="H66" s="410"/>
      <c r="I66" s="2"/>
      <c r="J66" s="410"/>
      <c r="K66" s="2"/>
      <c r="L66" s="2"/>
    </row>
    <row r="67" spans="1:12" ht="12.75">
      <c r="A67" s="512"/>
      <c r="B67" s="432" t="s">
        <v>50</v>
      </c>
      <c r="C67" s="428" t="s">
        <v>0</v>
      </c>
      <c r="D67" s="428">
        <v>0.0386</v>
      </c>
      <c r="E67" s="438">
        <f>E59*D67</f>
        <v>3.281</v>
      </c>
      <c r="F67" s="2"/>
      <c r="G67" s="2"/>
      <c r="H67" s="410"/>
      <c r="I67" s="2"/>
      <c r="J67" s="410"/>
      <c r="K67" s="2"/>
      <c r="L67" s="2"/>
    </row>
    <row r="68" spans="1:12" ht="25.5">
      <c r="A68" s="512">
        <v>9</v>
      </c>
      <c r="B68" s="449" t="s">
        <v>616</v>
      </c>
      <c r="C68" s="426" t="s">
        <v>55</v>
      </c>
      <c r="D68" s="444"/>
      <c r="E68" s="429">
        <v>270</v>
      </c>
      <c r="F68" s="445"/>
      <c r="G68" s="446"/>
      <c r="H68" s="444"/>
      <c r="I68" s="446"/>
      <c r="J68" s="444"/>
      <c r="K68" s="446"/>
      <c r="L68" s="446"/>
    </row>
    <row r="69" spans="1:12" ht="12.75">
      <c r="A69" s="512"/>
      <c r="B69" s="447" t="s">
        <v>12</v>
      </c>
      <c r="C69" s="430" t="s">
        <v>15</v>
      </c>
      <c r="D69" s="430">
        <v>0.376</v>
      </c>
      <c r="E69" s="431">
        <f>E68*D69</f>
        <v>101.52</v>
      </c>
      <c r="F69" s="430"/>
      <c r="G69" s="431"/>
      <c r="H69" s="431"/>
      <c r="I69" s="431"/>
      <c r="J69" s="430"/>
      <c r="K69" s="431"/>
      <c r="L69" s="431"/>
    </row>
    <row r="70" spans="1:12" ht="12.75">
      <c r="A70" s="512"/>
      <c r="B70" s="428" t="s">
        <v>23</v>
      </c>
      <c r="C70" s="428"/>
      <c r="D70" s="428"/>
      <c r="E70" s="434"/>
      <c r="F70" s="428"/>
      <c r="G70" s="434"/>
      <c r="H70" s="430"/>
      <c r="I70" s="434"/>
      <c r="J70" s="428"/>
      <c r="K70" s="434"/>
      <c r="L70" s="434"/>
    </row>
    <row r="71" spans="1:12" ht="12.75">
      <c r="A71" s="512"/>
      <c r="B71" s="432" t="s">
        <v>56</v>
      </c>
      <c r="C71" s="428" t="s">
        <v>57</v>
      </c>
      <c r="D71" s="428">
        <v>0.06</v>
      </c>
      <c r="E71" s="434">
        <f>D71*E68</f>
        <v>16.2</v>
      </c>
      <c r="F71" s="434"/>
      <c r="G71" s="434"/>
      <c r="H71" s="430"/>
      <c r="I71" s="434"/>
      <c r="J71" s="428"/>
      <c r="K71" s="434"/>
      <c r="L71" s="434"/>
    </row>
    <row r="72" spans="1:12" ht="12.75">
      <c r="A72" s="512"/>
      <c r="B72" s="447" t="s">
        <v>18</v>
      </c>
      <c r="C72" s="428" t="s">
        <v>0</v>
      </c>
      <c r="D72" s="428">
        <v>0.006</v>
      </c>
      <c r="E72" s="438">
        <f>D72*E68</f>
        <v>1.62</v>
      </c>
      <c r="F72" s="434"/>
      <c r="G72" s="438"/>
      <c r="H72" s="430"/>
      <c r="I72" s="434"/>
      <c r="J72" s="428"/>
      <c r="K72" s="434"/>
      <c r="L72" s="434"/>
    </row>
    <row r="73" spans="1:12" ht="25.5">
      <c r="A73" s="512">
        <v>10</v>
      </c>
      <c r="B73" s="450" t="s">
        <v>45</v>
      </c>
      <c r="C73" s="451" t="s">
        <v>42</v>
      </c>
      <c r="D73" s="452"/>
      <c r="E73" s="453">
        <f>E14-E19-E25-E75</f>
        <v>197.17</v>
      </c>
      <c r="F73" s="451"/>
      <c r="G73" s="441"/>
      <c r="H73" s="451"/>
      <c r="I73" s="454"/>
      <c r="J73" s="451"/>
      <c r="K73" s="441"/>
      <c r="L73" s="454"/>
    </row>
    <row r="74" spans="1:12" ht="12.75">
      <c r="A74" s="512"/>
      <c r="B74" s="432" t="s">
        <v>46</v>
      </c>
      <c r="C74" s="428" t="s">
        <v>22</v>
      </c>
      <c r="D74" s="428">
        <v>0.00921</v>
      </c>
      <c r="E74" s="434">
        <f>D74*E73</f>
        <v>1.8159356999999998</v>
      </c>
      <c r="F74" s="428"/>
      <c r="G74" s="434"/>
      <c r="H74" s="428"/>
      <c r="I74" s="434"/>
      <c r="J74" s="434"/>
      <c r="K74" s="434"/>
      <c r="L74" s="434"/>
    </row>
    <row r="75" spans="1:12" ht="18.75">
      <c r="A75" s="512">
        <v>11</v>
      </c>
      <c r="B75" s="4" t="s">
        <v>71</v>
      </c>
      <c r="C75" s="426" t="s">
        <v>31</v>
      </c>
      <c r="D75" s="19"/>
      <c r="E75" s="6">
        <v>12</v>
      </c>
      <c r="F75" s="19"/>
      <c r="G75" s="455"/>
      <c r="H75" s="19"/>
      <c r="I75" s="455"/>
      <c r="J75" s="19"/>
      <c r="K75" s="455"/>
      <c r="L75" s="455"/>
    </row>
    <row r="76" spans="1:12" ht="12.75">
      <c r="A76" s="512"/>
      <c r="B76" s="20" t="s">
        <v>12</v>
      </c>
      <c r="C76" s="410" t="s">
        <v>15</v>
      </c>
      <c r="D76" s="410">
        <v>1.43</v>
      </c>
      <c r="E76" s="2">
        <f>D76*E75</f>
        <v>17.16</v>
      </c>
      <c r="F76" s="410"/>
      <c r="G76" s="2"/>
      <c r="H76" s="2"/>
      <c r="I76" s="2"/>
      <c r="J76" s="410"/>
      <c r="K76" s="2"/>
      <c r="L76" s="2"/>
    </row>
    <row r="77" spans="1:12" ht="25.5">
      <c r="A77" s="512">
        <v>12</v>
      </c>
      <c r="B77" s="4" t="s">
        <v>72</v>
      </c>
      <c r="C77" s="426" t="s">
        <v>31</v>
      </c>
      <c r="D77" s="19"/>
      <c r="E77" s="6">
        <v>6</v>
      </c>
      <c r="F77" s="19"/>
      <c r="G77" s="455"/>
      <c r="H77" s="19"/>
      <c r="I77" s="455"/>
      <c r="J77" s="19"/>
      <c r="K77" s="455"/>
      <c r="L77" s="455"/>
    </row>
    <row r="78" spans="1:12" ht="12.75">
      <c r="A78" s="512"/>
      <c r="B78" s="20" t="s">
        <v>12</v>
      </c>
      <c r="C78" s="410" t="s">
        <v>15</v>
      </c>
      <c r="D78" s="410">
        <f>1.43*1.2</f>
        <v>1.716</v>
      </c>
      <c r="E78" s="2">
        <f>D78*E77</f>
        <v>10.296</v>
      </c>
      <c r="F78" s="410"/>
      <c r="G78" s="2"/>
      <c r="H78" s="2"/>
      <c r="I78" s="2"/>
      <c r="J78" s="410"/>
      <c r="K78" s="2"/>
      <c r="L78" s="2"/>
    </row>
    <row r="79" spans="1:12" ht="25.5">
      <c r="A79" s="512">
        <v>13</v>
      </c>
      <c r="B79" s="439" t="s">
        <v>157</v>
      </c>
      <c r="C79" s="426" t="s">
        <v>146</v>
      </c>
      <c r="D79" s="428"/>
      <c r="E79" s="429">
        <v>34</v>
      </c>
      <c r="F79" s="410"/>
      <c r="G79" s="2"/>
      <c r="H79" s="410"/>
      <c r="I79" s="2"/>
      <c r="J79" s="410"/>
      <c r="K79" s="2"/>
      <c r="L79" s="26"/>
    </row>
    <row r="80" spans="1:12" ht="12.75">
      <c r="A80" s="512"/>
      <c r="B80" s="432" t="s">
        <v>12</v>
      </c>
      <c r="C80" s="410" t="s">
        <v>15</v>
      </c>
      <c r="D80" s="428">
        <v>0.89</v>
      </c>
      <c r="E80" s="438">
        <f>D80*E79</f>
        <v>30.26</v>
      </c>
      <c r="F80" s="410"/>
      <c r="G80" s="2"/>
      <c r="H80" s="2"/>
      <c r="I80" s="2"/>
      <c r="J80" s="410"/>
      <c r="K80" s="2"/>
      <c r="L80" s="26"/>
    </row>
    <row r="81" spans="1:12" ht="12.75">
      <c r="A81" s="512"/>
      <c r="B81" s="432" t="s">
        <v>25</v>
      </c>
      <c r="C81" s="411" t="s">
        <v>22</v>
      </c>
      <c r="D81" s="428">
        <v>0.37</v>
      </c>
      <c r="E81" s="438">
        <f>D81*E79</f>
        <v>12.58</v>
      </c>
      <c r="F81" s="410"/>
      <c r="G81" s="2"/>
      <c r="H81" s="410"/>
      <c r="I81" s="2"/>
      <c r="J81" s="2"/>
      <c r="K81" s="2"/>
      <c r="L81" s="26"/>
    </row>
    <row r="82" spans="1:12" ht="12.75">
      <c r="A82" s="512"/>
      <c r="B82" s="411" t="s">
        <v>23</v>
      </c>
      <c r="C82" s="428"/>
      <c r="D82" s="428"/>
      <c r="E82" s="438"/>
      <c r="F82" s="410"/>
      <c r="G82" s="2"/>
      <c r="H82" s="410"/>
      <c r="I82" s="2"/>
      <c r="J82" s="410"/>
      <c r="K82" s="2"/>
      <c r="L82" s="26"/>
    </row>
    <row r="83" spans="1:12" ht="15">
      <c r="A83" s="512"/>
      <c r="B83" s="432" t="s">
        <v>147</v>
      </c>
      <c r="C83" s="428" t="s">
        <v>48</v>
      </c>
      <c r="D83" s="428">
        <v>1.15</v>
      </c>
      <c r="E83" s="438">
        <f>D83*E79</f>
        <v>39.099999999999994</v>
      </c>
      <c r="F83" s="2"/>
      <c r="G83" s="2"/>
      <c r="H83" s="410"/>
      <c r="I83" s="2"/>
      <c r="J83" s="410"/>
      <c r="K83" s="2"/>
      <c r="L83" s="26"/>
    </row>
    <row r="84" spans="1:12" ht="13.5" thickBot="1">
      <c r="A84" s="512"/>
      <c r="B84" s="432" t="s">
        <v>18</v>
      </c>
      <c r="C84" s="428" t="s">
        <v>0</v>
      </c>
      <c r="D84" s="428">
        <v>0.02</v>
      </c>
      <c r="E84" s="438">
        <f>D84*E79</f>
        <v>0.68</v>
      </c>
      <c r="F84" s="2"/>
      <c r="G84" s="2"/>
      <c r="H84" s="410"/>
      <c r="I84" s="2"/>
      <c r="J84" s="410"/>
      <c r="K84" s="2"/>
      <c r="L84" s="26"/>
    </row>
    <row r="85" spans="1:12" ht="13.5" thickBot="1">
      <c r="A85" s="456"/>
      <c r="B85" s="457" t="s">
        <v>8</v>
      </c>
      <c r="C85" s="458"/>
      <c r="D85" s="458"/>
      <c r="E85" s="458"/>
      <c r="F85" s="458"/>
      <c r="G85" s="459"/>
      <c r="H85" s="460"/>
      <c r="I85" s="459"/>
      <c r="J85" s="459"/>
      <c r="K85" s="459"/>
      <c r="L85" s="459"/>
    </row>
    <row r="86" spans="1:12" ht="12.75">
      <c r="A86" s="461"/>
      <c r="B86" s="462" t="s">
        <v>620</v>
      </c>
      <c r="C86" s="463"/>
      <c r="D86" s="463"/>
      <c r="E86" s="463"/>
      <c r="F86" s="463"/>
      <c r="G86" s="464"/>
      <c r="H86" s="465"/>
      <c r="I86" s="464"/>
      <c r="J86" s="464"/>
      <c r="K86" s="464"/>
      <c r="L86" s="464"/>
    </row>
    <row r="87" spans="1:12" ht="12.75">
      <c r="A87" s="466"/>
      <c r="B87" s="467" t="s">
        <v>16</v>
      </c>
      <c r="C87" s="468"/>
      <c r="D87" s="469" t="s">
        <v>671</v>
      </c>
      <c r="E87" s="468"/>
      <c r="F87" s="468"/>
      <c r="G87" s="470"/>
      <c r="H87" s="468"/>
      <c r="I87" s="470"/>
      <c r="J87" s="468"/>
      <c r="K87" s="470"/>
      <c r="L87" s="471"/>
    </row>
    <row r="88" spans="1:12" ht="12.75">
      <c r="A88" s="472"/>
      <c r="B88" s="473" t="s">
        <v>8</v>
      </c>
      <c r="C88" s="474"/>
      <c r="D88" s="474"/>
      <c r="E88" s="474"/>
      <c r="F88" s="474"/>
      <c r="G88" s="475"/>
      <c r="H88" s="476"/>
      <c r="I88" s="475"/>
      <c r="J88" s="476"/>
      <c r="K88" s="475"/>
      <c r="L88" s="477"/>
    </row>
    <row r="89" spans="1:12" ht="12.75">
      <c r="A89" s="478"/>
      <c r="B89" s="432" t="s">
        <v>29</v>
      </c>
      <c r="C89" s="428"/>
      <c r="D89" s="479" t="s">
        <v>671</v>
      </c>
      <c r="E89" s="428"/>
      <c r="F89" s="428"/>
      <c r="G89" s="428"/>
      <c r="H89" s="428"/>
      <c r="I89" s="428"/>
      <c r="J89" s="428"/>
      <c r="K89" s="428"/>
      <c r="L89" s="480"/>
    </row>
    <row r="90" spans="1:12" ht="12.75">
      <c r="A90" s="472"/>
      <c r="B90" s="473" t="s">
        <v>8</v>
      </c>
      <c r="C90" s="474"/>
      <c r="D90" s="474"/>
      <c r="E90" s="474"/>
      <c r="F90" s="474"/>
      <c r="G90" s="476"/>
      <c r="H90" s="476"/>
      <c r="I90" s="476"/>
      <c r="J90" s="476"/>
      <c r="K90" s="475"/>
      <c r="L90" s="477"/>
    </row>
    <row r="91" spans="1:12" ht="12.75">
      <c r="A91" s="478"/>
      <c r="B91" s="432" t="s">
        <v>19</v>
      </c>
      <c r="C91" s="428"/>
      <c r="D91" s="479" t="s">
        <v>671</v>
      </c>
      <c r="E91" s="428"/>
      <c r="F91" s="428"/>
      <c r="G91" s="442"/>
      <c r="H91" s="442"/>
      <c r="I91" s="442"/>
      <c r="J91" s="442"/>
      <c r="K91" s="434"/>
      <c r="L91" s="480"/>
    </row>
    <row r="92" spans="1:12" ht="12.75">
      <c r="A92" s="472"/>
      <c r="B92" s="473" t="s">
        <v>8</v>
      </c>
      <c r="C92" s="474"/>
      <c r="D92" s="474"/>
      <c r="E92" s="474"/>
      <c r="F92" s="474"/>
      <c r="G92" s="475"/>
      <c r="H92" s="476"/>
      <c r="I92" s="475"/>
      <c r="J92" s="476"/>
      <c r="K92" s="475"/>
      <c r="L92" s="477"/>
    </row>
    <row r="93" spans="1:12" ht="12.75">
      <c r="A93" s="481"/>
      <c r="B93" s="432" t="s">
        <v>34</v>
      </c>
      <c r="C93" s="426"/>
      <c r="D93" s="479">
        <v>0.03</v>
      </c>
      <c r="E93" s="426"/>
      <c r="F93" s="426"/>
      <c r="G93" s="429"/>
      <c r="H93" s="482"/>
      <c r="I93" s="429"/>
      <c r="J93" s="482"/>
      <c r="K93" s="429"/>
      <c r="L93" s="483"/>
    </row>
    <row r="94" spans="1:12" ht="12.75">
      <c r="A94" s="472"/>
      <c r="B94" s="473" t="s">
        <v>8</v>
      </c>
      <c r="C94" s="474"/>
      <c r="D94" s="474"/>
      <c r="E94" s="474"/>
      <c r="F94" s="474"/>
      <c r="G94" s="475"/>
      <c r="H94" s="476"/>
      <c r="I94" s="475"/>
      <c r="J94" s="476"/>
      <c r="K94" s="475"/>
      <c r="L94" s="477"/>
    </row>
    <row r="95" spans="1:12" ht="12.75">
      <c r="A95" s="484"/>
      <c r="B95" s="484" t="s">
        <v>27</v>
      </c>
      <c r="C95" s="484"/>
      <c r="D95" s="485">
        <v>0.18</v>
      </c>
      <c r="E95" s="484"/>
      <c r="F95" s="484"/>
      <c r="G95" s="484"/>
      <c r="H95" s="484"/>
      <c r="I95" s="484"/>
      <c r="J95" s="484"/>
      <c r="K95" s="484"/>
      <c r="L95" s="480"/>
    </row>
    <row r="96" spans="1:12" ht="12.75">
      <c r="A96" s="486"/>
      <c r="B96" s="487" t="s">
        <v>8</v>
      </c>
      <c r="C96" s="486"/>
      <c r="D96" s="486"/>
      <c r="E96" s="486"/>
      <c r="F96" s="486"/>
      <c r="G96" s="486"/>
      <c r="H96" s="486"/>
      <c r="I96" s="486"/>
      <c r="J96" s="486"/>
      <c r="K96" s="486"/>
      <c r="L96" s="477"/>
    </row>
    <row r="97" ht="12.75">
      <c r="M97" s="488"/>
    </row>
    <row r="98" spans="2:13" ht="12.75">
      <c r="B98" s="284" t="s">
        <v>617</v>
      </c>
      <c r="C98" s="222"/>
      <c r="D98" s="506" t="s">
        <v>618</v>
      </c>
      <c r="E98" s="506"/>
      <c r="M98" s="488"/>
    </row>
    <row r="99" ht="12.75">
      <c r="M99" s="488"/>
    </row>
    <row r="100" ht="16.5" customHeight="1"/>
    <row r="101" spans="2:12" ht="12.75">
      <c r="B101" s="489"/>
      <c r="C101" s="489"/>
      <c r="D101" s="489"/>
      <c r="E101" s="489"/>
      <c r="F101" s="489"/>
      <c r="G101" s="489"/>
      <c r="L101" s="488"/>
    </row>
    <row r="102" spans="2:7" ht="6.75" customHeight="1">
      <c r="B102" s="489"/>
      <c r="C102" s="489"/>
      <c r="D102" s="489"/>
      <c r="E102" s="489"/>
      <c r="F102" s="489"/>
      <c r="G102" s="489"/>
    </row>
    <row r="103" spans="2:7" ht="12.75">
      <c r="B103" s="489"/>
      <c r="C103" s="489"/>
      <c r="D103" s="489"/>
      <c r="E103" s="489"/>
      <c r="F103" s="489"/>
      <c r="G103" s="489"/>
    </row>
    <row r="104" ht="12.75">
      <c r="L104" s="488"/>
    </row>
  </sheetData>
  <sheetProtection/>
  <mergeCells count="30">
    <mergeCell ref="A77:A78"/>
    <mergeCell ref="A79:A84"/>
    <mergeCell ref="D98:E98"/>
    <mergeCell ref="G7:J7"/>
    <mergeCell ref="A8:C8"/>
    <mergeCell ref="G8:J8"/>
    <mergeCell ref="B9:F9"/>
    <mergeCell ref="F11:G11"/>
    <mergeCell ref="C11:C12"/>
    <mergeCell ref="D11:D12"/>
    <mergeCell ref="E11:E12"/>
    <mergeCell ref="A44:A52"/>
    <mergeCell ref="A73:A74"/>
    <mergeCell ref="A75:A76"/>
    <mergeCell ref="A53:A58"/>
    <mergeCell ref="A59:A67"/>
    <mergeCell ref="A68:A72"/>
    <mergeCell ref="A19:A24"/>
    <mergeCell ref="A25:A34"/>
    <mergeCell ref="A35:A43"/>
    <mergeCell ref="A2:L2"/>
    <mergeCell ref="A3:L3"/>
    <mergeCell ref="A5:L5"/>
    <mergeCell ref="A6:L6"/>
    <mergeCell ref="A11:A12"/>
    <mergeCell ref="A17:A18"/>
    <mergeCell ref="B11:B12"/>
    <mergeCell ref="A14:A16"/>
    <mergeCell ref="H11:I11"/>
    <mergeCell ref="J11:K11"/>
  </mergeCells>
  <conditionalFormatting sqref="C38">
    <cfRule type="cellIs" priority="5" dxfId="0" operator="equal" stopIfTrue="1">
      <formula>8223.307275</formula>
    </cfRule>
  </conditionalFormatting>
  <conditionalFormatting sqref="C46">
    <cfRule type="cellIs" priority="4" dxfId="0" operator="equal" stopIfTrue="1">
      <formula>8223.307275</formula>
    </cfRule>
  </conditionalFormatting>
  <conditionalFormatting sqref="C47">
    <cfRule type="cellIs" priority="3" dxfId="0" operator="equal" stopIfTrue="1">
      <formula>8223.307275</formula>
    </cfRule>
  </conditionalFormatting>
  <conditionalFormatting sqref="B68:C68">
    <cfRule type="cellIs" priority="1" dxfId="0" operator="equal" stopIfTrue="1">
      <formula>8223.307275</formula>
    </cfRule>
  </conditionalFormatting>
  <conditionalFormatting sqref="B14:L16">
    <cfRule type="cellIs" priority="7" dxfId="0" operator="equal" stopIfTrue="1">
      <formula>8223.307275</formula>
    </cfRule>
  </conditionalFormatting>
  <conditionalFormatting sqref="C37">
    <cfRule type="cellIs" priority="6" dxfId="0" operator="equal" stopIfTrue="1">
      <formula>8223.307275</formula>
    </cfRule>
  </conditionalFormatting>
  <conditionalFormatting sqref="B53:C53 C57">
    <cfRule type="cellIs" priority="2" dxfId="0" operator="equal" stopIfTrue="1">
      <formula>8223.307275</formula>
    </cfRule>
  </conditionalFormatting>
  <printOptions/>
  <pageMargins left="0.29" right="0.31496062992125984" top="0.5511811023622047" bottom="0.2755905511811024" header="0.11811023622047245" footer="0.11811023622047245"/>
  <pageSetup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109"/>
  <sheetViews>
    <sheetView zoomScalePageLayoutView="0" workbookViewId="0" topLeftCell="A64">
      <selection activeCell="G98" sqref="G97:G98"/>
    </sheetView>
  </sheetViews>
  <sheetFormatPr defaultColWidth="9.140625" defaultRowHeight="12.75"/>
  <cols>
    <col min="1" max="1" width="2.7109375" style="159" customWidth="1"/>
    <col min="2" max="2" width="47.57421875" style="159" customWidth="1"/>
    <col min="3" max="3" width="7.7109375" style="159" customWidth="1"/>
    <col min="4" max="4" width="7.57421875" style="159" customWidth="1"/>
    <col min="5" max="5" width="10.8515625" style="159" customWidth="1"/>
    <col min="6" max="6" width="9.140625" style="159" customWidth="1"/>
    <col min="7" max="7" width="12.140625" style="159" customWidth="1"/>
    <col min="8" max="8" width="12.7109375" style="159" bestFit="1" customWidth="1"/>
    <col min="9" max="9" width="11.28125" style="159" customWidth="1"/>
    <col min="10" max="10" width="10.28125" style="159" bestFit="1" customWidth="1"/>
    <col min="11" max="11" width="11.140625" style="159" customWidth="1"/>
    <col min="12" max="12" width="12.8515625" style="159" customWidth="1"/>
    <col min="13" max="13" width="16.28125" style="159" customWidth="1"/>
    <col min="14" max="16384" width="9.140625" style="159" customWidth="1"/>
  </cols>
  <sheetData>
    <row r="1" ht="8.25" customHeight="1"/>
    <row r="2" spans="1:12" ht="15">
      <c r="A2" s="508" t="s">
        <v>619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ht="14.25">
      <c r="A3" s="519" t="s">
        <v>58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2" ht="4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4.25">
      <c r="A5" s="520" t="s">
        <v>59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</row>
    <row r="6" spans="1:12" ht="15">
      <c r="A6" s="521" t="s">
        <v>160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3" ht="15.75" thickBot="1">
      <c r="A7" s="155"/>
      <c r="B7" s="155"/>
      <c r="C7" s="155"/>
      <c r="D7" s="155"/>
      <c r="E7" s="155"/>
      <c r="F7" s="155"/>
      <c r="G7" s="155"/>
      <c r="H7" s="522" t="s">
        <v>36</v>
      </c>
      <c r="I7" s="522"/>
      <c r="J7" s="522"/>
      <c r="K7" s="522"/>
      <c r="L7" s="156">
        <f>M95/1000</f>
        <v>0</v>
      </c>
      <c r="M7" s="157" t="s">
        <v>35</v>
      </c>
    </row>
    <row r="8" spans="1:13" ht="15.75" thickBot="1">
      <c r="A8" s="518"/>
      <c r="B8" s="518"/>
      <c r="C8" s="518"/>
      <c r="D8" s="518"/>
      <c r="E8" s="155"/>
      <c r="F8" s="155"/>
      <c r="G8" s="155"/>
      <c r="H8" s="522" t="s">
        <v>37</v>
      </c>
      <c r="I8" s="522"/>
      <c r="J8" s="522"/>
      <c r="K8" s="522"/>
      <c r="L8" s="158">
        <f>J81/1000</f>
        <v>0</v>
      </c>
      <c r="M8" s="157" t="s">
        <v>35</v>
      </c>
    </row>
    <row r="9" spans="1:13" ht="12.75">
      <c r="A9" s="191"/>
      <c r="B9" s="518"/>
      <c r="C9" s="518"/>
      <c r="D9" s="518"/>
      <c r="E9" s="518"/>
      <c r="F9" s="518"/>
      <c r="G9" s="518"/>
      <c r="H9" s="160"/>
      <c r="I9" s="160"/>
      <c r="J9" s="160"/>
      <c r="K9" s="160"/>
      <c r="L9" s="161"/>
      <c r="M9" s="157"/>
    </row>
    <row r="10" ht="3" customHeight="1"/>
    <row r="11" spans="1:13" ht="12.75" customHeight="1">
      <c r="A11" s="517" t="s">
        <v>1</v>
      </c>
      <c r="B11" s="525" t="s">
        <v>2</v>
      </c>
      <c r="C11" s="526"/>
      <c r="D11" s="517" t="s">
        <v>3</v>
      </c>
      <c r="E11" s="517" t="s">
        <v>11</v>
      </c>
      <c r="F11" s="517" t="s">
        <v>4</v>
      </c>
      <c r="G11" s="524" t="s">
        <v>17</v>
      </c>
      <c r="H11" s="524"/>
      <c r="I11" s="524" t="s">
        <v>5</v>
      </c>
      <c r="J11" s="524"/>
      <c r="K11" s="517" t="s">
        <v>6</v>
      </c>
      <c r="L11" s="517"/>
      <c r="M11" s="14" t="s">
        <v>21</v>
      </c>
    </row>
    <row r="12" spans="1:13" ht="12.75">
      <c r="A12" s="517"/>
      <c r="B12" s="525"/>
      <c r="C12" s="527"/>
      <c r="D12" s="517"/>
      <c r="E12" s="517"/>
      <c r="F12" s="517"/>
      <c r="G12" s="15" t="s">
        <v>7</v>
      </c>
      <c r="H12" s="16" t="s">
        <v>8</v>
      </c>
      <c r="I12" s="15" t="s">
        <v>7</v>
      </c>
      <c r="J12" s="16" t="s">
        <v>8</v>
      </c>
      <c r="K12" s="15" t="s">
        <v>7</v>
      </c>
      <c r="L12" s="16" t="s">
        <v>9</v>
      </c>
      <c r="M12" s="15" t="s">
        <v>10</v>
      </c>
    </row>
    <row r="13" spans="1:13" ht="12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ht="49.5">
      <c r="A14" s="523">
        <v>1</v>
      </c>
      <c r="B14" s="167" t="s">
        <v>161</v>
      </c>
      <c r="C14" s="162" t="s">
        <v>361</v>
      </c>
      <c r="D14" s="5" t="s">
        <v>30</v>
      </c>
      <c r="E14" s="3"/>
      <c r="F14" s="169">
        <v>0.14</v>
      </c>
      <c r="G14" s="163"/>
      <c r="H14" s="163"/>
      <c r="I14" s="163"/>
      <c r="J14" s="163"/>
      <c r="K14" s="163"/>
      <c r="L14" s="163"/>
      <c r="M14" s="163"/>
    </row>
    <row r="15" spans="1:13" ht="12.75">
      <c r="A15" s="523"/>
      <c r="B15" s="10" t="s">
        <v>12</v>
      </c>
      <c r="C15" s="10"/>
      <c r="D15" s="1" t="s">
        <v>15</v>
      </c>
      <c r="E15" s="3">
        <v>21.8</v>
      </c>
      <c r="F15" s="22">
        <f>E15*F14</f>
        <v>3.0520000000000005</v>
      </c>
      <c r="G15" s="163"/>
      <c r="H15" s="163"/>
      <c r="I15" s="163"/>
      <c r="J15" s="163"/>
      <c r="K15" s="163"/>
      <c r="L15" s="163"/>
      <c r="M15" s="163"/>
    </row>
    <row r="16" spans="1:13" ht="12.75">
      <c r="A16" s="523"/>
      <c r="B16" s="10" t="s">
        <v>151</v>
      </c>
      <c r="C16" s="10"/>
      <c r="D16" s="3" t="s">
        <v>22</v>
      </c>
      <c r="E16" s="9">
        <v>6.2</v>
      </c>
      <c r="F16" s="22">
        <f>E16*F14</f>
        <v>0.8680000000000001</v>
      </c>
      <c r="G16" s="163"/>
      <c r="H16" s="163"/>
      <c r="I16" s="163"/>
      <c r="J16" s="163"/>
      <c r="K16" s="163"/>
      <c r="L16" s="163"/>
      <c r="M16" s="163"/>
    </row>
    <row r="17" spans="1:13" ht="12.75">
      <c r="A17" s="523"/>
      <c r="B17" s="10" t="s">
        <v>25</v>
      </c>
      <c r="C17" s="10"/>
      <c r="D17" s="3" t="s">
        <v>22</v>
      </c>
      <c r="E17" s="3">
        <v>1.76</v>
      </c>
      <c r="F17" s="22">
        <f>E17*F14</f>
        <v>0.24640000000000004</v>
      </c>
      <c r="G17" s="163"/>
      <c r="H17" s="163"/>
      <c r="I17" s="163"/>
      <c r="J17" s="163"/>
      <c r="K17" s="163"/>
      <c r="L17" s="163"/>
      <c r="M17" s="163"/>
    </row>
    <row r="18" spans="1:13" ht="12.75">
      <c r="A18" s="523"/>
      <c r="B18" s="3" t="s">
        <v>23</v>
      </c>
      <c r="C18" s="3"/>
      <c r="D18" s="3"/>
      <c r="E18" s="3"/>
      <c r="F18" s="22"/>
      <c r="G18" s="163"/>
      <c r="H18" s="163"/>
      <c r="I18" s="163"/>
      <c r="J18" s="163"/>
      <c r="K18" s="163"/>
      <c r="L18" s="163"/>
      <c r="M18" s="163"/>
    </row>
    <row r="19" spans="1:13" ht="12.75">
      <c r="A19" s="523"/>
      <c r="B19" s="10" t="s">
        <v>150</v>
      </c>
      <c r="C19" s="3"/>
      <c r="D19" s="3" t="s">
        <v>30</v>
      </c>
      <c r="E19" s="9">
        <v>1</v>
      </c>
      <c r="F19" s="22">
        <f>E19*F14</f>
        <v>0.14</v>
      </c>
      <c r="G19" s="163"/>
      <c r="H19" s="163"/>
      <c r="I19" s="163"/>
      <c r="J19" s="163"/>
      <c r="K19" s="163"/>
      <c r="L19" s="163"/>
      <c r="M19" s="163"/>
    </row>
    <row r="20" spans="1:13" ht="12.75">
      <c r="A20" s="523"/>
      <c r="B20" s="10" t="s">
        <v>110</v>
      </c>
      <c r="C20" s="3"/>
      <c r="D20" s="3" t="s">
        <v>57</v>
      </c>
      <c r="E20" s="9">
        <v>2.3</v>
      </c>
      <c r="F20" s="22">
        <f>E20*F14</f>
        <v>0.322</v>
      </c>
      <c r="G20" s="163"/>
      <c r="H20" s="163"/>
      <c r="I20" s="163"/>
      <c r="J20" s="163"/>
      <c r="K20" s="163"/>
      <c r="L20" s="163"/>
      <c r="M20" s="163"/>
    </row>
    <row r="21" spans="1:13" ht="12.75">
      <c r="A21" s="523"/>
      <c r="B21" s="10" t="s">
        <v>18</v>
      </c>
      <c r="C21" s="10"/>
      <c r="D21" s="3" t="s">
        <v>0</v>
      </c>
      <c r="E21" s="9">
        <v>2.78</v>
      </c>
      <c r="F21" s="22">
        <f>E21*F14</f>
        <v>0.3892</v>
      </c>
      <c r="G21" s="163"/>
      <c r="H21" s="163"/>
      <c r="I21" s="163"/>
      <c r="J21" s="163"/>
      <c r="K21" s="163"/>
      <c r="L21" s="163"/>
      <c r="M21" s="163"/>
    </row>
    <row r="22" spans="1:13" ht="31.5">
      <c r="A22" s="523">
        <v>2</v>
      </c>
      <c r="B22" s="192" t="s">
        <v>162</v>
      </c>
      <c r="C22" s="162" t="s">
        <v>368</v>
      </c>
      <c r="D22" s="193" t="s">
        <v>33</v>
      </c>
      <c r="E22" s="3"/>
      <c r="F22" s="21">
        <v>21</v>
      </c>
      <c r="G22" s="163"/>
      <c r="H22" s="163"/>
      <c r="I22" s="163"/>
      <c r="J22" s="163"/>
      <c r="K22" s="163"/>
      <c r="L22" s="163"/>
      <c r="M22" s="163"/>
    </row>
    <row r="23" spans="1:13" ht="12.75">
      <c r="A23" s="523"/>
      <c r="B23" s="194" t="s">
        <v>12</v>
      </c>
      <c r="C23" s="194"/>
      <c r="D23" s="195" t="s">
        <v>15</v>
      </c>
      <c r="E23" s="3">
        <v>0.426</v>
      </c>
      <c r="F23" s="9">
        <f>E23*F22</f>
        <v>8.946</v>
      </c>
      <c r="G23" s="163"/>
      <c r="H23" s="163"/>
      <c r="I23" s="163"/>
      <c r="J23" s="163"/>
      <c r="K23" s="163"/>
      <c r="L23" s="163"/>
      <c r="M23" s="163"/>
    </row>
    <row r="24" spans="1:13" ht="12.75">
      <c r="A24" s="523"/>
      <c r="B24" s="196" t="s">
        <v>25</v>
      </c>
      <c r="C24" s="196"/>
      <c r="D24" s="197" t="s">
        <v>0</v>
      </c>
      <c r="E24" s="3">
        <f>41.1/1000</f>
        <v>0.041100000000000005</v>
      </c>
      <c r="F24" s="22">
        <f>E24*F22</f>
        <v>0.8631000000000001</v>
      </c>
      <c r="G24" s="163"/>
      <c r="H24" s="163"/>
      <c r="I24" s="163"/>
      <c r="J24" s="163"/>
      <c r="K24" s="163"/>
      <c r="L24" s="163"/>
      <c r="M24" s="163"/>
    </row>
    <row r="25" spans="1:13" ht="12.75">
      <c r="A25" s="523"/>
      <c r="B25" s="197" t="s">
        <v>23</v>
      </c>
      <c r="C25" s="197"/>
      <c r="D25" s="197"/>
      <c r="E25" s="3"/>
      <c r="F25" s="22"/>
      <c r="G25" s="163"/>
      <c r="H25" s="163"/>
      <c r="I25" s="163"/>
      <c r="J25" s="163"/>
      <c r="K25" s="163"/>
      <c r="L25" s="163"/>
      <c r="M25" s="163"/>
    </row>
    <row r="26" spans="1:13" ht="12.75">
      <c r="A26" s="523"/>
      <c r="B26" s="196" t="s">
        <v>163</v>
      </c>
      <c r="C26" s="61"/>
      <c r="D26" s="197" t="s">
        <v>52</v>
      </c>
      <c r="E26" s="3">
        <v>0.998</v>
      </c>
      <c r="F26" s="22">
        <f>E26*F22</f>
        <v>20.958</v>
      </c>
      <c r="G26" s="163"/>
      <c r="H26" s="163"/>
      <c r="I26" s="163"/>
      <c r="J26" s="163"/>
      <c r="K26" s="163"/>
      <c r="L26" s="163"/>
      <c r="M26" s="163"/>
    </row>
    <row r="27" spans="1:13" ht="12.75">
      <c r="A27" s="523"/>
      <c r="B27" s="196" t="s">
        <v>50</v>
      </c>
      <c r="C27" s="196"/>
      <c r="D27" s="197" t="s">
        <v>0</v>
      </c>
      <c r="E27" s="198">
        <f>61.8/1000</f>
        <v>0.061799999999999994</v>
      </c>
      <c r="F27" s="22">
        <f>E27*F22</f>
        <v>1.2977999999999998</v>
      </c>
      <c r="G27" s="163"/>
      <c r="H27" s="163"/>
      <c r="I27" s="163"/>
      <c r="J27" s="163"/>
      <c r="K27" s="163"/>
      <c r="L27" s="163"/>
      <c r="M27" s="163"/>
    </row>
    <row r="28" spans="1:13" ht="31.5">
      <c r="A28" s="523">
        <v>3</v>
      </c>
      <c r="B28" s="192" t="s">
        <v>164</v>
      </c>
      <c r="C28" s="162" t="s">
        <v>368</v>
      </c>
      <c r="D28" s="193" t="s">
        <v>33</v>
      </c>
      <c r="E28" s="3"/>
      <c r="F28" s="21">
        <v>15.5</v>
      </c>
      <c r="G28" s="163"/>
      <c r="H28" s="163"/>
      <c r="I28" s="163"/>
      <c r="J28" s="163"/>
      <c r="K28" s="163"/>
      <c r="L28" s="163"/>
      <c r="M28" s="163"/>
    </row>
    <row r="29" spans="1:13" ht="12.75">
      <c r="A29" s="523"/>
      <c r="B29" s="194" t="s">
        <v>12</v>
      </c>
      <c r="C29" s="194"/>
      <c r="D29" s="195" t="s">
        <v>15</v>
      </c>
      <c r="E29" s="3">
        <v>0.426</v>
      </c>
      <c r="F29" s="9">
        <f>E29*F28</f>
        <v>6.603</v>
      </c>
      <c r="G29" s="163"/>
      <c r="H29" s="163"/>
      <c r="I29" s="163"/>
      <c r="J29" s="163"/>
      <c r="K29" s="163"/>
      <c r="L29" s="163"/>
      <c r="M29" s="163"/>
    </row>
    <row r="30" spans="1:13" ht="12.75">
      <c r="A30" s="523"/>
      <c r="B30" s="196" t="s">
        <v>25</v>
      </c>
      <c r="C30" s="196"/>
      <c r="D30" s="197" t="s">
        <v>0</v>
      </c>
      <c r="E30" s="3">
        <v>0.0411</v>
      </c>
      <c r="F30" s="22">
        <f>E30*F28</f>
        <v>0.63705</v>
      </c>
      <c r="G30" s="163"/>
      <c r="H30" s="163"/>
      <c r="I30" s="163"/>
      <c r="J30" s="163"/>
      <c r="K30" s="163"/>
      <c r="L30" s="163"/>
      <c r="M30" s="163"/>
    </row>
    <row r="31" spans="1:13" ht="12.75">
      <c r="A31" s="523"/>
      <c r="B31" s="197" t="s">
        <v>23</v>
      </c>
      <c r="C31" s="197"/>
      <c r="D31" s="197"/>
      <c r="E31" s="3"/>
      <c r="F31" s="22"/>
      <c r="G31" s="163"/>
      <c r="H31" s="163"/>
      <c r="I31" s="163"/>
      <c r="J31" s="163"/>
      <c r="K31" s="163"/>
      <c r="L31" s="163"/>
      <c r="M31" s="163"/>
    </row>
    <row r="32" spans="1:13" ht="12.75">
      <c r="A32" s="523"/>
      <c r="B32" s="196" t="s">
        <v>163</v>
      </c>
      <c r="C32" s="61"/>
      <c r="D32" s="197" t="s">
        <v>52</v>
      </c>
      <c r="E32" s="3">
        <v>0.998</v>
      </c>
      <c r="F32" s="22">
        <f>E32*F28</f>
        <v>15.469</v>
      </c>
      <c r="G32" s="163"/>
      <c r="H32" s="163"/>
      <c r="I32" s="163"/>
      <c r="J32" s="163"/>
      <c r="K32" s="163"/>
      <c r="L32" s="163"/>
      <c r="M32" s="163"/>
    </row>
    <row r="33" spans="1:13" ht="12.75">
      <c r="A33" s="523"/>
      <c r="B33" s="196" t="s">
        <v>50</v>
      </c>
      <c r="C33" s="196"/>
      <c r="D33" s="197" t="s">
        <v>0</v>
      </c>
      <c r="E33" s="198">
        <v>0.0618</v>
      </c>
      <c r="F33" s="22">
        <f>E33*F28</f>
        <v>0.9579</v>
      </c>
      <c r="G33" s="163"/>
      <c r="H33" s="163"/>
      <c r="I33" s="163"/>
      <c r="J33" s="163"/>
      <c r="K33" s="163"/>
      <c r="L33" s="163"/>
      <c r="M33" s="163"/>
    </row>
    <row r="34" spans="1:13" ht="31.5">
      <c r="A34" s="523">
        <v>4</v>
      </c>
      <c r="B34" s="192" t="s">
        <v>369</v>
      </c>
      <c r="C34" s="162" t="s">
        <v>370</v>
      </c>
      <c r="D34" s="193" t="s">
        <v>33</v>
      </c>
      <c r="E34" s="3"/>
      <c r="F34" s="21">
        <v>15</v>
      </c>
      <c r="G34" s="163"/>
      <c r="H34" s="163"/>
      <c r="I34" s="163"/>
      <c r="J34" s="163"/>
      <c r="K34" s="163"/>
      <c r="L34" s="163"/>
      <c r="M34" s="163"/>
    </row>
    <row r="35" spans="1:13" ht="12.75">
      <c r="A35" s="523"/>
      <c r="B35" s="194" t="s">
        <v>12</v>
      </c>
      <c r="C35" s="194"/>
      <c r="D35" s="195" t="s">
        <v>15</v>
      </c>
      <c r="E35" s="3">
        <v>0.353</v>
      </c>
      <c r="F35" s="9">
        <f>E35*F34</f>
        <v>5.295</v>
      </c>
      <c r="G35" s="163"/>
      <c r="H35" s="163"/>
      <c r="I35" s="163"/>
      <c r="J35" s="163"/>
      <c r="K35" s="163"/>
      <c r="L35" s="163"/>
      <c r="M35" s="163"/>
    </row>
    <row r="36" spans="1:13" ht="12.75">
      <c r="A36" s="523"/>
      <c r="B36" s="196" t="s">
        <v>25</v>
      </c>
      <c r="C36" s="196"/>
      <c r="D36" s="197" t="s">
        <v>0</v>
      </c>
      <c r="E36" s="3">
        <f>35.1/1000</f>
        <v>0.0351</v>
      </c>
      <c r="F36" s="22">
        <f>E36*F34</f>
        <v>0.5265</v>
      </c>
      <c r="G36" s="163"/>
      <c r="H36" s="163"/>
      <c r="I36" s="163"/>
      <c r="J36" s="163"/>
      <c r="K36" s="163"/>
      <c r="L36" s="163"/>
      <c r="M36" s="163"/>
    </row>
    <row r="37" spans="1:13" ht="12.75">
      <c r="A37" s="523"/>
      <c r="B37" s="197" t="s">
        <v>23</v>
      </c>
      <c r="C37" s="197"/>
      <c r="D37" s="197"/>
      <c r="E37" s="3"/>
      <c r="F37" s="22"/>
      <c r="G37" s="163"/>
      <c r="H37" s="163"/>
      <c r="I37" s="163"/>
      <c r="J37" s="163"/>
      <c r="K37" s="163"/>
      <c r="L37" s="163"/>
      <c r="M37" s="163"/>
    </row>
    <row r="38" spans="1:13" ht="12.75">
      <c r="A38" s="523"/>
      <c r="B38" s="196" t="s">
        <v>371</v>
      </c>
      <c r="C38" s="61"/>
      <c r="D38" s="197" t="s">
        <v>52</v>
      </c>
      <c r="E38" s="3">
        <v>0.998</v>
      </c>
      <c r="F38" s="22">
        <f>E38*F34</f>
        <v>14.97</v>
      </c>
      <c r="G38" s="163"/>
      <c r="H38" s="163"/>
      <c r="I38" s="163"/>
      <c r="J38" s="163"/>
      <c r="K38" s="163"/>
      <c r="L38" s="163"/>
      <c r="M38" s="163"/>
    </row>
    <row r="39" spans="1:13" ht="12.75">
      <c r="A39" s="523"/>
      <c r="B39" s="196" t="s">
        <v>50</v>
      </c>
      <c r="C39" s="196"/>
      <c r="D39" s="197" t="s">
        <v>0</v>
      </c>
      <c r="E39" s="198">
        <f>59.3/1000</f>
        <v>0.0593</v>
      </c>
      <c r="F39" s="22">
        <f>E39*F34</f>
        <v>0.8895</v>
      </c>
      <c r="G39" s="163"/>
      <c r="H39" s="163"/>
      <c r="I39" s="163"/>
      <c r="J39" s="163"/>
      <c r="K39" s="163"/>
      <c r="L39" s="163"/>
      <c r="M39" s="163"/>
    </row>
    <row r="40" spans="1:13" ht="31.5">
      <c r="A40" s="523">
        <v>5</v>
      </c>
      <c r="B40" s="174" t="s">
        <v>156</v>
      </c>
      <c r="C40" s="162" t="s">
        <v>363</v>
      </c>
      <c r="D40" s="5" t="s">
        <v>55</v>
      </c>
      <c r="E40" s="19"/>
      <c r="F40" s="21">
        <v>15.9</v>
      </c>
      <c r="G40" s="172"/>
      <c r="H40" s="172"/>
      <c r="I40" s="172"/>
      <c r="J40" s="172"/>
      <c r="K40" s="172"/>
      <c r="L40" s="172"/>
      <c r="M40" s="172"/>
    </row>
    <row r="41" spans="1:13" ht="12.75">
      <c r="A41" s="523"/>
      <c r="B41" s="20" t="s">
        <v>12</v>
      </c>
      <c r="C41" s="20"/>
      <c r="D41" s="1" t="s">
        <v>15</v>
      </c>
      <c r="E41" s="1">
        <v>0.376</v>
      </c>
      <c r="F41" s="2">
        <f>F40*E41</f>
        <v>5.9784</v>
      </c>
      <c r="G41" s="163"/>
      <c r="H41" s="163"/>
      <c r="I41" s="163"/>
      <c r="J41" s="163"/>
      <c r="K41" s="163"/>
      <c r="L41" s="163"/>
      <c r="M41" s="163"/>
    </row>
    <row r="42" spans="1:13" ht="12.75">
      <c r="A42" s="523"/>
      <c r="B42" s="3" t="s">
        <v>23</v>
      </c>
      <c r="C42" s="3"/>
      <c r="D42" s="3"/>
      <c r="E42" s="3"/>
      <c r="F42" s="9"/>
      <c r="G42" s="173"/>
      <c r="H42" s="173"/>
      <c r="I42" s="163"/>
      <c r="J42" s="173"/>
      <c r="K42" s="173"/>
      <c r="L42" s="173"/>
      <c r="M42" s="173"/>
    </row>
    <row r="43" spans="1:13" ht="12.75">
      <c r="A43" s="523"/>
      <c r="B43" s="10" t="s">
        <v>56</v>
      </c>
      <c r="C43" s="175"/>
      <c r="D43" s="3" t="s">
        <v>57</v>
      </c>
      <c r="E43" s="3">
        <v>0.06</v>
      </c>
      <c r="F43" s="9">
        <f>E43*F40</f>
        <v>0.954</v>
      </c>
      <c r="G43" s="173"/>
      <c r="H43" s="173"/>
      <c r="I43" s="163"/>
      <c r="J43" s="173"/>
      <c r="K43" s="173"/>
      <c r="L43" s="173"/>
      <c r="M43" s="173"/>
    </row>
    <row r="44" spans="1:13" ht="12.75">
      <c r="A44" s="523"/>
      <c r="B44" s="20" t="s">
        <v>18</v>
      </c>
      <c r="C44" s="20"/>
      <c r="D44" s="3" t="s">
        <v>0</v>
      </c>
      <c r="E44" s="3">
        <v>0.006</v>
      </c>
      <c r="F44" s="22">
        <f>E44*F40</f>
        <v>0.0954</v>
      </c>
      <c r="G44" s="173"/>
      <c r="H44" s="173"/>
      <c r="I44" s="163"/>
      <c r="J44" s="173"/>
      <c r="K44" s="173"/>
      <c r="L44" s="173"/>
      <c r="M44" s="173"/>
    </row>
    <row r="45" spans="1:13" ht="25.5">
      <c r="A45" s="523">
        <v>6</v>
      </c>
      <c r="B45" s="174" t="s">
        <v>166</v>
      </c>
      <c r="C45" s="168"/>
      <c r="D45" s="199" t="s">
        <v>167</v>
      </c>
      <c r="E45" s="19"/>
      <c r="F45" s="21">
        <v>1</v>
      </c>
      <c r="G45" s="172"/>
      <c r="H45" s="172"/>
      <c r="I45" s="172"/>
      <c r="J45" s="172"/>
      <c r="K45" s="172"/>
      <c r="L45" s="172"/>
      <c r="M45" s="172"/>
    </row>
    <row r="46" spans="1:13" ht="12.75">
      <c r="A46" s="523"/>
      <c r="B46" s="20" t="s">
        <v>12</v>
      </c>
      <c r="C46" s="20"/>
      <c r="D46" s="1"/>
      <c r="E46" s="1"/>
      <c r="F46" s="2"/>
      <c r="G46" s="163"/>
      <c r="H46" s="163"/>
      <c r="I46" s="163"/>
      <c r="J46" s="163"/>
      <c r="K46" s="163"/>
      <c r="L46" s="163"/>
      <c r="M46" s="163"/>
    </row>
    <row r="47" spans="1:13" ht="12.75">
      <c r="A47" s="523"/>
      <c r="B47" s="3" t="s">
        <v>23</v>
      </c>
      <c r="C47" s="3"/>
      <c r="D47" s="3"/>
      <c r="E47" s="3"/>
      <c r="F47" s="9"/>
      <c r="G47" s="173"/>
      <c r="H47" s="173"/>
      <c r="I47" s="163"/>
      <c r="J47" s="173"/>
      <c r="K47" s="173"/>
      <c r="L47" s="173"/>
      <c r="M47" s="173"/>
    </row>
    <row r="48" spans="1:13" ht="12.75">
      <c r="A48" s="523"/>
      <c r="B48" s="10" t="s">
        <v>168</v>
      </c>
      <c r="C48" s="3"/>
      <c r="D48" s="3" t="s">
        <v>167</v>
      </c>
      <c r="E48" s="3"/>
      <c r="F48" s="9">
        <v>1</v>
      </c>
      <c r="G48" s="173"/>
      <c r="H48" s="173"/>
      <c r="I48" s="163"/>
      <c r="J48" s="173"/>
      <c r="K48" s="173"/>
      <c r="L48" s="173"/>
      <c r="M48" s="173"/>
    </row>
    <row r="49" spans="1:13" ht="42.75">
      <c r="A49" s="193"/>
      <c r="B49" s="242" t="s">
        <v>372</v>
      </c>
      <c r="C49" s="235" t="s">
        <v>373</v>
      </c>
      <c r="D49" s="62" t="s">
        <v>24</v>
      </c>
      <c r="E49" s="62"/>
      <c r="F49" s="228">
        <v>1</v>
      </c>
      <c r="G49" s="203"/>
      <c r="H49" s="203"/>
      <c r="I49" s="203"/>
      <c r="J49" s="203"/>
      <c r="K49" s="203"/>
      <c r="L49" s="203"/>
      <c r="M49" s="203"/>
    </row>
    <row r="50" spans="1:13" ht="13.5">
      <c r="A50" s="193"/>
      <c r="B50" s="60" t="s">
        <v>12</v>
      </c>
      <c r="C50" s="59"/>
      <c r="D50" s="62" t="s">
        <v>15</v>
      </c>
      <c r="E50" s="62">
        <v>4.1</v>
      </c>
      <c r="F50" s="66">
        <f>F49*E50</f>
        <v>4.1</v>
      </c>
      <c r="G50" s="203"/>
      <c r="H50" s="203"/>
      <c r="I50" s="203"/>
      <c r="J50" s="203"/>
      <c r="K50" s="203"/>
      <c r="L50" s="203"/>
      <c r="M50" s="203"/>
    </row>
    <row r="51" spans="1:13" ht="13.5">
      <c r="A51" s="193"/>
      <c r="B51" s="60" t="s">
        <v>14</v>
      </c>
      <c r="C51" s="59"/>
      <c r="D51" s="62" t="s">
        <v>0</v>
      </c>
      <c r="E51" s="62">
        <v>0.03</v>
      </c>
      <c r="F51" s="66">
        <f>E51*F49</f>
        <v>0.03</v>
      </c>
      <c r="G51" s="203"/>
      <c r="H51" s="203"/>
      <c r="I51" s="203"/>
      <c r="J51" s="203"/>
      <c r="K51" s="203"/>
      <c r="L51" s="203"/>
      <c r="M51" s="203"/>
    </row>
    <row r="52" spans="1:13" ht="13.5">
      <c r="A52" s="193"/>
      <c r="B52" s="60" t="s">
        <v>374</v>
      </c>
      <c r="C52" s="59"/>
      <c r="D52" s="62"/>
      <c r="E52" s="62"/>
      <c r="F52" s="66"/>
      <c r="G52" s="203"/>
      <c r="H52" s="203"/>
      <c r="I52" s="203"/>
      <c r="J52" s="203"/>
      <c r="K52" s="203"/>
      <c r="L52" s="203"/>
      <c r="M52" s="203"/>
    </row>
    <row r="53" spans="1:13" ht="13.5">
      <c r="A53" s="193"/>
      <c r="B53" s="60" t="s">
        <v>375</v>
      </c>
      <c r="C53" s="3"/>
      <c r="D53" s="62" t="s">
        <v>24</v>
      </c>
      <c r="E53" s="62">
        <v>1</v>
      </c>
      <c r="F53" s="64">
        <f>F49*E53</f>
        <v>1</v>
      </c>
      <c r="G53" s="203"/>
      <c r="H53" s="203"/>
      <c r="I53" s="203"/>
      <c r="J53" s="203"/>
      <c r="K53" s="203"/>
      <c r="L53" s="203"/>
      <c r="M53" s="203"/>
    </row>
    <row r="54" spans="1:13" ht="13.5">
      <c r="A54" s="193"/>
      <c r="B54" s="60" t="s">
        <v>50</v>
      </c>
      <c r="C54" s="59"/>
      <c r="D54" s="62" t="s">
        <v>0</v>
      </c>
      <c r="E54" s="62">
        <v>0.08</v>
      </c>
      <c r="F54" s="66">
        <f>E54*F49</f>
        <v>0.08</v>
      </c>
      <c r="G54" s="203"/>
      <c r="H54" s="203"/>
      <c r="I54" s="203"/>
      <c r="J54" s="203"/>
      <c r="K54" s="203"/>
      <c r="L54" s="203"/>
      <c r="M54" s="203"/>
    </row>
    <row r="55" spans="1:13" ht="38.25">
      <c r="A55" s="523">
        <v>8</v>
      </c>
      <c r="B55" s="176" t="s">
        <v>49</v>
      </c>
      <c r="C55" s="162" t="s">
        <v>376</v>
      </c>
      <c r="D55" s="5" t="s">
        <v>26</v>
      </c>
      <c r="E55" s="5"/>
      <c r="F55" s="200">
        <f>0.083*1.5*F59</f>
        <v>0.1245</v>
      </c>
      <c r="G55" s="172"/>
      <c r="H55" s="201"/>
      <c r="I55" s="201"/>
      <c r="J55" s="201"/>
      <c r="K55" s="201"/>
      <c r="L55" s="201"/>
      <c r="M55" s="201"/>
    </row>
    <row r="56" spans="1:13" ht="12.75">
      <c r="A56" s="523"/>
      <c r="B56" s="20" t="s">
        <v>12</v>
      </c>
      <c r="C56" s="20"/>
      <c r="D56" s="1" t="s">
        <v>15</v>
      </c>
      <c r="E56" s="2">
        <v>106</v>
      </c>
      <c r="F56" s="2">
        <f>F55*E56</f>
        <v>13.197</v>
      </c>
      <c r="G56" s="173"/>
      <c r="H56" s="173"/>
      <c r="I56" s="173"/>
      <c r="J56" s="173"/>
      <c r="K56" s="173"/>
      <c r="L56" s="173"/>
      <c r="M56" s="173"/>
    </row>
    <row r="57" spans="1:13" ht="12.75">
      <c r="A57" s="523"/>
      <c r="B57" s="10" t="s">
        <v>25</v>
      </c>
      <c r="C57" s="10"/>
      <c r="D57" s="1" t="s">
        <v>0</v>
      </c>
      <c r="E57" s="3">
        <v>71.4</v>
      </c>
      <c r="F57" s="9">
        <f>E57*F55</f>
        <v>8.8893</v>
      </c>
      <c r="G57" s="173"/>
      <c r="H57" s="173"/>
      <c r="I57" s="173"/>
      <c r="J57" s="173"/>
      <c r="K57" s="173"/>
      <c r="L57" s="173"/>
      <c r="M57" s="173"/>
    </row>
    <row r="58" spans="1:13" ht="12.75">
      <c r="A58" s="523"/>
      <c r="B58" s="3" t="s">
        <v>23</v>
      </c>
      <c r="C58" s="3"/>
      <c r="D58" s="3"/>
      <c r="E58" s="22"/>
      <c r="F58" s="9"/>
      <c r="G58" s="163"/>
      <c r="H58" s="163"/>
      <c r="I58" s="163"/>
      <c r="J58" s="163"/>
      <c r="K58" s="163"/>
      <c r="L58" s="163"/>
      <c r="M58" s="173"/>
    </row>
    <row r="59" spans="1:13" ht="13.5">
      <c r="A59" s="523"/>
      <c r="B59" s="10" t="s">
        <v>43</v>
      </c>
      <c r="C59" s="61"/>
      <c r="D59" s="1" t="s">
        <v>24</v>
      </c>
      <c r="E59" s="202" t="s">
        <v>38</v>
      </c>
      <c r="F59" s="2">
        <v>1</v>
      </c>
      <c r="G59" s="203"/>
      <c r="H59" s="163"/>
      <c r="I59" s="163"/>
      <c r="J59" s="163"/>
      <c r="K59" s="163"/>
      <c r="L59" s="163"/>
      <c r="M59" s="173"/>
    </row>
    <row r="60" spans="1:13" ht="13.5">
      <c r="A60" s="523"/>
      <c r="B60" s="10" t="s">
        <v>39</v>
      </c>
      <c r="C60" s="61"/>
      <c r="D60" s="1" t="s">
        <v>24</v>
      </c>
      <c r="E60" s="202" t="s">
        <v>38</v>
      </c>
      <c r="F60" s="2">
        <f>F59</f>
        <v>1</v>
      </c>
      <c r="G60" s="203"/>
      <c r="H60" s="163"/>
      <c r="I60" s="163"/>
      <c r="J60" s="163"/>
      <c r="K60" s="163"/>
      <c r="L60" s="163"/>
      <c r="M60" s="173"/>
    </row>
    <row r="61" spans="1:13" ht="13.5">
      <c r="A61" s="523"/>
      <c r="B61" s="10" t="s">
        <v>28</v>
      </c>
      <c r="C61" s="61"/>
      <c r="D61" s="1" t="s">
        <v>24</v>
      </c>
      <c r="E61" s="202" t="s">
        <v>38</v>
      </c>
      <c r="F61" s="2">
        <f>F59</f>
        <v>1</v>
      </c>
      <c r="G61" s="203"/>
      <c r="H61" s="163"/>
      <c r="I61" s="163"/>
      <c r="J61" s="163"/>
      <c r="K61" s="163"/>
      <c r="L61" s="163"/>
      <c r="M61" s="173"/>
    </row>
    <row r="62" spans="1:13" ht="12.75">
      <c r="A62" s="523"/>
      <c r="B62" s="20" t="s">
        <v>18</v>
      </c>
      <c r="C62" s="20"/>
      <c r="D62" s="1" t="s">
        <v>0</v>
      </c>
      <c r="E62" s="2">
        <v>66.1</v>
      </c>
      <c r="F62" s="2">
        <f>E62*F55</f>
        <v>8.22945</v>
      </c>
      <c r="G62" s="163"/>
      <c r="H62" s="163"/>
      <c r="I62" s="163"/>
      <c r="J62" s="163"/>
      <c r="K62" s="163"/>
      <c r="L62" s="163"/>
      <c r="M62" s="173"/>
    </row>
    <row r="63" spans="1:13" ht="38.25">
      <c r="A63" s="523">
        <v>9</v>
      </c>
      <c r="B63" s="167" t="s">
        <v>40</v>
      </c>
      <c r="C63" s="162" t="s">
        <v>377</v>
      </c>
      <c r="D63" s="5" t="s">
        <v>32</v>
      </c>
      <c r="E63" s="5"/>
      <c r="F63" s="21">
        <f>F59*1.5*1.2*3.14</f>
        <v>5.651999999999999</v>
      </c>
      <c r="G63" s="163"/>
      <c r="H63" s="163"/>
      <c r="I63" s="163"/>
      <c r="J63" s="163"/>
      <c r="K63" s="163"/>
      <c r="L63" s="163"/>
      <c r="M63" s="163"/>
    </row>
    <row r="64" spans="1:13" ht="12.75">
      <c r="A64" s="523"/>
      <c r="B64" s="10" t="s">
        <v>12</v>
      </c>
      <c r="C64" s="10"/>
      <c r="D64" s="1" t="s">
        <v>15</v>
      </c>
      <c r="E64" s="3">
        <f>33.6/100</f>
        <v>0.336</v>
      </c>
      <c r="F64" s="22">
        <f>E64*F63</f>
        <v>1.8990719999999999</v>
      </c>
      <c r="G64" s="163"/>
      <c r="H64" s="163"/>
      <c r="I64" s="163"/>
      <c r="J64" s="163"/>
      <c r="K64" s="163"/>
      <c r="L64" s="163"/>
      <c r="M64" s="163"/>
    </row>
    <row r="65" spans="1:13" ht="12.75">
      <c r="A65" s="523"/>
      <c r="B65" s="10" t="s">
        <v>25</v>
      </c>
      <c r="C65" s="10"/>
      <c r="D65" s="3" t="s">
        <v>0</v>
      </c>
      <c r="E65" s="3">
        <f>1.5/100</f>
        <v>0.015</v>
      </c>
      <c r="F65" s="22">
        <f>E65*F63</f>
        <v>0.08477999999999998</v>
      </c>
      <c r="G65" s="163"/>
      <c r="H65" s="163"/>
      <c r="I65" s="163"/>
      <c r="J65" s="163"/>
      <c r="K65" s="163"/>
      <c r="L65" s="163"/>
      <c r="M65" s="163"/>
    </row>
    <row r="66" spans="1:13" ht="12.75">
      <c r="A66" s="523"/>
      <c r="B66" s="3" t="s">
        <v>23</v>
      </c>
      <c r="C66" s="3"/>
      <c r="D66" s="3"/>
      <c r="E66" s="3"/>
      <c r="F66" s="22"/>
      <c r="G66" s="163"/>
      <c r="H66" s="163"/>
      <c r="I66" s="163"/>
      <c r="J66" s="163"/>
      <c r="K66" s="163"/>
      <c r="L66" s="163"/>
      <c r="M66" s="163"/>
    </row>
    <row r="67" spans="1:13" ht="12.75">
      <c r="A67" s="523"/>
      <c r="B67" s="10" t="s">
        <v>47</v>
      </c>
      <c r="C67" s="61"/>
      <c r="D67" s="3" t="s">
        <v>30</v>
      </c>
      <c r="E67" s="3">
        <v>0.0024</v>
      </c>
      <c r="F67" s="22">
        <f>E67*F63</f>
        <v>0.013564799999999997</v>
      </c>
      <c r="G67" s="163"/>
      <c r="H67" s="163"/>
      <c r="I67" s="163"/>
      <c r="J67" s="163"/>
      <c r="K67" s="163"/>
      <c r="L67" s="163"/>
      <c r="M67" s="163"/>
    </row>
    <row r="68" spans="1:13" ht="12.75">
      <c r="A68" s="523"/>
      <c r="B68" s="20" t="s">
        <v>18</v>
      </c>
      <c r="C68" s="20"/>
      <c r="D68" s="3" t="s">
        <v>0</v>
      </c>
      <c r="E68" s="3">
        <f>2.28/100</f>
        <v>0.022799999999999997</v>
      </c>
      <c r="F68" s="22">
        <f>E68*F63</f>
        <v>0.12886559999999997</v>
      </c>
      <c r="G68" s="163"/>
      <c r="H68" s="163"/>
      <c r="I68" s="163"/>
      <c r="J68" s="163"/>
      <c r="K68" s="163"/>
      <c r="L68" s="163"/>
      <c r="M68" s="163"/>
    </row>
    <row r="69" spans="1:13" ht="31.5">
      <c r="A69" s="523">
        <v>10</v>
      </c>
      <c r="B69" s="4" t="s">
        <v>378</v>
      </c>
      <c r="C69" s="162" t="s">
        <v>379</v>
      </c>
      <c r="D69" s="5" t="s">
        <v>24</v>
      </c>
      <c r="E69" s="5"/>
      <c r="F69" s="6">
        <v>2</v>
      </c>
      <c r="G69" s="172"/>
      <c r="H69" s="201"/>
      <c r="I69" s="201"/>
      <c r="J69" s="201"/>
      <c r="K69" s="201"/>
      <c r="L69" s="201"/>
      <c r="M69" s="201"/>
    </row>
    <row r="70" spans="1:13" ht="12.75">
      <c r="A70" s="523"/>
      <c r="B70" s="20" t="s">
        <v>12</v>
      </c>
      <c r="C70" s="20"/>
      <c r="D70" s="3" t="s">
        <v>15</v>
      </c>
      <c r="E70" s="9">
        <v>2.29</v>
      </c>
      <c r="F70" s="9">
        <f>E70*F69</f>
        <v>4.58</v>
      </c>
      <c r="G70" s="204"/>
      <c r="H70" s="205"/>
      <c r="I70" s="173"/>
      <c r="J70" s="173"/>
      <c r="K70" s="173"/>
      <c r="L70" s="173"/>
      <c r="M70" s="173"/>
    </row>
    <row r="71" spans="1:13" ht="12.75">
      <c r="A71" s="523"/>
      <c r="B71" s="10" t="s">
        <v>25</v>
      </c>
      <c r="C71" s="10"/>
      <c r="D71" s="11" t="s">
        <v>0</v>
      </c>
      <c r="E71" s="3">
        <v>0.09</v>
      </c>
      <c r="F71" s="12">
        <f>E71*F69</f>
        <v>0.18</v>
      </c>
      <c r="G71" s="206"/>
      <c r="H71" s="206"/>
      <c r="I71" s="206"/>
      <c r="J71" s="206"/>
      <c r="K71" s="206"/>
      <c r="L71" s="206"/>
      <c r="M71" s="206"/>
    </row>
    <row r="72" spans="1:13" ht="12.75">
      <c r="A72" s="523"/>
      <c r="B72" s="3" t="s">
        <v>23</v>
      </c>
      <c r="C72" s="3"/>
      <c r="D72" s="11"/>
      <c r="E72" s="3"/>
      <c r="F72" s="11"/>
      <c r="G72" s="206"/>
      <c r="H72" s="206"/>
      <c r="I72" s="206"/>
      <c r="J72" s="206"/>
      <c r="K72" s="206"/>
      <c r="L72" s="206"/>
      <c r="M72" s="206"/>
    </row>
    <row r="73" spans="1:13" ht="12.75">
      <c r="A73" s="523"/>
      <c r="B73" s="13" t="s">
        <v>380</v>
      </c>
      <c r="C73" s="61"/>
      <c r="D73" s="11" t="s">
        <v>24</v>
      </c>
      <c r="E73" s="202" t="s">
        <v>38</v>
      </c>
      <c r="F73" s="207">
        <f>F69</f>
        <v>2</v>
      </c>
      <c r="G73" s="206"/>
      <c r="H73" s="206"/>
      <c r="I73" s="206"/>
      <c r="J73" s="206"/>
      <c r="K73" s="206"/>
      <c r="L73" s="206"/>
      <c r="M73" s="206"/>
    </row>
    <row r="74" spans="1:13" ht="12.75">
      <c r="A74" s="523"/>
      <c r="B74" s="13" t="s">
        <v>18</v>
      </c>
      <c r="C74" s="13"/>
      <c r="D74" s="11" t="s">
        <v>0</v>
      </c>
      <c r="E74" s="3">
        <v>0.68</v>
      </c>
      <c r="F74" s="11">
        <f>E74*F69</f>
        <v>1.36</v>
      </c>
      <c r="G74" s="206"/>
      <c r="H74" s="206"/>
      <c r="I74" s="206"/>
      <c r="J74" s="206"/>
      <c r="K74" s="206"/>
      <c r="L74" s="206"/>
      <c r="M74" s="206"/>
    </row>
    <row r="75" spans="1:13" ht="31.5">
      <c r="A75" s="523">
        <v>11</v>
      </c>
      <c r="B75" s="4" t="s">
        <v>165</v>
      </c>
      <c r="C75" s="162" t="s">
        <v>381</v>
      </c>
      <c r="D75" s="5" t="s">
        <v>24</v>
      </c>
      <c r="E75" s="5"/>
      <c r="F75" s="6">
        <v>6</v>
      </c>
      <c r="G75" s="172"/>
      <c r="H75" s="201"/>
      <c r="I75" s="201"/>
      <c r="J75" s="201"/>
      <c r="K75" s="201"/>
      <c r="L75" s="201"/>
      <c r="M75" s="201"/>
    </row>
    <row r="76" spans="1:13" ht="12.75">
      <c r="A76" s="523"/>
      <c r="B76" s="20" t="s">
        <v>12</v>
      </c>
      <c r="C76" s="20"/>
      <c r="D76" s="11" t="s">
        <v>15</v>
      </c>
      <c r="E76" s="3">
        <v>0.62</v>
      </c>
      <c r="F76" s="12">
        <f>F75*E76</f>
        <v>3.7199999999999998</v>
      </c>
      <c r="G76" s="208"/>
      <c r="H76" s="209"/>
      <c r="I76" s="206"/>
      <c r="J76" s="206"/>
      <c r="K76" s="206"/>
      <c r="L76" s="206"/>
      <c r="M76" s="206"/>
    </row>
    <row r="77" spans="1:13" ht="12.75">
      <c r="A77" s="523"/>
      <c r="B77" s="10" t="s">
        <v>25</v>
      </c>
      <c r="C77" s="10"/>
      <c r="D77" s="11" t="s">
        <v>0</v>
      </c>
      <c r="E77" s="3">
        <v>0.41</v>
      </c>
      <c r="F77" s="12">
        <f>F75*E77</f>
        <v>2.46</v>
      </c>
      <c r="G77" s="206"/>
      <c r="H77" s="206"/>
      <c r="I77" s="206"/>
      <c r="J77" s="206"/>
      <c r="K77" s="206"/>
      <c r="L77" s="206"/>
      <c r="M77" s="206"/>
    </row>
    <row r="78" spans="1:13" ht="12.75">
      <c r="A78" s="523"/>
      <c r="B78" s="3" t="s">
        <v>23</v>
      </c>
      <c r="C78" s="3"/>
      <c r="D78" s="11"/>
      <c r="E78" s="3"/>
      <c r="F78" s="11"/>
      <c r="G78" s="206"/>
      <c r="H78" s="206"/>
      <c r="I78" s="206"/>
      <c r="J78" s="206"/>
      <c r="K78" s="206"/>
      <c r="L78" s="206"/>
      <c r="M78" s="206"/>
    </row>
    <row r="79" spans="1:13" ht="12.75">
      <c r="A79" s="523"/>
      <c r="B79" s="13" t="s">
        <v>382</v>
      </c>
      <c r="C79" s="61"/>
      <c r="D79" s="11" t="s">
        <v>24</v>
      </c>
      <c r="E79" s="2">
        <v>1</v>
      </c>
      <c r="F79" s="207">
        <f>E79*F75</f>
        <v>6</v>
      </c>
      <c r="G79" s="206"/>
      <c r="H79" s="206"/>
      <c r="I79" s="206"/>
      <c r="J79" s="206"/>
      <c r="K79" s="206"/>
      <c r="L79" s="206"/>
      <c r="M79" s="206"/>
    </row>
    <row r="80" spans="1:13" ht="13.5" thickBot="1">
      <c r="A80" s="523"/>
      <c r="B80" s="13" t="s">
        <v>18</v>
      </c>
      <c r="C80" s="13"/>
      <c r="D80" s="11" t="s">
        <v>0</v>
      </c>
      <c r="E80" s="3">
        <v>0.04</v>
      </c>
      <c r="F80" s="11">
        <f>F75*E80</f>
        <v>0.24</v>
      </c>
      <c r="G80" s="206"/>
      <c r="H80" s="206"/>
      <c r="I80" s="206"/>
      <c r="J80" s="206"/>
      <c r="K80" s="206"/>
      <c r="L80" s="206"/>
      <c r="M80" s="206"/>
    </row>
    <row r="81" spans="1:13" ht="13.5" thickBot="1">
      <c r="A81" s="177"/>
      <c r="B81" s="178" t="s">
        <v>8</v>
      </c>
      <c r="C81" s="178"/>
      <c r="D81" s="179"/>
      <c r="E81" s="179"/>
      <c r="F81" s="179"/>
      <c r="G81" s="180"/>
      <c r="H81" s="181"/>
      <c r="I81" s="180"/>
      <c r="J81" s="181"/>
      <c r="K81" s="181"/>
      <c r="L81" s="181"/>
      <c r="M81" s="181"/>
    </row>
    <row r="82" spans="1:13" ht="12.75">
      <c r="A82" s="182"/>
      <c r="B82" s="183" t="s">
        <v>621</v>
      </c>
      <c r="C82" s="183"/>
      <c r="D82" s="151"/>
      <c r="E82" s="151"/>
      <c r="F82" s="151"/>
      <c r="G82" s="184"/>
      <c r="H82" s="185"/>
      <c r="I82" s="184"/>
      <c r="J82" s="185"/>
      <c r="K82" s="185"/>
      <c r="L82" s="185"/>
      <c r="M82" s="185"/>
    </row>
    <row r="83" spans="1:13" ht="12.75">
      <c r="A83" s="186"/>
      <c r="B83" s="20" t="s">
        <v>16</v>
      </c>
      <c r="C83" s="20"/>
      <c r="D83" s="3"/>
      <c r="E83" s="27" t="s">
        <v>671</v>
      </c>
      <c r="F83" s="3"/>
      <c r="G83" s="173"/>
      <c r="H83" s="173"/>
      <c r="I83" s="173"/>
      <c r="J83" s="173"/>
      <c r="K83" s="173"/>
      <c r="L83" s="173"/>
      <c r="M83" s="33"/>
    </row>
    <row r="84" spans="1:13" ht="12.75">
      <c r="A84" s="187"/>
      <c r="B84" s="167" t="s">
        <v>8</v>
      </c>
      <c r="C84" s="167"/>
      <c r="D84" s="5"/>
      <c r="E84" s="5"/>
      <c r="F84" s="5"/>
      <c r="G84" s="188"/>
      <c r="H84" s="188"/>
      <c r="I84" s="188"/>
      <c r="J84" s="188"/>
      <c r="K84" s="188"/>
      <c r="L84" s="188"/>
      <c r="M84" s="29"/>
    </row>
    <row r="85" spans="1:13" ht="12.75">
      <c r="A85" s="187"/>
      <c r="B85" s="167" t="s">
        <v>365</v>
      </c>
      <c r="C85" s="167"/>
      <c r="D85" s="5"/>
      <c r="E85" s="5"/>
      <c r="F85" s="5"/>
      <c r="G85" s="188"/>
      <c r="H85" s="188"/>
      <c r="I85" s="188"/>
      <c r="J85" s="188"/>
      <c r="K85" s="188"/>
      <c r="L85" s="188"/>
      <c r="M85" s="29"/>
    </row>
    <row r="86" spans="1:13" ht="12.75">
      <c r="A86" s="187"/>
      <c r="B86" s="167" t="s">
        <v>366</v>
      </c>
      <c r="C86" s="167"/>
      <c r="D86" s="5"/>
      <c r="E86" s="5"/>
      <c r="F86" s="5"/>
      <c r="G86" s="188"/>
      <c r="H86" s="188"/>
      <c r="I86" s="188"/>
      <c r="J86" s="188"/>
      <c r="K86" s="188"/>
      <c r="L86" s="188"/>
      <c r="M86" s="29"/>
    </row>
    <row r="87" spans="1:13" ht="12.75">
      <c r="A87" s="189"/>
      <c r="B87" s="10" t="s">
        <v>29</v>
      </c>
      <c r="C87" s="10"/>
      <c r="D87" s="3"/>
      <c r="E87" s="27" t="s">
        <v>671</v>
      </c>
      <c r="F87" s="3"/>
      <c r="G87" s="173"/>
      <c r="H87" s="173"/>
      <c r="I87" s="173"/>
      <c r="J87" s="173"/>
      <c r="K87" s="173"/>
      <c r="L87" s="173"/>
      <c r="M87" s="33"/>
    </row>
    <row r="88" spans="1:13" ht="12.75">
      <c r="A88" s="189"/>
      <c r="B88" s="10" t="s">
        <v>367</v>
      </c>
      <c r="C88" s="10"/>
      <c r="D88" s="3"/>
      <c r="E88" s="27" t="s">
        <v>671</v>
      </c>
      <c r="F88" s="3"/>
      <c r="G88" s="173"/>
      <c r="H88" s="173"/>
      <c r="I88" s="173"/>
      <c r="J88" s="173"/>
      <c r="K88" s="173"/>
      <c r="L88" s="173"/>
      <c r="M88" s="33"/>
    </row>
    <row r="89" spans="1:13" ht="12.75">
      <c r="A89" s="187"/>
      <c r="B89" s="167" t="s">
        <v>8</v>
      </c>
      <c r="C89" s="167"/>
      <c r="D89" s="5"/>
      <c r="E89" s="5"/>
      <c r="F89" s="5"/>
      <c r="G89" s="188"/>
      <c r="H89" s="188"/>
      <c r="I89" s="188"/>
      <c r="J89" s="188"/>
      <c r="K89" s="188"/>
      <c r="L89" s="188"/>
      <c r="M89" s="29"/>
    </row>
    <row r="90" spans="1:13" ht="12.75">
      <c r="A90" s="189"/>
      <c r="B90" s="10" t="s">
        <v>19</v>
      </c>
      <c r="C90" s="10"/>
      <c r="D90" s="3"/>
      <c r="E90" s="27" t="s">
        <v>671</v>
      </c>
      <c r="F90" s="3"/>
      <c r="G90" s="173"/>
      <c r="H90" s="173"/>
      <c r="I90" s="173"/>
      <c r="J90" s="173"/>
      <c r="K90" s="173"/>
      <c r="L90" s="173"/>
      <c r="M90" s="33"/>
    </row>
    <row r="91" spans="1:13" ht="12.75">
      <c r="A91" s="187"/>
      <c r="B91" s="167" t="s">
        <v>8</v>
      </c>
      <c r="C91" s="167"/>
      <c r="D91" s="5"/>
      <c r="E91" s="5"/>
      <c r="F91" s="5"/>
      <c r="G91" s="188"/>
      <c r="H91" s="188"/>
      <c r="I91" s="188"/>
      <c r="J91" s="188"/>
      <c r="K91" s="188"/>
      <c r="L91" s="188"/>
      <c r="M91" s="29"/>
    </row>
    <row r="92" spans="1:13" ht="12.75">
      <c r="A92" s="187"/>
      <c r="B92" s="10" t="s">
        <v>34</v>
      </c>
      <c r="C92" s="10"/>
      <c r="D92" s="5"/>
      <c r="E92" s="27">
        <v>0.03</v>
      </c>
      <c r="F92" s="5"/>
      <c r="G92" s="188"/>
      <c r="H92" s="188"/>
      <c r="I92" s="188"/>
      <c r="J92" s="188"/>
      <c r="K92" s="188"/>
      <c r="L92" s="188"/>
      <c r="M92" s="29"/>
    </row>
    <row r="93" spans="1:13" ht="12.75">
      <c r="A93" s="187"/>
      <c r="B93" s="167" t="s">
        <v>8</v>
      </c>
      <c r="C93" s="167"/>
      <c r="D93" s="5"/>
      <c r="E93" s="5"/>
      <c r="F93" s="5"/>
      <c r="G93" s="188"/>
      <c r="H93" s="188"/>
      <c r="I93" s="188"/>
      <c r="J93" s="188"/>
      <c r="K93" s="188"/>
      <c r="L93" s="188"/>
      <c r="M93" s="29"/>
    </row>
    <row r="94" spans="1:13" ht="12.75">
      <c r="A94" s="31"/>
      <c r="B94" s="31" t="s">
        <v>27</v>
      </c>
      <c r="C94" s="31"/>
      <c r="D94" s="31"/>
      <c r="E94" s="32">
        <v>0.18</v>
      </c>
      <c r="F94" s="31"/>
      <c r="G94" s="190"/>
      <c r="H94" s="190"/>
      <c r="I94" s="190"/>
      <c r="J94" s="190"/>
      <c r="K94" s="190"/>
      <c r="L94" s="190"/>
      <c r="M94" s="33"/>
    </row>
    <row r="95" spans="1:13" ht="12.75">
      <c r="A95" s="31"/>
      <c r="B95" s="30" t="s">
        <v>8</v>
      </c>
      <c r="C95" s="30"/>
      <c r="D95" s="31"/>
      <c r="E95" s="31"/>
      <c r="F95" s="31"/>
      <c r="G95" s="190"/>
      <c r="H95" s="190"/>
      <c r="I95" s="190"/>
      <c r="J95" s="190"/>
      <c r="K95" s="190"/>
      <c r="L95" s="190"/>
      <c r="M95" s="29"/>
    </row>
    <row r="96" ht="12.75">
      <c r="M96" s="291"/>
    </row>
    <row r="97" spans="2:13" ht="16.5">
      <c r="B97" s="285"/>
      <c r="C97" s="528"/>
      <c r="D97" s="528"/>
      <c r="E97" s="285"/>
      <c r="F97" s="285"/>
      <c r="G97" s="285"/>
      <c r="H97" s="285"/>
      <c r="I97" s="528"/>
      <c r="J97" s="528"/>
      <c r="K97" s="285"/>
      <c r="M97" s="291"/>
    </row>
    <row r="98" spans="2:13" ht="12.75">
      <c r="B98" s="284" t="s">
        <v>617</v>
      </c>
      <c r="C98" s="222"/>
      <c r="D98" s="506" t="s">
        <v>618</v>
      </c>
      <c r="E98" s="506"/>
      <c r="F98" s="222"/>
      <c r="G98" s="222"/>
      <c r="H98" s="222"/>
      <c r="I98" s="222"/>
      <c r="J98" s="222"/>
      <c r="K98" s="222"/>
      <c r="M98" s="291"/>
    </row>
    <row r="99" spans="2:11" ht="12.75">
      <c r="B99" s="222"/>
      <c r="C99" s="222"/>
      <c r="D99" s="222"/>
      <c r="E99" s="222"/>
      <c r="F99" s="222"/>
      <c r="G99" s="222"/>
      <c r="H99" s="222"/>
      <c r="I99" s="222"/>
      <c r="J99" s="222"/>
      <c r="K99" s="222"/>
    </row>
    <row r="100" spans="2:12" ht="12.75">
      <c r="B100" s="292"/>
      <c r="C100" s="292"/>
      <c r="D100" s="222"/>
      <c r="E100" s="222"/>
      <c r="F100" s="222"/>
      <c r="G100" s="222"/>
      <c r="H100" s="222"/>
      <c r="I100" s="222"/>
      <c r="J100" s="222"/>
      <c r="K100" s="222"/>
      <c r="L100" s="291"/>
    </row>
    <row r="101" spans="2:11" ht="12.75">
      <c r="B101" s="292"/>
      <c r="C101" s="222"/>
      <c r="D101" s="222"/>
      <c r="E101" s="222"/>
      <c r="F101" s="222"/>
      <c r="G101" s="222"/>
      <c r="H101" s="222"/>
      <c r="I101" s="222"/>
      <c r="J101" s="222"/>
      <c r="K101" s="222"/>
    </row>
    <row r="102" spans="2:11" ht="12.75">
      <c r="B102" s="293"/>
      <c r="C102" s="222"/>
      <c r="D102" s="222"/>
      <c r="E102" s="222"/>
      <c r="F102" s="222"/>
      <c r="G102" s="222"/>
      <c r="H102" s="222"/>
      <c r="I102" s="529"/>
      <c r="J102" s="529"/>
      <c r="K102" s="222"/>
    </row>
    <row r="103" spans="2:12" ht="12.75">
      <c r="B103" s="530"/>
      <c r="C103" s="530"/>
      <c r="D103" s="222"/>
      <c r="E103" s="222"/>
      <c r="F103" s="222"/>
      <c r="G103" s="222"/>
      <c r="H103" s="222"/>
      <c r="I103" s="222"/>
      <c r="J103" s="222"/>
      <c r="K103" s="222"/>
      <c r="L103" s="291"/>
    </row>
    <row r="104" spans="2:11" ht="12.75"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</row>
    <row r="105" spans="2:11" ht="12.75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</row>
    <row r="106" spans="2:11" ht="12.75"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</row>
    <row r="107" spans="2:11" ht="12.75"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</row>
    <row r="108" spans="2:11" ht="12.75"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</row>
    <row r="109" spans="2:11" ht="12.75"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</row>
  </sheetData>
  <sheetProtection/>
  <mergeCells count="32">
    <mergeCell ref="C97:D97"/>
    <mergeCell ref="I97:J97"/>
    <mergeCell ref="I102:J102"/>
    <mergeCell ref="B103:C103"/>
    <mergeCell ref="A69:A74"/>
    <mergeCell ref="A75:A80"/>
    <mergeCell ref="D98:E98"/>
    <mergeCell ref="A28:A33"/>
    <mergeCell ref="A34:A39"/>
    <mergeCell ref="A40:A44"/>
    <mergeCell ref="A63:A68"/>
    <mergeCell ref="A45:A48"/>
    <mergeCell ref="A55:A62"/>
    <mergeCell ref="A14:A21"/>
    <mergeCell ref="A22:A27"/>
    <mergeCell ref="F11:F12"/>
    <mergeCell ref="G11:H11"/>
    <mergeCell ref="I11:J11"/>
    <mergeCell ref="K11:L11"/>
    <mergeCell ref="A11:A12"/>
    <mergeCell ref="B11:B12"/>
    <mergeCell ref="C11:C12"/>
    <mergeCell ref="D11:D12"/>
    <mergeCell ref="E11:E12"/>
    <mergeCell ref="B9:G9"/>
    <mergeCell ref="A2:L2"/>
    <mergeCell ref="A3:L3"/>
    <mergeCell ref="A5:L5"/>
    <mergeCell ref="A6:L6"/>
    <mergeCell ref="H7:K7"/>
    <mergeCell ref="A8:D8"/>
    <mergeCell ref="H8:K8"/>
  </mergeCells>
  <conditionalFormatting sqref="B40 D40 B45 D45 D16:D17">
    <cfRule type="cellIs" priority="1" dxfId="0" operator="equal" stopIfTrue="1">
      <formula>8223.307275</formula>
    </cfRule>
  </conditionalFormatting>
  <printOptions/>
  <pageMargins left="0.2" right="0.31496062992125984" top="0.5511811023622047" bottom="0.35433070866141736" header="0.11811023622047245" footer="0.11811023622047245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M194"/>
  <sheetViews>
    <sheetView zoomScalePageLayoutView="0" workbookViewId="0" topLeftCell="A157">
      <selection activeCell="H181" sqref="H181"/>
    </sheetView>
  </sheetViews>
  <sheetFormatPr defaultColWidth="9.140625" defaultRowHeight="12.75"/>
  <cols>
    <col min="1" max="1" width="2.7109375" style="213" customWidth="1"/>
    <col min="2" max="2" width="52.7109375" style="159" customWidth="1"/>
    <col min="3" max="3" width="7.7109375" style="222" customWidth="1"/>
    <col min="4" max="4" width="7.57421875" style="222" customWidth="1"/>
    <col min="5" max="5" width="9.8515625" style="222" customWidth="1"/>
    <col min="6" max="6" width="9.140625" style="222" customWidth="1"/>
    <col min="7" max="7" width="10.00390625" style="222" customWidth="1"/>
    <col min="8" max="8" width="12.57421875" style="222" bestFit="1" customWidth="1"/>
    <col min="9" max="9" width="10.28125" style="222" customWidth="1"/>
    <col min="10" max="10" width="12.57421875" style="222" bestFit="1" customWidth="1"/>
    <col min="11" max="11" width="10.00390625" style="222" customWidth="1"/>
    <col min="12" max="12" width="11.28125" style="222" customWidth="1"/>
    <col min="13" max="13" width="14.00390625" style="222" bestFit="1" customWidth="1"/>
    <col min="14" max="16384" width="9.140625" style="222" customWidth="1"/>
  </cols>
  <sheetData>
    <row r="2" spans="1:12" ht="15">
      <c r="A2" s="508" t="s">
        <v>619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ht="14.25">
      <c r="A3" s="519" t="s">
        <v>58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2" ht="14.25">
      <c r="A4" s="520" t="s">
        <v>62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</row>
    <row r="5" spans="1:12" ht="21.75" customHeight="1">
      <c r="A5" s="521" t="s">
        <v>60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3" ht="12.75">
      <c r="A6" s="210"/>
      <c r="B6" s="210"/>
      <c r="C6" s="210"/>
      <c r="D6" s="210"/>
      <c r="E6" s="210"/>
      <c r="F6" s="210"/>
      <c r="G6" s="210"/>
      <c r="H6" s="531" t="s">
        <v>36</v>
      </c>
      <c r="I6" s="531"/>
      <c r="J6" s="531"/>
      <c r="K6" s="531"/>
      <c r="L6" s="211">
        <f>M180/1000</f>
        <v>0</v>
      </c>
      <c r="M6" s="212" t="s">
        <v>35</v>
      </c>
    </row>
    <row r="7" spans="1:13" ht="12.75">
      <c r="A7" s="210"/>
      <c r="B7" s="518" t="s">
        <v>357</v>
      </c>
      <c r="C7" s="518"/>
      <c r="D7" s="518"/>
      <c r="E7" s="518"/>
      <c r="F7" s="518"/>
      <c r="G7" s="518"/>
      <c r="H7" s="531" t="s">
        <v>37</v>
      </c>
      <c r="I7" s="531"/>
      <c r="J7" s="531"/>
      <c r="K7" s="531"/>
      <c r="L7" s="211">
        <f>J167/1000</f>
        <v>0</v>
      </c>
      <c r="M7" s="212" t="s">
        <v>35</v>
      </c>
    </row>
    <row r="8" spans="3:13" ht="6" customHeight="1">
      <c r="C8" s="159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3" ht="12.75" customHeight="1">
      <c r="A9" s="537" t="s">
        <v>1</v>
      </c>
      <c r="B9" s="532" t="s">
        <v>2</v>
      </c>
      <c r="C9" s="541" t="s">
        <v>358</v>
      </c>
      <c r="D9" s="532" t="s">
        <v>3</v>
      </c>
      <c r="E9" s="532" t="s">
        <v>11</v>
      </c>
      <c r="F9" s="532" t="s">
        <v>4</v>
      </c>
      <c r="G9" s="533" t="s">
        <v>17</v>
      </c>
      <c r="H9" s="533"/>
      <c r="I9" s="533" t="s">
        <v>5</v>
      </c>
      <c r="J9" s="533"/>
      <c r="K9" s="532" t="s">
        <v>6</v>
      </c>
      <c r="L9" s="532"/>
      <c r="M9" s="215" t="s">
        <v>21</v>
      </c>
    </row>
    <row r="10" spans="1:13" ht="12.75">
      <c r="A10" s="537"/>
      <c r="B10" s="532"/>
      <c r="C10" s="542"/>
      <c r="D10" s="532"/>
      <c r="E10" s="532"/>
      <c r="F10" s="532"/>
      <c r="G10" s="1" t="s">
        <v>7</v>
      </c>
      <c r="H10" s="2" t="s">
        <v>8</v>
      </c>
      <c r="I10" s="1" t="s">
        <v>7</v>
      </c>
      <c r="J10" s="2" t="s">
        <v>8</v>
      </c>
      <c r="K10" s="1" t="s">
        <v>7</v>
      </c>
      <c r="L10" s="2" t="s">
        <v>9</v>
      </c>
      <c r="M10" s="1" t="s">
        <v>10</v>
      </c>
    </row>
    <row r="11" spans="1:13" ht="12.75">
      <c r="A11" s="216">
        <v>1</v>
      </c>
      <c r="B11" s="3">
        <v>2</v>
      </c>
      <c r="C11" s="216">
        <v>3</v>
      </c>
      <c r="D11" s="216">
        <v>4</v>
      </c>
      <c r="E11" s="3">
        <v>5</v>
      </c>
      <c r="F11" s="216">
        <v>6</v>
      </c>
      <c r="G11" s="3">
        <v>7</v>
      </c>
      <c r="H11" s="216">
        <v>8</v>
      </c>
      <c r="I11" s="3">
        <v>9</v>
      </c>
      <c r="J11" s="216">
        <v>10</v>
      </c>
      <c r="K11" s="3">
        <v>11</v>
      </c>
      <c r="L11" s="216">
        <v>12</v>
      </c>
      <c r="M11" s="3">
        <v>13</v>
      </c>
    </row>
    <row r="12" spans="1:13" ht="38.25">
      <c r="A12" s="538">
        <v>1</v>
      </c>
      <c r="B12" s="164" t="s">
        <v>63</v>
      </c>
      <c r="C12" s="217" t="s">
        <v>383</v>
      </c>
      <c r="D12" s="5" t="s">
        <v>48</v>
      </c>
      <c r="E12" s="165"/>
      <c r="F12" s="21">
        <v>10</v>
      </c>
      <c r="G12" s="163"/>
      <c r="H12" s="163"/>
      <c r="I12" s="163"/>
      <c r="J12" s="163"/>
      <c r="K12" s="163"/>
      <c r="L12" s="163"/>
      <c r="M12" s="163"/>
    </row>
    <row r="13" spans="1:13" ht="13.5">
      <c r="A13" s="538"/>
      <c r="B13" s="166" t="s">
        <v>12</v>
      </c>
      <c r="C13" s="166"/>
      <c r="D13" s="1" t="s">
        <v>15</v>
      </c>
      <c r="E13" s="165">
        <v>2.06</v>
      </c>
      <c r="F13" s="22">
        <f>E13*F12</f>
        <v>20.6</v>
      </c>
      <c r="G13" s="163"/>
      <c r="H13" s="163"/>
      <c r="I13" s="163"/>
      <c r="J13" s="163"/>
      <c r="K13" s="163"/>
      <c r="L13" s="163"/>
      <c r="M13" s="163"/>
    </row>
    <row r="14" spans="1:13" ht="38.25">
      <c r="A14" s="538">
        <v>2</v>
      </c>
      <c r="B14" s="164" t="s">
        <v>64</v>
      </c>
      <c r="C14" s="217" t="s">
        <v>384</v>
      </c>
      <c r="D14" s="5" t="s">
        <v>48</v>
      </c>
      <c r="E14" s="3"/>
      <c r="F14" s="21">
        <v>1.3</v>
      </c>
      <c r="G14" s="163"/>
      <c r="H14" s="163"/>
      <c r="I14" s="163"/>
      <c r="J14" s="163"/>
      <c r="K14" s="163"/>
      <c r="L14" s="163"/>
      <c r="M14" s="163"/>
    </row>
    <row r="15" spans="1:13" ht="12.75">
      <c r="A15" s="538"/>
      <c r="B15" s="166" t="s">
        <v>12</v>
      </c>
      <c r="C15" s="166"/>
      <c r="D15" s="1" t="s">
        <v>15</v>
      </c>
      <c r="E15" s="3">
        <v>1.37</v>
      </c>
      <c r="F15" s="9">
        <f>E15*F14</f>
        <v>1.7810000000000001</v>
      </c>
      <c r="G15" s="163"/>
      <c r="H15" s="163"/>
      <c r="I15" s="163"/>
      <c r="J15" s="163"/>
      <c r="K15" s="163"/>
      <c r="L15" s="163"/>
      <c r="M15" s="163"/>
    </row>
    <row r="16" spans="1:13" ht="12.75">
      <c r="A16" s="538"/>
      <c r="B16" s="10" t="s">
        <v>25</v>
      </c>
      <c r="C16" s="10"/>
      <c r="D16" s="3" t="s">
        <v>22</v>
      </c>
      <c r="E16" s="3">
        <f>28.3/100</f>
        <v>0.28300000000000003</v>
      </c>
      <c r="F16" s="9">
        <f>E16*F14</f>
        <v>0.36790000000000006</v>
      </c>
      <c r="G16" s="163"/>
      <c r="H16" s="163"/>
      <c r="I16" s="163"/>
      <c r="J16" s="163"/>
      <c r="K16" s="163"/>
      <c r="L16" s="163"/>
      <c r="M16" s="163"/>
    </row>
    <row r="17" spans="1:13" ht="12.75">
      <c r="A17" s="538"/>
      <c r="B17" s="3" t="s">
        <v>23</v>
      </c>
      <c r="C17" s="3"/>
      <c r="D17" s="5"/>
      <c r="E17" s="3"/>
      <c r="F17" s="9"/>
      <c r="G17" s="163"/>
      <c r="H17" s="163"/>
      <c r="I17" s="163"/>
      <c r="J17" s="163"/>
      <c r="K17" s="163"/>
      <c r="L17" s="163"/>
      <c r="M17" s="163"/>
    </row>
    <row r="18" spans="1:13" ht="15">
      <c r="A18" s="538"/>
      <c r="B18" s="10" t="s">
        <v>65</v>
      </c>
      <c r="C18" s="3"/>
      <c r="D18" s="3" t="s">
        <v>48</v>
      </c>
      <c r="E18" s="3">
        <v>1.02</v>
      </c>
      <c r="F18" s="9">
        <f>E18*F14</f>
        <v>1.326</v>
      </c>
      <c r="G18" s="163"/>
      <c r="H18" s="163"/>
      <c r="I18" s="163"/>
      <c r="J18" s="163"/>
      <c r="K18" s="163"/>
      <c r="L18" s="163"/>
      <c r="M18" s="163"/>
    </row>
    <row r="19" spans="1:13" ht="12.75">
      <c r="A19" s="538"/>
      <c r="B19" s="166" t="s">
        <v>50</v>
      </c>
      <c r="C19" s="166"/>
      <c r="D19" s="1" t="s">
        <v>0</v>
      </c>
      <c r="E19" s="3">
        <v>0.62</v>
      </c>
      <c r="F19" s="22">
        <f>E19*F14</f>
        <v>0.806</v>
      </c>
      <c r="G19" s="163"/>
      <c r="H19" s="163"/>
      <c r="I19" s="163"/>
      <c r="J19" s="163"/>
      <c r="K19" s="163"/>
      <c r="L19" s="163"/>
      <c r="M19" s="163"/>
    </row>
    <row r="20" spans="1:13" ht="38.25">
      <c r="A20" s="534">
        <v>3</v>
      </c>
      <c r="B20" s="167" t="s">
        <v>67</v>
      </c>
      <c r="C20" s="218" t="s">
        <v>385</v>
      </c>
      <c r="D20" s="5" t="s">
        <v>146</v>
      </c>
      <c r="E20" s="3"/>
      <c r="F20" s="21">
        <v>5.8</v>
      </c>
      <c r="G20" s="163"/>
      <c r="H20" s="163"/>
      <c r="I20" s="163"/>
      <c r="J20" s="163"/>
      <c r="K20" s="163"/>
      <c r="L20" s="163"/>
      <c r="M20" s="163"/>
    </row>
    <row r="21" spans="1:13" ht="12.75">
      <c r="A21" s="535"/>
      <c r="B21" s="10" t="s">
        <v>12</v>
      </c>
      <c r="C21" s="10"/>
      <c r="D21" s="1" t="s">
        <v>15</v>
      </c>
      <c r="E21" s="3">
        <v>3.78</v>
      </c>
      <c r="F21" s="22">
        <f>E21*F20</f>
        <v>21.924</v>
      </c>
      <c r="G21" s="163"/>
      <c r="H21" s="163"/>
      <c r="I21" s="163"/>
      <c r="J21" s="163"/>
      <c r="K21" s="163"/>
      <c r="L21" s="163"/>
      <c r="M21" s="163"/>
    </row>
    <row r="22" spans="1:13" ht="12.75">
      <c r="A22" s="535"/>
      <c r="B22" s="10" t="s">
        <v>25</v>
      </c>
      <c r="C22" s="10"/>
      <c r="D22" s="3" t="s">
        <v>0</v>
      </c>
      <c r="E22" s="3">
        <v>0.92</v>
      </c>
      <c r="F22" s="22">
        <f>E22*F20</f>
        <v>5.336</v>
      </c>
      <c r="G22" s="163"/>
      <c r="H22" s="163"/>
      <c r="I22" s="163"/>
      <c r="J22" s="163"/>
      <c r="K22" s="163"/>
      <c r="L22" s="163"/>
      <c r="M22" s="163"/>
    </row>
    <row r="23" spans="1:13" ht="12.75">
      <c r="A23" s="535"/>
      <c r="B23" s="3" t="s">
        <v>23</v>
      </c>
      <c r="C23" s="3"/>
      <c r="D23" s="3"/>
      <c r="E23" s="3"/>
      <c r="F23" s="22"/>
      <c r="G23" s="163"/>
      <c r="H23" s="163"/>
      <c r="I23" s="163"/>
      <c r="J23" s="163"/>
      <c r="K23" s="163"/>
      <c r="L23" s="163"/>
      <c r="M23" s="163"/>
    </row>
    <row r="24" spans="1:13" ht="15">
      <c r="A24" s="535"/>
      <c r="B24" s="10" t="s">
        <v>68</v>
      </c>
      <c r="C24" s="3"/>
      <c r="D24" s="3" t="s">
        <v>48</v>
      </c>
      <c r="E24" s="3">
        <f>101.5/100</f>
        <v>1.015</v>
      </c>
      <c r="F24" s="22">
        <f>E24*F20</f>
        <v>5.887</v>
      </c>
      <c r="G24" s="163"/>
      <c r="H24" s="163"/>
      <c r="I24" s="163"/>
      <c r="J24" s="163"/>
      <c r="K24" s="163"/>
      <c r="L24" s="163"/>
      <c r="M24" s="163"/>
    </row>
    <row r="25" spans="1:13" ht="15">
      <c r="A25" s="535"/>
      <c r="B25" s="10" t="s">
        <v>359</v>
      </c>
      <c r="C25" s="3"/>
      <c r="D25" s="3" t="s">
        <v>112</v>
      </c>
      <c r="E25" s="3">
        <f>70.3/100</f>
        <v>0.703</v>
      </c>
      <c r="F25" s="22">
        <f>E25*F20</f>
        <v>4.0774</v>
      </c>
      <c r="G25" s="163"/>
      <c r="H25" s="163"/>
      <c r="I25" s="163"/>
      <c r="J25" s="163"/>
      <c r="K25" s="163"/>
      <c r="L25" s="163"/>
      <c r="M25" s="163"/>
    </row>
    <row r="26" spans="1:13" ht="15">
      <c r="A26" s="535"/>
      <c r="B26" s="10" t="s">
        <v>360</v>
      </c>
      <c r="C26" s="3"/>
      <c r="D26" s="3" t="s">
        <v>48</v>
      </c>
      <c r="E26" s="3">
        <f>1.14/100</f>
        <v>0.011399999999999999</v>
      </c>
      <c r="F26" s="22">
        <f>E26*F20</f>
        <v>0.06611999999999998</v>
      </c>
      <c r="G26" s="163"/>
      <c r="H26" s="163"/>
      <c r="I26" s="163"/>
      <c r="J26" s="163"/>
      <c r="K26" s="163"/>
      <c r="L26" s="163"/>
      <c r="M26" s="163"/>
    </row>
    <row r="27" spans="1:13" ht="12.75">
      <c r="A27" s="535"/>
      <c r="B27" s="10" t="s">
        <v>70</v>
      </c>
      <c r="C27" s="3"/>
      <c r="D27" s="3" t="s">
        <v>30</v>
      </c>
      <c r="E27" s="3" t="s">
        <v>38</v>
      </c>
      <c r="F27" s="22">
        <v>0.147</v>
      </c>
      <c r="G27" s="163"/>
      <c r="H27" s="163"/>
      <c r="I27" s="163"/>
      <c r="J27" s="163"/>
      <c r="K27" s="163"/>
      <c r="L27" s="163"/>
      <c r="M27" s="163"/>
    </row>
    <row r="28" spans="1:13" ht="12.75">
      <c r="A28" s="535"/>
      <c r="B28" s="10" t="s">
        <v>50</v>
      </c>
      <c r="C28" s="3"/>
      <c r="D28" s="3" t="s">
        <v>0</v>
      </c>
      <c r="E28" s="3">
        <f>60/100</f>
        <v>0.6</v>
      </c>
      <c r="F28" s="22">
        <f>E28*F20</f>
        <v>3.48</v>
      </c>
      <c r="G28" s="163"/>
      <c r="H28" s="163"/>
      <c r="I28" s="163"/>
      <c r="J28" s="163"/>
      <c r="K28" s="163"/>
      <c r="L28" s="163"/>
      <c r="M28" s="163"/>
    </row>
    <row r="29" spans="1:13" ht="38.25">
      <c r="A29" s="538">
        <v>4</v>
      </c>
      <c r="B29" s="4" t="s">
        <v>71</v>
      </c>
      <c r="C29" s="218" t="s">
        <v>364</v>
      </c>
      <c r="D29" s="5" t="s">
        <v>146</v>
      </c>
      <c r="E29" s="19"/>
      <c r="F29" s="6">
        <f>F12-F14-F20</f>
        <v>2.8999999999999995</v>
      </c>
      <c r="G29" s="172"/>
      <c r="H29" s="172"/>
      <c r="I29" s="172"/>
      <c r="J29" s="172"/>
      <c r="K29" s="172"/>
      <c r="L29" s="172"/>
      <c r="M29" s="172"/>
    </row>
    <row r="30" spans="1:13" ht="12.75">
      <c r="A30" s="538"/>
      <c r="B30" s="20" t="s">
        <v>12</v>
      </c>
      <c r="C30" s="20"/>
      <c r="D30" s="1" t="s">
        <v>15</v>
      </c>
      <c r="E30" s="1">
        <v>1.43</v>
      </c>
      <c r="F30" s="2">
        <f>E30*F29</f>
        <v>4.146999999999999</v>
      </c>
      <c r="G30" s="163"/>
      <c r="H30" s="163"/>
      <c r="I30" s="163"/>
      <c r="J30" s="163"/>
      <c r="K30" s="163"/>
      <c r="L30" s="163"/>
      <c r="M30" s="163"/>
    </row>
    <row r="31" spans="1:13" ht="38.25">
      <c r="A31" s="538">
        <v>5</v>
      </c>
      <c r="B31" s="4" t="s">
        <v>72</v>
      </c>
      <c r="C31" s="218" t="s">
        <v>364</v>
      </c>
      <c r="D31" s="5" t="s">
        <v>146</v>
      </c>
      <c r="E31" s="19"/>
      <c r="F31" s="6">
        <f>F14+F20</f>
        <v>7.1</v>
      </c>
      <c r="G31" s="172"/>
      <c r="H31" s="172"/>
      <c r="I31" s="172"/>
      <c r="J31" s="172"/>
      <c r="K31" s="172"/>
      <c r="L31" s="172"/>
      <c r="M31" s="172"/>
    </row>
    <row r="32" spans="1:13" ht="12.75">
      <c r="A32" s="538"/>
      <c r="B32" s="20" t="s">
        <v>12</v>
      </c>
      <c r="C32" s="20"/>
      <c r="D32" s="1" t="s">
        <v>15</v>
      </c>
      <c r="E32" s="1">
        <f>1.43*1.2</f>
        <v>1.716</v>
      </c>
      <c r="F32" s="2">
        <f>E32*F31</f>
        <v>12.183599999999998</v>
      </c>
      <c r="G32" s="163"/>
      <c r="H32" s="163"/>
      <c r="I32" s="163"/>
      <c r="J32" s="163"/>
      <c r="K32" s="163"/>
      <c r="L32" s="163"/>
      <c r="M32" s="163"/>
    </row>
    <row r="33" spans="1:13" ht="38.25">
      <c r="A33" s="538">
        <v>6</v>
      </c>
      <c r="B33" s="164" t="s">
        <v>73</v>
      </c>
      <c r="C33" s="218" t="s">
        <v>386</v>
      </c>
      <c r="D33" s="5" t="s">
        <v>146</v>
      </c>
      <c r="E33" s="3"/>
      <c r="F33" s="21">
        <v>17.8</v>
      </c>
      <c r="G33" s="163"/>
      <c r="H33" s="163"/>
      <c r="I33" s="163"/>
      <c r="J33" s="163"/>
      <c r="K33" s="163"/>
      <c r="L33" s="163"/>
      <c r="M33" s="163"/>
    </row>
    <row r="34" spans="1:13" ht="12.75">
      <c r="A34" s="538"/>
      <c r="B34" s="10" t="s">
        <v>12</v>
      </c>
      <c r="C34" s="10"/>
      <c r="D34" s="1" t="s">
        <v>15</v>
      </c>
      <c r="E34" s="3">
        <v>3.08</v>
      </c>
      <c r="F34" s="22">
        <f>E34*F33</f>
        <v>54.824000000000005</v>
      </c>
      <c r="G34" s="163"/>
      <c r="H34" s="163"/>
      <c r="I34" s="163"/>
      <c r="J34" s="163"/>
      <c r="K34" s="163"/>
      <c r="L34" s="163"/>
      <c r="M34" s="163"/>
    </row>
    <row r="35" spans="1:13" ht="12.75">
      <c r="A35" s="538"/>
      <c r="B35" s="10" t="s">
        <v>25</v>
      </c>
      <c r="C35" s="10"/>
      <c r="D35" s="3" t="s">
        <v>0</v>
      </c>
      <c r="E35" s="3">
        <v>0.92</v>
      </c>
      <c r="F35" s="22">
        <f>E35*F33</f>
        <v>16.376</v>
      </c>
      <c r="G35" s="163"/>
      <c r="H35" s="163"/>
      <c r="I35" s="163"/>
      <c r="J35" s="163"/>
      <c r="K35" s="163"/>
      <c r="L35" s="163"/>
      <c r="M35" s="163"/>
    </row>
    <row r="36" spans="1:13" ht="12.75">
      <c r="A36" s="538"/>
      <c r="B36" s="3" t="s">
        <v>23</v>
      </c>
      <c r="C36" s="3"/>
      <c r="D36" s="3"/>
      <c r="E36" s="3"/>
      <c r="F36" s="22"/>
      <c r="G36" s="163"/>
      <c r="H36" s="163"/>
      <c r="I36" s="163"/>
      <c r="J36" s="163"/>
      <c r="K36" s="163"/>
      <c r="L36" s="163"/>
      <c r="M36" s="163"/>
    </row>
    <row r="37" spans="1:13" ht="15">
      <c r="A37" s="538"/>
      <c r="B37" s="166" t="s">
        <v>74</v>
      </c>
      <c r="C37" s="3"/>
      <c r="D37" s="3" t="s">
        <v>48</v>
      </c>
      <c r="E37" s="3">
        <v>0.11</v>
      </c>
      <c r="F37" s="22">
        <f>E37*F33</f>
        <v>1.9580000000000002</v>
      </c>
      <c r="G37" s="163"/>
      <c r="H37" s="163"/>
      <c r="I37" s="163"/>
      <c r="J37" s="163"/>
      <c r="K37" s="163"/>
      <c r="L37" s="163"/>
      <c r="M37" s="163"/>
    </row>
    <row r="38" spans="1:13" ht="12.75">
      <c r="A38" s="538"/>
      <c r="B38" s="166" t="s">
        <v>75</v>
      </c>
      <c r="C38" s="3"/>
      <c r="D38" s="3" t="s">
        <v>76</v>
      </c>
      <c r="E38" s="3">
        <v>62.5</v>
      </c>
      <c r="F38" s="22">
        <f>E38*F33</f>
        <v>1112.5</v>
      </c>
      <c r="G38" s="163"/>
      <c r="H38" s="163"/>
      <c r="I38" s="163"/>
      <c r="J38" s="163"/>
      <c r="K38" s="163"/>
      <c r="L38" s="163"/>
      <c r="M38" s="163"/>
    </row>
    <row r="39" spans="1:13" ht="12.75">
      <c r="A39" s="538"/>
      <c r="B39" s="166" t="s">
        <v>50</v>
      </c>
      <c r="C39" s="166"/>
      <c r="D39" s="3" t="s">
        <v>0</v>
      </c>
      <c r="E39" s="3">
        <v>0.16</v>
      </c>
      <c r="F39" s="22">
        <f>E39*F33</f>
        <v>2.8480000000000003</v>
      </c>
      <c r="G39" s="163"/>
      <c r="H39" s="163"/>
      <c r="I39" s="163"/>
      <c r="J39" s="163"/>
      <c r="K39" s="163"/>
      <c r="L39" s="163"/>
      <c r="M39" s="163"/>
    </row>
    <row r="40" spans="1:13" ht="38.25">
      <c r="A40" s="538">
        <v>7</v>
      </c>
      <c r="B40" s="164" t="s">
        <v>77</v>
      </c>
      <c r="C40" s="217" t="s">
        <v>387</v>
      </c>
      <c r="D40" s="5" t="s">
        <v>32</v>
      </c>
      <c r="E40" s="3"/>
      <c r="F40" s="21">
        <v>6.5</v>
      </c>
      <c r="G40" s="163"/>
      <c r="H40" s="163"/>
      <c r="I40" s="163"/>
      <c r="J40" s="163"/>
      <c r="K40" s="163"/>
      <c r="L40" s="163"/>
      <c r="M40" s="163"/>
    </row>
    <row r="41" spans="1:13" ht="12.75">
      <c r="A41" s="538"/>
      <c r="B41" s="10" t="s">
        <v>12</v>
      </c>
      <c r="C41" s="10"/>
      <c r="D41" s="1" t="s">
        <v>15</v>
      </c>
      <c r="E41" s="294">
        <f>0.1888+0.0034*2</f>
        <v>0.1956</v>
      </c>
      <c r="F41" s="22">
        <f>E41*F40</f>
        <v>1.2713999999999999</v>
      </c>
      <c r="G41" s="163"/>
      <c r="H41" s="163"/>
      <c r="I41" s="163"/>
      <c r="J41" s="163"/>
      <c r="K41" s="163"/>
      <c r="L41" s="163"/>
      <c r="M41" s="163"/>
    </row>
    <row r="42" spans="1:13" ht="12.75">
      <c r="A42" s="538"/>
      <c r="B42" s="10" t="s">
        <v>25</v>
      </c>
      <c r="C42" s="10"/>
      <c r="D42" s="3" t="s">
        <v>0</v>
      </c>
      <c r="E42" s="294">
        <f>0.0095+0.0023*2</f>
        <v>0.0141</v>
      </c>
      <c r="F42" s="22">
        <f>E42*F40</f>
        <v>0.09165</v>
      </c>
      <c r="G42" s="163"/>
      <c r="H42" s="163"/>
      <c r="I42" s="163"/>
      <c r="J42" s="163"/>
      <c r="K42" s="163"/>
      <c r="L42" s="163"/>
      <c r="M42" s="163"/>
    </row>
    <row r="43" spans="1:13" ht="12.75">
      <c r="A43" s="538"/>
      <c r="B43" s="3" t="s">
        <v>23</v>
      </c>
      <c r="C43" s="3"/>
      <c r="D43" s="3"/>
      <c r="E43" s="3"/>
      <c r="F43" s="22"/>
      <c r="G43" s="163"/>
      <c r="H43" s="163"/>
      <c r="I43" s="163"/>
      <c r="J43" s="163"/>
      <c r="K43" s="163"/>
      <c r="L43" s="163"/>
      <c r="M43" s="163"/>
    </row>
    <row r="44" spans="1:13" ht="15">
      <c r="A44" s="538"/>
      <c r="B44" s="166" t="s">
        <v>388</v>
      </c>
      <c r="C44" s="3"/>
      <c r="D44" s="3" t="s">
        <v>48</v>
      </c>
      <c r="E44" s="3">
        <v>0.0306</v>
      </c>
      <c r="F44" s="22">
        <f>E44*F40</f>
        <v>0.1989</v>
      </c>
      <c r="G44" s="163"/>
      <c r="H44" s="163"/>
      <c r="I44" s="163"/>
      <c r="J44" s="163"/>
      <c r="K44" s="163"/>
      <c r="L44" s="163"/>
      <c r="M44" s="163"/>
    </row>
    <row r="45" spans="1:13" ht="12.75">
      <c r="A45" s="538"/>
      <c r="B45" s="10" t="s">
        <v>50</v>
      </c>
      <c r="C45" s="10"/>
      <c r="D45" s="3" t="s">
        <v>0</v>
      </c>
      <c r="E45" s="3">
        <f>6.36/100</f>
        <v>0.0636</v>
      </c>
      <c r="F45" s="22">
        <f>E45*F40</f>
        <v>0.41340000000000005</v>
      </c>
      <c r="G45" s="163"/>
      <c r="H45" s="163"/>
      <c r="I45" s="163"/>
      <c r="J45" s="163"/>
      <c r="K45" s="163"/>
      <c r="L45" s="163"/>
      <c r="M45" s="163"/>
    </row>
    <row r="46" spans="1:13" ht="38.25">
      <c r="A46" s="538">
        <v>8</v>
      </c>
      <c r="B46" s="167" t="s">
        <v>78</v>
      </c>
      <c r="C46" s="218" t="s">
        <v>389</v>
      </c>
      <c r="D46" s="5" t="s">
        <v>146</v>
      </c>
      <c r="E46" s="3"/>
      <c r="F46" s="21">
        <v>2.7</v>
      </c>
      <c r="G46" s="163"/>
      <c r="H46" s="163"/>
      <c r="I46" s="163"/>
      <c r="J46" s="163"/>
      <c r="K46" s="163"/>
      <c r="L46" s="163"/>
      <c r="M46" s="163"/>
    </row>
    <row r="47" spans="1:13" ht="12.75">
      <c r="A47" s="538"/>
      <c r="B47" s="10" t="s">
        <v>12</v>
      </c>
      <c r="C47" s="10"/>
      <c r="D47" s="1" t="s">
        <v>15</v>
      </c>
      <c r="E47" s="9">
        <v>8.4</v>
      </c>
      <c r="F47" s="22">
        <f>E47*F46</f>
        <v>22.680000000000003</v>
      </c>
      <c r="G47" s="163"/>
      <c r="H47" s="163"/>
      <c r="I47" s="163"/>
      <c r="J47" s="163"/>
      <c r="K47" s="163"/>
      <c r="L47" s="163"/>
      <c r="M47" s="163"/>
    </row>
    <row r="48" spans="1:13" ht="12.75">
      <c r="A48" s="538"/>
      <c r="B48" s="10" t="s">
        <v>25</v>
      </c>
      <c r="C48" s="10"/>
      <c r="D48" s="3" t="s">
        <v>0</v>
      </c>
      <c r="E48" s="3">
        <v>0.81</v>
      </c>
      <c r="F48" s="22">
        <f>E48*F46</f>
        <v>2.1870000000000003</v>
      </c>
      <c r="G48" s="163"/>
      <c r="H48" s="163"/>
      <c r="I48" s="163"/>
      <c r="J48" s="163"/>
      <c r="K48" s="163"/>
      <c r="L48" s="163"/>
      <c r="M48" s="163"/>
    </row>
    <row r="49" spans="1:13" ht="12.75">
      <c r="A49" s="538"/>
      <c r="B49" s="3" t="s">
        <v>23</v>
      </c>
      <c r="C49" s="3"/>
      <c r="D49" s="3"/>
      <c r="E49" s="3"/>
      <c r="F49" s="22"/>
      <c r="G49" s="163"/>
      <c r="H49" s="163"/>
      <c r="I49" s="163"/>
      <c r="J49" s="163"/>
      <c r="K49" s="163"/>
      <c r="L49" s="163"/>
      <c r="M49" s="163"/>
    </row>
    <row r="50" spans="1:13" ht="15">
      <c r="A50" s="538"/>
      <c r="B50" s="10" t="s">
        <v>79</v>
      </c>
      <c r="C50" s="3"/>
      <c r="D50" s="3" t="s">
        <v>48</v>
      </c>
      <c r="E50" s="3">
        <v>1.015</v>
      </c>
      <c r="F50" s="22">
        <f>E50*F46</f>
        <v>2.7405</v>
      </c>
      <c r="G50" s="163"/>
      <c r="H50" s="163"/>
      <c r="I50" s="163"/>
      <c r="J50" s="163"/>
      <c r="K50" s="163"/>
      <c r="L50" s="163"/>
      <c r="M50" s="163"/>
    </row>
    <row r="51" spans="1:13" ht="15">
      <c r="A51" s="538"/>
      <c r="B51" s="10" t="s">
        <v>359</v>
      </c>
      <c r="C51" s="3"/>
      <c r="D51" s="3" t="s">
        <v>112</v>
      </c>
      <c r="E51" s="3">
        <v>1.37</v>
      </c>
      <c r="F51" s="22">
        <f>E51*F46</f>
        <v>3.6990000000000007</v>
      </c>
      <c r="G51" s="163"/>
      <c r="H51" s="163"/>
      <c r="I51" s="163"/>
      <c r="J51" s="163"/>
      <c r="K51" s="163"/>
      <c r="L51" s="163"/>
      <c r="M51" s="163"/>
    </row>
    <row r="52" spans="1:13" ht="15">
      <c r="A52" s="538"/>
      <c r="B52" s="10" t="s">
        <v>360</v>
      </c>
      <c r="C52" s="3"/>
      <c r="D52" s="3" t="s">
        <v>48</v>
      </c>
      <c r="E52" s="3">
        <f>3.66/100</f>
        <v>0.0366</v>
      </c>
      <c r="F52" s="22">
        <f>E52*F46</f>
        <v>0.09882</v>
      </c>
      <c r="G52" s="163"/>
      <c r="H52" s="163"/>
      <c r="I52" s="163"/>
      <c r="J52" s="163"/>
      <c r="K52" s="163"/>
      <c r="L52" s="163"/>
      <c r="M52" s="163"/>
    </row>
    <row r="53" spans="1:13" ht="12.75">
      <c r="A53" s="538"/>
      <c r="B53" s="10" t="s">
        <v>70</v>
      </c>
      <c r="C53" s="3"/>
      <c r="D53" s="3" t="s">
        <v>30</v>
      </c>
      <c r="E53" s="3" t="s">
        <v>38</v>
      </c>
      <c r="F53" s="22">
        <v>0.477</v>
      </c>
      <c r="G53" s="163"/>
      <c r="H53" s="163"/>
      <c r="I53" s="163"/>
      <c r="J53" s="163"/>
      <c r="K53" s="163"/>
      <c r="L53" s="163"/>
      <c r="M53" s="163"/>
    </row>
    <row r="54" spans="1:13" ht="12.75">
      <c r="A54" s="538"/>
      <c r="B54" s="10" t="s">
        <v>80</v>
      </c>
      <c r="C54" s="3"/>
      <c r="D54" s="3" t="s">
        <v>30</v>
      </c>
      <c r="E54" s="3" t="s">
        <v>38</v>
      </c>
      <c r="F54" s="22">
        <v>0.04</v>
      </c>
      <c r="G54" s="163"/>
      <c r="H54" s="163"/>
      <c r="I54" s="163"/>
      <c r="J54" s="163"/>
      <c r="K54" s="163"/>
      <c r="L54" s="163"/>
      <c r="M54" s="163"/>
    </row>
    <row r="55" spans="1:13" ht="12.75">
      <c r="A55" s="538"/>
      <c r="B55" s="10" t="s">
        <v>50</v>
      </c>
      <c r="C55" s="10"/>
      <c r="D55" s="3" t="s">
        <v>0</v>
      </c>
      <c r="E55" s="3">
        <f>39/100</f>
        <v>0.39</v>
      </c>
      <c r="F55" s="22">
        <f>E55*F46</f>
        <v>1.0530000000000002</v>
      </c>
      <c r="G55" s="163"/>
      <c r="H55" s="163"/>
      <c r="I55" s="163"/>
      <c r="J55" s="163"/>
      <c r="K55" s="163"/>
      <c r="L55" s="163"/>
      <c r="M55" s="163"/>
    </row>
    <row r="56" spans="1:13" ht="38.25">
      <c r="A56" s="538">
        <v>9</v>
      </c>
      <c r="B56" s="167" t="s">
        <v>81</v>
      </c>
      <c r="C56" s="218" t="s">
        <v>390</v>
      </c>
      <c r="D56" s="5" t="s">
        <v>146</v>
      </c>
      <c r="E56" s="3"/>
      <c r="F56" s="21">
        <v>0.35</v>
      </c>
      <c r="G56" s="163"/>
      <c r="H56" s="163"/>
      <c r="I56" s="163"/>
      <c r="J56" s="163"/>
      <c r="K56" s="163"/>
      <c r="L56" s="163"/>
      <c r="M56" s="163"/>
    </row>
    <row r="57" spans="1:13" ht="12.75">
      <c r="A57" s="538"/>
      <c r="B57" s="10" t="s">
        <v>12</v>
      </c>
      <c r="C57" s="10"/>
      <c r="D57" s="1" t="s">
        <v>15</v>
      </c>
      <c r="E57" s="3">
        <f>854/100</f>
        <v>8.54</v>
      </c>
      <c r="F57" s="22">
        <f>E57*F56</f>
        <v>2.9889999999999994</v>
      </c>
      <c r="G57" s="163"/>
      <c r="H57" s="163"/>
      <c r="I57" s="163"/>
      <c r="J57" s="163"/>
      <c r="K57" s="163"/>
      <c r="L57" s="163"/>
      <c r="M57" s="163"/>
    </row>
    <row r="58" spans="1:13" ht="12.75">
      <c r="A58" s="538"/>
      <c r="B58" s="10" t="s">
        <v>25</v>
      </c>
      <c r="C58" s="10"/>
      <c r="D58" s="3" t="s">
        <v>0</v>
      </c>
      <c r="E58" s="3">
        <f>106/100</f>
        <v>1.06</v>
      </c>
      <c r="F58" s="22">
        <f>E58*F56</f>
        <v>0.371</v>
      </c>
      <c r="G58" s="163"/>
      <c r="H58" s="163"/>
      <c r="I58" s="163"/>
      <c r="J58" s="163"/>
      <c r="K58" s="163"/>
      <c r="L58" s="163"/>
      <c r="M58" s="163"/>
    </row>
    <row r="59" spans="1:13" ht="12.75">
      <c r="A59" s="538"/>
      <c r="B59" s="3" t="s">
        <v>23</v>
      </c>
      <c r="C59" s="3"/>
      <c r="D59" s="3"/>
      <c r="E59" s="3"/>
      <c r="F59" s="22"/>
      <c r="G59" s="163"/>
      <c r="H59" s="163"/>
      <c r="I59" s="163"/>
      <c r="J59" s="163"/>
      <c r="K59" s="163"/>
      <c r="L59" s="163"/>
      <c r="M59" s="163"/>
    </row>
    <row r="60" spans="1:13" ht="15">
      <c r="A60" s="538"/>
      <c r="B60" s="10" t="s">
        <v>82</v>
      </c>
      <c r="C60" s="3"/>
      <c r="D60" s="3" t="s">
        <v>48</v>
      </c>
      <c r="E60" s="3">
        <f>101.5/100</f>
        <v>1.015</v>
      </c>
      <c r="F60" s="22">
        <f>E60*F56</f>
        <v>0.35524999999999995</v>
      </c>
      <c r="G60" s="163"/>
      <c r="H60" s="163"/>
      <c r="I60" s="163"/>
      <c r="J60" s="163"/>
      <c r="K60" s="163"/>
      <c r="L60" s="163"/>
      <c r="M60" s="163"/>
    </row>
    <row r="61" spans="1:13" ht="15">
      <c r="A61" s="538"/>
      <c r="B61" s="10" t="s">
        <v>359</v>
      </c>
      <c r="C61" s="3"/>
      <c r="D61" s="3" t="s">
        <v>112</v>
      </c>
      <c r="E61" s="3">
        <v>1.4</v>
      </c>
      <c r="F61" s="22">
        <f>E61*F56</f>
        <v>0.48999999999999994</v>
      </c>
      <c r="G61" s="163"/>
      <c r="H61" s="163"/>
      <c r="I61" s="163"/>
      <c r="J61" s="163"/>
      <c r="K61" s="163"/>
      <c r="L61" s="163"/>
      <c r="M61" s="163"/>
    </row>
    <row r="62" spans="1:13" ht="15">
      <c r="A62" s="538"/>
      <c r="B62" s="10" t="s">
        <v>360</v>
      </c>
      <c r="C62" s="3"/>
      <c r="D62" s="3" t="s">
        <v>48</v>
      </c>
      <c r="E62" s="3">
        <v>0.0378</v>
      </c>
      <c r="F62" s="22">
        <f>E62*F56</f>
        <v>0.013229999999999999</v>
      </c>
      <c r="G62" s="163"/>
      <c r="H62" s="163"/>
      <c r="I62" s="163"/>
      <c r="J62" s="163"/>
      <c r="K62" s="163"/>
      <c r="L62" s="163"/>
      <c r="M62" s="163"/>
    </row>
    <row r="63" spans="1:13" ht="12.75">
      <c r="A63" s="538"/>
      <c r="B63" s="10" t="s">
        <v>70</v>
      </c>
      <c r="C63" s="3"/>
      <c r="D63" s="3" t="s">
        <v>30</v>
      </c>
      <c r="E63" s="3" t="s">
        <v>38</v>
      </c>
      <c r="F63" s="22">
        <v>0.04</v>
      </c>
      <c r="G63" s="163"/>
      <c r="H63" s="163"/>
      <c r="I63" s="163"/>
      <c r="J63" s="163"/>
      <c r="K63" s="163"/>
      <c r="L63" s="163"/>
      <c r="M63" s="163"/>
    </row>
    <row r="64" spans="1:13" ht="12.75">
      <c r="A64" s="538"/>
      <c r="B64" s="10" t="s">
        <v>80</v>
      </c>
      <c r="C64" s="3"/>
      <c r="D64" s="3" t="s">
        <v>30</v>
      </c>
      <c r="E64" s="3" t="s">
        <v>38</v>
      </c>
      <c r="F64" s="22">
        <v>0.01</v>
      </c>
      <c r="G64" s="163"/>
      <c r="H64" s="163"/>
      <c r="I64" s="163"/>
      <c r="J64" s="163"/>
      <c r="K64" s="163"/>
      <c r="L64" s="163"/>
      <c r="M64" s="163"/>
    </row>
    <row r="65" spans="1:13" ht="12.75">
      <c r="A65" s="538"/>
      <c r="B65" s="10" t="s">
        <v>50</v>
      </c>
      <c r="C65" s="10"/>
      <c r="D65" s="3" t="s">
        <v>0</v>
      </c>
      <c r="E65" s="3">
        <v>0.74</v>
      </c>
      <c r="F65" s="22">
        <f>E65*F56</f>
        <v>0.259</v>
      </c>
      <c r="G65" s="163"/>
      <c r="H65" s="163"/>
      <c r="I65" s="163"/>
      <c r="J65" s="163"/>
      <c r="K65" s="163"/>
      <c r="L65" s="163"/>
      <c r="M65" s="163"/>
    </row>
    <row r="66" spans="1:13" ht="38.25">
      <c r="A66" s="538">
        <v>10</v>
      </c>
      <c r="B66" s="167" t="s">
        <v>83</v>
      </c>
      <c r="C66" s="218" t="s">
        <v>391</v>
      </c>
      <c r="D66" s="5" t="s">
        <v>146</v>
      </c>
      <c r="E66" s="3"/>
      <c r="F66" s="21">
        <v>1.15</v>
      </c>
      <c r="G66" s="163"/>
      <c r="H66" s="163"/>
      <c r="I66" s="163"/>
      <c r="J66" s="163"/>
      <c r="K66" s="163"/>
      <c r="L66" s="163"/>
      <c r="M66" s="163"/>
    </row>
    <row r="67" spans="1:13" ht="12.75">
      <c r="A67" s="538"/>
      <c r="B67" s="20" t="s">
        <v>12</v>
      </c>
      <c r="C67" s="20"/>
      <c r="D67" s="3" t="s">
        <v>15</v>
      </c>
      <c r="E67" s="3">
        <v>23.8</v>
      </c>
      <c r="F67" s="22">
        <f>E67*F66</f>
        <v>27.369999999999997</v>
      </c>
      <c r="G67" s="163"/>
      <c r="H67" s="163"/>
      <c r="I67" s="163"/>
      <c r="J67" s="163"/>
      <c r="K67" s="163"/>
      <c r="L67" s="163"/>
      <c r="M67" s="163"/>
    </row>
    <row r="68" spans="1:13" ht="12.75">
      <c r="A68" s="538"/>
      <c r="B68" s="10" t="s">
        <v>25</v>
      </c>
      <c r="C68" s="10"/>
      <c r="D68" s="3" t="s">
        <v>84</v>
      </c>
      <c r="E68" s="3">
        <v>2.1</v>
      </c>
      <c r="F68" s="22">
        <f>E68*F66</f>
        <v>2.415</v>
      </c>
      <c r="G68" s="163"/>
      <c r="H68" s="163"/>
      <c r="I68" s="163"/>
      <c r="J68" s="163"/>
      <c r="K68" s="163"/>
      <c r="L68" s="163"/>
      <c r="M68" s="163"/>
    </row>
    <row r="69" spans="1:13" ht="12.75">
      <c r="A69" s="538"/>
      <c r="B69" s="3" t="s">
        <v>23</v>
      </c>
      <c r="C69" s="3"/>
      <c r="D69" s="3"/>
      <c r="E69" s="3"/>
      <c r="F69" s="22"/>
      <c r="G69" s="163"/>
      <c r="H69" s="163"/>
      <c r="I69" s="163"/>
      <c r="J69" s="163"/>
      <c r="K69" s="163"/>
      <c r="L69" s="163"/>
      <c r="M69" s="163"/>
    </row>
    <row r="70" spans="1:13" ht="15">
      <c r="A70" s="538"/>
      <c r="B70" s="10" t="s">
        <v>360</v>
      </c>
      <c r="C70" s="3"/>
      <c r="D70" s="3" t="s">
        <v>48</v>
      </c>
      <c r="E70" s="9">
        <v>1.05</v>
      </c>
      <c r="F70" s="22">
        <f>E70*F66</f>
        <v>1.2075</v>
      </c>
      <c r="G70" s="163"/>
      <c r="H70" s="163"/>
      <c r="I70" s="163"/>
      <c r="J70" s="163"/>
      <c r="K70" s="163"/>
      <c r="L70" s="163"/>
      <c r="M70" s="163"/>
    </row>
    <row r="71" spans="1:13" ht="15">
      <c r="A71" s="538"/>
      <c r="B71" s="10" t="s">
        <v>85</v>
      </c>
      <c r="C71" s="3"/>
      <c r="D71" s="3" t="s">
        <v>112</v>
      </c>
      <c r="E71" s="9">
        <v>3.38</v>
      </c>
      <c r="F71" s="22">
        <f>E71*F66</f>
        <v>3.8869999999999996</v>
      </c>
      <c r="G71" s="163"/>
      <c r="H71" s="163"/>
      <c r="I71" s="163"/>
      <c r="J71" s="163"/>
      <c r="K71" s="163"/>
      <c r="L71" s="163"/>
      <c r="M71" s="163"/>
    </row>
    <row r="72" spans="1:13" ht="12.75">
      <c r="A72" s="538"/>
      <c r="B72" s="10" t="s">
        <v>86</v>
      </c>
      <c r="C72" s="3"/>
      <c r="D72" s="3" t="s">
        <v>87</v>
      </c>
      <c r="E72" s="9">
        <v>7.2</v>
      </c>
      <c r="F72" s="22">
        <f>E72*F66</f>
        <v>8.28</v>
      </c>
      <c r="G72" s="163"/>
      <c r="H72" s="163"/>
      <c r="I72" s="163"/>
      <c r="J72" s="163"/>
      <c r="K72" s="163"/>
      <c r="L72" s="163"/>
      <c r="M72" s="163"/>
    </row>
    <row r="73" spans="1:13" ht="12.75">
      <c r="A73" s="538"/>
      <c r="B73" s="10" t="s">
        <v>88</v>
      </c>
      <c r="C73" s="10"/>
      <c r="D73" s="3" t="s">
        <v>87</v>
      </c>
      <c r="E73" s="9">
        <v>4.38</v>
      </c>
      <c r="F73" s="22">
        <f>E73*F66</f>
        <v>5.037</v>
      </c>
      <c r="G73" s="163"/>
      <c r="H73" s="163"/>
      <c r="I73" s="163"/>
      <c r="J73" s="163"/>
      <c r="K73" s="163"/>
      <c r="L73" s="163"/>
      <c r="M73" s="163"/>
    </row>
    <row r="74" spans="1:13" ht="12.75">
      <c r="A74" s="538"/>
      <c r="B74" s="10" t="s">
        <v>50</v>
      </c>
      <c r="C74" s="10"/>
      <c r="D74" s="3" t="s">
        <v>84</v>
      </c>
      <c r="E74" s="9">
        <v>3.44</v>
      </c>
      <c r="F74" s="22">
        <f>E74*F66</f>
        <v>3.9559999999999995</v>
      </c>
      <c r="G74" s="163"/>
      <c r="H74" s="163"/>
      <c r="I74" s="163"/>
      <c r="J74" s="163"/>
      <c r="K74" s="163"/>
      <c r="L74" s="163"/>
      <c r="M74" s="163"/>
    </row>
    <row r="75" spans="1:13" ht="38.25">
      <c r="A75" s="538">
        <v>11</v>
      </c>
      <c r="B75" s="167" t="s">
        <v>89</v>
      </c>
      <c r="C75" s="218" t="s">
        <v>392</v>
      </c>
      <c r="D75" s="5" t="s">
        <v>32</v>
      </c>
      <c r="E75" s="3"/>
      <c r="F75" s="21">
        <v>23.1</v>
      </c>
      <c r="G75" s="163"/>
      <c r="H75" s="163"/>
      <c r="I75" s="163"/>
      <c r="J75" s="163"/>
      <c r="K75" s="163"/>
      <c r="L75" s="163"/>
      <c r="M75" s="163"/>
    </row>
    <row r="76" spans="1:13" ht="12.75">
      <c r="A76" s="538"/>
      <c r="B76" s="20" t="s">
        <v>12</v>
      </c>
      <c r="C76" s="20"/>
      <c r="D76" s="3" t="s">
        <v>15</v>
      </c>
      <c r="E76" s="214">
        <f>23.6/100</f>
        <v>0.23600000000000002</v>
      </c>
      <c r="F76" s="22">
        <f>E76*F75</f>
        <v>5.451600000000001</v>
      </c>
      <c r="G76" s="163"/>
      <c r="H76" s="163"/>
      <c r="I76" s="163"/>
      <c r="J76" s="163"/>
      <c r="K76" s="163"/>
      <c r="L76" s="163"/>
      <c r="M76" s="163"/>
    </row>
    <row r="77" spans="1:13" ht="12.75">
      <c r="A77" s="538"/>
      <c r="B77" s="10" t="s">
        <v>25</v>
      </c>
      <c r="C77" s="10"/>
      <c r="D77" s="3" t="s">
        <v>0</v>
      </c>
      <c r="E77" s="3">
        <v>0.0225</v>
      </c>
      <c r="F77" s="22">
        <f>E77*F75</f>
        <v>0.51975</v>
      </c>
      <c r="G77" s="163"/>
      <c r="H77" s="163"/>
      <c r="I77" s="163"/>
      <c r="J77" s="163"/>
      <c r="K77" s="163"/>
      <c r="L77" s="163"/>
      <c r="M77" s="163"/>
    </row>
    <row r="78" spans="1:13" ht="12.75">
      <c r="A78" s="538"/>
      <c r="B78" s="3" t="s">
        <v>23</v>
      </c>
      <c r="C78" s="3"/>
      <c r="D78" s="3"/>
      <c r="E78" s="3"/>
      <c r="F78" s="22"/>
      <c r="G78" s="163"/>
      <c r="H78" s="163"/>
      <c r="I78" s="163"/>
      <c r="J78" s="163"/>
      <c r="K78" s="163"/>
      <c r="L78" s="163"/>
      <c r="M78" s="163"/>
    </row>
    <row r="79" spans="1:13" ht="15">
      <c r="A79" s="538"/>
      <c r="B79" s="10" t="s">
        <v>360</v>
      </c>
      <c r="C79" s="3"/>
      <c r="D79" s="3" t="s">
        <v>48</v>
      </c>
      <c r="E79" s="214">
        <f>1.86/100</f>
        <v>0.018600000000000002</v>
      </c>
      <c r="F79" s="22">
        <f>E79*F75</f>
        <v>0.4296600000000001</v>
      </c>
      <c r="G79" s="163"/>
      <c r="H79" s="163"/>
      <c r="I79" s="163"/>
      <c r="J79" s="163"/>
      <c r="K79" s="163"/>
      <c r="L79" s="163"/>
      <c r="M79" s="163"/>
    </row>
    <row r="80" spans="1:13" ht="12.75">
      <c r="A80" s="538"/>
      <c r="B80" s="10" t="s">
        <v>86</v>
      </c>
      <c r="C80" s="10"/>
      <c r="D80" s="3" t="s">
        <v>87</v>
      </c>
      <c r="E80" s="22">
        <v>0.065</v>
      </c>
      <c r="F80" s="22">
        <f>E80*F75</f>
        <v>1.5015</v>
      </c>
      <c r="G80" s="163"/>
      <c r="H80" s="163"/>
      <c r="I80" s="163"/>
      <c r="J80" s="163"/>
      <c r="K80" s="163"/>
      <c r="L80" s="163"/>
      <c r="M80" s="163"/>
    </row>
    <row r="81" spans="1:13" ht="12.75">
      <c r="A81" s="538"/>
      <c r="B81" s="10" t="s">
        <v>50</v>
      </c>
      <c r="C81" s="10"/>
      <c r="D81" s="3" t="s">
        <v>0</v>
      </c>
      <c r="E81" s="3">
        <v>0.0128</v>
      </c>
      <c r="F81" s="22">
        <f>E81*F75</f>
        <v>0.29568000000000005</v>
      </c>
      <c r="G81" s="163"/>
      <c r="H81" s="163"/>
      <c r="I81" s="163"/>
      <c r="J81" s="163"/>
      <c r="K81" s="163"/>
      <c r="L81" s="163"/>
      <c r="M81" s="163"/>
    </row>
    <row r="82" spans="1:13" ht="38.25">
      <c r="A82" s="538">
        <v>12</v>
      </c>
      <c r="B82" s="164" t="s">
        <v>91</v>
      </c>
      <c r="C82" s="218" t="s">
        <v>362</v>
      </c>
      <c r="D82" s="5" t="s">
        <v>32</v>
      </c>
      <c r="E82" s="3"/>
      <c r="F82" s="21">
        <v>23.1</v>
      </c>
      <c r="G82" s="163"/>
      <c r="H82" s="163"/>
      <c r="I82" s="163"/>
      <c r="J82" s="163"/>
      <c r="K82" s="163"/>
      <c r="L82" s="163"/>
      <c r="M82" s="163"/>
    </row>
    <row r="83" spans="1:13" ht="12.75">
      <c r="A83" s="538"/>
      <c r="B83" s="20" t="s">
        <v>12</v>
      </c>
      <c r="C83" s="20"/>
      <c r="D83" s="3" t="s">
        <v>15</v>
      </c>
      <c r="E83" s="3">
        <v>0.314</v>
      </c>
      <c r="F83" s="22">
        <f>E83*F82</f>
        <v>7.2534</v>
      </c>
      <c r="G83" s="163"/>
      <c r="H83" s="163"/>
      <c r="I83" s="163"/>
      <c r="J83" s="163"/>
      <c r="K83" s="163"/>
      <c r="L83" s="163"/>
      <c r="M83" s="163"/>
    </row>
    <row r="84" spans="1:13" ht="12.75">
      <c r="A84" s="538"/>
      <c r="B84" s="10" t="s">
        <v>92</v>
      </c>
      <c r="C84" s="10"/>
      <c r="D84" s="3" t="s">
        <v>22</v>
      </c>
      <c r="E84" s="3">
        <v>0.0277</v>
      </c>
      <c r="F84" s="22">
        <f>E84*F82</f>
        <v>0.63987</v>
      </c>
      <c r="G84" s="163"/>
      <c r="H84" s="163"/>
      <c r="I84" s="163"/>
      <c r="J84" s="163"/>
      <c r="K84" s="163"/>
      <c r="L84" s="163"/>
      <c r="M84" s="163"/>
    </row>
    <row r="85" spans="1:13" ht="12.75">
      <c r="A85" s="538"/>
      <c r="B85" s="10" t="s">
        <v>25</v>
      </c>
      <c r="C85" s="10"/>
      <c r="D85" s="3" t="s">
        <v>0</v>
      </c>
      <c r="E85" s="3">
        <f>0.34/100</f>
        <v>0.0034000000000000002</v>
      </c>
      <c r="F85" s="22">
        <f>F82*E85</f>
        <v>0.07854000000000001</v>
      </c>
      <c r="G85" s="163"/>
      <c r="H85" s="163"/>
      <c r="I85" s="163"/>
      <c r="J85" s="163"/>
      <c r="K85" s="163"/>
      <c r="L85" s="163"/>
      <c r="M85" s="163"/>
    </row>
    <row r="86" spans="1:13" ht="12.75">
      <c r="A86" s="538"/>
      <c r="B86" s="3" t="s">
        <v>23</v>
      </c>
      <c r="C86" s="3"/>
      <c r="D86" s="3"/>
      <c r="E86" s="3"/>
      <c r="F86" s="22"/>
      <c r="G86" s="163"/>
      <c r="H86" s="163"/>
      <c r="I86" s="163"/>
      <c r="J86" s="163"/>
      <c r="K86" s="163"/>
      <c r="L86" s="163"/>
      <c r="M86" s="163"/>
    </row>
    <row r="87" spans="1:13" ht="15">
      <c r="A87" s="538"/>
      <c r="B87" s="10" t="s">
        <v>93</v>
      </c>
      <c r="C87" s="3"/>
      <c r="D87" s="3" t="s">
        <v>112</v>
      </c>
      <c r="E87" s="3">
        <v>1.12</v>
      </c>
      <c r="F87" s="22">
        <f>E87*F82</f>
        <v>25.872000000000003</v>
      </c>
      <c r="G87" s="163"/>
      <c r="H87" s="163"/>
      <c r="I87" s="163"/>
      <c r="J87" s="163"/>
      <c r="K87" s="163"/>
      <c r="L87" s="163"/>
      <c r="M87" s="163"/>
    </row>
    <row r="88" spans="1:13" ht="15">
      <c r="A88" s="538"/>
      <c r="B88" s="10" t="s">
        <v>94</v>
      </c>
      <c r="C88" s="3"/>
      <c r="D88" s="3" t="s">
        <v>112</v>
      </c>
      <c r="E88" s="3" t="s">
        <v>38</v>
      </c>
      <c r="F88" s="22">
        <v>93.78</v>
      </c>
      <c r="G88" s="163"/>
      <c r="H88" s="163"/>
      <c r="I88" s="163"/>
      <c r="J88" s="163"/>
      <c r="K88" s="163"/>
      <c r="L88" s="163"/>
      <c r="M88" s="163"/>
    </row>
    <row r="89" spans="1:13" ht="12.75">
      <c r="A89" s="538"/>
      <c r="B89" s="10" t="s">
        <v>95</v>
      </c>
      <c r="C89" s="3"/>
      <c r="D89" s="3" t="s">
        <v>87</v>
      </c>
      <c r="E89" s="3">
        <v>0.05</v>
      </c>
      <c r="F89" s="22">
        <f>E89*F82</f>
        <v>1.155</v>
      </c>
      <c r="G89" s="163"/>
      <c r="H89" s="163"/>
      <c r="I89" s="163"/>
      <c r="J89" s="163"/>
      <c r="K89" s="163"/>
      <c r="L89" s="163"/>
      <c r="M89" s="163"/>
    </row>
    <row r="90" spans="1:13" ht="12.75">
      <c r="A90" s="538"/>
      <c r="B90" s="10" t="s">
        <v>96</v>
      </c>
      <c r="C90" s="3"/>
      <c r="D90" s="3" t="s">
        <v>87</v>
      </c>
      <c r="E90" s="3">
        <v>0.02</v>
      </c>
      <c r="F90" s="22">
        <f>E90*F82</f>
        <v>0.462</v>
      </c>
      <c r="G90" s="163"/>
      <c r="H90" s="163"/>
      <c r="I90" s="163"/>
      <c r="J90" s="163"/>
      <c r="K90" s="163"/>
      <c r="L90" s="163"/>
      <c r="M90" s="163"/>
    </row>
    <row r="91" spans="1:13" ht="12.75">
      <c r="A91" s="538"/>
      <c r="B91" s="10" t="s">
        <v>50</v>
      </c>
      <c r="C91" s="10"/>
      <c r="D91" s="3" t="s">
        <v>0</v>
      </c>
      <c r="E91" s="3">
        <v>0.0386</v>
      </c>
      <c r="F91" s="22">
        <f>F82*E91</f>
        <v>0.8916600000000001</v>
      </c>
      <c r="G91" s="163"/>
      <c r="H91" s="163"/>
      <c r="I91" s="163"/>
      <c r="J91" s="163"/>
      <c r="K91" s="163"/>
      <c r="L91" s="163"/>
      <c r="M91" s="163"/>
    </row>
    <row r="92" spans="1:13" ht="12.75">
      <c r="A92" s="538">
        <v>13</v>
      </c>
      <c r="B92" s="4" t="s">
        <v>97</v>
      </c>
      <c r="C92" s="3"/>
      <c r="D92" s="5" t="s">
        <v>98</v>
      </c>
      <c r="E92" s="5"/>
      <c r="F92" s="21">
        <v>5</v>
      </c>
      <c r="G92" s="172"/>
      <c r="H92" s="201"/>
      <c r="I92" s="201"/>
      <c r="J92" s="201"/>
      <c r="K92" s="201"/>
      <c r="L92" s="201"/>
      <c r="M92" s="201"/>
    </row>
    <row r="93" spans="1:13" ht="12.75">
      <c r="A93" s="538"/>
      <c r="B93" s="10" t="s">
        <v>99</v>
      </c>
      <c r="C93" s="10"/>
      <c r="D93" s="1" t="s">
        <v>98</v>
      </c>
      <c r="E93" s="2">
        <v>1</v>
      </c>
      <c r="F93" s="2">
        <f>F92*E93</f>
        <v>5</v>
      </c>
      <c r="G93" s="173"/>
      <c r="H93" s="173"/>
      <c r="I93" s="173"/>
      <c r="J93" s="173"/>
      <c r="K93" s="173"/>
      <c r="L93" s="173"/>
      <c r="M93" s="173"/>
    </row>
    <row r="94" spans="1:13" ht="12.75">
      <c r="A94" s="538"/>
      <c r="B94" s="3" t="s">
        <v>23</v>
      </c>
      <c r="C94" s="3"/>
      <c r="D94" s="3"/>
      <c r="E94" s="22"/>
      <c r="F94" s="9"/>
      <c r="G94" s="163"/>
      <c r="H94" s="163"/>
      <c r="I94" s="163"/>
      <c r="J94" s="163"/>
      <c r="K94" s="163"/>
      <c r="L94" s="163"/>
      <c r="M94" s="173"/>
    </row>
    <row r="95" spans="1:13" ht="12.75">
      <c r="A95" s="538"/>
      <c r="B95" s="10" t="s">
        <v>100</v>
      </c>
      <c r="C95" s="3"/>
      <c r="D95" s="1" t="s">
        <v>98</v>
      </c>
      <c r="E95" s="2">
        <v>1</v>
      </c>
      <c r="F95" s="2">
        <f>E95*F92</f>
        <v>5</v>
      </c>
      <c r="G95" s="163"/>
      <c r="H95" s="163"/>
      <c r="I95" s="163"/>
      <c r="J95" s="163"/>
      <c r="K95" s="163"/>
      <c r="L95" s="163"/>
      <c r="M95" s="173"/>
    </row>
    <row r="96" spans="1:13" ht="25.5">
      <c r="A96" s="538">
        <v>14</v>
      </c>
      <c r="B96" s="4" t="s">
        <v>101</v>
      </c>
      <c r="C96" s="3"/>
      <c r="D96" s="5" t="s">
        <v>24</v>
      </c>
      <c r="E96" s="5"/>
      <c r="F96" s="21">
        <v>2</v>
      </c>
      <c r="G96" s="172"/>
      <c r="H96" s="201"/>
      <c r="I96" s="201"/>
      <c r="J96" s="201"/>
      <c r="K96" s="201"/>
      <c r="L96" s="201"/>
      <c r="M96" s="201"/>
    </row>
    <row r="97" spans="1:13" ht="12.75">
      <c r="A97" s="538"/>
      <c r="B97" s="10" t="s">
        <v>99</v>
      </c>
      <c r="C97" s="10"/>
      <c r="D97" s="1" t="s">
        <v>24</v>
      </c>
      <c r="E97" s="2">
        <v>1</v>
      </c>
      <c r="F97" s="2">
        <f>F96*E97</f>
        <v>2</v>
      </c>
      <c r="G97" s="173"/>
      <c r="H97" s="173"/>
      <c r="I97" s="173"/>
      <c r="J97" s="173"/>
      <c r="K97" s="173"/>
      <c r="L97" s="173"/>
      <c r="M97" s="173"/>
    </row>
    <row r="98" spans="1:13" ht="12.75">
      <c r="A98" s="538"/>
      <c r="B98" s="3" t="s">
        <v>23</v>
      </c>
      <c r="C98" s="3"/>
      <c r="D98" s="3"/>
      <c r="E98" s="22"/>
      <c r="F98" s="9"/>
      <c r="G98" s="163"/>
      <c r="H98" s="163"/>
      <c r="I98" s="163"/>
      <c r="J98" s="163"/>
      <c r="K98" s="163"/>
      <c r="L98" s="163"/>
      <c r="M98" s="173"/>
    </row>
    <row r="99" spans="1:13" ht="12.75">
      <c r="A99" s="538"/>
      <c r="B99" s="10" t="s">
        <v>102</v>
      </c>
      <c r="C99" s="3"/>
      <c r="D99" s="1" t="s">
        <v>24</v>
      </c>
      <c r="E99" s="2">
        <v>1</v>
      </c>
      <c r="F99" s="2">
        <f>E99*F96</f>
        <v>2</v>
      </c>
      <c r="G99" s="163"/>
      <c r="H99" s="163"/>
      <c r="I99" s="163"/>
      <c r="J99" s="163"/>
      <c r="K99" s="163"/>
      <c r="L99" s="163"/>
      <c r="M99" s="173"/>
    </row>
    <row r="100" spans="1:13" ht="25.5">
      <c r="A100" s="538">
        <v>15</v>
      </c>
      <c r="B100" s="4" t="s">
        <v>103</v>
      </c>
      <c r="C100" s="3"/>
      <c r="D100" s="5" t="s">
        <v>98</v>
      </c>
      <c r="E100" s="5"/>
      <c r="F100" s="21">
        <v>9</v>
      </c>
      <c r="G100" s="172"/>
      <c r="H100" s="201"/>
      <c r="I100" s="201"/>
      <c r="J100" s="201"/>
      <c r="K100" s="201"/>
      <c r="L100" s="201"/>
      <c r="M100" s="201"/>
    </row>
    <row r="101" spans="1:13" ht="12.75">
      <c r="A101" s="538"/>
      <c r="B101" s="10" t="s">
        <v>99</v>
      </c>
      <c r="C101" s="10"/>
      <c r="D101" s="1" t="s">
        <v>98</v>
      </c>
      <c r="E101" s="2">
        <v>1</v>
      </c>
      <c r="F101" s="2">
        <f>F100*E101</f>
        <v>9</v>
      </c>
      <c r="G101" s="173"/>
      <c r="H101" s="173"/>
      <c r="I101" s="173"/>
      <c r="J101" s="173"/>
      <c r="K101" s="173"/>
      <c r="L101" s="173"/>
      <c r="M101" s="173"/>
    </row>
    <row r="102" spans="1:13" ht="12.75">
      <c r="A102" s="538"/>
      <c r="B102" s="3" t="s">
        <v>23</v>
      </c>
      <c r="C102" s="3"/>
      <c r="D102" s="3"/>
      <c r="E102" s="22"/>
      <c r="F102" s="9"/>
      <c r="G102" s="163"/>
      <c r="H102" s="163"/>
      <c r="I102" s="163"/>
      <c r="J102" s="163"/>
      <c r="K102" s="163"/>
      <c r="L102" s="163"/>
      <c r="M102" s="173"/>
    </row>
    <row r="103" spans="1:13" ht="25.5">
      <c r="A103" s="538"/>
      <c r="B103" s="10" t="s">
        <v>393</v>
      </c>
      <c r="C103" s="3"/>
      <c r="D103" s="1" t="s">
        <v>98</v>
      </c>
      <c r="E103" s="2">
        <v>1</v>
      </c>
      <c r="F103" s="2">
        <f>E103*F100</f>
        <v>9</v>
      </c>
      <c r="G103" s="163"/>
      <c r="H103" s="163"/>
      <c r="I103" s="163"/>
      <c r="J103" s="163"/>
      <c r="K103" s="163"/>
      <c r="L103" s="163"/>
      <c r="M103" s="173"/>
    </row>
    <row r="104" spans="1:13" ht="12.75">
      <c r="A104" s="538">
        <v>16</v>
      </c>
      <c r="B104" s="4" t="s">
        <v>180</v>
      </c>
      <c r="C104" s="3"/>
      <c r="D104" s="5" t="s">
        <v>24</v>
      </c>
      <c r="E104" s="5"/>
      <c r="F104" s="21">
        <v>2</v>
      </c>
      <c r="G104" s="172"/>
      <c r="H104" s="201"/>
      <c r="I104" s="201"/>
      <c r="J104" s="201"/>
      <c r="K104" s="201"/>
      <c r="L104" s="201"/>
      <c r="M104" s="201"/>
    </row>
    <row r="105" spans="1:13" ht="12.75">
      <c r="A105" s="538"/>
      <c r="B105" s="10" t="s">
        <v>99</v>
      </c>
      <c r="C105" s="10"/>
      <c r="D105" s="1" t="s">
        <v>24</v>
      </c>
      <c r="E105" s="2">
        <v>1</v>
      </c>
      <c r="F105" s="2">
        <f>F104*E105</f>
        <v>2</v>
      </c>
      <c r="G105" s="173"/>
      <c r="H105" s="173"/>
      <c r="I105" s="173"/>
      <c r="J105" s="173"/>
      <c r="K105" s="173"/>
      <c r="L105" s="173"/>
      <c r="M105" s="173"/>
    </row>
    <row r="106" spans="1:13" ht="12.75">
      <c r="A106" s="538"/>
      <c r="B106" s="3" t="s">
        <v>23</v>
      </c>
      <c r="C106" s="3"/>
      <c r="D106" s="3"/>
      <c r="E106" s="22"/>
      <c r="F106" s="9"/>
      <c r="G106" s="163"/>
      <c r="H106" s="163"/>
      <c r="I106" s="163"/>
      <c r="J106" s="163"/>
      <c r="K106" s="163"/>
      <c r="L106" s="163"/>
      <c r="M106" s="173"/>
    </row>
    <row r="107" spans="1:13" ht="12.75">
      <c r="A107" s="538"/>
      <c r="B107" s="10" t="s">
        <v>394</v>
      </c>
      <c r="C107" s="3"/>
      <c r="D107" s="1" t="s">
        <v>24</v>
      </c>
      <c r="E107" s="2">
        <v>1</v>
      </c>
      <c r="F107" s="2">
        <f>E107*F104</f>
        <v>2</v>
      </c>
      <c r="G107" s="163"/>
      <c r="H107" s="163"/>
      <c r="I107" s="163"/>
      <c r="J107" s="163"/>
      <c r="K107" s="163"/>
      <c r="L107" s="163"/>
      <c r="M107" s="173"/>
    </row>
    <row r="108" spans="1:13" ht="38.25">
      <c r="A108" s="534">
        <v>17</v>
      </c>
      <c r="B108" s="164" t="s">
        <v>104</v>
      </c>
      <c r="C108" s="217" t="s">
        <v>395</v>
      </c>
      <c r="D108" s="3" t="s">
        <v>48</v>
      </c>
      <c r="E108" s="3"/>
      <c r="F108" s="21">
        <v>1.9</v>
      </c>
      <c r="G108" s="163"/>
      <c r="H108" s="163"/>
      <c r="I108" s="163"/>
      <c r="J108" s="163"/>
      <c r="K108" s="163"/>
      <c r="L108" s="163"/>
      <c r="M108" s="163"/>
    </row>
    <row r="109" spans="1:13" ht="12.75">
      <c r="A109" s="535"/>
      <c r="B109" s="10" t="s">
        <v>12</v>
      </c>
      <c r="C109" s="10"/>
      <c r="D109" s="1" t="s">
        <v>15</v>
      </c>
      <c r="E109" s="9">
        <v>2.9</v>
      </c>
      <c r="F109" s="22">
        <f>E109*F108</f>
        <v>5.51</v>
      </c>
      <c r="G109" s="163"/>
      <c r="H109" s="163"/>
      <c r="I109" s="163"/>
      <c r="J109" s="163"/>
      <c r="K109" s="163"/>
      <c r="L109" s="163"/>
      <c r="M109" s="163"/>
    </row>
    <row r="110" spans="1:13" ht="12.75">
      <c r="A110" s="535"/>
      <c r="B110" s="3" t="s">
        <v>23</v>
      </c>
      <c r="C110" s="3"/>
      <c r="D110" s="3"/>
      <c r="E110" s="3"/>
      <c r="F110" s="22"/>
      <c r="G110" s="163"/>
      <c r="H110" s="163"/>
      <c r="I110" s="163"/>
      <c r="J110" s="163"/>
      <c r="K110" s="163"/>
      <c r="L110" s="163"/>
      <c r="M110" s="163"/>
    </row>
    <row r="111" spans="1:13" ht="15">
      <c r="A111" s="535"/>
      <c r="B111" s="166" t="s">
        <v>105</v>
      </c>
      <c r="C111" s="3"/>
      <c r="D111" s="3" t="s">
        <v>48</v>
      </c>
      <c r="E111" s="3">
        <v>1.02</v>
      </c>
      <c r="F111" s="22">
        <f>E111*F108</f>
        <v>1.938</v>
      </c>
      <c r="G111" s="163"/>
      <c r="H111" s="163"/>
      <c r="I111" s="163"/>
      <c r="J111" s="163"/>
      <c r="K111" s="163"/>
      <c r="L111" s="163"/>
      <c r="M111" s="163"/>
    </row>
    <row r="112" spans="1:13" ht="12.75">
      <c r="A112" s="536"/>
      <c r="B112" s="10" t="s">
        <v>50</v>
      </c>
      <c r="C112" s="10"/>
      <c r="D112" s="3" t="s">
        <v>0</v>
      </c>
      <c r="E112" s="3">
        <v>0.88</v>
      </c>
      <c r="F112" s="22">
        <f>E112*F108</f>
        <v>1.672</v>
      </c>
      <c r="G112" s="163"/>
      <c r="H112" s="163"/>
      <c r="I112" s="163"/>
      <c r="J112" s="163"/>
      <c r="K112" s="163"/>
      <c r="L112" s="163"/>
      <c r="M112" s="163"/>
    </row>
    <row r="113" spans="1:13" ht="38.25">
      <c r="A113" s="538">
        <v>18</v>
      </c>
      <c r="B113" s="164" t="s">
        <v>106</v>
      </c>
      <c r="C113" s="217" t="s">
        <v>387</v>
      </c>
      <c r="D113" s="5" t="s">
        <v>32</v>
      </c>
      <c r="E113" s="3"/>
      <c r="F113" s="21">
        <v>12.65</v>
      </c>
      <c r="G113" s="163"/>
      <c r="H113" s="163"/>
      <c r="I113" s="163"/>
      <c r="J113" s="163"/>
      <c r="K113" s="163"/>
      <c r="L113" s="163"/>
      <c r="M113" s="163"/>
    </row>
    <row r="114" spans="1:13" ht="12.75">
      <c r="A114" s="538"/>
      <c r="B114" s="10" t="s">
        <v>12</v>
      </c>
      <c r="C114" s="10"/>
      <c r="D114" s="1" t="s">
        <v>15</v>
      </c>
      <c r="E114" s="3">
        <v>0.4032</v>
      </c>
      <c r="F114" s="22">
        <f>E114*F113</f>
        <v>5.10048</v>
      </c>
      <c r="G114" s="163"/>
      <c r="H114" s="163"/>
      <c r="I114" s="163"/>
      <c r="J114" s="163"/>
      <c r="K114" s="163"/>
      <c r="L114" s="163"/>
      <c r="M114" s="163"/>
    </row>
    <row r="115" spans="1:13" ht="12.75">
      <c r="A115" s="538"/>
      <c r="B115" s="10" t="s">
        <v>25</v>
      </c>
      <c r="C115" s="10"/>
      <c r="D115" s="3" t="s">
        <v>0</v>
      </c>
      <c r="E115" s="3">
        <v>0.0187</v>
      </c>
      <c r="F115" s="22">
        <f>E115*F113</f>
        <v>0.23655500000000002</v>
      </c>
      <c r="G115" s="163"/>
      <c r="H115" s="163"/>
      <c r="I115" s="163"/>
      <c r="J115" s="163"/>
      <c r="K115" s="163"/>
      <c r="L115" s="163"/>
      <c r="M115" s="163"/>
    </row>
    <row r="116" spans="1:13" ht="12.75">
      <c r="A116" s="538"/>
      <c r="B116" s="3" t="s">
        <v>23</v>
      </c>
      <c r="C116" s="3"/>
      <c r="D116" s="3"/>
      <c r="E116" s="3"/>
      <c r="F116" s="22"/>
      <c r="G116" s="163"/>
      <c r="H116" s="163"/>
      <c r="I116" s="163"/>
      <c r="J116" s="163"/>
      <c r="K116" s="163"/>
      <c r="L116" s="163"/>
      <c r="M116" s="163"/>
    </row>
    <row r="117" spans="1:13" ht="15">
      <c r="A117" s="538"/>
      <c r="B117" s="166" t="s">
        <v>388</v>
      </c>
      <c r="C117" s="3"/>
      <c r="D117" s="3" t="s">
        <v>48</v>
      </c>
      <c r="E117" s="3">
        <v>0.0306</v>
      </c>
      <c r="F117" s="22">
        <f>E117*F113</f>
        <v>0.38709</v>
      </c>
      <c r="G117" s="163"/>
      <c r="H117" s="163"/>
      <c r="I117" s="163"/>
      <c r="J117" s="163"/>
      <c r="K117" s="163"/>
      <c r="L117" s="163"/>
      <c r="M117" s="163"/>
    </row>
    <row r="118" spans="1:13" ht="12.75">
      <c r="A118" s="538"/>
      <c r="B118" s="10" t="s">
        <v>50</v>
      </c>
      <c r="C118" s="10"/>
      <c r="D118" s="3" t="s">
        <v>0</v>
      </c>
      <c r="E118" s="3">
        <v>0.0636</v>
      </c>
      <c r="F118" s="22">
        <f>E118*F113</f>
        <v>0.80454</v>
      </c>
      <c r="G118" s="163"/>
      <c r="H118" s="163"/>
      <c r="I118" s="163"/>
      <c r="J118" s="163"/>
      <c r="K118" s="163"/>
      <c r="L118" s="163"/>
      <c r="M118" s="163"/>
    </row>
    <row r="119" spans="1:13" ht="38.25">
      <c r="A119" s="538">
        <v>19</v>
      </c>
      <c r="B119" s="164" t="s">
        <v>107</v>
      </c>
      <c r="C119" s="217" t="s">
        <v>396</v>
      </c>
      <c r="D119" s="5" t="s">
        <v>32</v>
      </c>
      <c r="E119" s="5"/>
      <c r="F119" s="21">
        <v>2.16</v>
      </c>
      <c r="G119" s="172"/>
      <c r="H119" s="201"/>
      <c r="I119" s="201"/>
      <c r="J119" s="201"/>
      <c r="K119" s="201"/>
      <c r="L119" s="201"/>
      <c r="M119" s="201"/>
    </row>
    <row r="120" spans="1:13" ht="12.75">
      <c r="A120" s="538"/>
      <c r="B120" s="13" t="s">
        <v>108</v>
      </c>
      <c r="C120" s="13"/>
      <c r="D120" s="11" t="s">
        <v>15</v>
      </c>
      <c r="E120" s="3">
        <v>1.22</v>
      </c>
      <c r="F120" s="12">
        <f>F119*E120</f>
        <v>2.6352</v>
      </c>
      <c r="G120" s="208"/>
      <c r="H120" s="209"/>
      <c r="I120" s="163"/>
      <c r="J120" s="206"/>
      <c r="K120" s="206"/>
      <c r="L120" s="206"/>
      <c r="M120" s="206"/>
    </row>
    <row r="121" spans="1:13" ht="12.75">
      <c r="A121" s="538"/>
      <c r="B121" s="13" t="s">
        <v>109</v>
      </c>
      <c r="C121" s="13"/>
      <c r="D121" s="11" t="s">
        <v>0</v>
      </c>
      <c r="E121" s="3">
        <v>0.53</v>
      </c>
      <c r="F121" s="12">
        <f>F119*E121</f>
        <v>1.1448</v>
      </c>
      <c r="G121" s="206"/>
      <c r="H121" s="206"/>
      <c r="I121" s="206"/>
      <c r="J121" s="206"/>
      <c r="K121" s="206"/>
      <c r="L121" s="206"/>
      <c r="M121" s="206"/>
    </row>
    <row r="122" spans="1:13" ht="12.75">
      <c r="A122" s="538"/>
      <c r="B122" s="3" t="s">
        <v>23</v>
      </c>
      <c r="C122" s="3"/>
      <c r="D122" s="11"/>
      <c r="E122" s="3"/>
      <c r="F122" s="11"/>
      <c r="G122" s="206"/>
      <c r="H122" s="206"/>
      <c r="I122" s="206"/>
      <c r="J122" s="206"/>
      <c r="K122" s="206"/>
      <c r="L122" s="206"/>
      <c r="M122" s="206"/>
    </row>
    <row r="123" spans="1:13" ht="12.75">
      <c r="A123" s="538"/>
      <c r="B123" s="10" t="s">
        <v>95</v>
      </c>
      <c r="C123" s="3"/>
      <c r="D123" s="11" t="s">
        <v>87</v>
      </c>
      <c r="E123" s="3">
        <v>1.56</v>
      </c>
      <c r="F123" s="11">
        <f>E123*F119</f>
        <v>3.3696</v>
      </c>
      <c r="G123" s="206"/>
      <c r="H123" s="206"/>
      <c r="I123" s="206"/>
      <c r="J123" s="206"/>
      <c r="K123" s="206"/>
      <c r="L123" s="206"/>
      <c r="M123" s="206"/>
    </row>
    <row r="124" spans="1:13" ht="12.75">
      <c r="A124" s="538"/>
      <c r="B124" s="10" t="s">
        <v>96</v>
      </c>
      <c r="C124" s="3"/>
      <c r="D124" s="11" t="s">
        <v>87</v>
      </c>
      <c r="E124" s="3">
        <v>0.06</v>
      </c>
      <c r="F124" s="11">
        <f>E124*F119</f>
        <v>0.1296</v>
      </c>
      <c r="G124" s="206"/>
      <c r="H124" s="206"/>
      <c r="I124" s="206"/>
      <c r="J124" s="206"/>
      <c r="K124" s="206"/>
      <c r="L124" s="206"/>
      <c r="M124" s="206"/>
    </row>
    <row r="125" spans="1:13" ht="12.75">
      <c r="A125" s="538"/>
      <c r="B125" s="13" t="s">
        <v>110</v>
      </c>
      <c r="C125" s="3"/>
      <c r="D125" s="11" t="s">
        <v>87</v>
      </c>
      <c r="E125" s="214">
        <f>4.8/100</f>
        <v>0.048</v>
      </c>
      <c r="F125" s="11">
        <f>E125*F119</f>
        <v>0.10368000000000001</v>
      </c>
      <c r="G125" s="206"/>
      <c r="H125" s="206"/>
      <c r="I125" s="206"/>
      <c r="J125" s="206"/>
      <c r="K125" s="206"/>
      <c r="L125" s="206"/>
      <c r="M125" s="206"/>
    </row>
    <row r="126" spans="1:13" ht="15">
      <c r="A126" s="538"/>
      <c r="B126" s="13" t="s">
        <v>111</v>
      </c>
      <c r="C126" s="13"/>
      <c r="D126" s="3" t="s">
        <v>112</v>
      </c>
      <c r="E126" s="3">
        <v>1</v>
      </c>
      <c r="F126" s="11">
        <f>F119*E126</f>
        <v>2.16</v>
      </c>
      <c r="G126" s="206"/>
      <c r="H126" s="206"/>
      <c r="I126" s="206"/>
      <c r="J126" s="206"/>
      <c r="K126" s="206"/>
      <c r="L126" s="206"/>
      <c r="M126" s="206"/>
    </row>
    <row r="127" spans="1:13" ht="38.25">
      <c r="A127" s="538">
        <v>20</v>
      </c>
      <c r="B127" s="4" t="s">
        <v>113</v>
      </c>
      <c r="C127" s="217" t="s">
        <v>397</v>
      </c>
      <c r="D127" s="5" t="s">
        <v>32</v>
      </c>
      <c r="E127" s="5"/>
      <c r="F127" s="21">
        <v>2.6</v>
      </c>
      <c r="G127" s="172"/>
      <c r="H127" s="201"/>
      <c r="I127" s="201"/>
      <c r="J127" s="201"/>
      <c r="K127" s="201"/>
      <c r="L127" s="201"/>
      <c r="M127" s="201"/>
    </row>
    <row r="128" spans="1:13" ht="12.75">
      <c r="A128" s="538"/>
      <c r="B128" s="13" t="s">
        <v>108</v>
      </c>
      <c r="C128" s="5"/>
      <c r="D128" s="11" t="s">
        <v>15</v>
      </c>
      <c r="E128" s="3">
        <v>2.72</v>
      </c>
      <c r="F128" s="12">
        <f>F127*E128</f>
        <v>7.072000000000001</v>
      </c>
      <c r="G128" s="208"/>
      <c r="H128" s="209"/>
      <c r="I128" s="163"/>
      <c r="J128" s="206"/>
      <c r="K128" s="206"/>
      <c r="L128" s="206"/>
      <c r="M128" s="206"/>
    </row>
    <row r="129" spans="1:13" ht="12.75">
      <c r="A129" s="538"/>
      <c r="B129" s="3" t="s">
        <v>23</v>
      </c>
      <c r="C129" s="5"/>
      <c r="D129" s="11"/>
      <c r="E129" s="3"/>
      <c r="F129" s="11"/>
      <c r="G129" s="206"/>
      <c r="H129" s="206"/>
      <c r="I129" s="206"/>
      <c r="J129" s="206"/>
      <c r="K129" s="206"/>
      <c r="L129" s="206"/>
      <c r="M129" s="206"/>
    </row>
    <row r="130" spans="1:13" ht="15">
      <c r="A130" s="538"/>
      <c r="B130" s="13" t="s">
        <v>114</v>
      </c>
      <c r="C130" s="5"/>
      <c r="D130" s="3" t="s">
        <v>112</v>
      </c>
      <c r="E130" s="3">
        <v>1</v>
      </c>
      <c r="F130" s="12">
        <f>E130*F127</f>
        <v>2.6</v>
      </c>
      <c r="G130" s="206"/>
      <c r="H130" s="206"/>
      <c r="I130" s="206"/>
      <c r="J130" s="206"/>
      <c r="K130" s="206"/>
      <c r="L130" s="206"/>
      <c r="M130" s="206"/>
    </row>
    <row r="131" spans="1:13" ht="51">
      <c r="A131" s="538">
        <v>21</v>
      </c>
      <c r="B131" s="164" t="s">
        <v>115</v>
      </c>
      <c r="C131" s="217" t="s">
        <v>398</v>
      </c>
      <c r="D131" s="5" t="s">
        <v>32</v>
      </c>
      <c r="E131" s="5"/>
      <c r="F131" s="21">
        <v>4.32</v>
      </c>
      <c r="G131" s="172"/>
      <c r="H131" s="201"/>
      <c r="I131" s="201"/>
      <c r="J131" s="201"/>
      <c r="K131" s="201"/>
      <c r="L131" s="201"/>
      <c r="M131" s="201"/>
    </row>
    <row r="132" spans="1:13" ht="12.75">
      <c r="A132" s="538"/>
      <c r="B132" s="10" t="s">
        <v>99</v>
      </c>
      <c r="C132" s="5"/>
      <c r="D132" s="1" t="s">
        <v>15</v>
      </c>
      <c r="E132" s="3">
        <v>0.68</v>
      </c>
      <c r="F132" s="9">
        <f>E132*F131</f>
        <v>2.9376</v>
      </c>
      <c r="G132" s="173"/>
      <c r="H132" s="173"/>
      <c r="I132" s="163"/>
      <c r="J132" s="173"/>
      <c r="K132" s="173"/>
      <c r="L132" s="173"/>
      <c r="M132" s="173"/>
    </row>
    <row r="133" spans="1:13" ht="12.75">
      <c r="A133" s="538"/>
      <c r="B133" s="10" t="s">
        <v>25</v>
      </c>
      <c r="C133" s="5"/>
      <c r="D133" s="1" t="s">
        <v>0</v>
      </c>
      <c r="E133" s="214">
        <f>0.03/100</f>
        <v>0.0003</v>
      </c>
      <c r="F133" s="9">
        <f>E133*F131</f>
        <v>0.001296</v>
      </c>
      <c r="G133" s="173"/>
      <c r="H133" s="173"/>
      <c r="I133" s="173"/>
      <c r="J133" s="173"/>
      <c r="K133" s="173"/>
      <c r="L133" s="173"/>
      <c r="M133" s="173"/>
    </row>
    <row r="134" spans="1:13" ht="12.75">
      <c r="A134" s="538"/>
      <c r="B134" s="3" t="s">
        <v>23</v>
      </c>
      <c r="C134" s="5"/>
      <c r="D134" s="3"/>
      <c r="E134" s="3"/>
      <c r="F134" s="9"/>
      <c r="G134" s="173"/>
      <c r="H134" s="173"/>
      <c r="I134" s="173"/>
      <c r="J134" s="173"/>
      <c r="K134" s="173"/>
      <c r="L134" s="173"/>
      <c r="M134" s="173"/>
    </row>
    <row r="135" spans="1:13" ht="13.5">
      <c r="A135" s="538"/>
      <c r="B135" s="10" t="s">
        <v>116</v>
      </c>
      <c r="C135" s="65"/>
      <c r="D135" s="1" t="s">
        <v>87</v>
      </c>
      <c r="E135" s="3">
        <v>0.253</v>
      </c>
      <c r="F135" s="3">
        <f>E135*F131</f>
        <v>1.0929600000000002</v>
      </c>
      <c r="G135" s="163"/>
      <c r="H135" s="163"/>
      <c r="I135" s="163"/>
      <c r="J135" s="163"/>
      <c r="K135" s="163"/>
      <c r="L135" s="163"/>
      <c r="M135" s="173"/>
    </row>
    <row r="136" spans="1:13" ht="13.5">
      <c r="A136" s="538"/>
      <c r="B136" s="10" t="s">
        <v>117</v>
      </c>
      <c r="C136" s="65"/>
      <c r="D136" s="1" t="s">
        <v>87</v>
      </c>
      <c r="E136" s="3">
        <v>0.027</v>
      </c>
      <c r="F136" s="3">
        <f>E136*F131</f>
        <v>0.11664000000000001</v>
      </c>
      <c r="G136" s="163"/>
      <c r="H136" s="163"/>
      <c r="I136" s="163"/>
      <c r="J136" s="163"/>
      <c r="K136" s="163"/>
      <c r="L136" s="163"/>
      <c r="M136" s="173"/>
    </row>
    <row r="137" spans="1:13" ht="12.75">
      <c r="A137" s="538"/>
      <c r="B137" s="10" t="s">
        <v>18</v>
      </c>
      <c r="C137" s="5"/>
      <c r="D137" s="1" t="s">
        <v>0</v>
      </c>
      <c r="E137" s="3">
        <v>0.0019</v>
      </c>
      <c r="F137" s="9">
        <f>E137*F131</f>
        <v>0.008208</v>
      </c>
      <c r="G137" s="163"/>
      <c r="H137" s="163"/>
      <c r="I137" s="163"/>
      <c r="J137" s="163"/>
      <c r="K137" s="163"/>
      <c r="L137" s="163"/>
      <c r="M137" s="173"/>
    </row>
    <row r="138" spans="1:13" ht="38.25">
      <c r="A138" s="534">
        <v>22</v>
      </c>
      <c r="B138" s="164" t="s">
        <v>118</v>
      </c>
      <c r="C138" s="218" t="s">
        <v>399</v>
      </c>
      <c r="D138" s="5" t="s">
        <v>32</v>
      </c>
      <c r="E138" s="19"/>
      <c r="F138" s="6">
        <v>50</v>
      </c>
      <c r="G138" s="172"/>
      <c r="H138" s="172"/>
      <c r="I138" s="172"/>
      <c r="J138" s="172"/>
      <c r="K138" s="172"/>
      <c r="L138" s="172"/>
      <c r="M138" s="172"/>
    </row>
    <row r="139" spans="1:13" ht="12.75">
      <c r="A139" s="535"/>
      <c r="B139" s="20" t="s">
        <v>12</v>
      </c>
      <c r="C139" s="5"/>
      <c r="D139" s="1" t="s">
        <v>15</v>
      </c>
      <c r="E139" s="1">
        <v>1.01</v>
      </c>
      <c r="F139" s="2">
        <f>F138*E139</f>
        <v>50.5</v>
      </c>
      <c r="G139" s="163"/>
      <c r="H139" s="163"/>
      <c r="I139" s="163"/>
      <c r="J139" s="163"/>
      <c r="K139" s="163"/>
      <c r="L139" s="163"/>
      <c r="M139" s="163"/>
    </row>
    <row r="140" spans="1:13" ht="12.75">
      <c r="A140" s="535"/>
      <c r="B140" s="20" t="s">
        <v>25</v>
      </c>
      <c r="C140" s="5"/>
      <c r="D140" s="3" t="s">
        <v>0</v>
      </c>
      <c r="E140" s="1">
        <v>0.027</v>
      </c>
      <c r="F140" s="26">
        <f>E140*F138</f>
        <v>1.35</v>
      </c>
      <c r="G140" s="163"/>
      <c r="H140" s="163"/>
      <c r="I140" s="163"/>
      <c r="J140" s="163"/>
      <c r="K140" s="163"/>
      <c r="L140" s="163"/>
      <c r="M140" s="163"/>
    </row>
    <row r="141" spans="1:13" ht="12.75">
      <c r="A141" s="535"/>
      <c r="B141" s="3" t="s">
        <v>23</v>
      </c>
      <c r="C141" s="5"/>
      <c r="D141" s="3"/>
      <c r="E141" s="3"/>
      <c r="F141" s="9"/>
      <c r="G141" s="173"/>
      <c r="H141" s="173"/>
      <c r="I141" s="163"/>
      <c r="J141" s="173"/>
      <c r="K141" s="173"/>
      <c r="L141" s="173"/>
      <c r="M141" s="173"/>
    </row>
    <row r="142" spans="1:13" ht="15">
      <c r="A142" s="535"/>
      <c r="B142" s="10" t="s">
        <v>119</v>
      </c>
      <c r="C142" s="65"/>
      <c r="D142" s="3" t="s">
        <v>48</v>
      </c>
      <c r="E142" s="3">
        <v>0.0238</v>
      </c>
      <c r="F142" s="9">
        <f>E142*F138</f>
        <v>1.1900000000000002</v>
      </c>
      <c r="G142" s="173"/>
      <c r="H142" s="173"/>
      <c r="I142" s="163"/>
      <c r="J142" s="173"/>
      <c r="K142" s="173"/>
      <c r="L142" s="173"/>
      <c r="M142" s="173"/>
    </row>
    <row r="143" spans="1:13" ht="12.75">
      <c r="A143" s="536"/>
      <c r="B143" s="20" t="s">
        <v>18</v>
      </c>
      <c r="C143" s="5"/>
      <c r="D143" s="3" t="s">
        <v>0</v>
      </c>
      <c r="E143" s="3">
        <v>0.003</v>
      </c>
      <c r="F143" s="22">
        <f>E143*F138</f>
        <v>0.15</v>
      </c>
      <c r="G143" s="173"/>
      <c r="H143" s="173"/>
      <c r="I143" s="163"/>
      <c r="J143" s="173"/>
      <c r="K143" s="173"/>
      <c r="L143" s="173"/>
      <c r="M143" s="173"/>
    </row>
    <row r="144" spans="1:13" ht="38.25">
      <c r="A144" s="534">
        <v>23</v>
      </c>
      <c r="B144" s="164" t="s">
        <v>120</v>
      </c>
      <c r="C144" s="218" t="s">
        <v>400</v>
      </c>
      <c r="D144" s="5" t="s">
        <v>32</v>
      </c>
      <c r="E144" s="19"/>
      <c r="F144" s="6">
        <v>64</v>
      </c>
      <c r="G144" s="172"/>
      <c r="H144" s="172"/>
      <c r="I144" s="172"/>
      <c r="J144" s="172"/>
      <c r="K144" s="172"/>
      <c r="L144" s="172"/>
      <c r="M144" s="172"/>
    </row>
    <row r="145" spans="1:13" ht="12.75">
      <c r="A145" s="535"/>
      <c r="B145" s="20" t="s">
        <v>12</v>
      </c>
      <c r="C145" s="5"/>
      <c r="D145" s="1" t="s">
        <v>15</v>
      </c>
      <c r="E145" s="1">
        <v>0.93</v>
      </c>
      <c r="F145" s="2">
        <f>F144*E145</f>
        <v>59.52</v>
      </c>
      <c r="G145" s="163"/>
      <c r="H145" s="163"/>
      <c r="I145" s="163"/>
      <c r="J145" s="163"/>
      <c r="K145" s="163"/>
      <c r="L145" s="163"/>
      <c r="M145" s="163"/>
    </row>
    <row r="146" spans="1:13" ht="12.75">
      <c r="A146" s="535"/>
      <c r="B146" s="20" t="s">
        <v>25</v>
      </c>
      <c r="C146" s="5"/>
      <c r="D146" s="3" t="s">
        <v>0</v>
      </c>
      <c r="E146" s="1">
        <v>0.026</v>
      </c>
      <c r="F146" s="26">
        <f>E146*F144</f>
        <v>1.664</v>
      </c>
      <c r="G146" s="163"/>
      <c r="H146" s="163"/>
      <c r="I146" s="163"/>
      <c r="J146" s="163"/>
      <c r="K146" s="163"/>
      <c r="L146" s="163"/>
      <c r="M146" s="163"/>
    </row>
    <row r="147" spans="1:13" ht="12.75">
      <c r="A147" s="535"/>
      <c r="B147" s="3" t="s">
        <v>23</v>
      </c>
      <c r="C147" s="5"/>
      <c r="D147" s="3"/>
      <c r="E147" s="3"/>
      <c r="F147" s="9"/>
      <c r="G147" s="173"/>
      <c r="H147" s="173"/>
      <c r="I147" s="163"/>
      <c r="J147" s="173"/>
      <c r="K147" s="173"/>
      <c r="L147" s="173"/>
      <c r="M147" s="173"/>
    </row>
    <row r="148" spans="1:13" ht="15">
      <c r="A148" s="535"/>
      <c r="B148" s="10" t="s">
        <v>119</v>
      </c>
      <c r="C148" s="65"/>
      <c r="D148" s="3" t="s">
        <v>48</v>
      </c>
      <c r="E148" s="214">
        <f>2.68/100</f>
        <v>0.0268</v>
      </c>
      <c r="F148" s="9">
        <f>E148*F144</f>
        <v>1.7152</v>
      </c>
      <c r="G148" s="173"/>
      <c r="H148" s="173"/>
      <c r="I148" s="163"/>
      <c r="J148" s="173"/>
      <c r="K148" s="173"/>
      <c r="L148" s="173"/>
      <c r="M148" s="173"/>
    </row>
    <row r="149" spans="1:13" ht="51">
      <c r="A149" s="534">
        <v>24</v>
      </c>
      <c r="B149" s="219" t="s">
        <v>121</v>
      </c>
      <c r="C149" s="218" t="s">
        <v>401</v>
      </c>
      <c r="D149" s="5" t="s">
        <v>32</v>
      </c>
      <c r="E149" s="19"/>
      <c r="F149" s="21">
        <v>50</v>
      </c>
      <c r="G149" s="172"/>
      <c r="H149" s="172"/>
      <c r="I149" s="172"/>
      <c r="J149" s="172"/>
      <c r="K149" s="172"/>
      <c r="L149" s="172"/>
      <c r="M149" s="172"/>
    </row>
    <row r="150" spans="1:13" ht="12.75">
      <c r="A150" s="535"/>
      <c r="B150" s="20" t="s">
        <v>12</v>
      </c>
      <c r="C150" s="5"/>
      <c r="D150" s="1" t="s">
        <v>15</v>
      </c>
      <c r="E150" s="1">
        <v>0.856</v>
      </c>
      <c r="F150" s="2">
        <f>F149*E150</f>
        <v>42.8</v>
      </c>
      <c r="G150" s="163"/>
      <c r="H150" s="163"/>
      <c r="I150" s="163"/>
      <c r="J150" s="163"/>
      <c r="K150" s="163"/>
      <c r="L150" s="163"/>
      <c r="M150" s="163"/>
    </row>
    <row r="151" spans="1:13" ht="12.75">
      <c r="A151" s="535"/>
      <c r="B151" s="20" t="s">
        <v>25</v>
      </c>
      <c r="C151" s="5"/>
      <c r="D151" s="3" t="s">
        <v>0</v>
      </c>
      <c r="E151" s="1">
        <v>0.012</v>
      </c>
      <c r="F151" s="2">
        <f>E151*F149</f>
        <v>0.6</v>
      </c>
      <c r="G151" s="163"/>
      <c r="H151" s="163"/>
      <c r="I151" s="163"/>
      <c r="J151" s="163"/>
      <c r="K151" s="163"/>
      <c r="L151" s="163"/>
      <c r="M151" s="163"/>
    </row>
    <row r="152" spans="1:13" ht="12.75">
      <c r="A152" s="535"/>
      <c r="B152" s="3" t="s">
        <v>23</v>
      </c>
      <c r="C152" s="5"/>
      <c r="D152" s="3"/>
      <c r="E152" s="3"/>
      <c r="F152" s="9"/>
      <c r="G152" s="173"/>
      <c r="H152" s="173"/>
      <c r="I152" s="163"/>
      <c r="J152" s="173"/>
      <c r="K152" s="173"/>
      <c r="L152" s="173"/>
      <c r="M152" s="173"/>
    </row>
    <row r="153" spans="1:13" ht="13.5">
      <c r="A153" s="535"/>
      <c r="B153" s="10" t="s">
        <v>122</v>
      </c>
      <c r="C153" s="65"/>
      <c r="D153" s="3" t="s">
        <v>87</v>
      </c>
      <c r="E153" s="3">
        <v>0.63</v>
      </c>
      <c r="F153" s="9">
        <f>E153*F149</f>
        <v>31.5</v>
      </c>
      <c r="G153" s="173"/>
      <c r="H153" s="173"/>
      <c r="I153" s="163"/>
      <c r="J153" s="173"/>
      <c r="K153" s="173"/>
      <c r="L153" s="173"/>
      <c r="M153" s="173"/>
    </row>
    <row r="154" spans="1:13" ht="13.5">
      <c r="A154" s="535"/>
      <c r="B154" s="10" t="s">
        <v>123</v>
      </c>
      <c r="C154" s="65"/>
      <c r="D154" s="3" t="s">
        <v>87</v>
      </c>
      <c r="E154" s="3">
        <v>0.92</v>
      </c>
      <c r="F154" s="9">
        <f>E154*F149</f>
        <v>46</v>
      </c>
      <c r="G154" s="173"/>
      <c r="H154" s="173"/>
      <c r="I154" s="163"/>
      <c r="J154" s="173"/>
      <c r="K154" s="173"/>
      <c r="L154" s="173"/>
      <c r="M154" s="173"/>
    </row>
    <row r="155" spans="1:13" ht="12.75">
      <c r="A155" s="536"/>
      <c r="B155" s="20" t="s">
        <v>18</v>
      </c>
      <c r="C155" s="5"/>
      <c r="D155" s="3" t="s">
        <v>0</v>
      </c>
      <c r="E155" s="3">
        <v>0.018</v>
      </c>
      <c r="F155" s="22">
        <f>E155*F149</f>
        <v>0.8999999999999999</v>
      </c>
      <c r="G155" s="173"/>
      <c r="H155" s="173"/>
      <c r="I155" s="163"/>
      <c r="J155" s="173"/>
      <c r="K155" s="173"/>
      <c r="L155" s="173"/>
      <c r="M155" s="173"/>
    </row>
    <row r="156" spans="1:13" ht="51">
      <c r="A156" s="534">
        <v>25</v>
      </c>
      <c r="B156" s="164" t="s">
        <v>124</v>
      </c>
      <c r="C156" s="218" t="s">
        <v>402</v>
      </c>
      <c r="D156" s="5" t="s">
        <v>32</v>
      </c>
      <c r="E156" s="19"/>
      <c r="F156" s="21">
        <v>64</v>
      </c>
      <c r="G156" s="172"/>
      <c r="H156" s="172"/>
      <c r="I156" s="172"/>
      <c r="J156" s="172"/>
      <c r="K156" s="172"/>
      <c r="L156" s="172"/>
      <c r="M156" s="172"/>
    </row>
    <row r="157" spans="1:13" ht="12.75">
      <c r="A157" s="535"/>
      <c r="B157" s="20" t="s">
        <v>12</v>
      </c>
      <c r="C157" s="5"/>
      <c r="D157" s="1" t="s">
        <v>15</v>
      </c>
      <c r="E157" s="294">
        <f>19.7/100</f>
        <v>0.19699999999999998</v>
      </c>
      <c r="F157" s="2">
        <f>F156*E157</f>
        <v>12.607999999999999</v>
      </c>
      <c r="G157" s="163"/>
      <c r="H157" s="163"/>
      <c r="I157" s="163"/>
      <c r="J157" s="163"/>
      <c r="K157" s="163"/>
      <c r="L157" s="163"/>
      <c r="M157" s="163"/>
    </row>
    <row r="158" spans="1:13" ht="12.75">
      <c r="A158" s="535"/>
      <c r="B158" s="20" t="s">
        <v>25</v>
      </c>
      <c r="C158" s="5"/>
      <c r="D158" s="3" t="s">
        <v>0</v>
      </c>
      <c r="E158" s="294">
        <f>0.06/100</f>
        <v>0.0006</v>
      </c>
      <c r="F158" s="26">
        <f>E158*F156</f>
        <v>0.0384</v>
      </c>
      <c r="G158" s="163"/>
      <c r="H158" s="163"/>
      <c r="I158" s="163"/>
      <c r="J158" s="163"/>
      <c r="K158" s="163"/>
      <c r="L158" s="163"/>
      <c r="M158" s="163"/>
    </row>
    <row r="159" spans="1:13" ht="12.75">
      <c r="A159" s="535"/>
      <c r="B159" s="3" t="s">
        <v>23</v>
      </c>
      <c r="C159" s="5"/>
      <c r="D159" s="3"/>
      <c r="E159" s="3"/>
      <c r="F159" s="9"/>
      <c r="G159" s="173"/>
      <c r="H159" s="173"/>
      <c r="I159" s="163"/>
      <c r="J159" s="173"/>
      <c r="K159" s="173"/>
      <c r="L159" s="173"/>
      <c r="M159" s="173"/>
    </row>
    <row r="160" spans="1:13" ht="13.5">
      <c r="A160" s="535"/>
      <c r="B160" s="10" t="s">
        <v>125</v>
      </c>
      <c r="C160" s="65"/>
      <c r="D160" s="3" t="s">
        <v>87</v>
      </c>
      <c r="E160" s="3">
        <v>0.45</v>
      </c>
      <c r="F160" s="9">
        <f>E160*F156</f>
        <v>28.8</v>
      </c>
      <c r="G160" s="173"/>
      <c r="H160" s="173"/>
      <c r="I160" s="163"/>
      <c r="J160" s="173"/>
      <c r="K160" s="173"/>
      <c r="L160" s="173"/>
      <c r="M160" s="173"/>
    </row>
    <row r="161" spans="1:13" ht="12.75">
      <c r="A161" s="536"/>
      <c r="B161" s="20" t="s">
        <v>18</v>
      </c>
      <c r="C161" s="5"/>
      <c r="D161" s="3" t="s">
        <v>0</v>
      </c>
      <c r="E161" s="214">
        <f>0.13/100</f>
        <v>0.0013</v>
      </c>
      <c r="F161" s="22">
        <f>E161*F156</f>
        <v>0.0832</v>
      </c>
      <c r="G161" s="173"/>
      <c r="H161" s="173"/>
      <c r="I161" s="163"/>
      <c r="J161" s="173"/>
      <c r="K161" s="173"/>
      <c r="L161" s="173"/>
      <c r="M161" s="173"/>
    </row>
    <row r="162" spans="1:13" ht="38.25">
      <c r="A162" s="534">
        <v>26</v>
      </c>
      <c r="B162" s="4" t="s">
        <v>126</v>
      </c>
      <c r="C162" s="218" t="s">
        <v>395</v>
      </c>
      <c r="D162" s="5" t="s">
        <v>146</v>
      </c>
      <c r="E162" s="19"/>
      <c r="F162" s="21">
        <v>2.6</v>
      </c>
      <c r="G162" s="172"/>
      <c r="H162" s="172"/>
      <c r="I162" s="172"/>
      <c r="J162" s="172"/>
      <c r="K162" s="172"/>
      <c r="L162" s="172"/>
      <c r="M162" s="172"/>
    </row>
    <row r="163" spans="1:13" ht="12.75">
      <c r="A163" s="535"/>
      <c r="B163" s="20" t="s">
        <v>12</v>
      </c>
      <c r="C163" s="5"/>
      <c r="D163" s="1" t="s">
        <v>15</v>
      </c>
      <c r="E163" s="2">
        <v>2.9</v>
      </c>
      <c r="F163" s="2">
        <f>F162*E163</f>
        <v>7.54</v>
      </c>
      <c r="G163" s="163"/>
      <c r="H163" s="163"/>
      <c r="I163" s="163"/>
      <c r="J163" s="163"/>
      <c r="K163" s="163"/>
      <c r="L163" s="163"/>
      <c r="M163" s="163"/>
    </row>
    <row r="164" spans="1:13" ht="12.75">
      <c r="A164" s="535"/>
      <c r="B164" s="3" t="s">
        <v>23</v>
      </c>
      <c r="C164" s="5"/>
      <c r="D164" s="3"/>
      <c r="E164" s="3"/>
      <c r="F164" s="9"/>
      <c r="G164" s="173"/>
      <c r="H164" s="173"/>
      <c r="I164" s="163"/>
      <c r="J164" s="173"/>
      <c r="K164" s="173"/>
      <c r="L164" s="173"/>
      <c r="M164" s="173"/>
    </row>
    <row r="165" spans="1:13" ht="15">
      <c r="A165" s="535"/>
      <c r="B165" s="166" t="s">
        <v>105</v>
      </c>
      <c r="C165" s="3"/>
      <c r="D165" s="3" t="s">
        <v>48</v>
      </c>
      <c r="E165" s="3">
        <v>1.02</v>
      </c>
      <c r="F165" s="9">
        <f>E165*F162</f>
        <v>2.652</v>
      </c>
      <c r="G165" s="173"/>
      <c r="H165" s="173"/>
      <c r="I165" s="163"/>
      <c r="J165" s="173"/>
      <c r="K165" s="173"/>
      <c r="L165" s="173"/>
      <c r="M165" s="173"/>
    </row>
    <row r="166" spans="1:13" ht="13.5" thickBot="1">
      <c r="A166" s="539"/>
      <c r="B166" s="20" t="s">
        <v>18</v>
      </c>
      <c r="C166" s="152"/>
      <c r="D166" s="3" t="s">
        <v>0</v>
      </c>
      <c r="E166" s="3">
        <v>0.88</v>
      </c>
      <c r="F166" s="22">
        <f>E166*F162</f>
        <v>2.2880000000000003</v>
      </c>
      <c r="G166" s="173"/>
      <c r="H166" s="173"/>
      <c r="I166" s="163"/>
      <c r="J166" s="173"/>
      <c r="K166" s="173"/>
      <c r="L166" s="173"/>
      <c r="M166" s="173"/>
    </row>
    <row r="167" spans="1:13" ht="13.5" thickBot="1">
      <c r="A167" s="220"/>
      <c r="B167" s="178" t="s">
        <v>8</v>
      </c>
      <c r="C167" s="178"/>
      <c r="D167" s="179"/>
      <c r="E167" s="179"/>
      <c r="F167" s="179"/>
      <c r="G167" s="180"/>
      <c r="H167" s="181"/>
      <c r="I167" s="180"/>
      <c r="J167" s="181"/>
      <c r="K167" s="181"/>
      <c r="L167" s="181"/>
      <c r="M167" s="181"/>
    </row>
    <row r="168" spans="1:13" ht="12.75">
      <c r="A168" s="221"/>
      <c r="B168" s="286" t="s">
        <v>16</v>
      </c>
      <c r="C168" s="286"/>
      <c r="D168" s="287"/>
      <c r="E168" s="288">
        <v>0.04</v>
      </c>
      <c r="F168" s="287"/>
      <c r="G168" s="289"/>
      <c r="H168" s="289"/>
      <c r="I168" s="289"/>
      <c r="J168" s="289"/>
      <c r="K168" s="289"/>
      <c r="L168" s="289"/>
      <c r="M168" s="290"/>
    </row>
    <row r="169" spans="1:13" ht="12.75">
      <c r="A169" s="187"/>
      <c r="B169" s="167" t="s">
        <v>8</v>
      </c>
      <c r="C169" s="167"/>
      <c r="D169" s="5"/>
      <c r="E169" s="5"/>
      <c r="F169" s="5"/>
      <c r="G169" s="188"/>
      <c r="H169" s="188"/>
      <c r="I169" s="188"/>
      <c r="J169" s="188"/>
      <c r="K169" s="188"/>
      <c r="L169" s="188"/>
      <c r="M169" s="29"/>
    </row>
    <row r="170" spans="1:13" ht="12.75">
      <c r="A170" s="187"/>
      <c r="B170" s="167" t="s">
        <v>365</v>
      </c>
      <c r="C170" s="167"/>
      <c r="D170" s="5"/>
      <c r="E170" s="5"/>
      <c r="F170" s="5"/>
      <c r="G170" s="188"/>
      <c r="H170" s="188"/>
      <c r="I170" s="188"/>
      <c r="J170" s="188"/>
      <c r="K170" s="188"/>
      <c r="L170" s="188"/>
      <c r="M170" s="29"/>
    </row>
    <row r="171" spans="1:13" ht="12.75">
      <c r="A171" s="187"/>
      <c r="B171" s="167" t="s">
        <v>366</v>
      </c>
      <c r="C171" s="167"/>
      <c r="D171" s="5"/>
      <c r="E171" s="5"/>
      <c r="F171" s="5"/>
      <c r="G171" s="188"/>
      <c r="H171" s="188"/>
      <c r="I171" s="188"/>
      <c r="J171" s="188"/>
      <c r="K171" s="188"/>
      <c r="L171" s="188"/>
      <c r="M171" s="29"/>
    </row>
    <row r="172" spans="1:13" ht="12.75">
      <c r="A172" s="189"/>
      <c r="B172" s="10" t="s">
        <v>29</v>
      </c>
      <c r="C172" s="10"/>
      <c r="D172" s="3"/>
      <c r="E172" s="27" t="s">
        <v>671</v>
      </c>
      <c r="F172" s="3"/>
      <c r="G172" s="173"/>
      <c r="H172" s="173"/>
      <c r="I172" s="173"/>
      <c r="J172" s="173"/>
      <c r="K172" s="173"/>
      <c r="L172" s="173"/>
      <c r="M172" s="33"/>
    </row>
    <row r="173" spans="1:13" ht="12.75">
      <c r="A173" s="189"/>
      <c r="B173" s="10" t="s">
        <v>367</v>
      </c>
      <c r="C173" s="10"/>
      <c r="D173" s="3"/>
      <c r="E173" s="27" t="s">
        <v>671</v>
      </c>
      <c r="F173" s="3"/>
      <c r="G173" s="173"/>
      <c r="H173" s="173"/>
      <c r="I173" s="173"/>
      <c r="J173" s="173"/>
      <c r="K173" s="173"/>
      <c r="L173" s="173"/>
      <c r="M173" s="33"/>
    </row>
    <row r="174" spans="1:13" ht="12.75">
      <c r="A174" s="187"/>
      <c r="B174" s="167" t="s">
        <v>8</v>
      </c>
      <c r="C174" s="167"/>
      <c r="D174" s="5"/>
      <c r="E174" s="5"/>
      <c r="F174" s="5"/>
      <c r="G174" s="188"/>
      <c r="H174" s="188"/>
      <c r="I174" s="188"/>
      <c r="J174" s="188"/>
      <c r="K174" s="188"/>
      <c r="L174" s="188"/>
      <c r="M174" s="29"/>
    </row>
    <row r="175" spans="1:13" ht="12.75">
      <c r="A175" s="189"/>
      <c r="B175" s="10" t="s">
        <v>19</v>
      </c>
      <c r="C175" s="10"/>
      <c r="D175" s="3"/>
      <c r="E175" s="27" t="s">
        <v>671</v>
      </c>
      <c r="F175" s="3"/>
      <c r="G175" s="173"/>
      <c r="H175" s="173"/>
      <c r="I175" s="173"/>
      <c r="J175" s="173"/>
      <c r="K175" s="173"/>
      <c r="L175" s="173"/>
      <c r="M175" s="33"/>
    </row>
    <row r="176" spans="1:13" ht="12.75">
      <c r="A176" s="187"/>
      <c r="B176" s="167" t="s">
        <v>8</v>
      </c>
      <c r="C176" s="167"/>
      <c r="D176" s="5"/>
      <c r="E176" s="5"/>
      <c r="F176" s="5"/>
      <c r="G176" s="188"/>
      <c r="H176" s="188"/>
      <c r="I176" s="188"/>
      <c r="J176" s="188"/>
      <c r="K176" s="188"/>
      <c r="L176" s="188"/>
      <c r="M176" s="29"/>
    </row>
    <row r="177" spans="1:13" ht="12.75">
      <c r="A177" s="187"/>
      <c r="B177" s="10" t="s">
        <v>34</v>
      </c>
      <c r="C177" s="10"/>
      <c r="D177" s="5"/>
      <c r="E177" s="27">
        <v>0.03</v>
      </c>
      <c r="F177" s="5"/>
      <c r="G177" s="188"/>
      <c r="H177" s="188"/>
      <c r="I177" s="188"/>
      <c r="J177" s="188"/>
      <c r="K177" s="188"/>
      <c r="L177" s="188"/>
      <c r="M177" s="29"/>
    </row>
    <row r="178" spans="1:13" ht="12.75">
      <c r="A178" s="187"/>
      <c r="B178" s="167" t="s">
        <v>8</v>
      </c>
      <c r="C178" s="167"/>
      <c r="D178" s="5"/>
      <c r="E178" s="5"/>
      <c r="F178" s="5"/>
      <c r="G178" s="188"/>
      <c r="H178" s="188"/>
      <c r="I178" s="188"/>
      <c r="J178" s="188"/>
      <c r="K178" s="188"/>
      <c r="L178" s="188"/>
      <c r="M178" s="29"/>
    </row>
    <row r="179" spans="1:13" ht="12.75">
      <c r="A179" s="31"/>
      <c r="B179" s="31" t="s">
        <v>27</v>
      </c>
      <c r="C179" s="31"/>
      <c r="D179" s="31"/>
      <c r="E179" s="32">
        <v>0.18</v>
      </c>
      <c r="F179" s="31"/>
      <c r="G179" s="190"/>
      <c r="H179" s="190"/>
      <c r="I179" s="190"/>
      <c r="J179" s="190"/>
      <c r="K179" s="190"/>
      <c r="L179" s="190"/>
      <c r="M179" s="33"/>
    </row>
    <row r="180" spans="1:13" ht="12.75">
      <c r="A180" s="31"/>
      <c r="B180" s="30" t="s">
        <v>8</v>
      </c>
      <c r="C180" s="30"/>
      <c r="D180" s="31"/>
      <c r="E180" s="31"/>
      <c r="F180" s="31"/>
      <c r="G180" s="190"/>
      <c r="H180" s="190"/>
      <c r="I180" s="190"/>
      <c r="J180" s="190"/>
      <c r="K180" s="190"/>
      <c r="L180" s="190"/>
      <c r="M180" s="29"/>
    </row>
    <row r="181" spans="1:13" ht="12.75">
      <c r="A181" s="490"/>
      <c r="B181" s="341" t="s">
        <v>622</v>
      </c>
      <c r="C181" s="340"/>
      <c r="D181" s="340"/>
      <c r="E181" s="340"/>
      <c r="F181" s="340">
        <v>4</v>
      </c>
      <c r="G181" s="340"/>
      <c r="H181" s="340"/>
      <c r="I181" s="340"/>
      <c r="J181" s="340"/>
      <c r="K181" s="340"/>
      <c r="L181" s="340"/>
      <c r="M181" s="491"/>
    </row>
    <row r="182" spans="2:11" ht="16.5">
      <c r="B182" s="285"/>
      <c r="C182" s="540"/>
      <c r="D182" s="540"/>
      <c r="E182" s="285"/>
      <c r="F182" s="285"/>
      <c r="G182" s="285"/>
      <c r="H182" s="285"/>
      <c r="I182" s="540"/>
      <c r="J182" s="540"/>
      <c r="K182" s="285"/>
    </row>
    <row r="183" ht="12.75">
      <c r="B183" s="222"/>
    </row>
    <row r="184" spans="2:5" ht="12.75">
      <c r="B184" s="284" t="s">
        <v>617</v>
      </c>
      <c r="D184" s="506" t="s">
        <v>618</v>
      </c>
      <c r="E184" s="506"/>
    </row>
    <row r="185" spans="2:3" ht="12.75">
      <c r="B185" s="292"/>
      <c r="C185" s="292"/>
    </row>
    <row r="186" ht="12.75">
      <c r="B186" s="292"/>
    </row>
    <row r="187" spans="2:10" ht="12.75">
      <c r="B187" s="293"/>
      <c r="I187" s="529"/>
      <c r="J187" s="529"/>
    </row>
    <row r="188" spans="2:3" ht="12.75">
      <c r="B188" s="530"/>
      <c r="C188" s="530"/>
    </row>
    <row r="189" ht="12.75">
      <c r="B189" s="222"/>
    </row>
    <row r="190" ht="12.75">
      <c r="B190" s="222"/>
    </row>
    <row r="191" ht="12.75">
      <c r="B191" s="222"/>
    </row>
    <row r="192" ht="12.75">
      <c r="B192" s="222"/>
    </row>
    <row r="193" ht="12.75">
      <c r="B193" s="222"/>
    </row>
    <row r="194" ht="12.75">
      <c r="B194" s="222"/>
    </row>
  </sheetData>
  <sheetProtection/>
  <mergeCells count="47">
    <mergeCell ref="B188:C188"/>
    <mergeCell ref="I9:J9"/>
    <mergeCell ref="K9:L9"/>
    <mergeCell ref="C182:D182"/>
    <mergeCell ref="I182:J182"/>
    <mergeCell ref="I187:J187"/>
    <mergeCell ref="B9:B10"/>
    <mergeCell ref="C9:C10"/>
    <mergeCell ref="D9:D10"/>
    <mergeCell ref="D184:E184"/>
    <mergeCell ref="A138:A143"/>
    <mergeCell ref="A144:A148"/>
    <mergeCell ref="A113:A118"/>
    <mergeCell ref="A119:A126"/>
    <mergeCell ref="A127:A130"/>
    <mergeCell ref="A82:A91"/>
    <mergeCell ref="A92:A95"/>
    <mergeCell ref="A96:A99"/>
    <mergeCell ref="A100:A103"/>
    <mergeCell ref="A104:A107"/>
    <mergeCell ref="A149:A155"/>
    <mergeCell ref="A156:A161"/>
    <mergeCell ref="A56:A65"/>
    <mergeCell ref="A162:A166"/>
    <mergeCell ref="E9:E10"/>
    <mergeCell ref="A40:A45"/>
    <mergeCell ref="A46:A55"/>
    <mergeCell ref="A131:A137"/>
    <mergeCell ref="A66:A74"/>
    <mergeCell ref="A75:A81"/>
    <mergeCell ref="A108:A112"/>
    <mergeCell ref="A20:A28"/>
    <mergeCell ref="A9:A10"/>
    <mergeCell ref="A12:A13"/>
    <mergeCell ref="A14:A19"/>
    <mergeCell ref="A29:A30"/>
    <mergeCell ref="A31:A32"/>
    <mergeCell ref="A33:A39"/>
    <mergeCell ref="B7:G7"/>
    <mergeCell ref="H7:K7"/>
    <mergeCell ref="F9:F10"/>
    <mergeCell ref="G9:H9"/>
    <mergeCell ref="A2:L2"/>
    <mergeCell ref="A3:L3"/>
    <mergeCell ref="A4:L4"/>
    <mergeCell ref="A5:L5"/>
    <mergeCell ref="H6:K6"/>
  </mergeCells>
  <printOptions/>
  <pageMargins left="0.18" right="0.31496062992125984" top="0.4724409448818898" bottom="0.15748031496062992" header="0.11811023622047245" footer="0.11811023622047245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M99"/>
  <sheetViews>
    <sheetView zoomScalePageLayoutView="0" workbookViewId="0" topLeftCell="A61">
      <selection activeCell="L96" sqref="L96:L97"/>
    </sheetView>
  </sheetViews>
  <sheetFormatPr defaultColWidth="9.140625" defaultRowHeight="12.75"/>
  <cols>
    <col min="1" max="1" width="2.7109375" style="222" customWidth="1"/>
    <col min="2" max="2" width="47.140625" style="222" customWidth="1"/>
    <col min="3" max="3" width="7.7109375" style="222" customWidth="1"/>
    <col min="4" max="4" width="7.57421875" style="222" customWidth="1"/>
    <col min="5" max="5" width="10.8515625" style="222" customWidth="1"/>
    <col min="6" max="6" width="9.140625" style="222" customWidth="1"/>
    <col min="7" max="7" width="10.7109375" style="222" customWidth="1"/>
    <col min="8" max="8" width="12.7109375" style="222" bestFit="1" customWidth="1"/>
    <col min="9" max="9" width="10.7109375" style="222" customWidth="1"/>
    <col min="10" max="10" width="10.421875" style="222" bestFit="1" customWidth="1"/>
    <col min="11" max="11" width="10.7109375" style="222" customWidth="1"/>
    <col min="12" max="12" width="12.00390625" style="222" customWidth="1"/>
    <col min="13" max="13" width="12.7109375" style="222" bestFit="1" customWidth="1"/>
    <col min="14" max="16384" width="9.140625" style="222" customWidth="1"/>
  </cols>
  <sheetData>
    <row r="2" spans="1:12" ht="15">
      <c r="A2" s="508" t="s">
        <v>619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ht="14.25">
      <c r="A3" s="519" t="s">
        <v>58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2" ht="15">
      <c r="A4" s="543" t="s">
        <v>128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</row>
    <row r="5" spans="1:12" ht="15">
      <c r="A5" s="521" t="s">
        <v>129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3" ht="15">
      <c r="A6" s="155"/>
      <c r="B6" s="155"/>
      <c r="C6" s="155"/>
      <c r="D6" s="155"/>
      <c r="E6" s="155"/>
      <c r="F6" s="155"/>
      <c r="G6" s="155"/>
      <c r="H6" s="522" t="s">
        <v>36</v>
      </c>
      <c r="I6" s="522"/>
      <c r="J6" s="522"/>
      <c r="K6" s="522"/>
      <c r="L6" s="161">
        <f>M84/1000</f>
        <v>0</v>
      </c>
      <c r="M6" s="157" t="s">
        <v>35</v>
      </c>
    </row>
    <row r="7" spans="1:13" ht="15">
      <c r="A7" s="155"/>
      <c r="B7" s="518" t="s">
        <v>357</v>
      </c>
      <c r="C7" s="518"/>
      <c r="D7" s="518"/>
      <c r="E7" s="518"/>
      <c r="F7" s="518"/>
      <c r="G7" s="518"/>
      <c r="H7" s="522" t="s">
        <v>37</v>
      </c>
      <c r="I7" s="522"/>
      <c r="J7" s="522"/>
      <c r="K7" s="522"/>
      <c r="L7" s="161">
        <f>J74/1000</f>
        <v>0</v>
      </c>
      <c r="M7" s="157" t="s">
        <v>35</v>
      </c>
    </row>
    <row r="8" ht="6" customHeight="1"/>
    <row r="9" spans="1:13" ht="12.75" customHeight="1">
      <c r="A9" s="546" t="s">
        <v>1</v>
      </c>
      <c r="B9" s="517" t="s">
        <v>2</v>
      </c>
      <c r="C9" s="544"/>
      <c r="D9" s="517" t="s">
        <v>3</v>
      </c>
      <c r="E9" s="517" t="s">
        <v>11</v>
      </c>
      <c r="F9" s="517" t="s">
        <v>4</v>
      </c>
      <c r="G9" s="524" t="s">
        <v>17</v>
      </c>
      <c r="H9" s="524"/>
      <c r="I9" s="524" t="s">
        <v>5</v>
      </c>
      <c r="J9" s="524"/>
      <c r="K9" s="517" t="s">
        <v>6</v>
      </c>
      <c r="L9" s="517"/>
      <c r="M9" s="14" t="s">
        <v>21</v>
      </c>
    </row>
    <row r="10" spans="1:13" ht="12.75">
      <c r="A10" s="546"/>
      <c r="B10" s="517"/>
      <c r="C10" s="545"/>
      <c r="D10" s="517"/>
      <c r="E10" s="517"/>
      <c r="F10" s="517"/>
      <c r="G10" s="15" t="s">
        <v>7</v>
      </c>
      <c r="H10" s="16" t="s">
        <v>8</v>
      </c>
      <c r="I10" s="15" t="s">
        <v>7</v>
      </c>
      <c r="J10" s="16" t="s">
        <v>8</v>
      </c>
      <c r="K10" s="15" t="s">
        <v>7</v>
      </c>
      <c r="L10" s="16" t="s">
        <v>9</v>
      </c>
      <c r="M10" s="15" t="s">
        <v>10</v>
      </c>
    </row>
    <row r="11" spans="1:13" ht="12.75">
      <c r="A11" s="17">
        <v>1</v>
      </c>
      <c r="B11" s="18">
        <v>2</v>
      </c>
      <c r="C11" s="17">
        <v>3</v>
      </c>
      <c r="D11" s="17">
        <v>4</v>
      </c>
      <c r="E11" s="18">
        <v>5</v>
      </c>
      <c r="F11" s="17">
        <v>6</v>
      </c>
      <c r="G11" s="18">
        <v>7</v>
      </c>
      <c r="H11" s="17">
        <v>8</v>
      </c>
      <c r="I11" s="18">
        <v>9</v>
      </c>
      <c r="J11" s="17">
        <v>10</v>
      </c>
      <c r="K11" s="18">
        <v>11</v>
      </c>
      <c r="L11" s="17">
        <v>12</v>
      </c>
      <c r="M11" s="18">
        <v>13</v>
      </c>
    </row>
    <row r="12" spans="1:13" ht="30.75" customHeight="1">
      <c r="A12" s="534">
        <v>1</v>
      </c>
      <c r="B12" s="219" t="s">
        <v>130</v>
      </c>
      <c r="C12" s="162" t="s">
        <v>403</v>
      </c>
      <c r="D12" s="5" t="s">
        <v>90</v>
      </c>
      <c r="E12" s="3"/>
      <c r="F12" s="21">
        <v>9</v>
      </c>
      <c r="G12" s="1"/>
      <c r="H12" s="2"/>
      <c r="I12" s="1"/>
      <c r="J12" s="2"/>
      <c r="K12" s="1"/>
      <c r="L12" s="2"/>
      <c r="M12" s="26"/>
    </row>
    <row r="13" spans="1:13" ht="17.25" customHeight="1">
      <c r="A13" s="535"/>
      <c r="B13" s="10" t="s">
        <v>12</v>
      </c>
      <c r="C13" s="3"/>
      <c r="D13" s="1" t="s">
        <v>15</v>
      </c>
      <c r="E13" s="3">
        <v>0.851</v>
      </c>
      <c r="F13" s="22">
        <f>E13*F12</f>
        <v>7.659</v>
      </c>
      <c r="G13" s="1"/>
      <c r="H13" s="163"/>
      <c r="I13" s="2"/>
      <c r="J13" s="163"/>
      <c r="K13" s="1"/>
      <c r="L13" s="163"/>
      <c r="M13" s="163"/>
    </row>
    <row r="14" spans="1:13" ht="17.25" customHeight="1">
      <c r="A14" s="535"/>
      <c r="B14" s="10" t="s">
        <v>25</v>
      </c>
      <c r="C14" s="3"/>
      <c r="D14" s="3" t="s">
        <v>22</v>
      </c>
      <c r="E14" s="3">
        <v>0.0483</v>
      </c>
      <c r="F14" s="22">
        <f>E14*F12</f>
        <v>0.43470000000000003</v>
      </c>
      <c r="G14" s="1"/>
      <c r="H14" s="163"/>
      <c r="I14" s="1"/>
      <c r="J14" s="163"/>
      <c r="K14" s="2"/>
      <c r="L14" s="163"/>
      <c r="M14" s="163"/>
    </row>
    <row r="15" spans="1:13" ht="17.25" customHeight="1">
      <c r="A15" s="535"/>
      <c r="B15" s="3" t="s">
        <v>23</v>
      </c>
      <c r="C15" s="3"/>
      <c r="D15" s="3"/>
      <c r="E15" s="3"/>
      <c r="F15" s="22"/>
      <c r="G15" s="1"/>
      <c r="H15" s="163"/>
      <c r="I15" s="1"/>
      <c r="J15" s="163"/>
      <c r="K15" s="1"/>
      <c r="L15" s="163"/>
      <c r="M15" s="163"/>
    </row>
    <row r="16" spans="1:13" ht="17.25" customHeight="1">
      <c r="A16" s="535"/>
      <c r="B16" s="166" t="s">
        <v>404</v>
      </c>
      <c r="C16" s="3"/>
      <c r="D16" s="3" t="s">
        <v>48</v>
      </c>
      <c r="E16" s="222">
        <f>3.81/100</f>
        <v>0.0381</v>
      </c>
      <c r="F16" s="22">
        <f>E16*F12</f>
        <v>0.34290000000000004</v>
      </c>
      <c r="G16" s="2"/>
      <c r="H16" s="163"/>
      <c r="I16" s="1"/>
      <c r="J16" s="163"/>
      <c r="K16" s="1"/>
      <c r="L16" s="163"/>
      <c r="M16" s="163"/>
    </row>
    <row r="17" spans="1:13" ht="17.25" customHeight="1">
      <c r="A17" s="535"/>
      <c r="B17" s="166" t="s">
        <v>131</v>
      </c>
      <c r="C17" s="3"/>
      <c r="D17" s="3" t="s">
        <v>48</v>
      </c>
      <c r="E17" s="3">
        <v>0.0128</v>
      </c>
      <c r="F17" s="22">
        <f>E17*F12</f>
        <v>0.11520000000000001</v>
      </c>
      <c r="G17" s="2"/>
      <c r="H17" s="163"/>
      <c r="I17" s="1"/>
      <c r="J17" s="163"/>
      <c r="K17" s="1"/>
      <c r="L17" s="163"/>
      <c r="M17" s="163"/>
    </row>
    <row r="18" spans="1:13" ht="17.25" customHeight="1">
      <c r="A18" s="535"/>
      <c r="B18" s="166" t="s">
        <v>132</v>
      </c>
      <c r="C18" s="3"/>
      <c r="D18" s="3" t="s">
        <v>87</v>
      </c>
      <c r="E18" s="3">
        <v>0.233</v>
      </c>
      <c r="F18" s="22">
        <f>E18*F12</f>
        <v>2.097</v>
      </c>
      <c r="G18" s="2"/>
      <c r="H18" s="163"/>
      <c r="I18" s="1"/>
      <c r="J18" s="163"/>
      <c r="K18" s="1"/>
      <c r="L18" s="163"/>
      <c r="M18" s="163"/>
    </row>
    <row r="19" spans="1:13" ht="30" customHeight="1">
      <c r="A19" s="538">
        <v>2</v>
      </c>
      <c r="B19" s="219" t="s">
        <v>405</v>
      </c>
      <c r="C19" s="170"/>
      <c r="D19" s="5" t="s">
        <v>24</v>
      </c>
      <c r="E19" s="3"/>
      <c r="F19" s="21">
        <v>3</v>
      </c>
      <c r="G19" s="1"/>
      <c r="H19" s="163"/>
      <c r="I19" s="1"/>
      <c r="J19" s="163"/>
      <c r="K19" s="1"/>
      <c r="L19" s="163"/>
      <c r="M19" s="163"/>
    </row>
    <row r="20" spans="1:13" ht="17.25" customHeight="1">
      <c r="A20" s="538"/>
      <c r="B20" s="10" t="s">
        <v>12</v>
      </c>
      <c r="C20" s="3"/>
      <c r="D20" s="1" t="s">
        <v>24</v>
      </c>
      <c r="E20" s="3">
        <v>1</v>
      </c>
      <c r="F20" s="9">
        <f>E20*F19</f>
        <v>3</v>
      </c>
      <c r="G20" s="1"/>
      <c r="H20" s="163"/>
      <c r="I20" s="2"/>
      <c r="J20" s="163"/>
      <c r="K20" s="1"/>
      <c r="L20" s="163"/>
      <c r="M20" s="163"/>
    </row>
    <row r="21" spans="1:13" ht="17.25" customHeight="1">
      <c r="A21" s="538"/>
      <c r="B21" s="3" t="s">
        <v>23</v>
      </c>
      <c r="C21" s="3"/>
      <c r="D21" s="3"/>
      <c r="E21" s="3"/>
      <c r="F21" s="9"/>
      <c r="G21" s="1"/>
      <c r="H21" s="163"/>
      <c r="I21" s="1"/>
      <c r="J21" s="163"/>
      <c r="K21" s="1"/>
      <c r="L21" s="163"/>
      <c r="M21" s="163"/>
    </row>
    <row r="22" spans="1:13" ht="17.25" customHeight="1">
      <c r="A22" s="538"/>
      <c r="B22" s="223" t="s">
        <v>406</v>
      </c>
      <c r="C22" s="3"/>
      <c r="D22" s="3" t="s">
        <v>24</v>
      </c>
      <c r="E22" s="3">
        <v>1</v>
      </c>
      <c r="F22" s="9">
        <f>E22*F19</f>
        <v>3</v>
      </c>
      <c r="G22" s="1"/>
      <c r="H22" s="163"/>
      <c r="I22" s="1"/>
      <c r="J22" s="163"/>
      <c r="K22" s="1"/>
      <c r="L22" s="163"/>
      <c r="M22" s="163"/>
    </row>
    <row r="23" spans="1:13" ht="30" customHeight="1">
      <c r="A23" s="538">
        <v>3</v>
      </c>
      <c r="B23" s="219" t="s">
        <v>407</v>
      </c>
      <c r="C23" s="170"/>
      <c r="D23" s="5" t="s">
        <v>24</v>
      </c>
      <c r="E23" s="3"/>
      <c r="F23" s="21">
        <v>1</v>
      </c>
      <c r="G23" s="1"/>
      <c r="H23" s="163"/>
      <c r="I23" s="1"/>
      <c r="J23" s="163"/>
      <c r="K23" s="1"/>
      <c r="L23" s="163"/>
      <c r="M23" s="163"/>
    </row>
    <row r="24" spans="1:13" ht="17.25" customHeight="1">
      <c r="A24" s="538"/>
      <c r="B24" s="10" t="s">
        <v>12</v>
      </c>
      <c r="C24" s="3"/>
      <c r="D24" s="1" t="s">
        <v>24</v>
      </c>
      <c r="E24" s="3">
        <v>1</v>
      </c>
      <c r="F24" s="9">
        <f>E24*F23</f>
        <v>1</v>
      </c>
      <c r="G24" s="1"/>
      <c r="H24" s="163"/>
      <c r="I24" s="2"/>
      <c r="J24" s="163"/>
      <c r="K24" s="1"/>
      <c r="L24" s="163"/>
      <c r="M24" s="163"/>
    </row>
    <row r="25" spans="1:13" ht="17.25" customHeight="1">
      <c r="A25" s="538"/>
      <c r="B25" s="3" t="s">
        <v>23</v>
      </c>
      <c r="C25" s="3"/>
      <c r="D25" s="3"/>
      <c r="E25" s="3"/>
      <c r="F25" s="9"/>
      <c r="G25" s="1"/>
      <c r="H25" s="163"/>
      <c r="I25" s="1"/>
      <c r="J25" s="163"/>
      <c r="K25" s="1"/>
      <c r="L25" s="163"/>
      <c r="M25" s="163"/>
    </row>
    <row r="26" spans="1:13" ht="17.25" customHeight="1">
      <c r="A26" s="538"/>
      <c r="B26" s="223" t="s">
        <v>408</v>
      </c>
      <c r="C26" s="3"/>
      <c r="D26" s="3" t="s">
        <v>24</v>
      </c>
      <c r="E26" s="3">
        <v>1</v>
      </c>
      <c r="F26" s="9">
        <f>E26*F23</f>
        <v>1</v>
      </c>
      <c r="G26" s="1"/>
      <c r="H26" s="163"/>
      <c r="I26" s="1"/>
      <c r="J26" s="163"/>
      <c r="K26" s="1"/>
      <c r="L26" s="163"/>
      <c r="M26" s="163"/>
    </row>
    <row r="27" spans="1:13" ht="17.25" customHeight="1">
      <c r="A27" s="538">
        <v>4</v>
      </c>
      <c r="B27" s="167" t="s">
        <v>133</v>
      </c>
      <c r="C27" s="162" t="s">
        <v>409</v>
      </c>
      <c r="D27" s="5" t="s">
        <v>24</v>
      </c>
      <c r="E27" s="3"/>
      <c r="F27" s="21">
        <v>4</v>
      </c>
      <c r="G27" s="1"/>
      <c r="H27" s="163"/>
      <c r="I27" s="1"/>
      <c r="J27" s="163"/>
      <c r="K27" s="1"/>
      <c r="L27" s="163"/>
      <c r="M27" s="163"/>
    </row>
    <row r="28" spans="1:13" ht="17.25" customHeight="1">
      <c r="A28" s="538"/>
      <c r="B28" s="10" t="s">
        <v>12</v>
      </c>
      <c r="C28" s="3"/>
      <c r="D28" s="1" t="s">
        <v>15</v>
      </c>
      <c r="E28" s="3">
        <v>1.51</v>
      </c>
      <c r="F28" s="22">
        <f>E28*F27</f>
        <v>6.04</v>
      </c>
      <c r="G28" s="1"/>
      <c r="H28" s="163"/>
      <c r="I28" s="2"/>
      <c r="J28" s="163"/>
      <c r="K28" s="1"/>
      <c r="L28" s="163"/>
      <c r="M28" s="163"/>
    </row>
    <row r="29" spans="1:13" ht="17.25" customHeight="1">
      <c r="A29" s="538"/>
      <c r="B29" s="10" t="s">
        <v>25</v>
      </c>
      <c r="C29" s="3"/>
      <c r="D29" s="3" t="s">
        <v>0</v>
      </c>
      <c r="E29" s="3">
        <v>0.13</v>
      </c>
      <c r="F29" s="22">
        <f>E29*F27</f>
        <v>0.52</v>
      </c>
      <c r="G29" s="1"/>
      <c r="H29" s="163"/>
      <c r="I29" s="1"/>
      <c r="J29" s="163"/>
      <c r="K29" s="2"/>
      <c r="L29" s="163"/>
      <c r="M29" s="163"/>
    </row>
    <row r="30" spans="1:13" ht="17.25" customHeight="1">
      <c r="A30" s="538"/>
      <c r="B30" s="3" t="s">
        <v>23</v>
      </c>
      <c r="C30" s="3"/>
      <c r="D30" s="3"/>
      <c r="E30" s="3"/>
      <c r="F30" s="22"/>
      <c r="G30" s="1"/>
      <c r="H30" s="163"/>
      <c r="I30" s="1"/>
      <c r="J30" s="163"/>
      <c r="K30" s="1"/>
      <c r="L30" s="163"/>
      <c r="M30" s="163"/>
    </row>
    <row r="31" spans="1:13" ht="17.25" customHeight="1">
      <c r="A31" s="538"/>
      <c r="B31" s="223" t="s">
        <v>134</v>
      </c>
      <c r="C31" s="3"/>
      <c r="D31" s="3" t="s">
        <v>24</v>
      </c>
      <c r="E31" s="170" t="s">
        <v>38</v>
      </c>
      <c r="F31" s="9">
        <v>1</v>
      </c>
      <c r="G31" s="2"/>
      <c r="H31" s="163"/>
      <c r="I31" s="1"/>
      <c r="J31" s="163"/>
      <c r="K31" s="1"/>
      <c r="L31" s="163"/>
      <c r="M31" s="163"/>
    </row>
    <row r="32" spans="1:13" ht="17.25" customHeight="1">
      <c r="A32" s="538"/>
      <c r="B32" s="223" t="s">
        <v>135</v>
      </c>
      <c r="C32" s="3"/>
      <c r="D32" s="3" t="s">
        <v>24</v>
      </c>
      <c r="E32" s="170" t="s">
        <v>38</v>
      </c>
      <c r="F32" s="9">
        <v>2</v>
      </c>
      <c r="G32" s="2"/>
      <c r="H32" s="163"/>
      <c r="I32" s="1"/>
      <c r="J32" s="163"/>
      <c r="K32" s="1"/>
      <c r="L32" s="163"/>
      <c r="M32" s="163"/>
    </row>
    <row r="33" spans="1:13" ht="17.25" customHeight="1">
      <c r="A33" s="538"/>
      <c r="B33" s="223" t="s">
        <v>410</v>
      </c>
      <c r="C33" s="3"/>
      <c r="D33" s="3" t="s">
        <v>24</v>
      </c>
      <c r="E33" s="170" t="s">
        <v>38</v>
      </c>
      <c r="F33" s="9">
        <v>1</v>
      </c>
      <c r="G33" s="2"/>
      <c r="H33" s="163"/>
      <c r="I33" s="1"/>
      <c r="J33" s="163"/>
      <c r="K33" s="1"/>
      <c r="L33" s="163"/>
      <c r="M33" s="163"/>
    </row>
    <row r="34" spans="1:13" ht="17.25" customHeight="1">
      <c r="A34" s="538"/>
      <c r="B34" s="10" t="s">
        <v>50</v>
      </c>
      <c r="C34" s="3"/>
      <c r="D34" s="3" t="s">
        <v>0</v>
      </c>
      <c r="E34" s="3">
        <v>0.07</v>
      </c>
      <c r="F34" s="9">
        <f>E34*F27</f>
        <v>0.28</v>
      </c>
      <c r="G34" s="2"/>
      <c r="H34" s="163"/>
      <c r="I34" s="1"/>
      <c r="J34" s="163"/>
      <c r="K34" s="1"/>
      <c r="L34" s="163"/>
      <c r="M34" s="163"/>
    </row>
    <row r="35" spans="1:13" ht="17.25" customHeight="1">
      <c r="A35" s="538">
        <v>5</v>
      </c>
      <c r="B35" s="167" t="s">
        <v>136</v>
      </c>
      <c r="C35" s="162" t="s">
        <v>411</v>
      </c>
      <c r="D35" s="5" t="s">
        <v>24</v>
      </c>
      <c r="E35" s="3"/>
      <c r="F35" s="21">
        <v>5</v>
      </c>
      <c r="G35" s="1"/>
      <c r="H35" s="163"/>
      <c r="I35" s="1"/>
      <c r="J35" s="163"/>
      <c r="K35" s="1"/>
      <c r="L35" s="163"/>
      <c r="M35" s="163"/>
    </row>
    <row r="36" spans="1:13" ht="17.25" customHeight="1">
      <c r="A36" s="538"/>
      <c r="B36" s="10" t="s">
        <v>12</v>
      </c>
      <c r="C36" s="3"/>
      <c r="D36" s="1" t="s">
        <v>15</v>
      </c>
      <c r="E36" s="3">
        <v>0.31</v>
      </c>
      <c r="F36" s="22">
        <f>E36*F35</f>
        <v>1.55</v>
      </c>
      <c r="G36" s="1"/>
      <c r="H36" s="163"/>
      <c r="I36" s="2"/>
      <c r="J36" s="163"/>
      <c r="K36" s="1"/>
      <c r="L36" s="163"/>
      <c r="M36" s="163"/>
    </row>
    <row r="37" spans="1:13" ht="17.25" customHeight="1">
      <c r="A37" s="538"/>
      <c r="B37" s="10" t="s">
        <v>25</v>
      </c>
      <c r="C37" s="3"/>
      <c r="D37" s="3" t="s">
        <v>0</v>
      </c>
      <c r="E37" s="3">
        <v>0.01</v>
      </c>
      <c r="F37" s="22">
        <f>E37*F35</f>
        <v>0.05</v>
      </c>
      <c r="G37" s="1"/>
      <c r="H37" s="163"/>
      <c r="I37" s="1"/>
      <c r="J37" s="163"/>
      <c r="K37" s="2"/>
      <c r="L37" s="163"/>
      <c r="M37" s="163"/>
    </row>
    <row r="38" spans="1:13" ht="17.25" customHeight="1">
      <c r="A38" s="538"/>
      <c r="B38" s="3" t="s">
        <v>23</v>
      </c>
      <c r="C38" s="3"/>
      <c r="D38" s="3"/>
      <c r="E38" s="3"/>
      <c r="F38" s="22"/>
      <c r="G38" s="1"/>
      <c r="H38" s="163"/>
      <c r="I38" s="1"/>
      <c r="J38" s="163"/>
      <c r="K38" s="1"/>
      <c r="L38" s="163"/>
      <c r="M38" s="163"/>
    </row>
    <row r="39" spans="1:13" ht="17.25" customHeight="1">
      <c r="A39" s="538"/>
      <c r="B39" s="223" t="s">
        <v>135</v>
      </c>
      <c r="C39" s="3"/>
      <c r="D39" s="3" t="s">
        <v>24</v>
      </c>
      <c r="E39" s="170" t="s">
        <v>38</v>
      </c>
      <c r="F39" s="9">
        <v>2</v>
      </c>
      <c r="G39" s="2"/>
      <c r="H39" s="163"/>
      <c r="I39" s="1"/>
      <c r="J39" s="163"/>
      <c r="K39" s="1"/>
      <c r="L39" s="163"/>
      <c r="M39" s="163"/>
    </row>
    <row r="40" spans="1:13" ht="17.25" customHeight="1">
      <c r="A40" s="538"/>
      <c r="B40" s="223" t="s">
        <v>410</v>
      </c>
      <c r="C40" s="3"/>
      <c r="D40" s="3" t="s">
        <v>24</v>
      </c>
      <c r="E40" s="170" t="s">
        <v>38</v>
      </c>
      <c r="F40" s="9">
        <v>3</v>
      </c>
      <c r="G40" s="2"/>
      <c r="H40" s="163"/>
      <c r="I40" s="1"/>
      <c r="J40" s="163"/>
      <c r="K40" s="1"/>
      <c r="L40" s="163"/>
      <c r="M40" s="163"/>
    </row>
    <row r="41" spans="1:13" ht="17.25" customHeight="1">
      <c r="A41" s="538"/>
      <c r="B41" s="10" t="s">
        <v>50</v>
      </c>
      <c r="C41" s="3"/>
      <c r="D41" s="3" t="s">
        <v>0</v>
      </c>
      <c r="E41" s="3">
        <v>0.04</v>
      </c>
      <c r="F41" s="9">
        <f>E41*F35</f>
        <v>0.2</v>
      </c>
      <c r="G41" s="2"/>
      <c r="H41" s="163"/>
      <c r="I41" s="1"/>
      <c r="J41" s="163"/>
      <c r="K41" s="1"/>
      <c r="L41" s="163"/>
      <c r="M41" s="163"/>
    </row>
    <row r="42" spans="1:13" ht="34.5" customHeight="1">
      <c r="A42" s="538">
        <v>6</v>
      </c>
      <c r="B42" s="164" t="s">
        <v>413</v>
      </c>
      <c r="C42" s="162" t="s">
        <v>414</v>
      </c>
      <c r="D42" s="5" t="s">
        <v>98</v>
      </c>
      <c r="E42" s="3"/>
      <c r="F42" s="21">
        <v>5</v>
      </c>
      <c r="G42" s="1"/>
      <c r="H42" s="163"/>
      <c r="I42" s="1"/>
      <c r="J42" s="163"/>
      <c r="K42" s="1"/>
      <c r="L42" s="163"/>
      <c r="M42" s="163"/>
    </row>
    <row r="43" spans="1:13" ht="17.25" customHeight="1">
      <c r="A43" s="538"/>
      <c r="B43" s="10" t="s">
        <v>12</v>
      </c>
      <c r="C43" s="10"/>
      <c r="D43" s="1" t="s">
        <v>15</v>
      </c>
      <c r="E43" s="3">
        <v>1.82</v>
      </c>
      <c r="F43" s="9">
        <f>E43*F42</f>
        <v>9.1</v>
      </c>
      <c r="G43" s="1"/>
      <c r="H43" s="163"/>
      <c r="I43" s="2"/>
      <c r="J43" s="163"/>
      <c r="K43" s="1"/>
      <c r="L43" s="163"/>
      <c r="M43" s="163"/>
    </row>
    <row r="44" spans="1:13" ht="17.25" customHeight="1">
      <c r="A44" s="538"/>
      <c r="B44" s="10" t="s">
        <v>25</v>
      </c>
      <c r="C44" s="10"/>
      <c r="D44" s="3" t="s">
        <v>0</v>
      </c>
      <c r="E44" s="3">
        <v>0.0397</v>
      </c>
      <c r="F44" s="9">
        <f>E44*F42</f>
        <v>0.1985</v>
      </c>
      <c r="G44" s="1"/>
      <c r="H44" s="163"/>
      <c r="I44" s="1"/>
      <c r="J44" s="163"/>
      <c r="K44" s="2"/>
      <c r="L44" s="163"/>
      <c r="M44" s="163"/>
    </row>
    <row r="45" spans="1:13" ht="17.25" customHeight="1">
      <c r="A45" s="538"/>
      <c r="B45" s="3" t="s">
        <v>23</v>
      </c>
      <c r="C45" s="3"/>
      <c r="D45" s="3"/>
      <c r="E45" s="3"/>
      <c r="F45" s="9"/>
      <c r="G45" s="1"/>
      <c r="H45" s="163"/>
      <c r="I45" s="1"/>
      <c r="J45" s="163"/>
      <c r="K45" s="1"/>
      <c r="L45" s="163"/>
      <c r="M45" s="163"/>
    </row>
    <row r="46" spans="1:13" ht="17.25" customHeight="1">
      <c r="A46" s="538"/>
      <c r="B46" s="10" t="s">
        <v>137</v>
      </c>
      <c r="C46" s="3"/>
      <c r="D46" s="3" t="s">
        <v>98</v>
      </c>
      <c r="E46" s="170" t="s">
        <v>38</v>
      </c>
      <c r="F46" s="9">
        <v>5</v>
      </c>
      <c r="G46" s="2"/>
      <c r="H46" s="163"/>
      <c r="I46" s="1"/>
      <c r="J46" s="163"/>
      <c r="K46" s="1"/>
      <c r="L46" s="163"/>
      <c r="M46" s="163"/>
    </row>
    <row r="47" spans="1:13" ht="17.25" customHeight="1">
      <c r="A47" s="538"/>
      <c r="B47" s="10" t="s">
        <v>412</v>
      </c>
      <c r="C47" s="3"/>
      <c r="D47" s="3" t="s">
        <v>24</v>
      </c>
      <c r="E47" s="170" t="s">
        <v>38</v>
      </c>
      <c r="F47" s="9">
        <v>1</v>
      </c>
      <c r="G47" s="2"/>
      <c r="H47" s="163"/>
      <c r="I47" s="1"/>
      <c r="J47" s="163"/>
      <c r="K47" s="1"/>
      <c r="L47" s="163"/>
      <c r="M47" s="163"/>
    </row>
    <row r="48" spans="1:13" ht="17.25" customHeight="1">
      <c r="A48" s="538"/>
      <c r="B48" s="10" t="s">
        <v>50</v>
      </c>
      <c r="C48" s="10"/>
      <c r="D48" s="3" t="s">
        <v>0</v>
      </c>
      <c r="E48" s="3">
        <v>0.0602</v>
      </c>
      <c r="F48" s="9">
        <f>E48*F42</f>
        <v>0.301</v>
      </c>
      <c r="G48" s="2"/>
      <c r="H48" s="163"/>
      <c r="I48" s="1"/>
      <c r="J48" s="163"/>
      <c r="K48" s="1"/>
      <c r="L48" s="163"/>
      <c r="M48" s="163"/>
    </row>
    <row r="49" spans="1:13" ht="32.25" customHeight="1">
      <c r="A49" s="538">
        <v>6</v>
      </c>
      <c r="B49" s="164" t="s">
        <v>413</v>
      </c>
      <c r="C49" s="162" t="s">
        <v>415</v>
      </c>
      <c r="D49" s="5" t="s">
        <v>98</v>
      </c>
      <c r="E49" s="3"/>
      <c r="F49" s="21">
        <v>11</v>
      </c>
      <c r="G49" s="1"/>
      <c r="H49" s="163"/>
      <c r="I49" s="1"/>
      <c r="J49" s="163"/>
      <c r="K49" s="1"/>
      <c r="L49" s="163"/>
      <c r="M49" s="163"/>
    </row>
    <row r="50" spans="1:13" ht="17.25" customHeight="1">
      <c r="A50" s="538"/>
      <c r="B50" s="10" t="s">
        <v>12</v>
      </c>
      <c r="C50" s="10"/>
      <c r="D50" s="1" t="s">
        <v>15</v>
      </c>
      <c r="E50" s="3">
        <v>1.43</v>
      </c>
      <c r="F50" s="9">
        <f>E50*F49</f>
        <v>15.729999999999999</v>
      </c>
      <c r="G50" s="1"/>
      <c r="H50" s="163"/>
      <c r="I50" s="2"/>
      <c r="J50" s="163"/>
      <c r="K50" s="1"/>
      <c r="L50" s="163"/>
      <c r="M50" s="163"/>
    </row>
    <row r="51" spans="1:13" ht="17.25" customHeight="1">
      <c r="A51" s="538"/>
      <c r="B51" s="10" t="s">
        <v>25</v>
      </c>
      <c r="C51" s="10"/>
      <c r="D51" s="3" t="s">
        <v>0</v>
      </c>
      <c r="E51" s="3">
        <v>0.0257</v>
      </c>
      <c r="F51" s="9">
        <f>E51*F49</f>
        <v>0.2827</v>
      </c>
      <c r="G51" s="1"/>
      <c r="H51" s="163"/>
      <c r="I51" s="1"/>
      <c r="J51" s="163"/>
      <c r="K51" s="2"/>
      <c r="L51" s="163"/>
      <c r="M51" s="163"/>
    </row>
    <row r="52" spans="1:13" ht="17.25" customHeight="1">
      <c r="A52" s="538"/>
      <c r="B52" s="3" t="s">
        <v>23</v>
      </c>
      <c r="C52" s="3"/>
      <c r="D52" s="3"/>
      <c r="E52" s="3"/>
      <c r="F52" s="9"/>
      <c r="G52" s="1"/>
      <c r="H52" s="163"/>
      <c r="I52" s="1"/>
      <c r="J52" s="163"/>
      <c r="K52" s="1"/>
      <c r="L52" s="163"/>
      <c r="M52" s="163"/>
    </row>
    <row r="53" spans="1:13" ht="17.25" customHeight="1">
      <c r="A53" s="538"/>
      <c r="B53" s="10" t="s">
        <v>138</v>
      </c>
      <c r="C53" s="3"/>
      <c r="D53" s="3" t="s">
        <v>98</v>
      </c>
      <c r="E53" s="170" t="s">
        <v>38</v>
      </c>
      <c r="F53" s="9">
        <v>11</v>
      </c>
      <c r="G53" s="2"/>
      <c r="H53" s="163"/>
      <c r="I53" s="1"/>
      <c r="J53" s="163"/>
      <c r="K53" s="1"/>
      <c r="L53" s="163"/>
      <c r="M53" s="163"/>
    </row>
    <row r="54" spans="1:13" ht="17.25" customHeight="1">
      <c r="A54" s="538"/>
      <c r="B54" s="10" t="s">
        <v>50</v>
      </c>
      <c r="C54" s="10"/>
      <c r="D54" s="3" t="s">
        <v>0</v>
      </c>
      <c r="E54" s="3">
        <v>0.0457</v>
      </c>
      <c r="F54" s="9">
        <f>E54*F49</f>
        <v>0.5026999999999999</v>
      </c>
      <c r="G54" s="2"/>
      <c r="H54" s="163"/>
      <c r="I54" s="1"/>
      <c r="J54" s="163"/>
      <c r="K54" s="1"/>
      <c r="L54" s="163"/>
      <c r="M54" s="163"/>
    </row>
    <row r="55" spans="1:13" ht="30" customHeight="1">
      <c r="A55" s="534">
        <v>7</v>
      </c>
      <c r="B55" s="219" t="s">
        <v>181</v>
      </c>
      <c r="C55" s="219"/>
      <c r="D55" s="199" t="s">
        <v>51</v>
      </c>
      <c r="E55" s="3"/>
      <c r="F55" s="169">
        <v>2</v>
      </c>
      <c r="G55" s="1"/>
      <c r="H55" s="163"/>
      <c r="I55" s="1"/>
      <c r="J55" s="163"/>
      <c r="K55" s="1"/>
      <c r="L55" s="163"/>
      <c r="M55" s="163"/>
    </row>
    <row r="56" spans="1:13" ht="17.25" customHeight="1">
      <c r="A56" s="535"/>
      <c r="B56" s="20" t="s">
        <v>12</v>
      </c>
      <c r="C56" s="20"/>
      <c r="D56" s="170"/>
      <c r="E56" s="9"/>
      <c r="F56" s="22">
        <v>2</v>
      </c>
      <c r="G56" s="1"/>
      <c r="H56" s="163"/>
      <c r="I56" s="2"/>
      <c r="J56" s="163"/>
      <c r="K56" s="1"/>
      <c r="L56" s="163"/>
      <c r="M56" s="163"/>
    </row>
    <row r="57" spans="1:13" ht="17.25" customHeight="1">
      <c r="A57" s="535"/>
      <c r="B57" s="3" t="s">
        <v>23</v>
      </c>
      <c r="C57" s="3"/>
      <c r="D57" s="3"/>
      <c r="E57" s="3"/>
      <c r="F57" s="22"/>
      <c r="G57" s="1"/>
      <c r="H57" s="163"/>
      <c r="I57" s="1"/>
      <c r="J57" s="163"/>
      <c r="K57" s="1"/>
      <c r="L57" s="163"/>
      <c r="M57" s="163"/>
    </row>
    <row r="58" spans="1:13" ht="17.25" customHeight="1">
      <c r="A58" s="535"/>
      <c r="B58" s="166" t="s">
        <v>182</v>
      </c>
      <c r="C58" s="166"/>
      <c r="D58" s="3" t="s">
        <v>51</v>
      </c>
      <c r="E58" s="3"/>
      <c r="F58" s="22">
        <v>2</v>
      </c>
      <c r="G58" s="2"/>
      <c r="H58" s="163"/>
      <c r="I58" s="1"/>
      <c r="J58" s="163"/>
      <c r="K58" s="1"/>
      <c r="L58" s="163"/>
      <c r="M58" s="163"/>
    </row>
    <row r="59" spans="1:13" ht="17.25" customHeight="1">
      <c r="A59" s="538">
        <v>8</v>
      </c>
      <c r="B59" s="219" t="s">
        <v>139</v>
      </c>
      <c r="C59" s="162" t="s">
        <v>416</v>
      </c>
      <c r="D59" s="5" t="s">
        <v>127</v>
      </c>
      <c r="E59" s="3"/>
      <c r="F59" s="169">
        <v>0.1</v>
      </c>
      <c r="G59" s="1"/>
      <c r="H59" s="163"/>
      <c r="I59" s="1"/>
      <c r="J59" s="163"/>
      <c r="K59" s="1"/>
      <c r="L59" s="163"/>
      <c r="M59" s="163"/>
    </row>
    <row r="60" spans="1:13" ht="17.25" customHeight="1">
      <c r="A60" s="538"/>
      <c r="B60" s="20" t="s">
        <v>12</v>
      </c>
      <c r="C60" s="3"/>
      <c r="D60" s="170" t="s">
        <v>15</v>
      </c>
      <c r="E60" s="9">
        <v>13.8</v>
      </c>
      <c r="F60" s="22">
        <f>F59*E60</f>
        <v>1.3800000000000001</v>
      </c>
      <c r="G60" s="1"/>
      <c r="H60" s="163"/>
      <c r="I60" s="2"/>
      <c r="J60" s="163"/>
      <c r="K60" s="1"/>
      <c r="L60" s="163"/>
      <c r="M60" s="163"/>
    </row>
    <row r="61" spans="1:13" ht="17.25" customHeight="1">
      <c r="A61" s="538"/>
      <c r="B61" s="10" t="s">
        <v>25</v>
      </c>
      <c r="C61" s="3"/>
      <c r="D61" s="3" t="s">
        <v>84</v>
      </c>
      <c r="E61" s="3">
        <v>0.17</v>
      </c>
      <c r="F61" s="22">
        <f>E61*F59</f>
        <v>0.017</v>
      </c>
      <c r="G61" s="1"/>
      <c r="H61" s="163"/>
      <c r="I61" s="1"/>
      <c r="J61" s="163"/>
      <c r="K61" s="2"/>
      <c r="L61" s="163"/>
      <c r="M61" s="163"/>
    </row>
    <row r="62" spans="1:13" ht="17.25" customHeight="1">
      <c r="A62" s="538"/>
      <c r="B62" s="3" t="s">
        <v>23</v>
      </c>
      <c r="C62" s="3"/>
      <c r="D62" s="3"/>
      <c r="E62" s="3"/>
      <c r="F62" s="22"/>
      <c r="G62" s="1"/>
      <c r="H62" s="163"/>
      <c r="I62" s="1"/>
      <c r="J62" s="163"/>
      <c r="K62" s="1"/>
      <c r="L62" s="163"/>
      <c r="M62" s="163"/>
    </row>
    <row r="63" spans="1:13" ht="17.25" customHeight="1">
      <c r="A63" s="538"/>
      <c r="B63" s="166" t="s">
        <v>140</v>
      </c>
      <c r="C63" s="3"/>
      <c r="D63" s="3" t="s">
        <v>69</v>
      </c>
      <c r="E63" s="222">
        <v>1.52</v>
      </c>
      <c r="F63" s="22">
        <f>E63*F59</f>
        <v>0.15200000000000002</v>
      </c>
      <c r="G63" s="2"/>
      <c r="H63" s="163"/>
      <c r="I63" s="1"/>
      <c r="J63" s="163"/>
      <c r="K63" s="1"/>
      <c r="L63" s="163"/>
      <c r="M63" s="163"/>
    </row>
    <row r="64" spans="1:13" ht="32.25" customHeight="1">
      <c r="A64" s="538"/>
      <c r="B64" s="166" t="s">
        <v>141</v>
      </c>
      <c r="C64" s="3"/>
      <c r="D64" s="3" t="s">
        <v>112</v>
      </c>
      <c r="E64" s="3">
        <v>4.22</v>
      </c>
      <c r="F64" s="22">
        <f>E64*F59</f>
        <v>0.422</v>
      </c>
      <c r="G64" s="2"/>
      <c r="H64" s="163"/>
      <c r="I64" s="1"/>
      <c r="J64" s="163"/>
      <c r="K64" s="1"/>
      <c r="L64" s="163"/>
      <c r="M64" s="163"/>
    </row>
    <row r="65" spans="1:13" ht="17.25" customHeight="1">
      <c r="A65" s="538"/>
      <c r="B65" s="166" t="s">
        <v>88</v>
      </c>
      <c r="C65" s="3"/>
      <c r="D65" s="3" t="s">
        <v>87</v>
      </c>
      <c r="E65" s="9">
        <v>1</v>
      </c>
      <c r="F65" s="22">
        <f>E65*F59</f>
        <v>0.1</v>
      </c>
      <c r="G65" s="2"/>
      <c r="H65" s="163"/>
      <c r="I65" s="1"/>
      <c r="J65" s="163"/>
      <c r="K65" s="1"/>
      <c r="L65" s="163"/>
      <c r="M65" s="163"/>
    </row>
    <row r="66" spans="1:13" ht="17.25" customHeight="1">
      <c r="A66" s="538"/>
      <c r="B66" s="10" t="s">
        <v>50</v>
      </c>
      <c r="C66" s="3"/>
      <c r="D66" s="3" t="s">
        <v>84</v>
      </c>
      <c r="E66" s="9">
        <v>0.9</v>
      </c>
      <c r="F66" s="22">
        <f>E66*F59</f>
        <v>0.09000000000000001</v>
      </c>
      <c r="G66" s="2"/>
      <c r="H66" s="163"/>
      <c r="I66" s="1"/>
      <c r="J66" s="163"/>
      <c r="K66" s="1"/>
      <c r="L66" s="163"/>
      <c r="M66" s="163"/>
    </row>
    <row r="67" spans="1:13" ht="30.75" customHeight="1">
      <c r="A67" s="534">
        <v>9</v>
      </c>
      <c r="B67" s="164" t="s">
        <v>142</v>
      </c>
      <c r="C67" s="224" t="s">
        <v>398</v>
      </c>
      <c r="D67" s="5" t="s">
        <v>32</v>
      </c>
      <c r="E67" s="5"/>
      <c r="F67" s="21">
        <v>2</v>
      </c>
      <c r="G67" s="7"/>
      <c r="H67" s="201"/>
      <c r="I67" s="8"/>
      <c r="J67" s="201"/>
      <c r="K67" s="8"/>
      <c r="L67" s="201"/>
      <c r="M67" s="201"/>
    </row>
    <row r="68" spans="1:13" ht="17.25" customHeight="1">
      <c r="A68" s="535"/>
      <c r="B68" s="10" t="s">
        <v>99</v>
      </c>
      <c r="C68" s="5"/>
      <c r="D68" s="1" t="s">
        <v>15</v>
      </c>
      <c r="E68" s="3">
        <v>0.68</v>
      </c>
      <c r="F68" s="9">
        <f>E68*F67</f>
        <v>1.36</v>
      </c>
      <c r="G68" s="3"/>
      <c r="H68" s="173"/>
      <c r="I68" s="9"/>
      <c r="J68" s="173"/>
      <c r="K68" s="3"/>
      <c r="L68" s="173"/>
      <c r="M68" s="173"/>
    </row>
    <row r="69" spans="1:13" ht="17.25" customHeight="1">
      <c r="A69" s="535"/>
      <c r="B69" s="10" t="s">
        <v>25</v>
      </c>
      <c r="C69" s="10"/>
      <c r="D69" s="1" t="s">
        <v>0</v>
      </c>
      <c r="E69" s="222">
        <f>0.03/100</f>
        <v>0.0003</v>
      </c>
      <c r="F69" s="9">
        <f>E69*F67</f>
        <v>0.0006</v>
      </c>
      <c r="G69" s="3"/>
      <c r="H69" s="173"/>
      <c r="I69" s="3"/>
      <c r="J69" s="173"/>
      <c r="K69" s="9"/>
      <c r="L69" s="173"/>
      <c r="M69" s="173"/>
    </row>
    <row r="70" spans="1:13" ht="17.25" customHeight="1">
      <c r="A70" s="535"/>
      <c r="B70" s="3" t="s">
        <v>23</v>
      </c>
      <c r="C70" s="3"/>
      <c r="D70" s="3"/>
      <c r="E70" s="3"/>
      <c r="F70" s="9"/>
      <c r="G70" s="3"/>
      <c r="H70" s="173"/>
      <c r="I70" s="3"/>
      <c r="J70" s="173"/>
      <c r="K70" s="3"/>
      <c r="L70" s="173"/>
      <c r="M70" s="173"/>
    </row>
    <row r="71" spans="1:13" ht="17.25" customHeight="1">
      <c r="A71" s="535"/>
      <c r="B71" s="10" t="s">
        <v>116</v>
      </c>
      <c r="C71" s="175"/>
      <c r="D71" s="1" t="s">
        <v>87</v>
      </c>
      <c r="E71" s="3">
        <v>0.253</v>
      </c>
      <c r="F71" s="3">
        <f>E71*F67</f>
        <v>0.506</v>
      </c>
      <c r="G71" s="23"/>
      <c r="H71" s="163"/>
      <c r="I71" s="24"/>
      <c r="J71" s="163"/>
      <c r="K71" s="25"/>
      <c r="L71" s="163"/>
      <c r="M71" s="173"/>
    </row>
    <row r="72" spans="1:13" ht="17.25" customHeight="1">
      <c r="A72" s="535"/>
      <c r="B72" s="10" t="s">
        <v>117</v>
      </c>
      <c r="C72" s="175"/>
      <c r="D72" s="1" t="s">
        <v>87</v>
      </c>
      <c r="E72" s="3">
        <v>0.027</v>
      </c>
      <c r="F72" s="3">
        <f>E72*F67</f>
        <v>0.054</v>
      </c>
      <c r="G72" s="23"/>
      <c r="H72" s="163"/>
      <c r="I72" s="24"/>
      <c r="J72" s="163"/>
      <c r="K72" s="25"/>
      <c r="L72" s="163"/>
      <c r="M72" s="173"/>
    </row>
    <row r="73" spans="1:13" ht="17.25" customHeight="1" thickBot="1">
      <c r="A73" s="539"/>
      <c r="B73" s="10" t="s">
        <v>18</v>
      </c>
      <c r="C73" s="10"/>
      <c r="D73" s="1" t="s">
        <v>0</v>
      </c>
      <c r="E73" s="3">
        <v>0.0019</v>
      </c>
      <c r="F73" s="9">
        <f>E73*F67</f>
        <v>0.0038</v>
      </c>
      <c r="G73" s="23"/>
      <c r="H73" s="163"/>
      <c r="I73" s="24"/>
      <c r="J73" s="163"/>
      <c r="K73" s="25"/>
      <c r="L73" s="163"/>
      <c r="M73" s="173"/>
    </row>
    <row r="74" spans="1:13" ht="13.5" thickBot="1">
      <c r="A74" s="225"/>
      <c r="B74" s="178" t="s">
        <v>8</v>
      </c>
      <c r="C74" s="178"/>
      <c r="D74" s="179"/>
      <c r="E74" s="179"/>
      <c r="F74" s="179"/>
      <c r="G74" s="179"/>
      <c r="H74" s="181"/>
      <c r="I74" s="180"/>
      <c r="J74" s="181"/>
      <c r="K74" s="181"/>
      <c r="L74" s="181"/>
      <c r="M74" s="181"/>
    </row>
    <row r="75" spans="1:13" ht="12.75">
      <c r="A75" s="186"/>
      <c r="B75" s="286" t="s">
        <v>16</v>
      </c>
      <c r="C75" s="286"/>
      <c r="D75" s="287"/>
      <c r="E75" s="288" t="s">
        <v>671</v>
      </c>
      <c r="F75" s="287"/>
      <c r="G75" s="287"/>
      <c r="H75" s="295"/>
      <c r="I75" s="287"/>
      <c r="J75" s="295"/>
      <c r="K75" s="287"/>
      <c r="L75" s="295"/>
      <c r="M75" s="290"/>
    </row>
    <row r="76" spans="1:13" ht="12.75">
      <c r="A76" s="187"/>
      <c r="B76" s="167" t="s">
        <v>8</v>
      </c>
      <c r="C76" s="167"/>
      <c r="D76" s="5"/>
      <c r="E76" s="5"/>
      <c r="F76" s="5"/>
      <c r="G76" s="5"/>
      <c r="H76" s="21"/>
      <c r="I76" s="28"/>
      <c r="J76" s="21"/>
      <c r="K76" s="28"/>
      <c r="L76" s="21"/>
      <c r="M76" s="29"/>
    </row>
    <row r="77" spans="1:13" ht="12.75">
      <c r="A77" s="189"/>
      <c r="B77" s="10" t="s">
        <v>29</v>
      </c>
      <c r="C77" s="10"/>
      <c r="D77" s="3"/>
      <c r="E77" s="27" t="s">
        <v>671</v>
      </c>
      <c r="F77" s="3"/>
      <c r="G77" s="3"/>
      <c r="H77" s="3"/>
      <c r="I77" s="3"/>
      <c r="J77" s="3"/>
      <c r="K77" s="3"/>
      <c r="L77" s="3"/>
      <c r="M77" s="33"/>
    </row>
    <row r="78" spans="1:13" ht="12.75">
      <c r="A78" s="187"/>
      <c r="B78" s="167" t="s">
        <v>8</v>
      </c>
      <c r="C78" s="167"/>
      <c r="D78" s="5"/>
      <c r="E78" s="5"/>
      <c r="F78" s="5"/>
      <c r="G78" s="5"/>
      <c r="H78" s="28"/>
      <c r="I78" s="28"/>
      <c r="J78" s="28"/>
      <c r="K78" s="28"/>
      <c r="L78" s="21"/>
      <c r="M78" s="29"/>
    </row>
    <row r="79" spans="1:13" ht="12.75">
      <c r="A79" s="189"/>
      <c r="B79" s="10" t="s">
        <v>19</v>
      </c>
      <c r="C79" s="10"/>
      <c r="D79" s="3"/>
      <c r="E79" s="27" t="s">
        <v>671</v>
      </c>
      <c r="F79" s="3"/>
      <c r="G79" s="3"/>
      <c r="H79" s="171"/>
      <c r="I79" s="171"/>
      <c r="J79" s="171"/>
      <c r="K79" s="171"/>
      <c r="L79" s="9"/>
      <c r="M79" s="33"/>
    </row>
    <row r="80" spans="1:13" ht="12.75">
      <c r="A80" s="187"/>
      <c r="B80" s="167" t="s">
        <v>8</v>
      </c>
      <c r="C80" s="167"/>
      <c r="D80" s="5"/>
      <c r="E80" s="5"/>
      <c r="F80" s="5"/>
      <c r="G80" s="5"/>
      <c r="H80" s="21"/>
      <c r="I80" s="28"/>
      <c r="J80" s="21"/>
      <c r="K80" s="28"/>
      <c r="L80" s="21"/>
      <c r="M80" s="29"/>
    </row>
    <row r="81" spans="1:13" ht="12.75">
      <c r="A81" s="187"/>
      <c r="B81" s="10" t="s">
        <v>34</v>
      </c>
      <c r="C81" s="10"/>
      <c r="D81" s="5"/>
      <c r="E81" s="27">
        <v>0.03</v>
      </c>
      <c r="F81" s="5"/>
      <c r="G81" s="5"/>
      <c r="H81" s="21"/>
      <c r="I81" s="28"/>
      <c r="J81" s="21"/>
      <c r="K81" s="28"/>
      <c r="L81" s="21"/>
      <c r="M81" s="29"/>
    </row>
    <row r="82" spans="1:13" ht="12.75">
      <c r="A82" s="187"/>
      <c r="B82" s="167" t="s">
        <v>8</v>
      </c>
      <c r="C82" s="167"/>
      <c r="D82" s="5"/>
      <c r="E82" s="5"/>
      <c r="F82" s="5"/>
      <c r="G82" s="5"/>
      <c r="H82" s="21"/>
      <c r="I82" s="28"/>
      <c r="J82" s="21"/>
      <c r="K82" s="28"/>
      <c r="L82" s="21"/>
      <c r="M82" s="29"/>
    </row>
    <row r="83" spans="1:13" ht="12.75">
      <c r="A83" s="31"/>
      <c r="B83" s="31" t="s">
        <v>27</v>
      </c>
      <c r="C83" s="31"/>
      <c r="D83" s="31"/>
      <c r="E83" s="32">
        <v>0.18</v>
      </c>
      <c r="F83" s="31"/>
      <c r="G83" s="31"/>
      <c r="H83" s="31"/>
      <c r="I83" s="31"/>
      <c r="J83" s="31"/>
      <c r="K83" s="31"/>
      <c r="L83" s="31"/>
      <c r="M83" s="33"/>
    </row>
    <row r="84" spans="1:13" ht="12.75">
      <c r="A84" s="31"/>
      <c r="B84" s="30" t="s">
        <v>8</v>
      </c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29"/>
    </row>
    <row r="85" spans="1:13" ht="12.75">
      <c r="A85" s="490"/>
      <c r="B85" s="341" t="s">
        <v>622</v>
      </c>
      <c r="C85" s="340"/>
      <c r="D85" s="340"/>
      <c r="E85" s="340"/>
      <c r="F85" s="340">
        <v>4</v>
      </c>
      <c r="G85" s="340"/>
      <c r="H85" s="340"/>
      <c r="I85" s="340"/>
      <c r="J85" s="340"/>
      <c r="K85" s="340"/>
      <c r="L85" s="340"/>
      <c r="M85" s="491"/>
    </row>
    <row r="86" spans="2:11" ht="16.5">
      <c r="B86" s="285"/>
      <c r="C86" s="528"/>
      <c r="D86" s="528"/>
      <c r="E86" s="285"/>
      <c r="F86" s="285"/>
      <c r="G86" s="285"/>
      <c r="H86" s="285"/>
      <c r="I86" s="528"/>
      <c r="J86" s="528"/>
      <c r="K86" s="285"/>
    </row>
    <row r="88" spans="2:5" ht="12.75">
      <c r="B88" s="284" t="s">
        <v>617</v>
      </c>
      <c r="D88" s="506" t="s">
        <v>618</v>
      </c>
      <c r="E88" s="506"/>
    </row>
    <row r="89" spans="2:3" ht="12.75">
      <c r="B89" s="292"/>
      <c r="C89" s="292"/>
    </row>
    <row r="90" ht="12.75">
      <c r="B90" s="292"/>
    </row>
    <row r="91" spans="2:10" ht="12.75">
      <c r="B91" s="293"/>
      <c r="I91" s="529"/>
      <c r="J91" s="529"/>
    </row>
    <row r="92" spans="2:3" ht="12.75">
      <c r="B92" s="530"/>
      <c r="C92" s="530"/>
    </row>
    <row r="99" ht="12.75">
      <c r="B99" s="159"/>
    </row>
  </sheetData>
  <sheetProtection/>
  <mergeCells count="31">
    <mergeCell ref="I91:J91"/>
    <mergeCell ref="B92:C92"/>
    <mergeCell ref="A23:A26"/>
    <mergeCell ref="A27:A34"/>
    <mergeCell ref="A35:A41"/>
    <mergeCell ref="A42:A48"/>
    <mergeCell ref="A55:A58"/>
    <mergeCell ref="A49:A54"/>
    <mergeCell ref="A67:A73"/>
    <mergeCell ref="B7:G7"/>
    <mergeCell ref="H7:K7"/>
    <mergeCell ref="F9:F10"/>
    <mergeCell ref="K9:L9"/>
    <mergeCell ref="A12:A18"/>
    <mergeCell ref="D88:E88"/>
    <mergeCell ref="D9:D10"/>
    <mergeCell ref="C86:D86"/>
    <mergeCell ref="I86:J86"/>
    <mergeCell ref="A59:A66"/>
    <mergeCell ref="A9:A10"/>
    <mergeCell ref="B9:B10"/>
    <mergeCell ref="E9:E10"/>
    <mergeCell ref="A19:A22"/>
    <mergeCell ref="A2:L2"/>
    <mergeCell ref="A3:L3"/>
    <mergeCell ref="A4:L4"/>
    <mergeCell ref="A5:L5"/>
    <mergeCell ref="H6:K6"/>
    <mergeCell ref="G9:H9"/>
    <mergeCell ref="I9:J9"/>
    <mergeCell ref="C9:C10"/>
  </mergeCells>
  <printOptions/>
  <pageMargins left="0.2755905511811024" right="0.31496062992125984" top="0.23" bottom="0.2362204724409449" header="0.11811023622047245" footer="0.11811023622047245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5"/>
  <sheetViews>
    <sheetView zoomScale="90" zoomScaleNormal="90" zoomScaleSheetLayoutView="90" zoomScalePageLayoutView="0" workbookViewId="0" topLeftCell="A329">
      <selection activeCell="G389" sqref="G389"/>
    </sheetView>
  </sheetViews>
  <sheetFormatPr defaultColWidth="9.140625" defaultRowHeight="12.75"/>
  <cols>
    <col min="1" max="1" width="3.57421875" style="73" customWidth="1"/>
    <col min="2" max="2" width="50.28125" style="73" customWidth="1"/>
    <col min="3" max="3" width="14.7109375" style="52" customWidth="1"/>
    <col min="4" max="4" width="9.28125" style="73" customWidth="1"/>
    <col min="5" max="5" width="8.421875" style="73" customWidth="1"/>
    <col min="6" max="6" width="11.8515625" style="370" customWidth="1"/>
    <col min="7" max="7" width="7.28125" style="73" customWidth="1"/>
    <col min="8" max="8" width="11.140625" style="146" bestFit="1" customWidth="1"/>
    <col min="9" max="9" width="6.57421875" style="73" customWidth="1"/>
    <col min="10" max="10" width="9.140625" style="146" customWidth="1"/>
    <col min="11" max="11" width="8.28125" style="73" bestFit="1" customWidth="1"/>
    <col min="12" max="13" width="10.140625" style="146" bestFit="1" customWidth="1"/>
    <col min="14" max="14" width="10.57421875" style="73" customWidth="1"/>
    <col min="15" max="16384" width="9.140625" style="73" customWidth="1"/>
  </cols>
  <sheetData>
    <row r="1" spans="1:12" ht="15">
      <c r="A1" s="521" t="s">
        <v>586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14.25">
      <c r="A2" s="519" t="s">
        <v>58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12" ht="14.25">
      <c r="A3" s="147"/>
      <c r="B3" s="147"/>
      <c r="C3" s="147"/>
      <c r="D3" s="147"/>
      <c r="E3" s="147"/>
      <c r="F3" s="369"/>
      <c r="G3" s="147"/>
      <c r="H3" s="147"/>
      <c r="I3" s="147"/>
      <c r="J3" s="147"/>
      <c r="K3" s="147"/>
      <c r="L3" s="147"/>
    </row>
    <row r="4" spans="1:12" ht="14.25">
      <c r="A4" s="520" t="s">
        <v>554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</row>
    <row r="5" spans="1:12" ht="15">
      <c r="A5" s="547" t="s">
        <v>61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2" ht="13.5">
      <c r="A6" s="374"/>
      <c r="B6" s="374"/>
      <c r="C6" s="375"/>
      <c r="D6" s="374"/>
      <c r="E6" s="374"/>
      <c r="F6" s="374"/>
      <c r="G6" s="374"/>
      <c r="H6" s="376"/>
      <c r="I6" s="374"/>
      <c r="J6" s="376"/>
      <c r="K6" s="374"/>
      <c r="L6" s="376"/>
    </row>
    <row r="7" spans="1:13" s="52" customFormat="1" ht="11.25">
      <c r="A7" s="548" t="s">
        <v>1</v>
      </c>
      <c r="B7" s="548" t="s">
        <v>2</v>
      </c>
      <c r="C7" s="548" t="s">
        <v>183</v>
      </c>
      <c r="D7" s="548" t="s">
        <v>3</v>
      </c>
      <c r="E7" s="548" t="s">
        <v>11</v>
      </c>
      <c r="F7" s="548" t="s">
        <v>4</v>
      </c>
      <c r="G7" s="549" t="s">
        <v>17</v>
      </c>
      <c r="H7" s="549"/>
      <c r="I7" s="549" t="s">
        <v>5</v>
      </c>
      <c r="J7" s="549"/>
      <c r="K7" s="548" t="s">
        <v>6</v>
      </c>
      <c r="L7" s="548"/>
      <c r="M7" s="53" t="s">
        <v>143</v>
      </c>
    </row>
    <row r="8" spans="1:13" s="52" customFormat="1" ht="11.25">
      <c r="A8" s="548"/>
      <c r="B8" s="548"/>
      <c r="C8" s="548"/>
      <c r="D8" s="548"/>
      <c r="E8" s="548"/>
      <c r="F8" s="548"/>
      <c r="G8" s="377" t="s">
        <v>7</v>
      </c>
      <c r="H8" s="378" t="s">
        <v>8</v>
      </c>
      <c r="I8" s="377" t="s">
        <v>7</v>
      </c>
      <c r="J8" s="378" t="s">
        <v>8</v>
      </c>
      <c r="K8" s="377" t="s">
        <v>7</v>
      </c>
      <c r="L8" s="378" t="s">
        <v>9</v>
      </c>
      <c r="M8" s="53" t="s">
        <v>10</v>
      </c>
    </row>
    <row r="9" spans="1:13" s="52" customFormat="1" ht="11.25">
      <c r="A9" s="379">
        <v>1</v>
      </c>
      <c r="B9" s="379">
        <v>2</v>
      </c>
      <c r="C9" s="379">
        <v>3</v>
      </c>
      <c r="D9" s="379">
        <v>4</v>
      </c>
      <c r="E9" s="379">
        <v>5</v>
      </c>
      <c r="F9" s="379">
        <v>6</v>
      </c>
      <c r="G9" s="380">
        <v>7</v>
      </c>
      <c r="H9" s="381">
        <v>8</v>
      </c>
      <c r="I9" s="380">
        <v>9</v>
      </c>
      <c r="J9" s="381">
        <v>10</v>
      </c>
      <c r="K9" s="380">
        <v>11</v>
      </c>
      <c r="L9" s="381">
        <v>12</v>
      </c>
      <c r="M9" s="57">
        <v>13</v>
      </c>
    </row>
    <row r="10" spans="1:13" s="52" customFormat="1" ht="27">
      <c r="A10" s="379"/>
      <c r="B10" s="382" t="s">
        <v>184</v>
      </c>
      <c r="C10" s="379"/>
      <c r="D10" s="379"/>
      <c r="E10" s="379"/>
      <c r="F10" s="379"/>
      <c r="G10" s="380"/>
      <c r="H10" s="381"/>
      <c r="I10" s="380"/>
      <c r="J10" s="381"/>
      <c r="K10" s="380"/>
      <c r="L10" s="381"/>
      <c r="M10" s="57"/>
    </row>
    <row r="11" spans="1:13" s="44" customFormat="1" ht="27">
      <c r="A11" s="59">
        <v>1</v>
      </c>
      <c r="B11" s="372" t="s">
        <v>185</v>
      </c>
      <c r="C11" s="61" t="s">
        <v>186</v>
      </c>
      <c r="D11" s="62" t="s">
        <v>42</v>
      </c>
      <c r="E11" s="62"/>
      <c r="F11" s="365">
        <v>10819.8</v>
      </c>
      <c r="G11" s="62"/>
      <c r="H11" s="64"/>
      <c r="I11" s="62"/>
      <c r="J11" s="64"/>
      <c r="K11" s="62"/>
      <c r="L11" s="64"/>
      <c r="M11" s="64"/>
    </row>
    <row r="12" spans="1:13" s="44" customFormat="1" ht="13.5">
      <c r="A12" s="59"/>
      <c r="B12" s="65" t="s">
        <v>12</v>
      </c>
      <c r="C12" s="59"/>
      <c r="D12" s="62" t="s">
        <v>15</v>
      </c>
      <c r="E12" s="198">
        <f>21.5*0.001</f>
        <v>0.021500000000000002</v>
      </c>
      <c r="F12" s="383">
        <f>F11*E12</f>
        <v>232.6257</v>
      </c>
      <c r="G12" s="62"/>
      <c r="H12" s="64"/>
      <c r="I12" s="62"/>
      <c r="J12" s="64"/>
      <c r="K12" s="62"/>
      <c r="L12" s="64"/>
      <c r="M12" s="67"/>
    </row>
    <row r="13" spans="1:13" s="44" customFormat="1" ht="15">
      <c r="A13" s="59"/>
      <c r="B13" s="10" t="s">
        <v>44</v>
      </c>
      <c r="C13" s="59"/>
      <c r="D13" s="59" t="s">
        <v>22</v>
      </c>
      <c r="E13" s="198">
        <f>48.2*0.001</f>
        <v>0.04820000000000001</v>
      </c>
      <c r="F13" s="383">
        <f>E13*F11</f>
        <v>521.51436</v>
      </c>
      <c r="G13" s="66"/>
      <c r="H13" s="64"/>
      <c r="I13" s="66"/>
      <c r="J13" s="64"/>
      <c r="K13" s="66"/>
      <c r="L13" s="64"/>
      <c r="M13" s="67"/>
    </row>
    <row r="14" spans="1:13" ht="14.25">
      <c r="A14" s="68">
        <v>2</v>
      </c>
      <c r="B14" s="373" t="s">
        <v>187</v>
      </c>
      <c r="C14" s="61" t="s">
        <v>188</v>
      </c>
      <c r="D14" s="70" t="s">
        <v>42</v>
      </c>
      <c r="E14" s="149"/>
      <c r="F14" s="364">
        <v>1081.98</v>
      </c>
      <c r="G14" s="70"/>
      <c r="H14" s="71"/>
      <c r="I14" s="70"/>
      <c r="J14" s="72"/>
      <c r="K14" s="70"/>
      <c r="L14" s="71"/>
      <c r="M14" s="67"/>
    </row>
    <row r="15" spans="1:13" s="44" customFormat="1" ht="13.5">
      <c r="A15" s="59"/>
      <c r="B15" s="65" t="s">
        <v>12</v>
      </c>
      <c r="C15" s="74"/>
      <c r="D15" s="62" t="s">
        <v>15</v>
      </c>
      <c r="E15" s="62">
        <v>2.99</v>
      </c>
      <c r="F15" s="383">
        <f>F14*E15</f>
        <v>3235.1202000000003</v>
      </c>
      <c r="G15" s="62"/>
      <c r="H15" s="64"/>
      <c r="I15" s="62"/>
      <c r="J15" s="64"/>
      <c r="K15" s="62"/>
      <c r="L15" s="64"/>
      <c r="M15" s="67"/>
    </row>
    <row r="16" spans="1:13" s="44" customFormat="1" ht="14.25">
      <c r="A16" s="68">
        <v>6</v>
      </c>
      <c r="B16" s="373" t="s">
        <v>189</v>
      </c>
      <c r="C16" s="353" t="s">
        <v>526</v>
      </c>
      <c r="D16" s="70" t="s">
        <v>13</v>
      </c>
      <c r="E16" s="149"/>
      <c r="F16" s="344">
        <f>F11*1.9</f>
        <v>20557.62</v>
      </c>
      <c r="G16" s="70"/>
      <c r="H16" s="71"/>
      <c r="I16" s="70"/>
      <c r="J16" s="72"/>
      <c r="K16" s="352"/>
      <c r="L16" s="71"/>
      <c r="M16" s="67"/>
    </row>
    <row r="17" spans="1:13" ht="14.25">
      <c r="A17" s="68">
        <v>7</v>
      </c>
      <c r="B17" s="69" t="s">
        <v>190</v>
      </c>
      <c r="C17" s="61" t="s">
        <v>191</v>
      </c>
      <c r="D17" s="70" t="s">
        <v>42</v>
      </c>
      <c r="E17" s="149"/>
      <c r="F17" s="344">
        <v>3847.04</v>
      </c>
      <c r="G17" s="70"/>
      <c r="H17" s="71"/>
      <c r="I17" s="70"/>
      <c r="J17" s="72"/>
      <c r="K17" s="70"/>
      <c r="L17" s="71"/>
      <c r="M17" s="67"/>
    </row>
    <row r="18" spans="1:13" s="44" customFormat="1" ht="13.5">
      <c r="A18" s="75"/>
      <c r="B18" s="60" t="s">
        <v>99</v>
      </c>
      <c r="C18" s="59"/>
      <c r="D18" s="62" t="s">
        <v>15</v>
      </c>
      <c r="E18" s="59">
        <v>0.5</v>
      </c>
      <c r="F18" s="384">
        <f>E18*F17</f>
        <v>1923.52</v>
      </c>
      <c r="G18" s="59"/>
      <c r="H18" s="77"/>
      <c r="I18" s="59"/>
      <c r="J18" s="77"/>
      <c r="K18" s="59"/>
      <c r="L18" s="71"/>
      <c r="M18" s="67"/>
    </row>
    <row r="19" spans="1:13" s="44" customFormat="1" ht="13.5">
      <c r="A19" s="78"/>
      <c r="B19" s="59" t="s">
        <v>192</v>
      </c>
      <c r="C19" s="79"/>
      <c r="D19" s="59"/>
      <c r="E19" s="59"/>
      <c r="F19" s="384"/>
      <c r="G19" s="59"/>
      <c r="H19" s="77"/>
      <c r="I19" s="59"/>
      <c r="J19" s="77"/>
      <c r="K19" s="59"/>
      <c r="L19" s="71"/>
      <c r="M19" s="67"/>
    </row>
    <row r="20" spans="1:13" s="44" customFormat="1" ht="15.75">
      <c r="A20" s="78"/>
      <c r="B20" s="372" t="s">
        <v>193</v>
      </c>
      <c r="C20" s="80"/>
      <c r="D20" s="62" t="s">
        <v>194</v>
      </c>
      <c r="E20" s="59">
        <v>1.1</v>
      </c>
      <c r="F20" s="363">
        <v>4231.744</v>
      </c>
      <c r="G20" s="81"/>
      <c r="H20" s="82"/>
      <c r="I20" s="83"/>
      <c r="J20" s="77"/>
      <c r="K20" s="81"/>
      <c r="L20" s="71"/>
      <c r="M20" s="67"/>
    </row>
    <row r="21" spans="1:13" s="44" customFormat="1" ht="13.5">
      <c r="A21" s="150"/>
      <c r="B21" s="273" t="s">
        <v>490</v>
      </c>
      <c r="C21" s="353" t="s">
        <v>491</v>
      </c>
      <c r="D21" s="272" t="s">
        <v>13</v>
      </c>
      <c r="E21" s="273">
        <v>1.6</v>
      </c>
      <c r="F21" s="385">
        <f>F20*E21</f>
        <v>6770.7904</v>
      </c>
      <c r="G21" s="273"/>
      <c r="H21" s="273"/>
      <c r="I21" s="114"/>
      <c r="J21" s="114"/>
      <c r="K21" s="354"/>
      <c r="L21" s="273"/>
      <c r="M21" s="67"/>
    </row>
    <row r="22" spans="1:13" s="44" customFormat="1" ht="40.5">
      <c r="A22" s="68">
        <v>8</v>
      </c>
      <c r="B22" s="373" t="s">
        <v>278</v>
      </c>
      <c r="C22" s="274" t="s">
        <v>492</v>
      </c>
      <c r="D22" s="70" t="s">
        <v>20</v>
      </c>
      <c r="E22" s="149"/>
      <c r="F22" s="344">
        <v>30</v>
      </c>
      <c r="G22" s="70"/>
      <c r="H22" s="82"/>
      <c r="I22" s="70"/>
      <c r="J22" s="72"/>
      <c r="K22" s="70"/>
      <c r="L22" s="71"/>
      <c r="M22" s="67"/>
    </row>
    <row r="23" spans="1:13" s="44" customFormat="1" ht="13.5">
      <c r="A23" s="59"/>
      <c r="B23" s="65" t="s">
        <v>12</v>
      </c>
      <c r="C23" s="76"/>
      <c r="D23" s="62" t="s">
        <v>15</v>
      </c>
      <c r="E23" s="62">
        <v>0.528</v>
      </c>
      <c r="F23" s="383">
        <f>F22*E23</f>
        <v>15.84</v>
      </c>
      <c r="G23" s="62"/>
      <c r="H23" s="82"/>
      <c r="I23" s="62"/>
      <c r="J23" s="64"/>
      <c r="K23" s="62"/>
      <c r="L23" s="64"/>
      <c r="M23" s="67"/>
    </row>
    <row r="24" spans="1:13" s="44" customFormat="1" ht="13.5">
      <c r="A24" s="59"/>
      <c r="B24" s="65" t="s">
        <v>14</v>
      </c>
      <c r="C24" s="76"/>
      <c r="D24" s="59" t="s">
        <v>0</v>
      </c>
      <c r="E24" s="62">
        <v>0.312</v>
      </c>
      <c r="F24" s="386">
        <f>E24*F22</f>
        <v>9.36</v>
      </c>
      <c r="G24" s="62"/>
      <c r="H24" s="82"/>
      <c r="I24" s="62"/>
      <c r="J24" s="64"/>
      <c r="K24" s="62"/>
      <c r="L24" s="64"/>
      <c r="M24" s="67"/>
    </row>
    <row r="25" spans="1:13" s="44" customFormat="1" ht="13.5">
      <c r="A25" s="150"/>
      <c r="B25" s="59" t="s">
        <v>192</v>
      </c>
      <c r="C25" s="85"/>
      <c r="D25" s="59"/>
      <c r="E25" s="59"/>
      <c r="F25" s="384"/>
      <c r="G25" s="59"/>
      <c r="H25" s="82"/>
      <c r="I25" s="62"/>
      <c r="J25" s="64"/>
      <c r="K25" s="59"/>
      <c r="L25" s="64"/>
      <c r="M25" s="67"/>
    </row>
    <row r="26" spans="1:13" s="44" customFormat="1" ht="13.5">
      <c r="A26" s="150"/>
      <c r="B26" s="86" t="s">
        <v>279</v>
      </c>
      <c r="C26" s="353" t="s">
        <v>527</v>
      </c>
      <c r="D26" s="59" t="s">
        <v>20</v>
      </c>
      <c r="E26" s="59">
        <v>0.999</v>
      </c>
      <c r="F26" s="384">
        <f>E26*F22</f>
        <v>29.97</v>
      </c>
      <c r="G26" s="342"/>
      <c r="H26" s="82"/>
      <c r="I26" s="62"/>
      <c r="J26" s="64"/>
      <c r="K26" s="59"/>
      <c r="L26" s="64"/>
      <c r="M26" s="67"/>
    </row>
    <row r="27" spans="1:13" s="44" customFormat="1" ht="13.5">
      <c r="A27" s="150"/>
      <c r="B27" s="65" t="s">
        <v>18</v>
      </c>
      <c r="C27" s="85"/>
      <c r="D27" s="59" t="s">
        <v>0</v>
      </c>
      <c r="E27" s="59">
        <v>0.099</v>
      </c>
      <c r="F27" s="387">
        <f>E27*F22</f>
        <v>2.97</v>
      </c>
      <c r="G27" s="59"/>
      <c r="H27" s="82"/>
      <c r="I27" s="62"/>
      <c r="J27" s="64"/>
      <c r="K27" s="59"/>
      <c r="L27" s="64"/>
      <c r="M27" s="67"/>
    </row>
    <row r="28" spans="1:13" s="44" customFormat="1" ht="40.5">
      <c r="A28" s="68">
        <v>9</v>
      </c>
      <c r="B28" s="373" t="s">
        <v>280</v>
      </c>
      <c r="C28" s="274" t="s">
        <v>493</v>
      </c>
      <c r="D28" s="70" t="s">
        <v>20</v>
      </c>
      <c r="E28" s="149"/>
      <c r="F28" s="344">
        <v>45</v>
      </c>
      <c r="G28" s="70"/>
      <c r="H28" s="82"/>
      <c r="I28" s="70"/>
      <c r="J28" s="64"/>
      <c r="K28" s="70"/>
      <c r="L28" s="64"/>
      <c r="M28" s="67"/>
    </row>
    <row r="29" spans="1:13" s="44" customFormat="1" ht="13.5">
      <c r="A29" s="59"/>
      <c r="B29" s="65" t="s">
        <v>12</v>
      </c>
      <c r="C29" s="76"/>
      <c r="D29" s="62" t="s">
        <v>15</v>
      </c>
      <c r="E29" s="62">
        <v>0.506</v>
      </c>
      <c r="F29" s="383">
        <f>E29*F28</f>
        <v>22.77</v>
      </c>
      <c r="G29" s="62"/>
      <c r="H29" s="82"/>
      <c r="I29" s="62"/>
      <c r="J29" s="64"/>
      <c r="K29" s="62"/>
      <c r="L29" s="64"/>
      <c r="M29" s="67"/>
    </row>
    <row r="30" spans="1:13" s="44" customFormat="1" ht="13.5">
      <c r="A30" s="59"/>
      <c r="B30" s="65" t="s">
        <v>14</v>
      </c>
      <c r="C30" s="76"/>
      <c r="D30" s="59" t="s">
        <v>0</v>
      </c>
      <c r="E30" s="62">
        <v>0.199</v>
      </c>
      <c r="F30" s="386">
        <f>E30*F28</f>
        <v>8.955</v>
      </c>
      <c r="G30" s="62"/>
      <c r="H30" s="82"/>
      <c r="I30" s="62"/>
      <c r="J30" s="64"/>
      <c r="K30" s="62"/>
      <c r="L30" s="64"/>
      <c r="M30" s="67"/>
    </row>
    <row r="31" spans="1:13" s="44" customFormat="1" ht="13.5">
      <c r="A31" s="150"/>
      <c r="B31" s="59" t="s">
        <v>192</v>
      </c>
      <c r="C31" s="85"/>
      <c r="D31" s="59"/>
      <c r="E31" s="59"/>
      <c r="F31" s="384"/>
      <c r="G31" s="59"/>
      <c r="H31" s="82"/>
      <c r="I31" s="62"/>
      <c r="J31" s="64"/>
      <c r="K31" s="59"/>
      <c r="L31" s="64"/>
      <c r="M31" s="67"/>
    </row>
    <row r="32" spans="1:13" s="44" customFormat="1" ht="13.5">
      <c r="A32" s="150"/>
      <c r="B32" s="86" t="s">
        <v>281</v>
      </c>
      <c r="C32" s="353" t="s">
        <v>528</v>
      </c>
      <c r="D32" s="59" t="s">
        <v>20</v>
      </c>
      <c r="E32" s="59">
        <v>0.999</v>
      </c>
      <c r="F32" s="384">
        <v>24</v>
      </c>
      <c r="G32" s="342"/>
      <c r="H32" s="82"/>
      <c r="I32" s="62"/>
      <c r="J32" s="64"/>
      <c r="K32" s="59"/>
      <c r="L32" s="64"/>
      <c r="M32" s="67"/>
    </row>
    <row r="33" spans="1:13" s="44" customFormat="1" ht="13.5">
      <c r="A33" s="150"/>
      <c r="B33" s="65" t="s">
        <v>18</v>
      </c>
      <c r="C33" s="85"/>
      <c r="D33" s="59" t="s">
        <v>0</v>
      </c>
      <c r="E33" s="59">
        <v>0.0923</v>
      </c>
      <c r="F33" s="387">
        <v>3.8183999999999996</v>
      </c>
      <c r="G33" s="59"/>
      <c r="H33" s="82"/>
      <c r="I33" s="62"/>
      <c r="J33" s="64"/>
      <c r="K33" s="59"/>
      <c r="L33" s="64"/>
      <c r="M33" s="67"/>
    </row>
    <row r="34" spans="1:13" s="44" customFormat="1" ht="28.5">
      <c r="A34" s="150"/>
      <c r="B34" s="343" t="s">
        <v>521</v>
      </c>
      <c r="C34" s="345" t="s">
        <v>522</v>
      </c>
      <c r="D34" s="275" t="s">
        <v>20</v>
      </c>
      <c r="E34" s="275"/>
      <c r="F34" s="344">
        <v>1085</v>
      </c>
      <c r="G34" s="240"/>
      <c r="H34" s="240"/>
      <c r="I34" s="240"/>
      <c r="J34" s="277"/>
      <c r="K34" s="240"/>
      <c r="L34" s="240"/>
      <c r="M34" s="240"/>
    </row>
    <row r="35" spans="1:13" s="44" customFormat="1" ht="13.5">
      <c r="A35" s="150"/>
      <c r="B35" s="65" t="s">
        <v>12</v>
      </c>
      <c r="C35" s="59"/>
      <c r="D35" s="62" t="s">
        <v>15</v>
      </c>
      <c r="E35" s="62">
        <v>0.245</v>
      </c>
      <c r="F35" s="383">
        <f>E35*F34</f>
        <v>265.825</v>
      </c>
      <c r="G35" s="203"/>
      <c r="H35" s="203"/>
      <c r="I35" s="203"/>
      <c r="J35" s="241"/>
      <c r="K35" s="203"/>
      <c r="L35" s="203"/>
      <c r="M35" s="203"/>
    </row>
    <row r="36" spans="1:13" s="44" customFormat="1" ht="13.5">
      <c r="A36" s="150"/>
      <c r="B36" s="65" t="s">
        <v>14</v>
      </c>
      <c r="C36" s="59"/>
      <c r="D36" s="59" t="s">
        <v>0</v>
      </c>
      <c r="E36" s="62">
        <v>0.109</v>
      </c>
      <c r="F36" s="386">
        <f>E36*F34</f>
        <v>118.265</v>
      </c>
      <c r="G36" s="203"/>
      <c r="H36" s="203"/>
      <c r="I36" s="203"/>
      <c r="J36" s="241"/>
      <c r="K36" s="203"/>
      <c r="L36" s="203"/>
      <c r="M36" s="203"/>
    </row>
    <row r="37" spans="1:13" s="44" customFormat="1" ht="13.5">
      <c r="A37" s="150"/>
      <c r="B37" s="59" t="s">
        <v>192</v>
      </c>
      <c r="C37" s="79"/>
      <c r="D37" s="59"/>
      <c r="E37" s="59"/>
      <c r="F37" s="384"/>
      <c r="G37" s="241"/>
      <c r="H37" s="203"/>
      <c r="I37" s="203"/>
      <c r="J37" s="241"/>
      <c r="K37" s="241"/>
      <c r="L37" s="203"/>
      <c r="M37" s="203"/>
    </row>
    <row r="38" spans="1:13" s="44" customFormat="1" ht="13.5">
      <c r="A38" s="150"/>
      <c r="B38" s="86" t="s">
        <v>524</v>
      </c>
      <c r="C38" s="355" t="s">
        <v>530</v>
      </c>
      <c r="D38" s="59" t="s">
        <v>20</v>
      </c>
      <c r="E38" s="59">
        <v>1.01</v>
      </c>
      <c r="F38" s="384">
        <f>E38*F34</f>
        <v>1095.85</v>
      </c>
      <c r="G38" s="348"/>
      <c r="H38" s="203"/>
      <c r="I38" s="203"/>
      <c r="J38" s="241"/>
      <c r="K38" s="241"/>
      <c r="L38" s="203"/>
      <c r="M38" s="203"/>
    </row>
    <row r="39" spans="1:13" s="44" customFormat="1" ht="13.5">
      <c r="A39" s="150"/>
      <c r="B39" s="65" t="s">
        <v>18</v>
      </c>
      <c r="C39" s="79"/>
      <c r="D39" s="59" t="s">
        <v>0</v>
      </c>
      <c r="E39" s="346">
        <v>0.00888</v>
      </c>
      <c r="F39" s="387">
        <f>F34*E39</f>
        <v>9.6348</v>
      </c>
      <c r="G39" s="241"/>
      <c r="H39" s="203"/>
      <c r="I39" s="203"/>
      <c r="J39" s="241"/>
      <c r="K39" s="241"/>
      <c r="L39" s="203"/>
      <c r="M39" s="203"/>
    </row>
    <row r="40" spans="1:13" s="44" customFormat="1" ht="28.5">
      <c r="A40" s="150"/>
      <c r="B40" s="343" t="s">
        <v>518</v>
      </c>
      <c r="C40" s="345" t="s">
        <v>519</v>
      </c>
      <c r="D40" s="275" t="s">
        <v>20</v>
      </c>
      <c r="E40" s="275"/>
      <c r="F40" s="344">
        <v>1320</v>
      </c>
      <c r="G40" s="240"/>
      <c r="H40" s="240"/>
      <c r="I40" s="240"/>
      <c r="J40" s="277"/>
      <c r="K40" s="240"/>
      <c r="L40" s="240"/>
      <c r="M40" s="240"/>
    </row>
    <row r="41" spans="1:13" s="44" customFormat="1" ht="13.5">
      <c r="A41" s="150"/>
      <c r="B41" s="65" t="s">
        <v>12</v>
      </c>
      <c r="C41" s="59"/>
      <c r="D41" s="62" t="s">
        <v>15</v>
      </c>
      <c r="E41" s="62">
        <v>0.181</v>
      </c>
      <c r="F41" s="383">
        <f>E41*F40</f>
        <v>238.92</v>
      </c>
      <c r="G41" s="203"/>
      <c r="H41" s="203"/>
      <c r="I41" s="203"/>
      <c r="J41" s="241"/>
      <c r="K41" s="203"/>
      <c r="L41" s="203"/>
      <c r="M41" s="203"/>
    </row>
    <row r="42" spans="1:13" s="44" customFormat="1" ht="13.5">
      <c r="A42" s="150"/>
      <c r="B42" s="65" t="s">
        <v>14</v>
      </c>
      <c r="C42" s="59"/>
      <c r="D42" s="59" t="s">
        <v>0</v>
      </c>
      <c r="E42" s="62">
        <v>0.0921</v>
      </c>
      <c r="F42" s="386">
        <f>E42*F40</f>
        <v>121.572</v>
      </c>
      <c r="G42" s="203"/>
      <c r="H42" s="203"/>
      <c r="I42" s="203"/>
      <c r="J42" s="241"/>
      <c r="K42" s="203"/>
      <c r="L42" s="203"/>
      <c r="M42" s="203"/>
    </row>
    <row r="43" spans="1:13" s="44" customFormat="1" ht="13.5">
      <c r="A43" s="150"/>
      <c r="B43" s="59" t="s">
        <v>192</v>
      </c>
      <c r="C43" s="79"/>
      <c r="D43" s="59"/>
      <c r="E43" s="59"/>
      <c r="F43" s="384"/>
      <c r="G43" s="241"/>
      <c r="H43" s="203"/>
      <c r="I43" s="203"/>
      <c r="J43" s="241"/>
      <c r="K43" s="241"/>
      <c r="L43" s="203"/>
      <c r="M43" s="203"/>
    </row>
    <row r="44" spans="1:13" s="44" customFormat="1" ht="13.5">
      <c r="A44" s="150"/>
      <c r="B44" s="86" t="s">
        <v>520</v>
      </c>
      <c r="C44" s="355" t="s">
        <v>529</v>
      </c>
      <c r="D44" s="59" t="s">
        <v>20</v>
      </c>
      <c r="E44" s="59">
        <v>1.01</v>
      </c>
      <c r="F44" s="384">
        <f>E44*F40</f>
        <v>1333.2</v>
      </c>
      <c r="G44" s="348"/>
      <c r="H44" s="203"/>
      <c r="I44" s="203"/>
      <c r="J44" s="241"/>
      <c r="K44" s="241"/>
      <c r="L44" s="203"/>
      <c r="M44" s="203"/>
    </row>
    <row r="45" spans="1:13" s="44" customFormat="1" ht="13.5">
      <c r="A45" s="150"/>
      <c r="B45" s="65" t="s">
        <v>18</v>
      </c>
      <c r="C45" s="79"/>
      <c r="D45" s="59" t="s">
        <v>0</v>
      </c>
      <c r="E45" s="59">
        <v>0.00516</v>
      </c>
      <c r="F45" s="387">
        <f>F40*E45</f>
        <v>6.8111999999999995</v>
      </c>
      <c r="G45" s="241"/>
      <c r="H45" s="203"/>
      <c r="I45" s="203"/>
      <c r="J45" s="241"/>
      <c r="K45" s="241"/>
      <c r="L45" s="203"/>
      <c r="M45" s="203"/>
    </row>
    <row r="46" spans="1:13" s="44" customFormat="1" ht="28.5">
      <c r="A46" s="68">
        <v>11</v>
      </c>
      <c r="B46" s="343" t="s">
        <v>495</v>
      </c>
      <c r="C46" s="347" t="s">
        <v>523</v>
      </c>
      <c r="D46" s="275" t="s">
        <v>20</v>
      </c>
      <c r="E46" s="276"/>
      <c r="F46" s="344">
        <v>1188</v>
      </c>
      <c r="G46" s="70"/>
      <c r="H46" s="82"/>
      <c r="I46" s="70"/>
      <c r="J46" s="64"/>
      <c r="K46" s="70"/>
      <c r="L46" s="64"/>
      <c r="M46" s="67"/>
    </row>
    <row r="47" spans="1:13" s="44" customFormat="1" ht="13.5">
      <c r="A47" s="59"/>
      <c r="B47" s="65" t="s">
        <v>12</v>
      </c>
      <c r="C47" s="76"/>
      <c r="D47" s="62" t="s">
        <v>15</v>
      </c>
      <c r="E47" s="62">
        <v>0.119</v>
      </c>
      <c r="F47" s="383">
        <f>E47*F46</f>
        <v>141.37199999999999</v>
      </c>
      <c r="G47" s="62"/>
      <c r="H47" s="82"/>
      <c r="I47" s="62"/>
      <c r="J47" s="64"/>
      <c r="K47" s="62"/>
      <c r="L47" s="64"/>
      <c r="M47" s="67"/>
    </row>
    <row r="48" spans="1:13" s="44" customFormat="1" ht="13.5">
      <c r="A48" s="59"/>
      <c r="B48" s="65" t="s">
        <v>14</v>
      </c>
      <c r="C48" s="76"/>
      <c r="D48" s="59" t="s">
        <v>0</v>
      </c>
      <c r="E48" s="62">
        <v>0.0675</v>
      </c>
      <c r="F48" s="386">
        <f>E48*F46</f>
        <v>80.19000000000001</v>
      </c>
      <c r="G48" s="62"/>
      <c r="H48" s="82"/>
      <c r="I48" s="62"/>
      <c r="J48" s="64"/>
      <c r="K48" s="62"/>
      <c r="L48" s="64"/>
      <c r="M48" s="67"/>
    </row>
    <row r="49" spans="1:13" s="44" customFormat="1" ht="13.5">
      <c r="A49" s="150"/>
      <c r="B49" s="59" t="s">
        <v>192</v>
      </c>
      <c r="C49" s="85"/>
      <c r="D49" s="59"/>
      <c r="E49" s="59"/>
      <c r="F49" s="384"/>
      <c r="G49" s="59"/>
      <c r="H49" s="82"/>
      <c r="I49" s="62"/>
      <c r="J49" s="64"/>
      <c r="K49" s="59"/>
      <c r="L49" s="64"/>
      <c r="M49" s="67"/>
    </row>
    <row r="50" spans="1:13" s="44" customFormat="1" ht="13.5">
      <c r="A50" s="150"/>
      <c r="B50" s="86" t="s">
        <v>494</v>
      </c>
      <c r="C50" s="353" t="s">
        <v>531</v>
      </c>
      <c r="D50" s="59" t="s">
        <v>20</v>
      </c>
      <c r="E50" s="59">
        <v>1.01</v>
      </c>
      <c r="F50" s="384">
        <f>E50*F46</f>
        <v>1199.88</v>
      </c>
      <c r="G50" s="342"/>
      <c r="H50" s="82"/>
      <c r="I50" s="62"/>
      <c r="J50" s="64"/>
      <c r="K50" s="59"/>
      <c r="L50" s="64"/>
      <c r="M50" s="67"/>
    </row>
    <row r="51" spans="1:13" s="44" customFormat="1" ht="13.5">
      <c r="A51" s="150"/>
      <c r="B51" s="65" t="s">
        <v>18</v>
      </c>
      <c r="C51" s="85"/>
      <c r="D51" s="59" t="s">
        <v>0</v>
      </c>
      <c r="E51" s="59">
        <v>0.0022</v>
      </c>
      <c r="F51" s="387">
        <v>2.1816</v>
      </c>
      <c r="G51" s="59"/>
      <c r="H51" s="82"/>
      <c r="I51" s="62"/>
      <c r="J51" s="64"/>
      <c r="K51" s="59"/>
      <c r="L51" s="64"/>
      <c r="M51" s="67"/>
    </row>
    <row r="52" spans="1:14" ht="28.5">
      <c r="A52" s="68">
        <v>10</v>
      </c>
      <c r="B52" s="343" t="s">
        <v>496</v>
      </c>
      <c r="C52" s="347" t="s">
        <v>195</v>
      </c>
      <c r="D52" s="275" t="s">
        <v>20</v>
      </c>
      <c r="E52" s="276"/>
      <c r="F52" s="344">
        <v>3780</v>
      </c>
      <c r="G52" s="70"/>
      <c r="H52" s="71"/>
      <c r="I52" s="70"/>
      <c r="J52" s="72"/>
      <c r="K52" s="70"/>
      <c r="L52" s="71"/>
      <c r="M52" s="67"/>
      <c r="N52" s="88"/>
    </row>
    <row r="53" spans="1:13" ht="13.5">
      <c r="A53" s="59"/>
      <c r="B53" s="65" t="s">
        <v>12</v>
      </c>
      <c r="C53" s="76"/>
      <c r="D53" s="62" t="s">
        <v>15</v>
      </c>
      <c r="E53" s="62">
        <v>0.119</v>
      </c>
      <c r="F53" s="383">
        <f>F52*E53</f>
        <v>449.82</v>
      </c>
      <c r="G53" s="62"/>
      <c r="H53" s="64"/>
      <c r="I53" s="62"/>
      <c r="J53" s="64"/>
      <c r="K53" s="62"/>
      <c r="L53" s="64"/>
      <c r="M53" s="67"/>
    </row>
    <row r="54" spans="1:13" ht="13.5">
      <c r="A54" s="59"/>
      <c r="B54" s="65" t="s">
        <v>14</v>
      </c>
      <c r="C54" s="76"/>
      <c r="D54" s="59" t="s">
        <v>0</v>
      </c>
      <c r="E54" s="62">
        <v>0.0675</v>
      </c>
      <c r="F54" s="386">
        <f>E54*F52</f>
        <v>255.15</v>
      </c>
      <c r="G54" s="62"/>
      <c r="H54" s="64"/>
      <c r="I54" s="62"/>
      <c r="J54" s="64"/>
      <c r="K54" s="62"/>
      <c r="L54" s="64"/>
      <c r="M54" s="67"/>
    </row>
    <row r="55" spans="1:13" s="89" customFormat="1" ht="15.75">
      <c r="A55" s="78"/>
      <c r="B55" s="59" t="s">
        <v>192</v>
      </c>
      <c r="C55" s="85"/>
      <c r="D55" s="59"/>
      <c r="E55" s="59"/>
      <c r="F55" s="384"/>
      <c r="G55" s="59"/>
      <c r="H55" s="77"/>
      <c r="I55" s="62"/>
      <c r="J55" s="77"/>
      <c r="K55" s="59"/>
      <c r="L55" s="77"/>
      <c r="M55" s="67"/>
    </row>
    <row r="56" spans="1:13" s="89" customFormat="1" ht="15.75">
      <c r="A56" s="78"/>
      <c r="B56" s="86" t="s">
        <v>497</v>
      </c>
      <c r="C56" s="353" t="s">
        <v>532</v>
      </c>
      <c r="D56" s="59" t="s">
        <v>20</v>
      </c>
      <c r="E56" s="59">
        <v>1.01</v>
      </c>
      <c r="F56" s="384">
        <f>E56*F52</f>
        <v>3817.8</v>
      </c>
      <c r="G56" s="342"/>
      <c r="H56" s="77"/>
      <c r="I56" s="62"/>
      <c r="J56" s="77"/>
      <c r="K56" s="59"/>
      <c r="L56" s="77"/>
      <c r="M56" s="67"/>
    </row>
    <row r="57" spans="1:13" s="89" customFormat="1" ht="15.75">
      <c r="A57" s="78"/>
      <c r="B57" s="65" t="s">
        <v>18</v>
      </c>
      <c r="C57" s="85"/>
      <c r="D57" s="59" t="s">
        <v>0</v>
      </c>
      <c r="E57" s="59">
        <v>0.00216</v>
      </c>
      <c r="F57" s="387">
        <f>E57*F52</f>
        <v>8.1648</v>
      </c>
      <c r="G57" s="59"/>
      <c r="H57" s="77"/>
      <c r="I57" s="62"/>
      <c r="J57" s="77"/>
      <c r="K57" s="59"/>
      <c r="L57" s="77"/>
      <c r="M57" s="67"/>
    </row>
    <row r="58" spans="1:14" ht="28.5">
      <c r="A58" s="68">
        <v>11</v>
      </c>
      <c r="B58" s="343" t="s">
        <v>498</v>
      </c>
      <c r="C58" s="274" t="s">
        <v>499</v>
      </c>
      <c r="D58" s="275" t="s">
        <v>20</v>
      </c>
      <c r="E58" s="276"/>
      <c r="F58" s="344">
        <v>5085</v>
      </c>
      <c r="G58" s="70"/>
      <c r="H58" s="71"/>
      <c r="I58" s="70"/>
      <c r="J58" s="72"/>
      <c r="K58" s="70"/>
      <c r="L58" s="71"/>
      <c r="M58" s="67"/>
      <c r="N58" s="88"/>
    </row>
    <row r="59" spans="1:14" ht="13.5">
      <c r="A59" s="59"/>
      <c r="B59" s="65" t="s">
        <v>12</v>
      </c>
      <c r="C59" s="76"/>
      <c r="D59" s="62" t="s">
        <v>15</v>
      </c>
      <c r="E59" s="62">
        <v>0.105</v>
      </c>
      <c r="F59" s="383">
        <f>F58*E59</f>
        <v>533.925</v>
      </c>
      <c r="G59" s="62"/>
      <c r="H59" s="64"/>
      <c r="I59" s="62"/>
      <c r="J59" s="64"/>
      <c r="K59" s="62"/>
      <c r="L59" s="64"/>
      <c r="M59" s="67"/>
      <c r="N59" s="88"/>
    </row>
    <row r="60" spans="1:13" ht="13.5">
      <c r="A60" s="59"/>
      <c r="B60" s="65" t="s">
        <v>14</v>
      </c>
      <c r="C60" s="76"/>
      <c r="D60" s="59" t="s">
        <v>0</v>
      </c>
      <c r="E60" s="62">
        <v>0.0538</v>
      </c>
      <c r="F60" s="386">
        <f>E60*F58</f>
        <v>273.573</v>
      </c>
      <c r="G60" s="62"/>
      <c r="H60" s="64"/>
      <c r="I60" s="62"/>
      <c r="J60" s="64"/>
      <c r="K60" s="62"/>
      <c r="L60" s="64"/>
      <c r="M60" s="67"/>
    </row>
    <row r="61" spans="1:13" s="89" customFormat="1" ht="15.75">
      <c r="A61" s="78"/>
      <c r="B61" s="59" t="s">
        <v>192</v>
      </c>
      <c r="C61" s="85"/>
      <c r="D61" s="59"/>
      <c r="E61" s="59"/>
      <c r="F61" s="384"/>
      <c r="G61" s="59"/>
      <c r="H61" s="77"/>
      <c r="I61" s="62"/>
      <c r="J61" s="77"/>
      <c r="K61" s="59"/>
      <c r="L61" s="77"/>
      <c r="M61" s="67"/>
    </row>
    <row r="62" spans="1:13" s="89" customFormat="1" ht="15.75">
      <c r="A62" s="78"/>
      <c r="B62" s="86" t="s">
        <v>500</v>
      </c>
      <c r="C62" s="353" t="s">
        <v>533</v>
      </c>
      <c r="D62" s="59" t="s">
        <v>20</v>
      </c>
      <c r="E62" s="59">
        <v>1.01</v>
      </c>
      <c r="F62" s="384">
        <f>E62*F58</f>
        <v>5135.85</v>
      </c>
      <c r="G62" s="342"/>
      <c r="H62" s="77"/>
      <c r="I62" s="62"/>
      <c r="J62" s="77"/>
      <c r="K62" s="59"/>
      <c r="L62" s="77"/>
      <c r="M62" s="67"/>
    </row>
    <row r="63" spans="1:13" s="89" customFormat="1" ht="15.75">
      <c r="A63" s="78"/>
      <c r="B63" s="65" t="s">
        <v>18</v>
      </c>
      <c r="C63" s="85"/>
      <c r="D63" s="59" t="s">
        <v>0</v>
      </c>
      <c r="E63" s="59">
        <v>0.0012</v>
      </c>
      <c r="F63" s="387">
        <f>E63*F58</f>
        <v>6.101999999999999</v>
      </c>
      <c r="G63" s="59"/>
      <c r="H63" s="77"/>
      <c r="I63" s="62"/>
      <c r="J63" s="77"/>
      <c r="K63" s="59"/>
      <c r="L63" s="77"/>
      <c r="M63" s="67"/>
    </row>
    <row r="64" spans="1:13" s="89" customFormat="1" ht="28.5">
      <c r="A64" s="68">
        <v>13</v>
      </c>
      <c r="B64" s="343" t="s">
        <v>501</v>
      </c>
      <c r="C64" s="274" t="s">
        <v>499</v>
      </c>
      <c r="D64" s="275" t="s">
        <v>20</v>
      </c>
      <c r="E64" s="276"/>
      <c r="F64" s="344">
        <v>772</v>
      </c>
      <c r="G64" s="70"/>
      <c r="H64" s="71"/>
      <c r="I64" s="70"/>
      <c r="J64" s="72"/>
      <c r="K64" s="70"/>
      <c r="L64" s="71"/>
      <c r="M64" s="67"/>
    </row>
    <row r="65" spans="1:13" s="89" customFormat="1" ht="15.75">
      <c r="A65" s="59"/>
      <c r="B65" s="65" t="s">
        <v>12</v>
      </c>
      <c r="C65" s="76"/>
      <c r="D65" s="62" t="s">
        <v>15</v>
      </c>
      <c r="E65" s="62">
        <v>0.105</v>
      </c>
      <c r="F65" s="383">
        <f>F64*E65</f>
        <v>81.06</v>
      </c>
      <c r="G65" s="62"/>
      <c r="H65" s="64"/>
      <c r="I65" s="62"/>
      <c r="J65" s="64"/>
      <c r="K65" s="62"/>
      <c r="L65" s="64"/>
      <c r="M65" s="67"/>
    </row>
    <row r="66" spans="1:13" s="89" customFormat="1" ht="15.75">
      <c r="A66" s="59"/>
      <c r="B66" s="65" t="s">
        <v>14</v>
      </c>
      <c r="C66" s="76"/>
      <c r="D66" s="59" t="s">
        <v>0</v>
      </c>
      <c r="E66" s="62">
        <v>0.0538</v>
      </c>
      <c r="F66" s="386">
        <f>E66*F64</f>
        <v>41.5336</v>
      </c>
      <c r="G66" s="62"/>
      <c r="H66" s="64"/>
      <c r="I66" s="62"/>
      <c r="J66" s="64"/>
      <c r="K66" s="62"/>
      <c r="L66" s="64"/>
      <c r="M66" s="67"/>
    </row>
    <row r="67" spans="1:13" s="89" customFormat="1" ht="15.75">
      <c r="A67" s="78"/>
      <c r="B67" s="59" t="s">
        <v>192</v>
      </c>
      <c r="C67" s="85"/>
      <c r="D67" s="59"/>
      <c r="E67" s="59"/>
      <c r="F67" s="384"/>
      <c r="G67" s="59"/>
      <c r="H67" s="77"/>
      <c r="I67" s="62"/>
      <c r="J67" s="77"/>
      <c r="K67" s="59"/>
      <c r="L67" s="77"/>
      <c r="M67" s="67"/>
    </row>
    <row r="68" spans="1:13" s="89" customFormat="1" ht="15.75">
      <c r="A68" s="78"/>
      <c r="B68" s="86" t="s">
        <v>502</v>
      </c>
      <c r="C68" s="353" t="s">
        <v>534</v>
      </c>
      <c r="D68" s="59" t="s">
        <v>20</v>
      </c>
      <c r="E68" s="59">
        <v>1.01</v>
      </c>
      <c r="F68" s="384">
        <f>E68*F64</f>
        <v>779.72</v>
      </c>
      <c r="G68" s="342"/>
      <c r="H68" s="77"/>
      <c r="I68" s="62"/>
      <c r="J68" s="77"/>
      <c r="K68" s="59"/>
      <c r="L68" s="77"/>
      <c r="M68" s="67"/>
    </row>
    <row r="69" spans="1:13" s="89" customFormat="1" ht="15.75">
      <c r="A69" s="78"/>
      <c r="B69" s="65" t="s">
        <v>18</v>
      </c>
      <c r="C69" s="85"/>
      <c r="D69" s="59" t="s">
        <v>0</v>
      </c>
      <c r="E69" s="59">
        <v>0.0012</v>
      </c>
      <c r="F69" s="387">
        <f>E69*F64</f>
        <v>0.9263999999999999</v>
      </c>
      <c r="G69" s="59"/>
      <c r="H69" s="77"/>
      <c r="I69" s="62"/>
      <c r="J69" s="77"/>
      <c r="K69" s="59"/>
      <c r="L69" s="77"/>
      <c r="M69" s="67"/>
    </row>
    <row r="70" spans="1:14" ht="28.5">
      <c r="A70" s="68">
        <v>13</v>
      </c>
      <c r="B70" s="343" t="s">
        <v>503</v>
      </c>
      <c r="C70" s="274" t="s">
        <v>196</v>
      </c>
      <c r="D70" s="275" t="s">
        <v>20</v>
      </c>
      <c r="E70" s="276"/>
      <c r="F70" s="344">
        <v>3102</v>
      </c>
      <c r="G70" s="70"/>
      <c r="H70" s="71"/>
      <c r="I70" s="70"/>
      <c r="J70" s="72"/>
      <c r="K70" s="70"/>
      <c r="L70" s="71"/>
      <c r="M70" s="67"/>
      <c r="N70" s="88"/>
    </row>
    <row r="71" spans="1:13" ht="13.5">
      <c r="A71" s="59"/>
      <c r="B71" s="65" t="s">
        <v>12</v>
      </c>
      <c r="C71" s="76"/>
      <c r="D71" s="62" t="s">
        <v>15</v>
      </c>
      <c r="E71" s="62">
        <v>0.0959</v>
      </c>
      <c r="F71" s="383">
        <f>F70*E71</f>
        <v>297.4818</v>
      </c>
      <c r="G71" s="62"/>
      <c r="H71" s="64"/>
      <c r="I71" s="62"/>
      <c r="J71" s="64"/>
      <c r="K71" s="62"/>
      <c r="L71" s="64"/>
      <c r="M71" s="67"/>
    </row>
    <row r="72" spans="1:13" ht="13.5">
      <c r="A72" s="59"/>
      <c r="B72" s="65" t="s">
        <v>14</v>
      </c>
      <c r="C72" s="76"/>
      <c r="D72" s="59" t="s">
        <v>0</v>
      </c>
      <c r="E72" s="62">
        <v>0.0452</v>
      </c>
      <c r="F72" s="386">
        <f>E72*F70</f>
        <v>140.2104</v>
      </c>
      <c r="G72" s="62"/>
      <c r="H72" s="64"/>
      <c r="I72" s="62"/>
      <c r="J72" s="64"/>
      <c r="K72" s="62"/>
      <c r="L72" s="64"/>
      <c r="M72" s="67"/>
    </row>
    <row r="73" spans="1:13" s="89" customFormat="1" ht="15.75">
      <c r="A73" s="78"/>
      <c r="B73" s="59" t="s">
        <v>192</v>
      </c>
      <c r="C73" s="85"/>
      <c r="D73" s="59"/>
      <c r="E73" s="59"/>
      <c r="F73" s="384"/>
      <c r="G73" s="59"/>
      <c r="H73" s="77"/>
      <c r="I73" s="62"/>
      <c r="J73" s="77"/>
      <c r="K73" s="59"/>
      <c r="L73" s="77"/>
      <c r="M73" s="67"/>
    </row>
    <row r="74" spans="1:13" s="89" customFormat="1" ht="15.75">
      <c r="A74" s="78"/>
      <c r="B74" s="86" t="s">
        <v>504</v>
      </c>
      <c r="C74" s="353" t="s">
        <v>535</v>
      </c>
      <c r="D74" s="59" t="s">
        <v>20</v>
      </c>
      <c r="E74" s="59">
        <v>1.01</v>
      </c>
      <c r="F74" s="384">
        <f>E74*F70</f>
        <v>3133.02</v>
      </c>
      <c r="G74" s="342"/>
      <c r="H74" s="77"/>
      <c r="I74" s="62"/>
      <c r="J74" s="77"/>
      <c r="K74" s="59"/>
      <c r="L74" s="77"/>
      <c r="M74" s="67"/>
    </row>
    <row r="75" spans="1:13" s="89" customFormat="1" ht="15.75">
      <c r="A75" s="78"/>
      <c r="B75" s="65" t="s">
        <v>18</v>
      </c>
      <c r="C75" s="85"/>
      <c r="D75" s="59" t="s">
        <v>0</v>
      </c>
      <c r="E75" s="59">
        <v>0.0006</v>
      </c>
      <c r="F75" s="387">
        <f>E75*F70</f>
        <v>1.8611999999999997</v>
      </c>
      <c r="G75" s="59"/>
      <c r="H75" s="77"/>
      <c r="I75" s="62"/>
      <c r="J75" s="77"/>
      <c r="K75" s="59"/>
      <c r="L75" s="77"/>
      <c r="M75" s="67"/>
    </row>
    <row r="76" spans="1:14" ht="28.5">
      <c r="A76" s="68">
        <v>14</v>
      </c>
      <c r="B76" s="343" t="s">
        <v>505</v>
      </c>
      <c r="C76" s="274" t="s">
        <v>196</v>
      </c>
      <c r="D76" s="275" t="s">
        <v>20</v>
      </c>
      <c r="E76" s="276"/>
      <c r="F76" s="344">
        <v>1790</v>
      </c>
      <c r="G76" s="70"/>
      <c r="H76" s="71"/>
      <c r="I76" s="70"/>
      <c r="J76" s="72"/>
      <c r="K76" s="70"/>
      <c r="L76" s="71"/>
      <c r="M76" s="67"/>
      <c r="N76" s="88"/>
    </row>
    <row r="77" spans="1:13" ht="13.5">
      <c r="A77" s="59"/>
      <c r="B77" s="65" t="s">
        <v>12</v>
      </c>
      <c r="C77" s="76"/>
      <c r="D77" s="62" t="s">
        <v>15</v>
      </c>
      <c r="E77" s="62">
        <v>0.0959</v>
      </c>
      <c r="F77" s="383">
        <f>F76*E77</f>
        <v>171.661</v>
      </c>
      <c r="G77" s="62"/>
      <c r="H77" s="64"/>
      <c r="I77" s="62"/>
      <c r="J77" s="64"/>
      <c r="K77" s="62"/>
      <c r="L77" s="64"/>
      <c r="M77" s="67"/>
    </row>
    <row r="78" spans="1:13" ht="13.5">
      <c r="A78" s="59"/>
      <c r="B78" s="65" t="s">
        <v>14</v>
      </c>
      <c r="C78" s="76"/>
      <c r="D78" s="59" t="s">
        <v>0</v>
      </c>
      <c r="E78" s="62">
        <v>0.0452</v>
      </c>
      <c r="F78" s="386">
        <f>E78*F76</f>
        <v>80.908</v>
      </c>
      <c r="G78" s="62"/>
      <c r="H78" s="64"/>
      <c r="I78" s="62"/>
      <c r="J78" s="64"/>
      <c r="K78" s="62"/>
      <c r="L78" s="64"/>
      <c r="M78" s="67"/>
    </row>
    <row r="79" spans="1:13" s="89" customFormat="1" ht="15.75">
      <c r="A79" s="78"/>
      <c r="B79" s="59" t="s">
        <v>192</v>
      </c>
      <c r="C79" s="85"/>
      <c r="D79" s="59"/>
      <c r="E79" s="59"/>
      <c r="F79" s="384"/>
      <c r="G79" s="59"/>
      <c r="H79" s="77"/>
      <c r="I79" s="62"/>
      <c r="J79" s="77"/>
      <c r="K79" s="59"/>
      <c r="L79" s="77"/>
      <c r="M79" s="67"/>
    </row>
    <row r="80" spans="1:13" s="89" customFormat="1" ht="15.75">
      <c r="A80" s="78"/>
      <c r="B80" s="86" t="s">
        <v>506</v>
      </c>
      <c r="C80" s="353" t="s">
        <v>536</v>
      </c>
      <c r="D80" s="59" t="s">
        <v>20</v>
      </c>
      <c r="E80" s="59">
        <v>1.01</v>
      </c>
      <c r="F80" s="384">
        <f>E80*F76</f>
        <v>1807.9</v>
      </c>
      <c r="G80" s="342"/>
      <c r="H80" s="77"/>
      <c r="I80" s="62"/>
      <c r="J80" s="77"/>
      <c r="K80" s="59"/>
      <c r="L80" s="77"/>
      <c r="M80" s="67"/>
    </row>
    <row r="81" spans="1:13" s="89" customFormat="1" ht="15.75">
      <c r="A81" s="78"/>
      <c r="B81" s="65" t="s">
        <v>18</v>
      </c>
      <c r="C81" s="85"/>
      <c r="D81" s="59" t="s">
        <v>0</v>
      </c>
      <c r="E81" s="59">
        <v>0.0006</v>
      </c>
      <c r="F81" s="387">
        <f>E81*F76</f>
        <v>1.0739999999999998</v>
      </c>
      <c r="G81" s="59"/>
      <c r="H81" s="77"/>
      <c r="I81" s="62"/>
      <c r="J81" s="77"/>
      <c r="K81" s="59"/>
      <c r="L81" s="77"/>
      <c r="M81" s="67"/>
    </row>
    <row r="82" spans="1:13" s="89" customFormat="1" ht="28.5">
      <c r="A82" s="78"/>
      <c r="B82" s="362" t="s">
        <v>555</v>
      </c>
      <c r="C82" s="277" t="s">
        <v>196</v>
      </c>
      <c r="D82" s="240" t="s">
        <v>20</v>
      </c>
      <c r="E82" s="240"/>
      <c r="F82" s="362">
        <v>160</v>
      </c>
      <c r="G82" s="203"/>
      <c r="H82" s="241"/>
      <c r="I82" s="203"/>
      <c r="J82" s="203"/>
      <c r="K82" s="203"/>
      <c r="L82" s="241"/>
      <c r="M82" s="203"/>
    </row>
    <row r="83" spans="1:13" s="89" customFormat="1" ht="15.75">
      <c r="A83" s="78"/>
      <c r="B83" s="241" t="s">
        <v>12</v>
      </c>
      <c r="C83" s="241"/>
      <c r="D83" s="203" t="s">
        <v>15</v>
      </c>
      <c r="E83" s="203">
        <v>0.0959</v>
      </c>
      <c r="F83" s="349">
        <f>F82*E83</f>
        <v>15.344</v>
      </c>
      <c r="G83" s="203"/>
      <c r="H83" s="203"/>
      <c r="I83" s="203"/>
      <c r="J83" s="203"/>
      <c r="K83" s="203"/>
      <c r="L83" s="203"/>
      <c r="M83" s="203"/>
    </row>
    <row r="84" spans="1:13" s="89" customFormat="1" ht="15.75">
      <c r="A84" s="78"/>
      <c r="B84" s="241" t="s">
        <v>14</v>
      </c>
      <c r="C84" s="241"/>
      <c r="D84" s="241" t="s">
        <v>0</v>
      </c>
      <c r="E84" s="203">
        <v>0.0452</v>
      </c>
      <c r="F84" s="349">
        <f>E84*F82</f>
        <v>7.231999999999999</v>
      </c>
      <c r="G84" s="203"/>
      <c r="H84" s="203"/>
      <c r="I84" s="203"/>
      <c r="J84" s="203"/>
      <c r="K84" s="203"/>
      <c r="L84" s="203"/>
      <c r="M84" s="203"/>
    </row>
    <row r="85" spans="1:13" s="89" customFormat="1" ht="15.75">
      <c r="A85" s="78"/>
      <c r="B85" s="241" t="s">
        <v>192</v>
      </c>
      <c r="C85" s="350"/>
      <c r="D85" s="241"/>
      <c r="E85" s="241"/>
      <c r="F85" s="351"/>
      <c r="G85" s="241"/>
      <c r="H85" s="241"/>
      <c r="I85" s="203"/>
      <c r="J85" s="241"/>
      <c r="K85" s="241"/>
      <c r="L85" s="241"/>
      <c r="M85" s="203"/>
    </row>
    <row r="86" spans="1:13" s="89" customFormat="1" ht="15.75" customHeight="1">
      <c r="A86" s="78"/>
      <c r="B86" s="203" t="s">
        <v>525</v>
      </c>
      <c r="C86" s="348" t="s">
        <v>556</v>
      </c>
      <c r="D86" s="241" t="s">
        <v>20</v>
      </c>
      <c r="E86" s="241">
        <v>1.01</v>
      </c>
      <c r="F86" s="351">
        <f>E86*F82</f>
        <v>161.6</v>
      </c>
      <c r="G86" s="348"/>
      <c r="H86" s="241"/>
      <c r="I86" s="203"/>
      <c r="J86" s="241"/>
      <c r="K86" s="241"/>
      <c r="L86" s="241"/>
      <c r="M86" s="203"/>
    </row>
    <row r="87" spans="1:13" s="89" customFormat="1" ht="15.75">
      <c r="A87" s="78"/>
      <c r="B87" s="241" t="s">
        <v>18</v>
      </c>
      <c r="C87" s="350"/>
      <c r="D87" s="241" t="s">
        <v>0</v>
      </c>
      <c r="E87" s="241">
        <v>0.0006</v>
      </c>
      <c r="F87" s="351">
        <f>E87*F82</f>
        <v>0.09599999999999999</v>
      </c>
      <c r="G87" s="241"/>
      <c r="H87" s="241"/>
      <c r="I87" s="203"/>
      <c r="J87" s="241"/>
      <c r="K87" s="241"/>
      <c r="L87" s="241"/>
      <c r="M87" s="203"/>
    </row>
    <row r="88" spans="1:13" s="89" customFormat="1" ht="28.5">
      <c r="A88" s="78"/>
      <c r="B88" s="362" t="s">
        <v>587</v>
      </c>
      <c r="C88" s="277" t="s">
        <v>196</v>
      </c>
      <c r="D88" s="240" t="s">
        <v>20</v>
      </c>
      <c r="E88" s="240"/>
      <c r="F88" s="362">
        <v>262</v>
      </c>
      <c r="G88" s="203"/>
      <c r="H88" s="241"/>
      <c r="I88" s="203"/>
      <c r="J88" s="203"/>
      <c r="K88" s="203"/>
      <c r="L88" s="241"/>
      <c r="M88" s="203"/>
    </row>
    <row r="89" spans="1:13" s="89" customFormat="1" ht="15.75">
      <c r="A89" s="78"/>
      <c r="B89" s="241" t="s">
        <v>12</v>
      </c>
      <c r="C89" s="241"/>
      <c r="D89" s="203" t="s">
        <v>15</v>
      </c>
      <c r="E89" s="203">
        <v>0.0959</v>
      </c>
      <c r="F89" s="349">
        <f>F88*E89</f>
        <v>25.125799999999998</v>
      </c>
      <c r="G89" s="203"/>
      <c r="H89" s="203"/>
      <c r="I89" s="203"/>
      <c r="J89" s="203"/>
      <c r="K89" s="203"/>
      <c r="L89" s="203"/>
      <c r="M89" s="203"/>
    </row>
    <row r="90" spans="1:13" s="89" customFormat="1" ht="15.75">
      <c r="A90" s="78"/>
      <c r="B90" s="241" t="s">
        <v>14</v>
      </c>
      <c r="C90" s="241"/>
      <c r="D90" s="241" t="s">
        <v>0</v>
      </c>
      <c r="E90" s="203">
        <v>0.0452</v>
      </c>
      <c r="F90" s="349">
        <f>E90*F88</f>
        <v>11.8424</v>
      </c>
      <c r="G90" s="203"/>
      <c r="H90" s="203"/>
      <c r="I90" s="203"/>
      <c r="J90" s="203"/>
      <c r="K90" s="203"/>
      <c r="L90" s="203"/>
      <c r="M90" s="203"/>
    </row>
    <row r="91" spans="1:13" s="89" customFormat="1" ht="15.75">
      <c r="A91" s="78"/>
      <c r="B91" s="241" t="s">
        <v>192</v>
      </c>
      <c r="C91" s="350"/>
      <c r="D91" s="241"/>
      <c r="E91" s="241"/>
      <c r="F91" s="351"/>
      <c r="G91" s="241"/>
      <c r="H91" s="241"/>
      <c r="I91" s="203"/>
      <c r="J91" s="241"/>
      <c r="K91" s="241"/>
      <c r="L91" s="241"/>
      <c r="M91" s="203"/>
    </row>
    <row r="92" spans="1:13" s="89" customFormat="1" ht="17.25" customHeight="1">
      <c r="A92" s="78"/>
      <c r="B92" s="203" t="s">
        <v>525</v>
      </c>
      <c r="C92" s="348" t="s">
        <v>556</v>
      </c>
      <c r="D92" s="241" t="s">
        <v>20</v>
      </c>
      <c r="E92" s="241">
        <v>1.01</v>
      </c>
      <c r="F92" s="351">
        <f>E92*F88</f>
        <v>264.62</v>
      </c>
      <c r="G92" s="348"/>
      <c r="H92" s="241"/>
      <c r="I92" s="203"/>
      <c r="J92" s="241"/>
      <c r="K92" s="241"/>
      <c r="L92" s="241"/>
      <c r="M92" s="203"/>
    </row>
    <row r="93" spans="1:13" s="89" customFormat="1" ht="15.75">
      <c r="A93" s="78"/>
      <c r="B93" s="241" t="s">
        <v>18</v>
      </c>
      <c r="C93" s="350"/>
      <c r="D93" s="241" t="s">
        <v>0</v>
      </c>
      <c r="E93" s="241">
        <v>0.0006</v>
      </c>
      <c r="F93" s="351">
        <f>E93*F88</f>
        <v>0.15719999999999998</v>
      </c>
      <c r="G93" s="241"/>
      <c r="H93" s="241"/>
      <c r="I93" s="203"/>
      <c r="J93" s="241"/>
      <c r="K93" s="241"/>
      <c r="L93" s="241"/>
      <c r="M93" s="203"/>
    </row>
    <row r="94" spans="1:14" ht="28.5">
      <c r="A94" s="68">
        <v>15</v>
      </c>
      <c r="B94" s="343" t="s">
        <v>507</v>
      </c>
      <c r="C94" s="274" t="s">
        <v>196</v>
      </c>
      <c r="D94" s="275" t="s">
        <v>20</v>
      </c>
      <c r="E94" s="276"/>
      <c r="F94" s="344">
        <v>5500</v>
      </c>
      <c r="G94" s="70"/>
      <c r="H94" s="71"/>
      <c r="I94" s="70"/>
      <c r="J94" s="72"/>
      <c r="K94" s="70"/>
      <c r="L94" s="71"/>
      <c r="M94" s="67"/>
      <c r="N94" s="88"/>
    </row>
    <row r="95" spans="1:14" ht="13.5">
      <c r="A95" s="59"/>
      <c r="B95" s="65" t="s">
        <v>12</v>
      </c>
      <c r="C95" s="76"/>
      <c r="D95" s="62" t="s">
        <v>15</v>
      </c>
      <c r="E95" s="62">
        <v>0.0959</v>
      </c>
      <c r="F95" s="383">
        <f>F94*E95</f>
        <v>527.45</v>
      </c>
      <c r="G95" s="62"/>
      <c r="H95" s="64"/>
      <c r="I95" s="62"/>
      <c r="J95" s="64"/>
      <c r="K95" s="62"/>
      <c r="L95" s="64"/>
      <c r="M95" s="67"/>
      <c r="N95" s="88"/>
    </row>
    <row r="96" spans="1:14" ht="13.5">
      <c r="A96" s="59"/>
      <c r="B96" s="65" t="s">
        <v>14</v>
      </c>
      <c r="C96" s="76"/>
      <c r="D96" s="59" t="s">
        <v>0</v>
      </c>
      <c r="E96" s="62">
        <v>0.0452</v>
      </c>
      <c r="F96" s="386">
        <f>E96*F94</f>
        <v>248.6</v>
      </c>
      <c r="G96" s="62"/>
      <c r="H96" s="64"/>
      <c r="I96" s="62"/>
      <c r="J96" s="64"/>
      <c r="K96" s="62"/>
      <c r="L96" s="64"/>
      <c r="M96" s="67"/>
      <c r="N96" s="88"/>
    </row>
    <row r="97" spans="1:14" s="89" customFormat="1" ht="15.75">
      <c r="A97" s="78"/>
      <c r="B97" s="59" t="s">
        <v>192</v>
      </c>
      <c r="C97" s="85"/>
      <c r="D97" s="59"/>
      <c r="E97" s="59"/>
      <c r="F97" s="384"/>
      <c r="G97" s="59"/>
      <c r="H97" s="77"/>
      <c r="I97" s="62"/>
      <c r="J97" s="77"/>
      <c r="K97" s="59"/>
      <c r="L97" s="77"/>
      <c r="M97" s="67"/>
      <c r="N97" s="90"/>
    </row>
    <row r="98" spans="1:13" s="89" customFormat="1" ht="15.75">
      <c r="A98" s="78"/>
      <c r="B98" s="86" t="s">
        <v>197</v>
      </c>
      <c r="C98" s="353" t="s">
        <v>557</v>
      </c>
      <c r="D98" s="59" t="s">
        <v>20</v>
      </c>
      <c r="E98" s="59">
        <v>1.01</v>
      </c>
      <c r="F98" s="384">
        <f>E98*F94</f>
        <v>5555</v>
      </c>
      <c r="G98" s="342"/>
      <c r="H98" s="77"/>
      <c r="I98" s="62"/>
      <c r="J98" s="77"/>
      <c r="K98" s="59"/>
      <c r="L98" s="77"/>
      <c r="M98" s="67"/>
    </row>
    <row r="99" spans="1:13" s="89" customFormat="1" ht="15.75">
      <c r="A99" s="78"/>
      <c r="B99" s="65" t="s">
        <v>18</v>
      </c>
      <c r="C99" s="85"/>
      <c r="D99" s="59" t="s">
        <v>0</v>
      </c>
      <c r="E99" s="59">
        <v>0.0006</v>
      </c>
      <c r="F99" s="387">
        <f>E99*F94</f>
        <v>3.3</v>
      </c>
      <c r="G99" s="59"/>
      <c r="H99" s="77"/>
      <c r="I99" s="62"/>
      <c r="J99" s="77"/>
      <c r="K99" s="59"/>
      <c r="L99" s="77"/>
      <c r="M99" s="67"/>
    </row>
    <row r="100" spans="1:13" s="89" customFormat="1" ht="15.75">
      <c r="A100" s="78"/>
      <c r="B100" s="65" t="s">
        <v>198</v>
      </c>
      <c r="C100" s="75" t="s">
        <v>199</v>
      </c>
      <c r="D100" s="62" t="s">
        <v>24</v>
      </c>
      <c r="E100" s="62"/>
      <c r="F100" s="389">
        <f>SUM(F104:F109)</f>
        <v>120</v>
      </c>
      <c r="G100" s="92"/>
      <c r="H100" s="64"/>
      <c r="I100" s="62"/>
      <c r="J100" s="64"/>
      <c r="K100" s="62"/>
      <c r="L100" s="64"/>
      <c r="M100" s="67"/>
    </row>
    <row r="101" spans="1:13" s="89" customFormat="1" ht="15.75">
      <c r="A101" s="78"/>
      <c r="B101" s="65" t="s">
        <v>12</v>
      </c>
      <c r="C101" s="59"/>
      <c r="D101" s="62" t="s">
        <v>15</v>
      </c>
      <c r="E101" s="62">
        <v>0.584</v>
      </c>
      <c r="F101" s="383">
        <f>F100*E101</f>
        <v>70.08</v>
      </c>
      <c r="G101" s="62"/>
      <c r="H101" s="64"/>
      <c r="I101" s="62"/>
      <c r="J101" s="64"/>
      <c r="K101" s="62"/>
      <c r="L101" s="64"/>
      <c r="M101" s="67"/>
    </row>
    <row r="102" spans="1:13" s="89" customFormat="1" ht="15.75">
      <c r="A102" s="78"/>
      <c r="B102" s="65" t="s">
        <v>14</v>
      </c>
      <c r="C102" s="59"/>
      <c r="D102" s="59" t="s">
        <v>0</v>
      </c>
      <c r="E102" s="62">
        <v>0.227</v>
      </c>
      <c r="F102" s="386">
        <f>E102*F100</f>
        <v>27.240000000000002</v>
      </c>
      <c r="G102" s="62"/>
      <c r="H102" s="64"/>
      <c r="I102" s="62"/>
      <c r="J102" s="64"/>
      <c r="K102" s="62"/>
      <c r="L102" s="64"/>
      <c r="M102" s="67"/>
    </row>
    <row r="103" spans="1:13" s="89" customFormat="1" ht="15.75">
      <c r="A103" s="78"/>
      <c r="B103" s="59" t="s">
        <v>192</v>
      </c>
      <c r="C103" s="79"/>
      <c r="D103" s="59"/>
      <c r="E103" s="59"/>
      <c r="F103" s="384"/>
      <c r="G103" s="59"/>
      <c r="H103" s="77"/>
      <c r="I103" s="62"/>
      <c r="J103" s="77"/>
      <c r="K103" s="59"/>
      <c r="L103" s="77"/>
      <c r="M103" s="67"/>
    </row>
    <row r="104" spans="1:13" s="89" customFormat="1" ht="15.75">
      <c r="A104" s="78"/>
      <c r="B104" s="93" t="s">
        <v>256</v>
      </c>
      <c r="C104" s="79"/>
      <c r="D104" s="94" t="s">
        <v>200</v>
      </c>
      <c r="E104" s="59"/>
      <c r="F104" s="390">
        <v>23</v>
      </c>
      <c r="G104" s="95"/>
      <c r="H104" s="77"/>
      <c r="I104" s="62"/>
      <c r="J104" s="77"/>
      <c r="K104" s="59"/>
      <c r="L104" s="77"/>
      <c r="M104" s="67"/>
    </row>
    <row r="105" spans="1:13" s="89" customFormat="1" ht="15.75">
      <c r="A105" s="78"/>
      <c r="B105" s="93" t="s">
        <v>584</v>
      </c>
      <c r="C105" s="79"/>
      <c r="D105" s="94" t="s">
        <v>200</v>
      </c>
      <c r="E105" s="59"/>
      <c r="F105" s="390">
        <v>42</v>
      </c>
      <c r="G105" s="95"/>
      <c r="H105" s="77"/>
      <c r="I105" s="62"/>
      <c r="J105" s="77"/>
      <c r="K105" s="59"/>
      <c r="L105" s="77"/>
      <c r="M105" s="67"/>
    </row>
    <row r="106" spans="1:13" s="89" customFormat="1" ht="15.75">
      <c r="A106" s="78"/>
      <c r="B106" s="93" t="s">
        <v>201</v>
      </c>
      <c r="C106" s="79"/>
      <c r="D106" s="94" t="s">
        <v>200</v>
      </c>
      <c r="E106" s="59"/>
      <c r="F106" s="390">
        <v>25</v>
      </c>
      <c r="G106" s="95"/>
      <c r="H106" s="77"/>
      <c r="I106" s="62"/>
      <c r="J106" s="77"/>
      <c r="K106" s="59"/>
      <c r="L106" s="77"/>
      <c r="M106" s="67"/>
    </row>
    <row r="107" spans="1:13" s="89" customFormat="1" ht="15.75">
      <c r="A107" s="78"/>
      <c r="B107" s="93" t="s">
        <v>257</v>
      </c>
      <c r="C107" s="79"/>
      <c r="D107" s="94" t="s">
        <v>200</v>
      </c>
      <c r="E107" s="59"/>
      <c r="F107" s="390">
        <v>17</v>
      </c>
      <c r="G107" s="95"/>
      <c r="H107" s="77"/>
      <c r="I107" s="62"/>
      <c r="J107" s="77"/>
      <c r="K107" s="59"/>
      <c r="L107" s="77"/>
      <c r="M107" s="67"/>
    </row>
    <row r="108" spans="1:13" s="89" customFormat="1" ht="15.75">
      <c r="A108" s="78"/>
      <c r="B108" s="93" t="s">
        <v>258</v>
      </c>
      <c r="C108" s="79"/>
      <c r="D108" s="94" t="s">
        <v>200</v>
      </c>
      <c r="E108" s="59"/>
      <c r="F108" s="390">
        <v>5</v>
      </c>
      <c r="G108" s="95"/>
      <c r="H108" s="77"/>
      <c r="I108" s="62"/>
      <c r="J108" s="77"/>
      <c r="K108" s="59"/>
      <c r="L108" s="77"/>
      <c r="M108" s="67"/>
    </row>
    <row r="109" spans="1:13" s="89" customFormat="1" ht="15.75">
      <c r="A109" s="78"/>
      <c r="B109" s="93" t="s">
        <v>585</v>
      </c>
      <c r="C109" s="79"/>
      <c r="D109" s="94" t="s">
        <v>200</v>
      </c>
      <c r="E109" s="59"/>
      <c r="F109" s="390">
        <v>8</v>
      </c>
      <c r="G109" s="95"/>
      <c r="H109" s="77"/>
      <c r="I109" s="62"/>
      <c r="J109" s="77"/>
      <c r="K109" s="59"/>
      <c r="L109" s="77"/>
      <c r="M109" s="67"/>
    </row>
    <row r="110" spans="1:13" s="89" customFormat="1" ht="15.75">
      <c r="A110" s="78"/>
      <c r="B110" s="65" t="s">
        <v>18</v>
      </c>
      <c r="C110" s="79"/>
      <c r="D110" s="59" t="s">
        <v>0</v>
      </c>
      <c r="E110" s="59">
        <v>0.024</v>
      </c>
      <c r="F110" s="387">
        <f>E110*F100</f>
        <v>2.88</v>
      </c>
      <c r="G110" s="59"/>
      <c r="H110" s="77"/>
      <c r="I110" s="62"/>
      <c r="J110" s="77"/>
      <c r="K110" s="59"/>
      <c r="L110" s="77"/>
      <c r="M110" s="67"/>
    </row>
    <row r="111" spans="1:13" s="89" customFormat="1" ht="15.75">
      <c r="A111" s="78"/>
      <c r="B111" s="93" t="s">
        <v>572</v>
      </c>
      <c r="C111" s="75" t="s">
        <v>199</v>
      </c>
      <c r="D111" s="62" t="s">
        <v>24</v>
      </c>
      <c r="E111" s="44"/>
      <c r="F111" s="383">
        <v>5</v>
      </c>
      <c r="G111" s="62"/>
      <c r="H111" s="64"/>
      <c r="I111" s="62"/>
      <c r="J111" s="64"/>
      <c r="K111" s="62"/>
      <c r="L111" s="64"/>
      <c r="M111" s="67"/>
    </row>
    <row r="112" spans="1:13" s="89" customFormat="1" ht="15.75">
      <c r="A112" s="78"/>
      <c r="B112" s="65" t="s">
        <v>12</v>
      </c>
      <c r="C112" s="361"/>
      <c r="D112" s="62" t="s">
        <v>15</v>
      </c>
      <c r="E112" s="62">
        <v>0.584</v>
      </c>
      <c r="F112" s="383"/>
      <c r="G112" s="62"/>
      <c r="H112" s="64"/>
      <c r="I112" s="62"/>
      <c r="J112" s="64"/>
      <c r="K112" s="62"/>
      <c r="L112" s="64"/>
      <c r="M112" s="67"/>
    </row>
    <row r="113" spans="1:13" s="89" customFormat="1" ht="15.75">
      <c r="A113" s="78"/>
      <c r="B113" s="65" t="s">
        <v>14</v>
      </c>
      <c r="C113" s="61"/>
      <c r="D113" s="70" t="s">
        <v>0</v>
      </c>
      <c r="E113" s="73">
        <f>2.27/10</f>
        <v>0.227</v>
      </c>
      <c r="F113" s="391">
        <v>1</v>
      </c>
      <c r="G113" s="62"/>
      <c r="H113" s="64"/>
      <c r="I113" s="62"/>
      <c r="J113" s="64"/>
      <c r="K113" s="62"/>
      <c r="L113" s="64"/>
      <c r="M113" s="67"/>
    </row>
    <row r="114" spans="1:13" s="89" customFormat="1" ht="15.75">
      <c r="A114" s="78"/>
      <c r="B114" s="93" t="s">
        <v>574</v>
      </c>
      <c r="C114" s="361" t="s">
        <v>251</v>
      </c>
      <c r="D114" s="339" t="s">
        <v>517</v>
      </c>
      <c r="E114" s="339"/>
      <c r="F114" s="392">
        <v>3</v>
      </c>
      <c r="G114" s="59"/>
      <c r="H114" s="77"/>
      <c r="I114" s="62"/>
      <c r="J114" s="77"/>
      <c r="K114" s="59"/>
      <c r="L114" s="77"/>
      <c r="M114" s="67"/>
    </row>
    <row r="115" spans="1:13" s="89" customFormat="1" ht="15.75">
      <c r="A115" s="78"/>
      <c r="B115" s="93" t="s">
        <v>573</v>
      </c>
      <c r="C115" s="361" t="s">
        <v>251</v>
      </c>
      <c r="D115" s="76" t="s">
        <v>24</v>
      </c>
      <c r="E115" s="339"/>
      <c r="F115" s="393">
        <v>1</v>
      </c>
      <c r="G115" s="95"/>
      <c r="H115" s="77"/>
      <c r="I115" s="62"/>
      <c r="J115" s="77"/>
      <c r="K115" s="59"/>
      <c r="L115" s="77"/>
      <c r="M115" s="67"/>
    </row>
    <row r="116" spans="1:13" s="89" customFormat="1" ht="15.75">
      <c r="A116" s="78"/>
      <c r="B116" s="93" t="s">
        <v>575</v>
      </c>
      <c r="C116" s="361" t="s">
        <v>251</v>
      </c>
      <c r="D116" s="76" t="s">
        <v>24</v>
      </c>
      <c r="E116" s="339"/>
      <c r="F116" s="393">
        <v>1</v>
      </c>
      <c r="G116" s="95"/>
      <c r="H116" s="77"/>
      <c r="I116" s="62"/>
      <c r="J116" s="77"/>
      <c r="K116" s="59"/>
      <c r="L116" s="77"/>
      <c r="M116" s="67"/>
    </row>
    <row r="117" spans="1:13" s="89" customFormat="1" ht="15.75">
      <c r="A117" s="78"/>
      <c r="B117" s="60" t="s">
        <v>18</v>
      </c>
      <c r="C117" s="59" t="s">
        <v>0</v>
      </c>
      <c r="D117" s="59">
        <v>0.024</v>
      </c>
      <c r="E117" s="87">
        <f>D117*E75</f>
        <v>1.44E-05</v>
      </c>
      <c r="F117" s="394">
        <v>3.2</v>
      </c>
      <c r="G117" s="77"/>
      <c r="H117" s="62"/>
      <c r="I117" s="77"/>
      <c r="J117" s="59"/>
      <c r="K117" s="77"/>
      <c r="L117" s="67"/>
      <c r="M117" s="67"/>
    </row>
    <row r="118" spans="1:13" ht="13.5">
      <c r="A118" s="59">
        <v>16</v>
      </c>
      <c r="B118" s="366" t="s">
        <v>259</v>
      </c>
      <c r="C118" s="75" t="s">
        <v>203</v>
      </c>
      <c r="D118" s="62" t="s">
        <v>24</v>
      </c>
      <c r="E118" s="62"/>
      <c r="F118" s="368">
        <v>31</v>
      </c>
      <c r="G118" s="92"/>
      <c r="H118" s="64"/>
      <c r="I118" s="62"/>
      <c r="J118" s="64"/>
      <c r="K118" s="62"/>
      <c r="L118" s="64"/>
      <c r="M118" s="67"/>
    </row>
    <row r="119" spans="1:13" ht="13.5">
      <c r="A119" s="59"/>
      <c r="B119" s="65" t="s">
        <v>12</v>
      </c>
      <c r="C119" s="59"/>
      <c r="D119" s="62" t="s">
        <v>15</v>
      </c>
      <c r="E119" s="62">
        <v>0.389</v>
      </c>
      <c r="F119" s="383">
        <f>F118*E119</f>
        <v>12.059000000000001</v>
      </c>
      <c r="G119" s="62"/>
      <c r="H119" s="64"/>
      <c r="I119" s="62"/>
      <c r="J119" s="64"/>
      <c r="K119" s="62"/>
      <c r="L119" s="64"/>
      <c r="M119" s="67"/>
    </row>
    <row r="120" spans="1:13" ht="13.5">
      <c r="A120" s="59"/>
      <c r="B120" s="65" t="s">
        <v>14</v>
      </c>
      <c r="C120" s="59"/>
      <c r="D120" s="59" t="s">
        <v>0</v>
      </c>
      <c r="E120" s="62">
        <v>0.151</v>
      </c>
      <c r="F120" s="386">
        <f>E120*F118</f>
        <v>4.681</v>
      </c>
      <c r="G120" s="62"/>
      <c r="H120" s="64"/>
      <c r="I120" s="62"/>
      <c r="J120" s="64"/>
      <c r="K120" s="62"/>
      <c r="L120" s="64"/>
      <c r="M120" s="67"/>
    </row>
    <row r="121" spans="1:13" s="44" customFormat="1" ht="13.5">
      <c r="A121" s="78"/>
      <c r="B121" s="59" t="s">
        <v>192</v>
      </c>
      <c r="C121" s="79"/>
      <c r="D121" s="59"/>
      <c r="E121" s="59"/>
      <c r="F121" s="384"/>
      <c r="G121" s="394"/>
      <c r="H121" s="77"/>
      <c r="I121" s="62"/>
      <c r="J121" s="77"/>
      <c r="K121" s="59"/>
      <c r="L121" s="77"/>
      <c r="M121" s="67"/>
    </row>
    <row r="122" spans="1:13" s="44" customFormat="1" ht="13.5">
      <c r="A122" s="78"/>
      <c r="B122" s="93" t="s">
        <v>591</v>
      </c>
      <c r="C122" s="79"/>
      <c r="D122" s="59" t="s">
        <v>24</v>
      </c>
      <c r="E122" s="59"/>
      <c r="F122" s="342">
        <v>1</v>
      </c>
      <c r="G122" s="394"/>
      <c r="H122" s="77"/>
      <c r="I122" s="62"/>
      <c r="J122" s="77"/>
      <c r="K122" s="59"/>
      <c r="L122" s="77"/>
      <c r="M122" s="67"/>
    </row>
    <row r="123" spans="1:13" s="44" customFormat="1" ht="13.5">
      <c r="A123" s="78"/>
      <c r="B123" s="93" t="s">
        <v>592</v>
      </c>
      <c r="C123" s="79"/>
      <c r="D123" s="59" t="s">
        <v>24</v>
      </c>
      <c r="E123" s="59"/>
      <c r="F123" s="342">
        <v>1</v>
      </c>
      <c r="G123" s="394"/>
      <c r="H123" s="77"/>
      <c r="I123" s="62"/>
      <c r="J123" s="77"/>
      <c r="K123" s="59"/>
      <c r="L123" s="77"/>
      <c r="M123" s="67"/>
    </row>
    <row r="124" spans="1:13" s="44" customFormat="1" ht="13.5">
      <c r="A124" s="78"/>
      <c r="B124" s="93" t="s">
        <v>593</v>
      </c>
      <c r="C124" s="79"/>
      <c r="D124" s="59" t="s">
        <v>24</v>
      </c>
      <c r="E124" s="59"/>
      <c r="F124" s="342">
        <v>1</v>
      </c>
      <c r="G124" s="59"/>
      <c r="H124" s="77"/>
      <c r="I124" s="62"/>
      <c r="J124" s="77"/>
      <c r="K124" s="59"/>
      <c r="L124" s="77"/>
      <c r="M124" s="67"/>
    </row>
    <row r="125" spans="1:13" s="44" customFormat="1" ht="13.5">
      <c r="A125" s="78"/>
      <c r="B125" s="93" t="s">
        <v>594</v>
      </c>
      <c r="C125" s="79"/>
      <c r="D125" s="59" t="s">
        <v>24</v>
      </c>
      <c r="E125" s="59"/>
      <c r="F125" s="342">
        <v>1</v>
      </c>
      <c r="G125" s="59"/>
      <c r="H125" s="77"/>
      <c r="I125" s="62"/>
      <c r="J125" s="77"/>
      <c r="K125" s="59"/>
      <c r="L125" s="77"/>
      <c r="M125" s="67"/>
    </row>
    <row r="126" spans="1:13" s="44" customFormat="1" ht="13.5">
      <c r="A126" s="78"/>
      <c r="B126" s="93" t="s">
        <v>595</v>
      </c>
      <c r="C126" s="79"/>
      <c r="D126" s="59" t="s">
        <v>24</v>
      </c>
      <c r="E126" s="59"/>
      <c r="F126" s="342">
        <v>2</v>
      </c>
      <c r="G126" s="59"/>
      <c r="H126" s="77"/>
      <c r="I126" s="62"/>
      <c r="J126" s="77"/>
      <c r="K126" s="59"/>
      <c r="L126" s="77"/>
      <c r="M126" s="67"/>
    </row>
    <row r="127" spans="1:13" s="44" customFormat="1" ht="13.5">
      <c r="A127" s="78"/>
      <c r="B127" s="93" t="s">
        <v>589</v>
      </c>
      <c r="C127" s="79"/>
      <c r="D127" s="59" t="s">
        <v>24</v>
      </c>
      <c r="E127" s="59"/>
      <c r="F127" s="342">
        <v>2</v>
      </c>
      <c r="G127" s="59"/>
      <c r="H127" s="77"/>
      <c r="I127" s="62"/>
      <c r="J127" s="77"/>
      <c r="K127" s="59"/>
      <c r="L127" s="77"/>
      <c r="M127" s="67"/>
    </row>
    <row r="128" spans="1:13" s="44" customFormat="1" ht="13.5">
      <c r="A128" s="78"/>
      <c r="B128" s="93" t="s">
        <v>590</v>
      </c>
      <c r="C128" s="79"/>
      <c r="D128" s="59" t="s">
        <v>24</v>
      </c>
      <c r="E128" s="59"/>
      <c r="F128" s="342">
        <v>2</v>
      </c>
      <c r="G128" s="59"/>
      <c r="H128" s="77"/>
      <c r="I128" s="62"/>
      <c r="J128" s="77"/>
      <c r="K128" s="59"/>
      <c r="L128" s="77"/>
      <c r="M128" s="67"/>
    </row>
    <row r="129" spans="1:13" s="44" customFormat="1" ht="13.5">
      <c r="A129" s="78"/>
      <c r="B129" s="93" t="s">
        <v>576</v>
      </c>
      <c r="C129" s="79"/>
      <c r="D129" s="94" t="s">
        <v>200</v>
      </c>
      <c r="E129" s="59"/>
      <c r="F129" s="367">
        <v>1</v>
      </c>
      <c r="G129" s="95"/>
      <c r="H129" s="77"/>
      <c r="I129" s="62"/>
      <c r="J129" s="77"/>
      <c r="K129" s="59"/>
      <c r="L129" s="77"/>
      <c r="M129" s="67"/>
    </row>
    <row r="130" spans="1:13" s="44" customFormat="1" ht="13.5">
      <c r="A130" s="78"/>
      <c r="B130" s="93" t="s">
        <v>588</v>
      </c>
      <c r="C130" s="79"/>
      <c r="D130" s="94" t="s">
        <v>200</v>
      </c>
      <c r="E130" s="59"/>
      <c r="F130" s="367">
        <v>1</v>
      </c>
      <c r="G130" s="95"/>
      <c r="H130" s="77"/>
      <c r="I130" s="62"/>
      <c r="J130" s="77"/>
      <c r="K130" s="59"/>
      <c r="L130" s="77"/>
      <c r="M130" s="67"/>
    </row>
    <row r="131" spans="1:13" s="44" customFormat="1" ht="13.5">
      <c r="A131" s="78"/>
      <c r="B131" s="93" t="s">
        <v>577</v>
      </c>
      <c r="C131" s="79"/>
      <c r="D131" s="94" t="s">
        <v>200</v>
      </c>
      <c r="E131" s="59"/>
      <c r="F131" s="367">
        <v>2</v>
      </c>
      <c r="G131" s="95"/>
      <c r="H131" s="77"/>
      <c r="I131" s="62"/>
      <c r="J131" s="77"/>
      <c r="K131" s="59"/>
      <c r="L131" s="77"/>
      <c r="M131" s="67"/>
    </row>
    <row r="132" spans="1:13" s="44" customFormat="1" ht="13.5">
      <c r="A132" s="78"/>
      <c r="B132" s="93" t="s">
        <v>578</v>
      </c>
      <c r="C132" s="79"/>
      <c r="D132" s="94" t="s">
        <v>200</v>
      </c>
      <c r="E132" s="59"/>
      <c r="F132" s="367">
        <v>1</v>
      </c>
      <c r="G132" s="95"/>
      <c r="H132" s="77"/>
      <c r="I132" s="62"/>
      <c r="J132" s="77"/>
      <c r="K132" s="59"/>
      <c r="L132" s="77"/>
      <c r="M132" s="67"/>
    </row>
    <row r="133" spans="1:13" s="44" customFormat="1" ht="13.5">
      <c r="A133" s="78"/>
      <c r="B133" s="93" t="s">
        <v>579</v>
      </c>
      <c r="C133" s="79"/>
      <c r="D133" s="94" t="s">
        <v>200</v>
      </c>
      <c r="E133" s="59"/>
      <c r="F133" s="367">
        <v>1</v>
      </c>
      <c r="G133" s="95"/>
      <c r="H133" s="77"/>
      <c r="I133" s="62"/>
      <c r="J133" s="77"/>
      <c r="K133" s="59"/>
      <c r="L133" s="77"/>
      <c r="M133" s="67"/>
    </row>
    <row r="134" spans="1:13" s="44" customFormat="1" ht="13.5">
      <c r="A134" s="78"/>
      <c r="B134" s="93" t="s">
        <v>599</v>
      </c>
      <c r="C134" s="79"/>
      <c r="D134" s="94"/>
      <c r="E134" s="59"/>
      <c r="F134" s="367">
        <v>1</v>
      </c>
      <c r="G134" s="95"/>
      <c r="H134" s="77"/>
      <c r="I134" s="62"/>
      <c r="J134" s="77"/>
      <c r="K134" s="59"/>
      <c r="L134" s="77"/>
      <c r="M134" s="67"/>
    </row>
    <row r="135" spans="1:13" s="44" customFormat="1" ht="13.5">
      <c r="A135" s="78"/>
      <c r="B135" s="93" t="s">
        <v>580</v>
      </c>
      <c r="C135" s="79"/>
      <c r="D135" s="94" t="s">
        <v>200</v>
      </c>
      <c r="E135" s="59"/>
      <c r="F135" s="367">
        <v>4</v>
      </c>
      <c r="G135" s="95"/>
      <c r="H135" s="77"/>
      <c r="I135" s="62"/>
      <c r="J135" s="77"/>
      <c r="K135" s="59"/>
      <c r="L135" s="77"/>
      <c r="M135" s="67"/>
    </row>
    <row r="136" spans="1:13" s="44" customFormat="1" ht="13.5">
      <c r="A136" s="78"/>
      <c r="B136" s="93" t="s">
        <v>596</v>
      </c>
      <c r="C136" s="79"/>
      <c r="D136" s="94" t="s">
        <v>200</v>
      </c>
      <c r="E136" s="59"/>
      <c r="F136" s="367">
        <v>3</v>
      </c>
      <c r="G136" s="95"/>
      <c r="H136" s="77"/>
      <c r="I136" s="62"/>
      <c r="J136" s="77"/>
      <c r="K136" s="59"/>
      <c r="L136" s="77"/>
      <c r="M136" s="67"/>
    </row>
    <row r="137" spans="1:13" s="44" customFormat="1" ht="13.5">
      <c r="A137" s="78"/>
      <c r="B137" s="93" t="s">
        <v>581</v>
      </c>
      <c r="C137" s="79"/>
      <c r="D137" s="94" t="s">
        <v>200</v>
      </c>
      <c r="E137" s="59"/>
      <c r="F137" s="367">
        <v>1</v>
      </c>
      <c r="G137" s="95"/>
      <c r="H137" s="77"/>
      <c r="I137" s="62"/>
      <c r="J137" s="77"/>
      <c r="K137" s="59"/>
      <c r="L137" s="77"/>
      <c r="M137" s="67"/>
    </row>
    <row r="138" spans="1:13" s="44" customFormat="1" ht="13.5">
      <c r="A138" s="78"/>
      <c r="B138" s="93" t="s">
        <v>582</v>
      </c>
      <c r="C138" s="79"/>
      <c r="D138" s="94" t="s">
        <v>200</v>
      </c>
      <c r="E138" s="59"/>
      <c r="F138" s="367">
        <v>3</v>
      </c>
      <c r="G138" s="95"/>
      <c r="H138" s="77"/>
      <c r="I138" s="62"/>
      <c r="J138" s="77"/>
      <c r="K138" s="59"/>
      <c r="L138" s="77"/>
      <c r="M138" s="67"/>
    </row>
    <row r="139" spans="1:13" s="44" customFormat="1" ht="13.5">
      <c r="A139" s="78"/>
      <c r="B139" s="93" t="s">
        <v>583</v>
      </c>
      <c r="C139" s="79"/>
      <c r="D139" s="94" t="s">
        <v>200</v>
      </c>
      <c r="E139" s="59"/>
      <c r="F139" s="367">
        <v>1</v>
      </c>
      <c r="G139" s="95"/>
      <c r="H139" s="77"/>
      <c r="I139" s="62"/>
      <c r="J139" s="77"/>
      <c r="K139" s="59"/>
      <c r="L139" s="77"/>
      <c r="M139" s="67"/>
    </row>
    <row r="140" spans="1:13" s="44" customFormat="1" ht="13.5">
      <c r="A140" s="78"/>
      <c r="B140" s="93" t="s">
        <v>597</v>
      </c>
      <c r="C140" s="79"/>
      <c r="D140" s="94" t="s">
        <v>200</v>
      </c>
      <c r="E140" s="59"/>
      <c r="F140" s="367">
        <v>1</v>
      </c>
      <c r="G140" s="95"/>
      <c r="H140" s="77"/>
      <c r="I140" s="62"/>
      <c r="J140" s="77"/>
      <c r="K140" s="59"/>
      <c r="L140" s="77"/>
      <c r="M140" s="67"/>
    </row>
    <row r="141" spans="1:13" s="44" customFormat="1" ht="13.5">
      <c r="A141" s="78"/>
      <c r="B141" s="93" t="s">
        <v>598</v>
      </c>
      <c r="C141" s="79"/>
      <c r="D141" s="94" t="s">
        <v>200</v>
      </c>
      <c r="E141" s="59"/>
      <c r="F141" s="367">
        <v>1</v>
      </c>
      <c r="G141" s="95"/>
      <c r="H141" s="77"/>
      <c r="I141" s="62"/>
      <c r="J141" s="77"/>
      <c r="K141" s="59"/>
      <c r="L141" s="77"/>
      <c r="M141" s="67"/>
    </row>
    <row r="142" spans="1:13" s="44" customFormat="1" ht="13.5" hidden="1">
      <c r="A142" s="78"/>
      <c r="B142" s="93"/>
      <c r="C142" s="79"/>
      <c r="D142" s="94"/>
      <c r="E142" s="59"/>
      <c r="F142" s="390">
        <f>SUM(F122:F141)</f>
        <v>31</v>
      </c>
      <c r="G142" s="95"/>
      <c r="H142" s="77"/>
      <c r="I142" s="62"/>
      <c r="J142" s="77"/>
      <c r="K142" s="59"/>
      <c r="L142" s="77"/>
      <c r="M142" s="67"/>
    </row>
    <row r="143" spans="1:13" s="44" customFormat="1" ht="13.5" hidden="1">
      <c r="A143" s="78"/>
      <c r="B143" s="93"/>
      <c r="C143" s="79"/>
      <c r="D143" s="94"/>
      <c r="E143" s="59"/>
      <c r="F143" s="390"/>
      <c r="G143" s="95"/>
      <c r="H143" s="77"/>
      <c r="I143" s="62"/>
      <c r="J143" s="77"/>
      <c r="K143" s="59"/>
      <c r="L143" s="77"/>
      <c r="M143" s="67"/>
    </row>
    <row r="144" spans="1:13" s="44" customFormat="1" ht="13.5" hidden="1">
      <c r="A144" s="78"/>
      <c r="B144" s="93"/>
      <c r="C144" s="79"/>
      <c r="D144" s="94"/>
      <c r="E144" s="59"/>
      <c r="F144" s="390"/>
      <c r="G144" s="95"/>
      <c r="H144" s="77"/>
      <c r="I144" s="62"/>
      <c r="J144" s="77"/>
      <c r="K144" s="59"/>
      <c r="L144" s="77"/>
      <c r="M144" s="67"/>
    </row>
    <row r="145" spans="1:13" s="44" customFormat="1" ht="13.5" hidden="1">
      <c r="A145" s="78"/>
      <c r="B145" s="93"/>
      <c r="C145" s="79"/>
      <c r="D145" s="94"/>
      <c r="E145" s="59"/>
      <c r="F145" s="390"/>
      <c r="G145" s="95"/>
      <c r="H145" s="77"/>
      <c r="I145" s="62"/>
      <c r="J145" s="77"/>
      <c r="K145" s="59"/>
      <c r="L145" s="77"/>
      <c r="M145" s="67"/>
    </row>
    <row r="146" spans="1:13" s="44" customFormat="1" ht="13.5" hidden="1">
      <c r="A146" s="78"/>
      <c r="B146" s="93"/>
      <c r="C146" s="79"/>
      <c r="D146" s="94"/>
      <c r="E146" s="59"/>
      <c r="F146" s="390"/>
      <c r="G146" s="95"/>
      <c r="H146" s="77"/>
      <c r="I146" s="62"/>
      <c r="J146" s="77"/>
      <c r="K146" s="59"/>
      <c r="L146" s="77"/>
      <c r="M146" s="67"/>
    </row>
    <row r="147" spans="1:13" s="44" customFormat="1" ht="13.5">
      <c r="A147" s="78"/>
      <c r="B147" s="65" t="s">
        <v>18</v>
      </c>
      <c r="C147" s="79"/>
      <c r="D147" s="59" t="s">
        <v>0</v>
      </c>
      <c r="E147" s="59">
        <v>0.024</v>
      </c>
      <c r="F147" s="387">
        <f>E147*F140</f>
        <v>0.024</v>
      </c>
      <c r="G147" s="59"/>
      <c r="H147" s="77"/>
      <c r="I147" s="62"/>
      <c r="J147" s="77"/>
      <c r="K147" s="59"/>
      <c r="L147" s="77"/>
      <c r="M147" s="67"/>
    </row>
    <row r="148" spans="1:13" ht="13.5">
      <c r="A148" s="59">
        <v>18</v>
      </c>
      <c r="B148" s="65" t="s">
        <v>202</v>
      </c>
      <c r="C148" s="75" t="s">
        <v>203</v>
      </c>
      <c r="D148" s="62" t="s">
        <v>24</v>
      </c>
      <c r="E148" s="62"/>
      <c r="F148" s="389">
        <f>SUM(F152:F152)</f>
        <v>2</v>
      </c>
      <c r="G148" s="92"/>
      <c r="H148" s="64"/>
      <c r="I148" s="62"/>
      <c r="J148" s="64"/>
      <c r="K148" s="62"/>
      <c r="L148" s="64"/>
      <c r="M148" s="67"/>
    </row>
    <row r="149" spans="1:13" ht="13.5">
      <c r="A149" s="59"/>
      <c r="B149" s="65" t="s">
        <v>12</v>
      </c>
      <c r="C149" s="59"/>
      <c r="D149" s="62" t="s">
        <v>15</v>
      </c>
      <c r="E149" s="62">
        <v>0.389</v>
      </c>
      <c r="F149" s="383">
        <f>F148*E149</f>
        <v>0.778</v>
      </c>
      <c r="G149" s="62"/>
      <c r="H149" s="64"/>
      <c r="I149" s="62"/>
      <c r="J149" s="64"/>
      <c r="K149" s="62"/>
      <c r="L149" s="64"/>
      <c r="M149" s="67"/>
    </row>
    <row r="150" spans="1:13" ht="13.5">
      <c r="A150" s="59"/>
      <c r="B150" s="65" t="s">
        <v>14</v>
      </c>
      <c r="C150" s="59"/>
      <c r="D150" s="59" t="s">
        <v>0</v>
      </c>
      <c r="E150" s="62">
        <v>0.151</v>
      </c>
      <c r="F150" s="386">
        <f>E150*F148</f>
        <v>0.302</v>
      </c>
      <c r="G150" s="62"/>
      <c r="H150" s="64"/>
      <c r="I150" s="62"/>
      <c r="J150" s="64"/>
      <c r="K150" s="62"/>
      <c r="L150" s="64"/>
      <c r="M150" s="67"/>
    </row>
    <row r="151" spans="1:13" s="44" customFormat="1" ht="13.5">
      <c r="A151" s="78"/>
      <c r="B151" s="59" t="s">
        <v>192</v>
      </c>
      <c r="C151" s="79"/>
      <c r="D151" s="59"/>
      <c r="E151" s="59"/>
      <c r="F151" s="384"/>
      <c r="G151" s="59"/>
      <c r="H151" s="77"/>
      <c r="I151" s="62"/>
      <c r="J151" s="77"/>
      <c r="K151" s="59"/>
      <c r="L151" s="77"/>
      <c r="M151" s="67"/>
    </row>
    <row r="152" spans="1:13" s="44" customFormat="1" ht="13.5">
      <c r="A152" s="78"/>
      <c r="B152" s="96" t="s">
        <v>204</v>
      </c>
      <c r="C152" s="79"/>
      <c r="D152" s="59" t="s">
        <v>24</v>
      </c>
      <c r="E152" s="59"/>
      <c r="F152" s="384">
        <v>2</v>
      </c>
      <c r="G152" s="97"/>
      <c r="H152" s="77"/>
      <c r="I152" s="62"/>
      <c r="J152" s="77"/>
      <c r="K152" s="59"/>
      <c r="L152" s="77"/>
      <c r="M152" s="67"/>
    </row>
    <row r="153" spans="1:13" s="44" customFormat="1" ht="13.5">
      <c r="A153" s="78"/>
      <c r="B153" s="65" t="s">
        <v>18</v>
      </c>
      <c r="C153" s="79"/>
      <c r="D153" s="59" t="s">
        <v>0</v>
      </c>
      <c r="E153" s="59">
        <v>0.024</v>
      </c>
      <c r="F153" s="387">
        <f>E153*F148</f>
        <v>0.048</v>
      </c>
      <c r="G153" s="59"/>
      <c r="H153" s="77"/>
      <c r="I153" s="62"/>
      <c r="J153" s="77"/>
      <c r="K153" s="59"/>
      <c r="L153" s="77"/>
      <c r="M153" s="67"/>
    </row>
    <row r="154" spans="1:13" ht="13.5">
      <c r="A154" s="59">
        <v>20</v>
      </c>
      <c r="B154" s="366" t="s">
        <v>205</v>
      </c>
      <c r="C154" s="75" t="s">
        <v>203</v>
      </c>
      <c r="D154" s="62" t="s">
        <v>24</v>
      </c>
      <c r="E154" s="62"/>
      <c r="F154" s="368">
        <v>182</v>
      </c>
      <c r="G154" s="92"/>
      <c r="H154" s="64"/>
      <c r="I154" s="62"/>
      <c r="J154" s="64"/>
      <c r="K154" s="62"/>
      <c r="L154" s="64"/>
      <c r="M154" s="67"/>
    </row>
    <row r="155" spans="1:13" ht="13.5">
      <c r="A155" s="59"/>
      <c r="B155" s="65" t="s">
        <v>12</v>
      </c>
      <c r="C155" s="59"/>
      <c r="D155" s="62" t="s">
        <v>15</v>
      </c>
      <c r="E155" s="62">
        <v>0.389</v>
      </c>
      <c r="F155" s="383">
        <f>F154*E155</f>
        <v>70.798</v>
      </c>
      <c r="G155" s="62"/>
      <c r="H155" s="64"/>
      <c r="I155" s="62"/>
      <c r="J155" s="64"/>
      <c r="K155" s="62"/>
      <c r="L155" s="64"/>
      <c r="M155" s="67"/>
    </row>
    <row r="156" spans="1:13" ht="13.5">
      <c r="A156" s="59"/>
      <c r="B156" s="65" t="s">
        <v>14</v>
      </c>
      <c r="C156" s="59"/>
      <c r="D156" s="59" t="s">
        <v>0</v>
      </c>
      <c r="E156" s="62">
        <v>0.151</v>
      </c>
      <c r="F156" s="386">
        <f>E156*F154</f>
        <v>27.482</v>
      </c>
      <c r="G156" s="62"/>
      <c r="H156" s="64"/>
      <c r="I156" s="62"/>
      <c r="J156" s="64"/>
      <c r="K156" s="62"/>
      <c r="L156" s="64"/>
      <c r="M156" s="67"/>
    </row>
    <row r="157" spans="1:13" s="44" customFormat="1" ht="13.5">
      <c r="A157" s="78"/>
      <c r="B157" s="59" t="s">
        <v>192</v>
      </c>
      <c r="C157" s="79"/>
      <c r="D157" s="59"/>
      <c r="E157" s="59"/>
      <c r="F157" s="384"/>
      <c r="G157" s="59"/>
      <c r="H157" s="77"/>
      <c r="I157" s="62"/>
      <c r="J157" s="77"/>
      <c r="K157" s="59"/>
      <c r="L157" s="77"/>
      <c r="M157" s="67"/>
    </row>
    <row r="158" spans="1:13" s="44" customFormat="1" ht="15.75">
      <c r="A158" s="78"/>
      <c r="B158" s="98" t="s">
        <v>609</v>
      </c>
      <c r="C158" s="79"/>
      <c r="D158" s="59" t="s">
        <v>24</v>
      </c>
      <c r="E158" s="59"/>
      <c r="F158" s="342">
        <v>15</v>
      </c>
      <c r="G158" s="59"/>
      <c r="H158" s="77"/>
      <c r="I158" s="62"/>
      <c r="J158" s="77"/>
      <c r="K158" s="59"/>
      <c r="L158" s="77"/>
      <c r="M158" s="67"/>
    </row>
    <row r="159" spans="1:13" s="44" customFormat="1" ht="15.75">
      <c r="A159" s="78"/>
      <c r="B159" s="98" t="s">
        <v>571</v>
      </c>
      <c r="C159" s="79"/>
      <c r="D159" s="59" t="s">
        <v>24</v>
      </c>
      <c r="E159" s="59"/>
      <c r="F159" s="342">
        <v>15</v>
      </c>
      <c r="G159" s="59"/>
      <c r="H159" s="77"/>
      <c r="I159" s="62"/>
      <c r="J159" s="77"/>
      <c r="K159" s="59"/>
      <c r="L159" s="77"/>
      <c r="M159" s="67"/>
    </row>
    <row r="160" spans="1:13" s="44" customFormat="1" ht="15.75">
      <c r="A160" s="78"/>
      <c r="B160" s="98" t="s">
        <v>262</v>
      </c>
      <c r="C160" s="79"/>
      <c r="D160" s="59" t="s">
        <v>24</v>
      </c>
      <c r="E160" s="59"/>
      <c r="F160" s="395">
        <v>26</v>
      </c>
      <c r="G160" s="99"/>
      <c r="H160" s="77"/>
      <c r="I160" s="62"/>
      <c r="J160" s="77"/>
      <c r="K160" s="59"/>
      <c r="L160" s="77"/>
      <c r="M160" s="67"/>
    </row>
    <row r="161" spans="1:13" s="44" customFormat="1" ht="15.75">
      <c r="A161" s="78"/>
      <c r="B161" s="98" t="s">
        <v>206</v>
      </c>
      <c r="C161" s="79"/>
      <c r="D161" s="59" t="s">
        <v>24</v>
      </c>
      <c r="E161" s="59"/>
      <c r="F161" s="395">
        <v>38</v>
      </c>
      <c r="G161" s="99"/>
      <c r="H161" s="77"/>
      <c r="I161" s="62"/>
      <c r="J161" s="77"/>
      <c r="K161" s="59"/>
      <c r="L161" s="77"/>
      <c r="M161" s="67"/>
    </row>
    <row r="162" spans="1:13" s="44" customFormat="1" ht="15.75">
      <c r="A162" s="78"/>
      <c r="B162" s="98" t="s">
        <v>207</v>
      </c>
      <c r="C162" s="79"/>
      <c r="D162" s="59" t="s">
        <v>24</v>
      </c>
      <c r="E162" s="59"/>
      <c r="F162" s="395">
        <v>34</v>
      </c>
      <c r="G162" s="99"/>
      <c r="H162" s="77"/>
      <c r="I162" s="62"/>
      <c r="J162" s="77"/>
      <c r="K162" s="59"/>
      <c r="L162" s="77"/>
      <c r="M162" s="67"/>
    </row>
    <row r="163" spans="1:13" s="44" customFormat="1" ht="15.75">
      <c r="A163" s="78"/>
      <c r="B163" s="98" t="s">
        <v>261</v>
      </c>
      <c r="C163" s="79"/>
      <c r="D163" s="59" t="s">
        <v>24</v>
      </c>
      <c r="E163" s="59"/>
      <c r="F163" s="395">
        <v>5</v>
      </c>
      <c r="G163" s="99"/>
      <c r="H163" s="77"/>
      <c r="I163" s="62"/>
      <c r="J163" s="77"/>
      <c r="K163" s="59"/>
      <c r="L163" s="77"/>
      <c r="M163" s="67"/>
    </row>
    <row r="164" spans="1:13" s="44" customFormat="1" ht="15.75">
      <c r="A164" s="78"/>
      <c r="B164" s="98" t="s">
        <v>208</v>
      </c>
      <c r="C164" s="79"/>
      <c r="D164" s="59" t="s">
        <v>24</v>
      </c>
      <c r="E164" s="59"/>
      <c r="F164" s="395">
        <v>27</v>
      </c>
      <c r="G164" s="99"/>
      <c r="H164" s="77"/>
      <c r="I164" s="62"/>
      <c r="J164" s="77"/>
      <c r="K164" s="59"/>
      <c r="L164" s="77"/>
      <c r="M164" s="67"/>
    </row>
    <row r="165" spans="1:13" s="44" customFormat="1" ht="15.75">
      <c r="A165" s="78"/>
      <c r="B165" s="98" t="s">
        <v>209</v>
      </c>
      <c r="C165" s="79"/>
      <c r="D165" s="59" t="s">
        <v>24</v>
      </c>
      <c r="E165" s="59"/>
      <c r="F165" s="395">
        <v>14</v>
      </c>
      <c r="G165" s="99"/>
      <c r="H165" s="77"/>
      <c r="I165" s="62"/>
      <c r="J165" s="77"/>
      <c r="K165" s="59"/>
      <c r="L165" s="77"/>
      <c r="M165" s="67"/>
    </row>
    <row r="166" spans="1:13" s="44" customFormat="1" ht="15.75">
      <c r="A166" s="78"/>
      <c r="B166" s="98" t="s">
        <v>610</v>
      </c>
      <c r="C166" s="79"/>
      <c r="D166" s="59" t="s">
        <v>24</v>
      </c>
      <c r="E166" s="59"/>
      <c r="F166" s="395">
        <v>5</v>
      </c>
      <c r="G166" s="99"/>
      <c r="H166" s="77"/>
      <c r="I166" s="62"/>
      <c r="J166" s="77"/>
      <c r="K166" s="59"/>
      <c r="L166" s="77"/>
      <c r="M166" s="67"/>
    </row>
    <row r="167" spans="1:13" s="44" customFormat="1" ht="15.75">
      <c r="A167" s="78"/>
      <c r="B167" s="98" t="s">
        <v>611</v>
      </c>
      <c r="C167" s="79"/>
      <c r="D167" s="59" t="s">
        <v>24</v>
      </c>
      <c r="E167" s="59"/>
      <c r="F167" s="395">
        <v>3</v>
      </c>
      <c r="G167" s="99"/>
      <c r="H167" s="77"/>
      <c r="I167" s="62"/>
      <c r="J167" s="77"/>
      <c r="K167" s="59"/>
      <c r="L167" s="77"/>
      <c r="M167" s="67"/>
    </row>
    <row r="168" spans="1:13" s="44" customFormat="1" ht="13.5">
      <c r="A168" s="78"/>
      <c r="B168" s="65" t="s">
        <v>18</v>
      </c>
      <c r="C168" s="79"/>
      <c r="D168" s="59" t="s">
        <v>0</v>
      </c>
      <c r="E168" s="59">
        <v>0.024</v>
      </c>
      <c r="F168" s="387">
        <f>E168*F154</f>
        <v>4.368</v>
      </c>
      <c r="G168" s="59"/>
      <c r="H168" s="77"/>
      <c r="I168" s="62"/>
      <c r="J168" s="77"/>
      <c r="K168" s="59"/>
      <c r="L168" s="77"/>
      <c r="M168" s="67"/>
    </row>
    <row r="169" spans="1:13" s="44" customFormat="1" ht="13.5">
      <c r="A169" s="59">
        <v>23</v>
      </c>
      <c r="B169" s="65" t="s">
        <v>260</v>
      </c>
      <c r="C169" s="75" t="s">
        <v>199</v>
      </c>
      <c r="D169" s="62" t="s">
        <v>24</v>
      </c>
      <c r="E169" s="62"/>
      <c r="F169" s="389">
        <f>SUM(F173)</f>
        <v>2</v>
      </c>
      <c r="G169" s="92"/>
      <c r="H169" s="64"/>
      <c r="I169" s="62"/>
      <c r="J169" s="64"/>
      <c r="K169" s="62"/>
      <c r="L169" s="64"/>
      <c r="M169" s="67"/>
    </row>
    <row r="170" spans="1:13" s="44" customFormat="1" ht="13.5">
      <c r="A170" s="59"/>
      <c r="B170" s="65" t="s">
        <v>12</v>
      </c>
      <c r="C170" s="59"/>
      <c r="D170" s="62" t="s">
        <v>15</v>
      </c>
      <c r="E170" s="62">
        <v>0.584</v>
      </c>
      <c r="F170" s="383">
        <f>F169*E170</f>
        <v>1.168</v>
      </c>
      <c r="G170" s="62"/>
      <c r="H170" s="64"/>
      <c r="I170" s="62"/>
      <c r="J170" s="64"/>
      <c r="K170" s="62"/>
      <c r="L170" s="64"/>
      <c r="M170" s="67"/>
    </row>
    <row r="171" spans="1:13" s="44" customFormat="1" ht="13.5">
      <c r="A171" s="59"/>
      <c r="B171" s="65" t="s">
        <v>14</v>
      </c>
      <c r="C171" s="59"/>
      <c r="D171" s="59" t="s">
        <v>0</v>
      </c>
      <c r="E171" s="73">
        <f>2.27/10</f>
        <v>0.227</v>
      </c>
      <c r="F171" s="386">
        <f>E171*F169</f>
        <v>0.454</v>
      </c>
      <c r="G171" s="62"/>
      <c r="H171" s="64"/>
      <c r="I171" s="62"/>
      <c r="J171" s="64"/>
      <c r="K171" s="62"/>
      <c r="L171" s="64"/>
      <c r="M171" s="67"/>
    </row>
    <row r="172" spans="1:13" s="44" customFormat="1" ht="13.5">
      <c r="A172" s="78"/>
      <c r="B172" s="59" t="s">
        <v>192</v>
      </c>
      <c r="C172" s="79"/>
      <c r="D172" s="59"/>
      <c r="E172" s="59"/>
      <c r="F172" s="384"/>
      <c r="G172" s="59"/>
      <c r="H172" s="77"/>
      <c r="I172" s="62"/>
      <c r="J172" s="77"/>
      <c r="K172" s="59"/>
      <c r="L172" s="77"/>
      <c r="M172" s="67"/>
    </row>
    <row r="173" spans="1:13" s="44" customFormat="1" ht="15.75">
      <c r="A173" s="78"/>
      <c r="B173" s="100" t="s">
        <v>508</v>
      </c>
      <c r="C173" s="79"/>
      <c r="D173" s="94" t="s">
        <v>200</v>
      </c>
      <c r="E173" s="59"/>
      <c r="F173" s="390">
        <v>2</v>
      </c>
      <c r="G173" s="95"/>
      <c r="H173" s="77"/>
      <c r="I173" s="62"/>
      <c r="J173" s="77"/>
      <c r="K173" s="59"/>
      <c r="L173" s="77"/>
      <c r="M173" s="67"/>
    </row>
    <row r="174" spans="1:13" s="44" customFormat="1" ht="13.5">
      <c r="A174" s="59">
        <v>23</v>
      </c>
      <c r="B174" s="366" t="s">
        <v>210</v>
      </c>
      <c r="C174" s="75" t="s">
        <v>199</v>
      </c>
      <c r="D174" s="62" t="s">
        <v>24</v>
      </c>
      <c r="E174" s="62"/>
      <c r="F174" s="368">
        <v>52</v>
      </c>
      <c r="G174" s="92"/>
      <c r="H174" s="64"/>
      <c r="I174" s="62"/>
      <c r="J174" s="64"/>
      <c r="K174" s="62"/>
      <c r="L174" s="64"/>
      <c r="M174" s="67"/>
    </row>
    <row r="175" spans="1:13" s="44" customFormat="1" ht="13.5">
      <c r="A175" s="59"/>
      <c r="B175" s="65" t="s">
        <v>12</v>
      </c>
      <c r="C175" s="59"/>
      <c r="D175" s="62" t="s">
        <v>15</v>
      </c>
      <c r="E175" s="62">
        <v>0.584</v>
      </c>
      <c r="F175" s="383">
        <f>F174*E175</f>
        <v>30.368</v>
      </c>
      <c r="G175" s="62"/>
      <c r="H175" s="64"/>
      <c r="I175" s="62"/>
      <c r="J175" s="64"/>
      <c r="K175" s="62"/>
      <c r="L175" s="64"/>
      <c r="M175" s="67"/>
    </row>
    <row r="176" spans="1:13" s="44" customFormat="1" ht="13.5">
      <c r="A176" s="59"/>
      <c r="B176" s="65" t="s">
        <v>14</v>
      </c>
      <c r="C176" s="59"/>
      <c r="D176" s="59" t="s">
        <v>0</v>
      </c>
      <c r="E176" s="73">
        <f>2.27/10</f>
        <v>0.227</v>
      </c>
      <c r="F176" s="386">
        <f>E176*F174</f>
        <v>11.804</v>
      </c>
      <c r="G176" s="62"/>
      <c r="H176" s="64"/>
      <c r="I176" s="62"/>
      <c r="J176" s="64"/>
      <c r="K176" s="62"/>
      <c r="L176" s="64"/>
      <c r="M176" s="67"/>
    </row>
    <row r="177" spans="1:13" s="44" customFormat="1" ht="13.5">
      <c r="A177" s="78"/>
      <c r="B177" s="59" t="s">
        <v>192</v>
      </c>
      <c r="C177" s="79"/>
      <c r="D177" s="59"/>
      <c r="E177" s="59"/>
      <c r="F177" s="384"/>
      <c r="G177" s="59"/>
      <c r="H177" s="77"/>
      <c r="I177" s="62"/>
      <c r="J177" s="77"/>
      <c r="K177" s="59"/>
      <c r="L177" s="77"/>
      <c r="M177" s="67"/>
    </row>
    <row r="178" spans="1:13" s="44" customFormat="1" ht="15.75">
      <c r="A178" s="78"/>
      <c r="B178" s="100" t="s">
        <v>600</v>
      </c>
      <c r="C178" s="79"/>
      <c r="D178" s="94" t="s">
        <v>200</v>
      </c>
      <c r="E178" s="59"/>
      <c r="F178" s="367">
        <v>3</v>
      </c>
      <c r="G178" s="95"/>
      <c r="H178" s="77"/>
      <c r="I178" s="62"/>
      <c r="J178" s="77"/>
      <c r="K178" s="59"/>
      <c r="L178" s="77"/>
      <c r="M178" s="67"/>
    </row>
    <row r="179" spans="1:13" s="44" customFormat="1" ht="15.75">
      <c r="A179" s="78"/>
      <c r="B179" s="100" t="s">
        <v>601</v>
      </c>
      <c r="C179" s="79"/>
      <c r="D179" s="94" t="s">
        <v>200</v>
      </c>
      <c r="E179" s="59"/>
      <c r="F179" s="367">
        <v>3</v>
      </c>
      <c r="G179" s="95"/>
      <c r="H179" s="77"/>
      <c r="I179" s="62"/>
      <c r="J179" s="77"/>
      <c r="K179" s="59"/>
      <c r="L179" s="77"/>
      <c r="M179" s="67"/>
    </row>
    <row r="180" spans="1:13" s="44" customFormat="1" ht="15.75">
      <c r="A180" s="78"/>
      <c r="B180" s="100" t="s">
        <v>558</v>
      </c>
      <c r="C180" s="79"/>
      <c r="D180" s="94" t="s">
        <v>200</v>
      </c>
      <c r="E180" s="59"/>
      <c r="F180" s="367">
        <v>3</v>
      </c>
      <c r="G180" s="95"/>
      <c r="H180" s="77"/>
      <c r="I180" s="62"/>
      <c r="J180" s="77"/>
      <c r="K180" s="59"/>
      <c r="L180" s="77"/>
      <c r="M180" s="67"/>
    </row>
    <row r="181" spans="1:13" s="44" customFormat="1" ht="15.75">
      <c r="A181" s="78"/>
      <c r="B181" s="100" t="s">
        <v>560</v>
      </c>
      <c r="C181" s="79"/>
      <c r="D181" s="94" t="s">
        <v>200</v>
      </c>
      <c r="E181" s="59"/>
      <c r="F181" s="342">
        <v>1</v>
      </c>
      <c r="G181" s="59"/>
      <c r="H181" s="77"/>
      <c r="I181" s="62"/>
      <c r="J181" s="77"/>
      <c r="K181" s="59"/>
      <c r="L181" s="77"/>
      <c r="M181" s="67"/>
    </row>
    <row r="182" spans="1:13" s="44" customFormat="1" ht="15.75">
      <c r="A182" s="78"/>
      <c r="B182" s="100" t="s">
        <v>561</v>
      </c>
      <c r="C182" s="79"/>
      <c r="D182" s="94" t="s">
        <v>200</v>
      </c>
      <c r="E182" s="59"/>
      <c r="F182" s="342">
        <v>2</v>
      </c>
      <c r="G182" s="59"/>
      <c r="H182" s="77"/>
      <c r="I182" s="62"/>
      <c r="J182" s="77"/>
      <c r="K182" s="59"/>
      <c r="L182" s="77"/>
      <c r="M182" s="67"/>
    </row>
    <row r="183" spans="1:13" s="44" customFormat="1" ht="15.75">
      <c r="A183" s="78"/>
      <c r="B183" s="100" t="s">
        <v>562</v>
      </c>
      <c r="C183" s="79"/>
      <c r="D183" s="94" t="s">
        <v>200</v>
      </c>
      <c r="E183" s="59"/>
      <c r="F183" s="342">
        <v>1</v>
      </c>
      <c r="G183" s="59"/>
      <c r="H183" s="77"/>
      <c r="I183" s="62"/>
      <c r="J183" s="77"/>
      <c r="K183" s="59"/>
      <c r="L183" s="77"/>
      <c r="M183" s="67"/>
    </row>
    <row r="184" spans="1:13" s="44" customFormat="1" ht="15.75">
      <c r="A184" s="78"/>
      <c r="B184" s="100" t="s">
        <v>559</v>
      </c>
      <c r="C184" s="79"/>
      <c r="D184" s="94" t="s">
        <v>200</v>
      </c>
      <c r="E184" s="59"/>
      <c r="F184" s="342">
        <v>1</v>
      </c>
      <c r="G184" s="59"/>
      <c r="H184" s="77"/>
      <c r="I184" s="62"/>
      <c r="J184" s="77"/>
      <c r="K184" s="59"/>
      <c r="L184" s="77"/>
      <c r="M184" s="67"/>
    </row>
    <row r="185" spans="1:13" s="44" customFormat="1" ht="15.75">
      <c r="A185" s="78"/>
      <c r="B185" s="100" t="s">
        <v>564</v>
      </c>
      <c r="C185" s="79"/>
      <c r="D185" s="94" t="s">
        <v>200</v>
      </c>
      <c r="E185" s="59"/>
      <c r="F185" s="342">
        <v>2</v>
      </c>
      <c r="G185" s="59"/>
      <c r="H185" s="77"/>
      <c r="I185" s="62"/>
      <c r="J185" s="77"/>
      <c r="K185" s="59"/>
      <c r="L185" s="77"/>
      <c r="M185" s="67"/>
    </row>
    <row r="186" spans="1:13" s="44" customFormat="1" ht="15.75">
      <c r="A186" s="78"/>
      <c r="B186" s="100" t="s">
        <v>602</v>
      </c>
      <c r="C186" s="79"/>
      <c r="D186" s="94" t="s">
        <v>200</v>
      </c>
      <c r="E186" s="59"/>
      <c r="F186" s="342">
        <v>4</v>
      </c>
      <c r="G186" s="59"/>
      <c r="H186" s="77"/>
      <c r="I186" s="62"/>
      <c r="J186" s="77"/>
      <c r="K186" s="59"/>
      <c r="L186" s="77"/>
      <c r="M186" s="67"/>
    </row>
    <row r="187" spans="1:13" s="44" customFormat="1" ht="15.75">
      <c r="A187" s="78"/>
      <c r="B187" s="100" t="s">
        <v>563</v>
      </c>
      <c r="C187" s="79"/>
      <c r="D187" s="94" t="s">
        <v>200</v>
      </c>
      <c r="E187" s="59"/>
      <c r="F187" s="342">
        <v>1</v>
      </c>
      <c r="G187" s="59"/>
      <c r="H187" s="77"/>
      <c r="I187" s="62"/>
      <c r="J187" s="77"/>
      <c r="K187" s="59"/>
      <c r="L187" s="77"/>
      <c r="M187" s="67"/>
    </row>
    <row r="188" spans="1:13" s="44" customFormat="1" ht="15.75">
      <c r="A188" s="78"/>
      <c r="B188" s="100" t="s">
        <v>565</v>
      </c>
      <c r="C188" s="79"/>
      <c r="D188" s="94" t="s">
        <v>200</v>
      </c>
      <c r="E188" s="59"/>
      <c r="F188" s="342">
        <v>5</v>
      </c>
      <c r="G188" s="59"/>
      <c r="H188" s="77"/>
      <c r="I188" s="62"/>
      <c r="J188" s="77"/>
      <c r="K188" s="59"/>
      <c r="L188" s="77"/>
      <c r="M188" s="67"/>
    </row>
    <row r="189" spans="1:13" s="44" customFormat="1" ht="15.75">
      <c r="A189" s="78"/>
      <c r="B189" s="100" t="s">
        <v>566</v>
      </c>
      <c r="C189" s="79"/>
      <c r="D189" s="94" t="s">
        <v>200</v>
      </c>
      <c r="E189" s="59"/>
      <c r="F189" s="342">
        <v>3</v>
      </c>
      <c r="G189" s="59"/>
      <c r="H189" s="77"/>
      <c r="I189" s="62"/>
      <c r="J189" s="77"/>
      <c r="K189" s="59"/>
      <c r="L189" s="77"/>
      <c r="M189" s="67"/>
    </row>
    <row r="190" spans="1:13" s="44" customFormat="1" ht="15.75">
      <c r="A190" s="78"/>
      <c r="B190" s="100" t="s">
        <v>567</v>
      </c>
      <c r="C190" s="79"/>
      <c r="D190" s="94" t="s">
        <v>200</v>
      </c>
      <c r="E190" s="59"/>
      <c r="F190" s="342">
        <v>1</v>
      </c>
      <c r="G190" s="59"/>
      <c r="H190" s="77"/>
      <c r="I190" s="62"/>
      <c r="J190" s="77"/>
      <c r="K190" s="59"/>
      <c r="L190" s="77"/>
      <c r="M190" s="67"/>
    </row>
    <row r="191" spans="1:13" s="44" customFormat="1" ht="15.75">
      <c r="A191" s="78"/>
      <c r="B191" s="100" t="s">
        <v>603</v>
      </c>
      <c r="C191" s="79"/>
      <c r="D191" s="94" t="s">
        <v>200</v>
      </c>
      <c r="E191" s="59"/>
      <c r="F191" s="342">
        <v>1</v>
      </c>
      <c r="G191" s="59"/>
      <c r="H191" s="77"/>
      <c r="I191" s="62"/>
      <c r="J191" s="77"/>
      <c r="K191" s="59"/>
      <c r="L191" s="77"/>
      <c r="M191" s="67"/>
    </row>
    <row r="192" spans="1:13" s="44" customFormat="1" ht="15.75">
      <c r="A192" s="78"/>
      <c r="B192" s="100" t="s">
        <v>568</v>
      </c>
      <c r="C192" s="79"/>
      <c r="D192" s="94" t="s">
        <v>200</v>
      </c>
      <c r="E192" s="59"/>
      <c r="F192" s="342">
        <v>5</v>
      </c>
      <c r="G192" s="59"/>
      <c r="H192" s="77"/>
      <c r="I192" s="62"/>
      <c r="J192" s="77"/>
      <c r="K192" s="59"/>
      <c r="L192" s="77"/>
      <c r="M192" s="67"/>
    </row>
    <row r="193" spans="1:13" s="44" customFormat="1" ht="13.5" hidden="1">
      <c r="A193" s="78"/>
      <c r="B193" s="59"/>
      <c r="C193" s="79"/>
      <c r="D193" s="94" t="s">
        <v>200</v>
      </c>
      <c r="E193" s="59"/>
      <c r="F193" s="384"/>
      <c r="G193" s="59"/>
      <c r="H193" s="77"/>
      <c r="I193" s="62"/>
      <c r="J193" s="77"/>
      <c r="K193" s="59"/>
      <c r="L193" s="77"/>
      <c r="M193" s="67"/>
    </row>
    <row r="194" spans="1:13" s="44" customFormat="1" ht="13.5" hidden="1">
      <c r="A194" s="78"/>
      <c r="B194" s="59"/>
      <c r="C194" s="79"/>
      <c r="D194" s="94" t="s">
        <v>200</v>
      </c>
      <c r="E194" s="59"/>
      <c r="F194" s="384"/>
      <c r="G194" s="59"/>
      <c r="H194" s="77"/>
      <c r="I194" s="62"/>
      <c r="J194" s="77"/>
      <c r="K194" s="59"/>
      <c r="L194" s="77"/>
      <c r="M194" s="67"/>
    </row>
    <row r="195" spans="1:13" s="44" customFormat="1" ht="13.5" hidden="1">
      <c r="A195" s="78"/>
      <c r="B195" s="59"/>
      <c r="C195" s="79"/>
      <c r="D195" s="94" t="s">
        <v>200</v>
      </c>
      <c r="E195" s="59"/>
      <c r="F195" s="384"/>
      <c r="G195" s="59"/>
      <c r="H195" s="77"/>
      <c r="I195" s="62"/>
      <c r="J195" s="77"/>
      <c r="K195" s="59"/>
      <c r="L195" s="77"/>
      <c r="M195" s="67"/>
    </row>
    <row r="196" spans="1:13" s="44" customFormat="1" ht="13.5" hidden="1">
      <c r="A196" s="78"/>
      <c r="B196" s="59"/>
      <c r="C196" s="79"/>
      <c r="D196" s="94" t="s">
        <v>200</v>
      </c>
      <c r="E196" s="59"/>
      <c r="F196" s="384"/>
      <c r="G196" s="59"/>
      <c r="H196" s="77"/>
      <c r="I196" s="62"/>
      <c r="J196" s="77"/>
      <c r="K196" s="59"/>
      <c r="L196" s="77"/>
      <c r="M196" s="67"/>
    </row>
    <row r="197" spans="1:13" s="44" customFormat="1" ht="15.75">
      <c r="A197" s="78"/>
      <c r="B197" s="100" t="s">
        <v>355</v>
      </c>
      <c r="C197" s="79"/>
      <c r="D197" s="94" t="s">
        <v>200</v>
      </c>
      <c r="E197" s="59"/>
      <c r="F197" s="367">
        <v>4</v>
      </c>
      <c r="G197" s="95"/>
      <c r="H197" s="77"/>
      <c r="I197" s="62"/>
      <c r="J197" s="77"/>
      <c r="K197" s="59"/>
      <c r="L197" s="77"/>
      <c r="M197" s="67"/>
    </row>
    <row r="198" spans="1:13" s="44" customFormat="1" ht="15.75">
      <c r="A198" s="78"/>
      <c r="B198" s="100" t="s">
        <v>356</v>
      </c>
      <c r="C198" s="79"/>
      <c r="D198" s="94" t="s">
        <v>200</v>
      </c>
      <c r="E198" s="59"/>
      <c r="F198" s="367">
        <v>3</v>
      </c>
      <c r="G198" s="95"/>
      <c r="H198" s="77"/>
      <c r="I198" s="62"/>
      <c r="J198" s="77"/>
      <c r="K198" s="59"/>
      <c r="L198" s="77"/>
      <c r="M198" s="67"/>
    </row>
    <row r="199" spans="1:13" s="44" customFormat="1" ht="15.75">
      <c r="A199" s="78"/>
      <c r="B199" s="100" t="s">
        <v>604</v>
      </c>
      <c r="C199" s="79"/>
      <c r="D199" s="94" t="s">
        <v>200</v>
      </c>
      <c r="E199" s="59"/>
      <c r="F199" s="367">
        <v>1</v>
      </c>
      <c r="G199" s="95"/>
      <c r="H199" s="77"/>
      <c r="I199" s="62"/>
      <c r="J199" s="77"/>
      <c r="K199" s="59"/>
      <c r="L199" s="77"/>
      <c r="M199" s="67"/>
    </row>
    <row r="200" spans="1:13" s="44" customFormat="1" ht="15.75">
      <c r="A200" s="78"/>
      <c r="B200" s="100" t="s">
        <v>605</v>
      </c>
      <c r="C200" s="79"/>
      <c r="D200" s="94" t="s">
        <v>200</v>
      </c>
      <c r="E200" s="59"/>
      <c r="F200" s="367">
        <v>1</v>
      </c>
      <c r="G200" s="95"/>
      <c r="H200" s="77"/>
      <c r="I200" s="62"/>
      <c r="J200" s="77"/>
      <c r="K200" s="59"/>
      <c r="L200" s="77"/>
      <c r="M200" s="67"/>
    </row>
    <row r="201" spans="1:13" s="44" customFormat="1" ht="15.75">
      <c r="A201" s="78"/>
      <c r="B201" s="100" t="s">
        <v>606</v>
      </c>
      <c r="C201" s="79"/>
      <c r="D201" s="94" t="s">
        <v>200</v>
      </c>
      <c r="E201" s="59"/>
      <c r="F201" s="367">
        <v>1</v>
      </c>
      <c r="G201" s="95"/>
      <c r="H201" s="77"/>
      <c r="I201" s="62"/>
      <c r="J201" s="77"/>
      <c r="K201" s="59"/>
      <c r="L201" s="77"/>
      <c r="M201" s="67"/>
    </row>
    <row r="202" spans="1:13" s="44" customFormat="1" ht="15.75">
      <c r="A202" s="78"/>
      <c r="B202" s="100" t="s">
        <v>569</v>
      </c>
      <c r="C202" s="79"/>
      <c r="D202" s="94" t="s">
        <v>200</v>
      </c>
      <c r="E202" s="59"/>
      <c r="F202" s="367">
        <v>2</v>
      </c>
      <c r="G202" s="95"/>
      <c r="H202" s="77"/>
      <c r="I202" s="62"/>
      <c r="J202" s="77"/>
      <c r="K202" s="59"/>
      <c r="L202" s="77"/>
      <c r="M202" s="67"/>
    </row>
    <row r="203" spans="1:13" s="44" customFormat="1" ht="15.75">
      <c r="A203" s="78"/>
      <c r="B203" s="100" t="s">
        <v>607</v>
      </c>
      <c r="C203" s="79"/>
      <c r="D203" s="94" t="s">
        <v>200</v>
      </c>
      <c r="E203" s="59"/>
      <c r="F203" s="367">
        <v>1</v>
      </c>
      <c r="G203" s="95"/>
      <c r="H203" s="77"/>
      <c r="I203" s="62"/>
      <c r="J203" s="77"/>
      <c r="K203" s="59"/>
      <c r="L203" s="77"/>
      <c r="M203" s="67"/>
    </row>
    <row r="204" spans="1:13" s="44" customFormat="1" ht="15.75">
      <c r="A204" s="78"/>
      <c r="B204" s="100" t="s">
        <v>608</v>
      </c>
      <c r="C204" s="79"/>
      <c r="D204" s="94" t="s">
        <v>200</v>
      </c>
      <c r="E204" s="59"/>
      <c r="F204" s="367">
        <v>2</v>
      </c>
      <c r="G204" s="95"/>
      <c r="H204" s="77"/>
      <c r="I204" s="62"/>
      <c r="J204" s="77"/>
      <c r="K204" s="59"/>
      <c r="L204" s="77"/>
      <c r="M204" s="67"/>
    </row>
    <row r="205" spans="1:13" s="44" customFormat="1" ht="15.75">
      <c r="A205" s="78"/>
      <c r="B205" s="100" t="s">
        <v>570</v>
      </c>
      <c r="C205" s="79"/>
      <c r="D205" s="94" t="s">
        <v>200</v>
      </c>
      <c r="E205" s="59"/>
      <c r="F205" s="367">
        <v>1</v>
      </c>
      <c r="G205" s="95"/>
      <c r="H205" s="77"/>
      <c r="I205" s="62"/>
      <c r="J205" s="77"/>
      <c r="K205" s="59"/>
      <c r="L205" s="77"/>
      <c r="M205" s="67"/>
    </row>
    <row r="206" spans="1:13" s="44" customFormat="1" ht="13.5">
      <c r="A206" s="78"/>
      <c r="B206" s="65" t="s">
        <v>18</v>
      </c>
      <c r="C206" s="79"/>
      <c r="D206" s="59" t="s">
        <v>0</v>
      </c>
      <c r="E206" s="59">
        <v>0.024</v>
      </c>
      <c r="F206" s="387">
        <f>E206*F174</f>
        <v>1.248</v>
      </c>
      <c r="G206" s="59"/>
      <c r="H206" s="77"/>
      <c r="I206" s="62"/>
      <c r="J206" s="77"/>
      <c r="K206" s="59"/>
      <c r="L206" s="77"/>
      <c r="M206" s="67"/>
    </row>
    <row r="207" spans="1:13" s="44" customFormat="1" ht="13.5">
      <c r="A207" s="101">
        <v>25</v>
      </c>
      <c r="B207" s="65" t="s">
        <v>211</v>
      </c>
      <c r="C207" s="75" t="s">
        <v>212</v>
      </c>
      <c r="D207" s="59" t="s">
        <v>51</v>
      </c>
      <c r="E207" s="59"/>
      <c r="F207" s="396">
        <v>2</v>
      </c>
      <c r="G207" s="102"/>
      <c r="H207" s="103"/>
      <c r="I207" s="101"/>
      <c r="J207" s="103"/>
      <c r="K207" s="101"/>
      <c r="L207" s="103"/>
      <c r="M207" s="104"/>
    </row>
    <row r="208" spans="1:13" s="44" customFormat="1" ht="13.5">
      <c r="A208" s="101"/>
      <c r="B208" s="105" t="s">
        <v>108</v>
      </c>
      <c r="C208" s="75"/>
      <c r="D208" s="101" t="s">
        <v>15</v>
      </c>
      <c r="E208" s="59">
        <v>1.78</v>
      </c>
      <c r="F208" s="397">
        <f>F207*E208</f>
        <v>3.56</v>
      </c>
      <c r="G208" s="106"/>
      <c r="H208" s="107"/>
      <c r="I208" s="101"/>
      <c r="J208" s="103"/>
      <c r="K208" s="101"/>
      <c r="L208" s="103"/>
      <c r="M208" s="104"/>
    </row>
    <row r="209" spans="1:13" s="44" customFormat="1" ht="13.5">
      <c r="A209" s="101"/>
      <c r="B209" s="105" t="s">
        <v>109</v>
      </c>
      <c r="C209" s="108"/>
      <c r="D209" s="101" t="s">
        <v>0</v>
      </c>
      <c r="E209" s="59">
        <v>0.12</v>
      </c>
      <c r="F209" s="397">
        <f>F207*E209</f>
        <v>0.24</v>
      </c>
      <c r="G209" s="101"/>
      <c r="H209" s="103"/>
      <c r="I209" s="101"/>
      <c r="J209" s="103"/>
      <c r="K209" s="101"/>
      <c r="L209" s="103"/>
      <c r="M209" s="104"/>
    </row>
    <row r="210" spans="1:13" s="44" customFormat="1" ht="13.5">
      <c r="A210" s="101"/>
      <c r="B210" s="59" t="s">
        <v>192</v>
      </c>
      <c r="C210" s="108"/>
      <c r="D210" s="101"/>
      <c r="E210" s="59"/>
      <c r="F210" s="398"/>
      <c r="G210" s="101"/>
      <c r="H210" s="103"/>
      <c r="I210" s="101"/>
      <c r="J210" s="103"/>
      <c r="K210" s="101"/>
      <c r="L210" s="103"/>
      <c r="M210" s="104"/>
    </row>
    <row r="211" spans="1:13" s="44" customFormat="1" ht="13.5">
      <c r="A211" s="101"/>
      <c r="B211" s="105" t="s">
        <v>213</v>
      </c>
      <c r="C211" s="108"/>
      <c r="D211" s="101" t="s">
        <v>51</v>
      </c>
      <c r="E211" s="59">
        <v>1</v>
      </c>
      <c r="F211" s="398">
        <f>F207*E211</f>
        <v>2</v>
      </c>
      <c r="G211" s="101"/>
      <c r="H211" s="103"/>
      <c r="I211" s="101"/>
      <c r="J211" s="103"/>
      <c r="K211" s="101"/>
      <c r="L211" s="103"/>
      <c r="M211" s="104"/>
    </row>
    <row r="212" spans="1:13" s="44" customFormat="1" ht="13.5">
      <c r="A212" s="101"/>
      <c r="B212" s="105" t="s">
        <v>18</v>
      </c>
      <c r="C212" s="108"/>
      <c r="D212" s="101" t="s">
        <v>0</v>
      </c>
      <c r="E212" s="59">
        <v>1.13</v>
      </c>
      <c r="F212" s="398">
        <f>F207*E212</f>
        <v>2.26</v>
      </c>
      <c r="G212" s="101"/>
      <c r="H212" s="103"/>
      <c r="I212" s="101"/>
      <c r="J212" s="103"/>
      <c r="K212" s="101"/>
      <c r="L212" s="103"/>
      <c r="M212" s="104"/>
    </row>
    <row r="213" spans="1:13" s="44" customFormat="1" ht="27">
      <c r="A213" s="68">
        <v>28</v>
      </c>
      <c r="B213" s="373" t="s">
        <v>277</v>
      </c>
      <c r="C213" s="61" t="s">
        <v>216</v>
      </c>
      <c r="D213" s="70" t="s">
        <v>20</v>
      </c>
      <c r="E213" s="149"/>
      <c r="F213" s="344">
        <f>F94+F88+F82+F76+F70+F64+F58+F52+F46+F40+F34</f>
        <v>24044</v>
      </c>
      <c r="G213" s="70"/>
      <c r="H213" s="71"/>
      <c r="I213" s="70"/>
      <c r="J213" s="72"/>
      <c r="K213" s="70"/>
      <c r="L213" s="71"/>
      <c r="M213" s="67"/>
    </row>
    <row r="214" spans="1:13" s="44" customFormat="1" ht="13.5">
      <c r="A214" s="59"/>
      <c r="B214" s="65" t="s">
        <v>12</v>
      </c>
      <c r="C214" s="74"/>
      <c r="D214" s="62" t="s">
        <v>15</v>
      </c>
      <c r="E214" s="62">
        <v>0.0567</v>
      </c>
      <c r="F214" s="383">
        <f>F213*E214</f>
        <v>1363.2948000000001</v>
      </c>
      <c r="G214" s="62"/>
      <c r="H214" s="64"/>
      <c r="I214" s="62"/>
      <c r="J214" s="64"/>
      <c r="K214" s="62"/>
      <c r="L214" s="64"/>
      <c r="M214" s="67"/>
    </row>
    <row r="215" spans="1:13" s="44" customFormat="1" ht="13.5">
      <c r="A215" s="78"/>
      <c r="B215" s="59" t="s">
        <v>192</v>
      </c>
      <c r="C215" s="109"/>
      <c r="D215" s="59"/>
      <c r="E215" s="59"/>
      <c r="F215" s="384"/>
      <c r="G215" s="59"/>
      <c r="H215" s="77"/>
      <c r="I215" s="62"/>
      <c r="J215" s="77"/>
      <c r="K215" s="59"/>
      <c r="L215" s="77"/>
      <c r="M215" s="67"/>
    </row>
    <row r="216" spans="1:13" s="44" customFormat="1" ht="13.5">
      <c r="A216" s="78"/>
      <c r="B216" s="86" t="s">
        <v>215</v>
      </c>
      <c r="C216" s="109"/>
      <c r="D216" s="59" t="s">
        <v>42</v>
      </c>
      <c r="E216" s="59">
        <v>0.057</v>
      </c>
      <c r="F216" s="384">
        <f>E216*F213</f>
        <v>1370.508</v>
      </c>
      <c r="G216" s="63"/>
      <c r="H216" s="77"/>
      <c r="I216" s="62"/>
      <c r="J216" s="77"/>
      <c r="K216" s="59"/>
      <c r="L216" s="77"/>
      <c r="M216" s="67"/>
    </row>
    <row r="217" spans="1:13" s="44" customFormat="1" ht="13.5">
      <c r="A217" s="78"/>
      <c r="B217" s="65" t="s">
        <v>18</v>
      </c>
      <c r="C217" s="109"/>
      <c r="D217" s="59" t="s">
        <v>0</v>
      </c>
      <c r="E217" s="59">
        <v>0.0001</v>
      </c>
      <c r="F217" s="384">
        <f>E217*F213</f>
        <v>2.4044000000000003</v>
      </c>
      <c r="G217" s="59"/>
      <c r="H217" s="77"/>
      <c r="I217" s="62"/>
      <c r="J217" s="77"/>
      <c r="K217" s="59"/>
      <c r="L217" s="77"/>
      <c r="M217" s="67"/>
    </row>
    <row r="218" spans="1:13" s="44" customFormat="1" ht="13.5">
      <c r="A218" s="68">
        <v>30</v>
      </c>
      <c r="B218" s="69" t="s">
        <v>218</v>
      </c>
      <c r="C218" s="61" t="s">
        <v>219</v>
      </c>
      <c r="D218" s="70" t="s">
        <v>42</v>
      </c>
      <c r="E218" s="149"/>
      <c r="F218" s="388">
        <v>150</v>
      </c>
      <c r="G218" s="70"/>
      <c r="H218" s="71"/>
      <c r="I218" s="70"/>
      <c r="J218" s="72"/>
      <c r="K218" s="70"/>
      <c r="L218" s="71"/>
      <c r="M218" s="67"/>
    </row>
    <row r="219" spans="1:13" s="44" customFormat="1" ht="13.5">
      <c r="A219" s="59"/>
      <c r="B219" s="65" t="s">
        <v>12</v>
      </c>
      <c r="C219" s="74"/>
      <c r="D219" s="62" t="s">
        <v>15</v>
      </c>
      <c r="E219" s="62">
        <v>1.21</v>
      </c>
      <c r="F219" s="383">
        <f>F218*E219</f>
        <v>181.5</v>
      </c>
      <c r="G219" s="62"/>
      <c r="H219" s="64"/>
      <c r="I219" s="62"/>
      <c r="J219" s="64"/>
      <c r="K219" s="62"/>
      <c r="L219" s="64"/>
      <c r="M219" s="67"/>
    </row>
    <row r="220" spans="1:13" s="44" customFormat="1" ht="27">
      <c r="A220" s="492">
        <v>24</v>
      </c>
      <c r="B220" s="241" t="s">
        <v>623</v>
      </c>
      <c r="C220" s="241" t="s">
        <v>624</v>
      </c>
      <c r="D220" s="203" t="s">
        <v>625</v>
      </c>
      <c r="E220" s="203"/>
      <c r="F220" s="493">
        <v>4.86</v>
      </c>
      <c r="G220" s="203"/>
      <c r="H220" s="203"/>
      <c r="I220" s="203"/>
      <c r="J220" s="203"/>
      <c r="K220" s="203"/>
      <c r="L220" s="203"/>
      <c r="M220" s="203"/>
    </row>
    <row r="221" spans="1:13" s="44" customFormat="1" ht="27">
      <c r="A221" s="492"/>
      <c r="B221" s="241" t="s">
        <v>626</v>
      </c>
      <c r="C221" s="241" t="s">
        <v>627</v>
      </c>
      <c r="D221" s="203" t="s">
        <v>217</v>
      </c>
      <c r="E221" s="203">
        <v>9.21</v>
      </c>
      <c r="F221" s="203">
        <f>E221*F220</f>
        <v>44.760600000000004</v>
      </c>
      <c r="G221" s="203"/>
      <c r="H221" s="203"/>
      <c r="I221" s="203"/>
      <c r="J221" s="203"/>
      <c r="K221" s="203"/>
      <c r="L221" s="203"/>
      <c r="M221" s="203"/>
    </row>
    <row r="222" spans="1:13" s="44" customFormat="1" ht="13.5">
      <c r="A222" s="492"/>
      <c r="B222" s="241" t="s">
        <v>192</v>
      </c>
      <c r="C222" s="241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</row>
    <row r="223" spans="1:13" s="44" customFormat="1" ht="13.5">
      <c r="A223" s="492"/>
      <c r="B223" s="241" t="s">
        <v>510</v>
      </c>
      <c r="C223" s="241" t="s">
        <v>628</v>
      </c>
      <c r="D223" s="203" t="s">
        <v>225</v>
      </c>
      <c r="E223" s="203">
        <v>1100</v>
      </c>
      <c r="F223" s="203">
        <f>E223*F220</f>
        <v>5346</v>
      </c>
      <c r="G223" s="203"/>
      <c r="H223" s="203"/>
      <c r="I223" s="203"/>
      <c r="J223" s="203"/>
      <c r="K223" s="203"/>
      <c r="L223" s="203"/>
      <c r="M223" s="203"/>
    </row>
    <row r="224" spans="1:13" s="44" customFormat="1" ht="13.5">
      <c r="A224" s="492">
        <v>25</v>
      </c>
      <c r="B224" s="241" t="s">
        <v>629</v>
      </c>
      <c r="C224" s="241" t="s">
        <v>630</v>
      </c>
      <c r="D224" s="203" t="s">
        <v>304</v>
      </c>
      <c r="E224" s="203"/>
      <c r="F224" s="241">
        <v>75.6</v>
      </c>
      <c r="G224" s="203"/>
      <c r="H224" s="203"/>
      <c r="I224" s="203"/>
      <c r="J224" s="203"/>
      <c r="K224" s="203"/>
      <c r="L224" s="241"/>
      <c r="M224" s="203"/>
    </row>
    <row r="225" spans="1:13" s="44" customFormat="1" ht="13.5">
      <c r="A225" s="492"/>
      <c r="B225" s="241" t="s">
        <v>631</v>
      </c>
      <c r="C225" s="241"/>
      <c r="D225" s="241" t="s">
        <v>632</v>
      </c>
      <c r="E225" s="203">
        <v>11.1</v>
      </c>
      <c r="F225" s="241">
        <f>E225*F224</f>
        <v>839.1599999999999</v>
      </c>
      <c r="G225" s="203"/>
      <c r="H225" s="203"/>
      <c r="I225" s="203"/>
      <c r="J225" s="203"/>
      <c r="K225" s="203"/>
      <c r="L225" s="241"/>
      <c r="M225" s="203"/>
    </row>
    <row r="226" spans="1:13" s="44" customFormat="1" ht="27">
      <c r="A226" s="492"/>
      <c r="B226" s="241" t="s">
        <v>633</v>
      </c>
      <c r="C226" s="241" t="s">
        <v>634</v>
      </c>
      <c r="D226" s="203" t="s">
        <v>22</v>
      </c>
      <c r="E226" s="203">
        <v>10.9</v>
      </c>
      <c r="F226" s="203">
        <f>E226*F224</f>
        <v>824.04</v>
      </c>
      <c r="G226" s="203"/>
      <c r="H226" s="203"/>
      <c r="I226" s="203"/>
      <c r="J226" s="203"/>
      <c r="K226" s="203"/>
      <c r="L226" s="203"/>
      <c r="M226" s="203"/>
    </row>
    <row r="227" spans="1:13" s="44" customFormat="1" ht="28.5">
      <c r="A227" s="68">
        <v>10</v>
      </c>
      <c r="B227" s="69" t="s">
        <v>511</v>
      </c>
      <c r="C227" s="296" t="s">
        <v>509</v>
      </c>
      <c r="D227" s="110" t="s">
        <v>214</v>
      </c>
      <c r="E227" s="110"/>
      <c r="F227" s="399">
        <v>11.5</v>
      </c>
      <c r="G227" s="297"/>
      <c r="H227" s="203"/>
      <c r="I227" s="297"/>
      <c r="J227" s="203"/>
      <c r="K227" s="298"/>
      <c r="L227" s="203"/>
      <c r="M227" s="203"/>
    </row>
    <row r="228" spans="1:13" s="44" customFormat="1" ht="13.5">
      <c r="A228" s="112"/>
      <c r="B228" s="113" t="s">
        <v>99</v>
      </c>
      <c r="C228" s="112"/>
      <c r="D228" s="113" t="s">
        <v>15</v>
      </c>
      <c r="E228" s="113">
        <v>42.9</v>
      </c>
      <c r="F228" s="400">
        <f>F227*E228</f>
        <v>493.34999999999997</v>
      </c>
      <c r="G228" s="299"/>
      <c r="H228" s="203"/>
      <c r="I228" s="203"/>
      <c r="J228" s="203"/>
      <c r="K228" s="203"/>
      <c r="L228" s="203"/>
      <c r="M228" s="203"/>
    </row>
    <row r="229" spans="1:13" s="44" customFormat="1" ht="13.5">
      <c r="A229" s="112"/>
      <c r="B229" s="113" t="s">
        <v>220</v>
      </c>
      <c r="C229" s="353" t="s">
        <v>537</v>
      </c>
      <c r="D229" s="113" t="s">
        <v>217</v>
      </c>
      <c r="E229" s="113">
        <v>2.69</v>
      </c>
      <c r="F229" s="400">
        <f>F227*E229</f>
        <v>30.935</v>
      </c>
      <c r="G229" s="203"/>
      <c r="H229" s="203"/>
      <c r="I229" s="203"/>
      <c r="J229" s="203"/>
      <c r="K229" s="356"/>
      <c r="L229" s="203"/>
      <c r="M229" s="203"/>
    </row>
    <row r="230" spans="1:13" s="44" customFormat="1" ht="13.5">
      <c r="A230" s="115"/>
      <c r="B230" s="110" t="s">
        <v>221</v>
      </c>
      <c r="C230" s="353" t="s">
        <v>539</v>
      </c>
      <c r="D230" s="113" t="s">
        <v>217</v>
      </c>
      <c r="E230" s="113">
        <v>0.41</v>
      </c>
      <c r="F230" s="400">
        <f>F227*E230</f>
        <v>4.715</v>
      </c>
      <c r="G230" s="203"/>
      <c r="H230" s="203"/>
      <c r="I230" s="203"/>
      <c r="J230" s="203"/>
      <c r="K230" s="356"/>
      <c r="L230" s="203"/>
      <c r="M230" s="203"/>
    </row>
    <row r="231" spans="1:13" s="44" customFormat="1" ht="13.5">
      <c r="A231" s="116"/>
      <c r="B231" s="110" t="s">
        <v>222</v>
      </c>
      <c r="C231" s="353" t="s">
        <v>538</v>
      </c>
      <c r="D231" s="117" t="s">
        <v>217</v>
      </c>
      <c r="E231" s="118">
        <v>7.6</v>
      </c>
      <c r="F231" s="401">
        <f>F227*E231</f>
        <v>87.39999999999999</v>
      </c>
      <c r="G231" s="299"/>
      <c r="H231" s="203"/>
      <c r="I231" s="299"/>
      <c r="J231" s="203"/>
      <c r="K231" s="357"/>
      <c r="L231" s="203"/>
      <c r="M231" s="203"/>
    </row>
    <row r="232" spans="1:13" s="44" customFormat="1" ht="13.5">
      <c r="A232" s="116"/>
      <c r="B232" s="113" t="s">
        <v>223</v>
      </c>
      <c r="C232" s="353" t="s">
        <v>540</v>
      </c>
      <c r="D232" s="117" t="s">
        <v>217</v>
      </c>
      <c r="E232" s="118">
        <v>7.4</v>
      </c>
      <c r="F232" s="401">
        <f>F227*E232</f>
        <v>85.10000000000001</v>
      </c>
      <c r="G232" s="299"/>
      <c r="H232" s="203"/>
      <c r="I232" s="299"/>
      <c r="J232" s="203"/>
      <c r="K232" s="357"/>
      <c r="L232" s="203"/>
      <c r="M232" s="203"/>
    </row>
    <row r="233" spans="1:13" s="44" customFormat="1" ht="13.5">
      <c r="A233" s="112"/>
      <c r="B233" s="113" t="s">
        <v>224</v>
      </c>
      <c r="C233" s="353" t="s">
        <v>541</v>
      </c>
      <c r="D233" s="113" t="s">
        <v>217</v>
      </c>
      <c r="E233" s="113">
        <v>1.48</v>
      </c>
      <c r="F233" s="400">
        <f>F227*E233</f>
        <v>17.02</v>
      </c>
      <c r="G233" s="203"/>
      <c r="H233" s="203"/>
      <c r="I233" s="203"/>
      <c r="J233" s="203"/>
      <c r="K233" s="356"/>
      <c r="L233" s="203"/>
      <c r="M233" s="203"/>
    </row>
    <row r="234" spans="1:13" s="44" customFormat="1" ht="13.5">
      <c r="A234" s="112"/>
      <c r="B234" s="60" t="s">
        <v>510</v>
      </c>
      <c r="C234" s="353" t="s">
        <v>542</v>
      </c>
      <c r="D234" s="113" t="s">
        <v>225</v>
      </c>
      <c r="E234" s="44">
        <f>149+12.4*18</f>
        <v>372.20000000000005</v>
      </c>
      <c r="F234" s="400">
        <f>F227*E234</f>
        <v>4280.3</v>
      </c>
      <c r="G234" s="356"/>
      <c r="H234" s="203"/>
      <c r="I234" s="299"/>
      <c r="J234" s="203"/>
      <c r="K234" s="203"/>
      <c r="L234" s="203"/>
      <c r="M234" s="203"/>
    </row>
    <row r="235" spans="1:13" s="44" customFormat="1" ht="13.5">
      <c r="A235" s="119"/>
      <c r="B235" s="113" t="s">
        <v>215</v>
      </c>
      <c r="C235" s="61" t="s">
        <v>251</v>
      </c>
      <c r="D235" s="113" t="s">
        <v>225</v>
      </c>
      <c r="E235" s="113">
        <v>11</v>
      </c>
      <c r="F235" s="400">
        <f>F227*E235</f>
        <v>126.5</v>
      </c>
      <c r="G235" s="203"/>
      <c r="H235" s="203"/>
      <c r="I235" s="299"/>
      <c r="J235" s="203"/>
      <c r="K235" s="203"/>
      <c r="L235" s="203"/>
      <c r="M235" s="203"/>
    </row>
    <row r="236" spans="1:13" s="44" customFormat="1" ht="13.5">
      <c r="A236" s="150"/>
      <c r="B236" s="273" t="s">
        <v>490</v>
      </c>
      <c r="C236" s="353" t="s">
        <v>491</v>
      </c>
      <c r="D236" s="272" t="s">
        <v>13</v>
      </c>
      <c r="E236" s="273">
        <v>1.6</v>
      </c>
      <c r="F236" s="385">
        <f>E236*F234</f>
        <v>6848.4800000000005</v>
      </c>
      <c r="G236" s="273"/>
      <c r="H236" s="273"/>
      <c r="I236" s="114"/>
      <c r="J236" s="114"/>
      <c r="K236" s="354"/>
      <c r="L236" s="273"/>
      <c r="M236" s="67"/>
    </row>
    <row r="237" spans="1:13" s="44" customFormat="1" ht="13.5">
      <c r="A237" s="68">
        <v>27</v>
      </c>
      <c r="B237" s="69" t="s">
        <v>645</v>
      </c>
      <c r="C237" s="61" t="s">
        <v>646</v>
      </c>
      <c r="D237" s="70" t="s">
        <v>214</v>
      </c>
      <c r="E237" s="149"/>
      <c r="F237" s="495">
        <v>2.2</v>
      </c>
      <c r="G237" s="70"/>
      <c r="I237" s="70"/>
      <c r="J237" s="72"/>
      <c r="K237" s="70"/>
      <c r="L237" s="71"/>
      <c r="M237" s="67"/>
    </row>
    <row r="238" spans="1:13" s="44" customFormat="1" ht="13.5">
      <c r="A238" s="59"/>
      <c r="B238" s="496" t="s">
        <v>12</v>
      </c>
      <c r="C238" s="412"/>
      <c r="D238" s="339" t="s">
        <v>15</v>
      </c>
      <c r="E238" s="339">
        <v>33</v>
      </c>
      <c r="F238" s="497">
        <f>E238*F237</f>
        <v>72.60000000000001</v>
      </c>
      <c r="G238" s="339"/>
      <c r="H238" s="72"/>
      <c r="I238" s="339"/>
      <c r="J238" s="77"/>
      <c r="K238" s="339"/>
      <c r="L238" s="72"/>
      <c r="M238" s="67"/>
    </row>
    <row r="239" spans="1:13" s="44" customFormat="1" ht="22.5">
      <c r="A239" s="59"/>
      <c r="B239" s="10" t="s">
        <v>647</v>
      </c>
      <c r="C239" s="61" t="s">
        <v>648</v>
      </c>
      <c r="D239" s="339" t="s">
        <v>22</v>
      </c>
      <c r="E239" s="339">
        <v>1.91</v>
      </c>
      <c r="F239" s="497">
        <f>E239*F237</f>
        <v>4.202</v>
      </c>
      <c r="G239" s="339"/>
      <c r="H239" s="72"/>
      <c r="I239" s="498"/>
      <c r="J239" s="499"/>
      <c r="K239" s="339"/>
      <c r="L239" s="500"/>
      <c r="M239" s="67"/>
    </row>
    <row r="240" spans="1:13" s="44" customFormat="1" ht="22.5">
      <c r="A240" s="59"/>
      <c r="B240" s="496" t="s">
        <v>649</v>
      </c>
      <c r="C240" s="61" t="s">
        <v>650</v>
      </c>
      <c r="D240" s="339" t="s">
        <v>22</v>
      </c>
      <c r="E240" s="339">
        <v>11.2</v>
      </c>
      <c r="F240" s="497">
        <f>E240*F237</f>
        <v>24.64</v>
      </c>
      <c r="G240" s="339"/>
      <c r="H240" s="72"/>
      <c r="I240" s="498"/>
      <c r="J240" s="499"/>
      <c r="K240" s="339"/>
      <c r="L240" s="500"/>
      <c r="M240" s="67"/>
    </row>
    <row r="241" spans="1:13" s="44" customFormat="1" ht="22.5">
      <c r="A241" s="59"/>
      <c r="B241" s="496" t="s">
        <v>651</v>
      </c>
      <c r="C241" s="61" t="s">
        <v>650</v>
      </c>
      <c r="D241" s="339" t="s">
        <v>22</v>
      </c>
      <c r="E241" s="339">
        <v>24.8</v>
      </c>
      <c r="F241" s="497">
        <f>E241*F237</f>
        <v>54.56000000000001</v>
      </c>
      <c r="G241" s="339"/>
      <c r="H241" s="72"/>
      <c r="I241" s="498"/>
      <c r="J241" s="499"/>
      <c r="K241" s="339"/>
      <c r="L241" s="500"/>
      <c r="M241" s="67"/>
    </row>
    <row r="242" spans="1:13" s="44" customFormat="1" ht="13.5">
      <c r="A242" s="59"/>
      <c r="B242" s="496" t="s">
        <v>652</v>
      </c>
      <c r="C242" s="61"/>
      <c r="D242" s="339" t="s">
        <v>22</v>
      </c>
      <c r="E242" s="339">
        <v>4.14</v>
      </c>
      <c r="F242" s="497">
        <f>E242*F237</f>
        <v>9.108</v>
      </c>
      <c r="G242" s="339"/>
      <c r="H242" s="72"/>
      <c r="I242" s="498"/>
      <c r="J242" s="499"/>
      <c r="K242" s="339"/>
      <c r="L242" s="500"/>
      <c r="M242" s="67"/>
    </row>
    <row r="243" spans="1:13" s="44" customFormat="1" ht="13.5">
      <c r="A243" s="59"/>
      <c r="B243" s="496" t="s">
        <v>653</v>
      </c>
      <c r="C243" s="61"/>
      <c r="D243" s="339" t="s">
        <v>22</v>
      </c>
      <c r="E243" s="339">
        <v>0.53</v>
      </c>
      <c r="F243" s="497">
        <f>E243*F240</f>
        <v>13.0592</v>
      </c>
      <c r="G243" s="339"/>
      <c r="H243" s="72"/>
      <c r="I243" s="498"/>
      <c r="J243" s="499"/>
      <c r="K243" s="339"/>
      <c r="L243" s="500"/>
      <c r="M243" s="67"/>
    </row>
    <row r="244" spans="1:13" s="44" customFormat="1" ht="13.5">
      <c r="A244" s="59"/>
      <c r="B244" s="76" t="s">
        <v>23</v>
      </c>
      <c r="C244" s="412"/>
      <c r="D244" s="339"/>
      <c r="E244" s="339"/>
      <c r="F244" s="497"/>
      <c r="G244" s="339"/>
      <c r="H244" s="72"/>
      <c r="I244" s="339"/>
      <c r="J244" s="72"/>
      <c r="K244" s="339"/>
      <c r="L244" s="72"/>
      <c r="M244" s="67"/>
    </row>
    <row r="245" spans="1:13" s="44" customFormat="1" ht="13.5">
      <c r="A245" s="59"/>
      <c r="B245" s="496" t="s">
        <v>654</v>
      </c>
      <c r="C245" s="61" t="s">
        <v>655</v>
      </c>
      <c r="D245" s="339" t="s">
        <v>42</v>
      </c>
      <c r="E245" s="339">
        <f>125</f>
        <v>125</v>
      </c>
      <c r="F245" s="497">
        <f>E245*F237</f>
        <v>275</v>
      </c>
      <c r="G245" s="339"/>
      <c r="H245" s="72"/>
      <c r="I245" s="339"/>
      <c r="J245" s="72"/>
      <c r="K245" s="339"/>
      <c r="L245" s="72"/>
      <c r="M245" s="67"/>
    </row>
    <row r="246" spans="1:13" s="44" customFormat="1" ht="13.5">
      <c r="A246" s="59"/>
      <c r="B246" s="496" t="s">
        <v>215</v>
      </c>
      <c r="C246" s="412"/>
      <c r="D246" s="339" t="s">
        <v>42</v>
      </c>
      <c r="E246" s="339">
        <v>30</v>
      </c>
      <c r="F246" s="497">
        <f>E246*F237</f>
        <v>66</v>
      </c>
      <c r="G246" s="339"/>
      <c r="H246" s="72"/>
      <c r="I246" s="339"/>
      <c r="J246" s="72"/>
      <c r="K246" s="339"/>
      <c r="L246" s="72"/>
      <c r="M246" s="67"/>
    </row>
    <row r="247" spans="1:13" s="44" customFormat="1" ht="28.5">
      <c r="A247" s="68">
        <v>28</v>
      </c>
      <c r="B247" s="501" t="s">
        <v>656</v>
      </c>
      <c r="C247" s="274" t="s">
        <v>657</v>
      </c>
      <c r="D247" s="70" t="s">
        <v>214</v>
      </c>
      <c r="E247" s="149"/>
      <c r="F247" s="495">
        <v>2.2</v>
      </c>
      <c r="G247" s="70"/>
      <c r="H247" s="71"/>
      <c r="I247" s="70"/>
      <c r="J247" s="72"/>
      <c r="K247" s="70"/>
      <c r="L247" s="71"/>
      <c r="M247" s="67"/>
    </row>
    <row r="248" spans="1:13" s="44" customFormat="1" ht="13.5">
      <c r="A248" s="59"/>
      <c r="B248" s="496" t="s">
        <v>12</v>
      </c>
      <c r="C248" s="412"/>
      <c r="D248" s="339" t="s">
        <v>15</v>
      </c>
      <c r="E248" s="339">
        <f>37.5+0.07*2</f>
        <v>37.64</v>
      </c>
      <c r="F248" s="497">
        <f>F247*E248</f>
        <v>82.808</v>
      </c>
      <c r="G248" s="339"/>
      <c r="H248" s="72"/>
      <c r="I248" s="339"/>
      <c r="J248" s="72"/>
      <c r="K248" s="339"/>
      <c r="L248" s="72"/>
      <c r="M248" s="67"/>
    </row>
    <row r="249" spans="1:13" s="44" customFormat="1" ht="22.5">
      <c r="A249" s="59"/>
      <c r="B249" s="496" t="s">
        <v>658</v>
      </c>
      <c r="C249" s="61" t="s">
        <v>650</v>
      </c>
      <c r="D249" s="76" t="s">
        <v>22</v>
      </c>
      <c r="E249" s="339">
        <v>3.7</v>
      </c>
      <c r="F249" s="502">
        <f>E249*F247</f>
        <v>8.14</v>
      </c>
      <c r="G249" s="339"/>
      <c r="H249" s="72"/>
      <c r="I249" s="339"/>
      <c r="J249" s="72"/>
      <c r="K249" s="339"/>
      <c r="L249" s="72"/>
      <c r="M249" s="67"/>
    </row>
    <row r="250" spans="1:13" s="44" customFormat="1" ht="22.5">
      <c r="A250" s="59"/>
      <c r="B250" s="496" t="s">
        <v>659</v>
      </c>
      <c r="C250" s="61" t="s">
        <v>660</v>
      </c>
      <c r="D250" s="76" t="s">
        <v>22</v>
      </c>
      <c r="E250" s="339">
        <v>11.1</v>
      </c>
      <c r="F250" s="502">
        <f>E250*F247</f>
        <v>24.42</v>
      </c>
      <c r="G250" s="339"/>
      <c r="H250" s="72"/>
      <c r="I250" s="339"/>
      <c r="J250" s="72"/>
      <c r="K250" s="339"/>
      <c r="L250" s="72"/>
      <c r="M250" s="67"/>
    </row>
    <row r="251" spans="1:13" s="44" customFormat="1" ht="22.5">
      <c r="A251" s="59"/>
      <c r="B251" s="496" t="s">
        <v>661</v>
      </c>
      <c r="C251" s="61" t="s">
        <v>662</v>
      </c>
      <c r="D251" s="76" t="s">
        <v>22</v>
      </c>
      <c r="E251" s="339">
        <v>3.02</v>
      </c>
      <c r="F251" s="502">
        <f>E251*F247</f>
        <v>6.644000000000001</v>
      </c>
      <c r="G251" s="339"/>
      <c r="H251" s="72"/>
      <c r="I251" s="339"/>
      <c r="J251" s="72"/>
      <c r="K251" s="339"/>
      <c r="L251" s="72"/>
      <c r="M251" s="67"/>
    </row>
    <row r="252" spans="1:13" s="44" customFormat="1" ht="13.5">
      <c r="A252" s="59"/>
      <c r="B252" s="496" t="s">
        <v>14</v>
      </c>
      <c r="C252" s="412"/>
      <c r="D252" s="76" t="s">
        <v>0</v>
      </c>
      <c r="E252" s="339">
        <v>2.3</v>
      </c>
      <c r="F252" s="502">
        <f>E252*F247</f>
        <v>5.06</v>
      </c>
      <c r="G252" s="339"/>
      <c r="H252" s="72"/>
      <c r="I252" s="339"/>
      <c r="J252" s="72"/>
      <c r="K252" s="339"/>
      <c r="L252" s="72"/>
      <c r="M252" s="67"/>
    </row>
    <row r="253" spans="1:13" s="44" customFormat="1" ht="13.5">
      <c r="A253" s="59"/>
      <c r="B253" s="76" t="s">
        <v>23</v>
      </c>
      <c r="C253" s="412"/>
      <c r="D253" s="339"/>
      <c r="E253" s="339"/>
      <c r="F253" s="497"/>
      <c r="G253" s="339"/>
      <c r="H253" s="72"/>
      <c r="I253" s="339"/>
      <c r="J253" s="72"/>
      <c r="K253" s="339"/>
      <c r="L253" s="72"/>
      <c r="M253" s="67"/>
    </row>
    <row r="254" spans="1:13" s="44" customFormat="1" ht="13.5">
      <c r="A254" s="59"/>
      <c r="B254" s="496" t="s">
        <v>663</v>
      </c>
      <c r="C254" s="412" t="s">
        <v>664</v>
      </c>
      <c r="D254" s="339" t="s">
        <v>13</v>
      </c>
      <c r="E254" s="339">
        <v>119</v>
      </c>
      <c r="F254" s="497">
        <f>F247*E254</f>
        <v>261.8</v>
      </c>
      <c r="G254" s="339"/>
      <c r="H254" s="72"/>
      <c r="I254" s="339"/>
      <c r="J254" s="72"/>
      <c r="K254" s="339"/>
      <c r="L254" s="72"/>
      <c r="M254" s="67"/>
    </row>
    <row r="255" spans="1:13" s="44" customFormat="1" ht="13.5">
      <c r="A255" s="150"/>
      <c r="B255" s="496" t="s">
        <v>18</v>
      </c>
      <c r="C255" s="109"/>
      <c r="D255" s="76" t="s">
        <v>0</v>
      </c>
      <c r="E255" s="76">
        <f>14.5+0.2*4</f>
        <v>15.3</v>
      </c>
      <c r="F255" s="324">
        <f>E255*F247</f>
        <v>33.660000000000004</v>
      </c>
      <c r="G255" s="76"/>
      <c r="H255" s="71"/>
      <c r="I255" s="339"/>
      <c r="J255" s="71"/>
      <c r="K255" s="76"/>
      <c r="L255" s="71"/>
      <c r="M255" s="67"/>
    </row>
    <row r="256" spans="1:13" s="44" customFormat="1" ht="13.5">
      <c r="A256" s="150"/>
      <c r="B256" s="500" t="s">
        <v>665</v>
      </c>
      <c r="C256" s="61" t="s">
        <v>666</v>
      </c>
      <c r="D256" s="503" t="s">
        <v>13</v>
      </c>
      <c r="E256" s="500">
        <v>1</v>
      </c>
      <c r="F256" s="500">
        <f>F254*E256</f>
        <v>261.8</v>
      </c>
      <c r="G256" s="500"/>
      <c r="H256" s="500"/>
      <c r="I256" s="114"/>
      <c r="J256" s="114"/>
      <c r="K256" s="500"/>
      <c r="L256" s="500"/>
      <c r="M256" s="67"/>
    </row>
    <row r="257" spans="1:13" s="44" customFormat="1" ht="28.5">
      <c r="A257" s="68">
        <v>29</v>
      </c>
      <c r="B257" s="501" t="s">
        <v>667</v>
      </c>
      <c r="C257" s="274" t="s">
        <v>668</v>
      </c>
      <c r="D257" s="275" t="s">
        <v>214</v>
      </c>
      <c r="E257" s="276"/>
      <c r="F257" s="495">
        <f>F247</f>
        <v>2.2</v>
      </c>
      <c r="G257" s="70"/>
      <c r="H257" s="71"/>
      <c r="I257" s="70"/>
      <c r="J257" s="72"/>
      <c r="K257" s="70"/>
      <c r="L257" s="71"/>
      <c r="M257" s="67"/>
    </row>
    <row r="258" spans="1:13" s="44" customFormat="1" ht="13.5">
      <c r="A258" s="59"/>
      <c r="B258" s="496" t="s">
        <v>12</v>
      </c>
      <c r="C258" s="412"/>
      <c r="D258" s="339" t="s">
        <v>15</v>
      </c>
      <c r="E258" s="339">
        <f>37.5-0.07*2</f>
        <v>37.36</v>
      </c>
      <c r="F258" s="497">
        <f>F257*E258</f>
        <v>82.19200000000001</v>
      </c>
      <c r="G258" s="339"/>
      <c r="H258" s="72"/>
      <c r="I258" s="339"/>
      <c r="J258" s="72"/>
      <c r="K258" s="339"/>
      <c r="L258" s="72"/>
      <c r="M258" s="67"/>
    </row>
    <row r="259" spans="1:13" s="44" customFormat="1" ht="22.5">
      <c r="A259" s="59"/>
      <c r="B259" s="496" t="s">
        <v>658</v>
      </c>
      <c r="C259" s="61" t="s">
        <v>669</v>
      </c>
      <c r="D259" s="76" t="s">
        <v>22</v>
      </c>
      <c r="E259" s="339">
        <v>3.7</v>
      </c>
      <c r="F259" s="502">
        <f>E259*F257</f>
        <v>8.14</v>
      </c>
      <c r="G259" s="339"/>
      <c r="H259" s="72"/>
      <c r="I259" s="339"/>
      <c r="J259" s="72"/>
      <c r="K259" s="339"/>
      <c r="L259" s="72"/>
      <c r="M259" s="67"/>
    </row>
    <row r="260" spans="1:13" s="44" customFormat="1" ht="22.5">
      <c r="A260" s="59"/>
      <c r="B260" s="496" t="s">
        <v>659</v>
      </c>
      <c r="C260" s="61" t="s">
        <v>660</v>
      </c>
      <c r="D260" s="76" t="s">
        <v>22</v>
      </c>
      <c r="E260" s="339">
        <v>11.1</v>
      </c>
      <c r="F260" s="502">
        <f>E260*F257</f>
        <v>24.42</v>
      </c>
      <c r="G260" s="339"/>
      <c r="H260" s="72"/>
      <c r="I260" s="339"/>
      <c r="J260" s="72"/>
      <c r="K260" s="339"/>
      <c r="L260" s="72"/>
      <c r="M260" s="67"/>
    </row>
    <row r="261" spans="1:13" s="44" customFormat="1" ht="22.5">
      <c r="A261" s="59"/>
      <c r="B261" s="496" t="s">
        <v>661</v>
      </c>
      <c r="C261" s="61" t="s">
        <v>662</v>
      </c>
      <c r="D261" s="76" t="s">
        <v>22</v>
      </c>
      <c r="E261" s="339">
        <v>3.02</v>
      </c>
      <c r="F261" s="502">
        <f>E261*F257</f>
        <v>6.644000000000001</v>
      </c>
      <c r="G261" s="339"/>
      <c r="H261" s="72"/>
      <c r="I261" s="339"/>
      <c r="J261" s="72"/>
      <c r="K261" s="339"/>
      <c r="L261" s="72"/>
      <c r="M261" s="67"/>
    </row>
    <row r="262" spans="1:13" s="44" customFormat="1" ht="13.5">
      <c r="A262" s="59"/>
      <c r="B262" s="496" t="s">
        <v>14</v>
      </c>
      <c r="C262" s="412"/>
      <c r="D262" s="76" t="s">
        <v>0</v>
      </c>
      <c r="E262" s="339">
        <v>2.3</v>
      </c>
      <c r="F262" s="502">
        <f>E262*F257</f>
        <v>5.06</v>
      </c>
      <c r="G262" s="339"/>
      <c r="H262" s="72"/>
      <c r="I262" s="339"/>
      <c r="J262" s="72"/>
      <c r="K262" s="339"/>
      <c r="L262" s="72"/>
      <c r="M262" s="67"/>
    </row>
    <row r="263" spans="1:13" s="44" customFormat="1" ht="13.5">
      <c r="A263" s="59"/>
      <c r="B263" s="76" t="s">
        <v>23</v>
      </c>
      <c r="C263" s="412"/>
      <c r="D263" s="339"/>
      <c r="E263" s="339"/>
      <c r="F263" s="497"/>
      <c r="G263" s="339"/>
      <c r="H263" s="72"/>
      <c r="I263" s="339"/>
      <c r="J263" s="72"/>
      <c r="K263" s="339"/>
      <c r="L263" s="72"/>
      <c r="M263" s="67"/>
    </row>
    <row r="264" spans="1:13" s="44" customFormat="1" ht="13.5">
      <c r="A264" s="59"/>
      <c r="B264" s="496" t="s">
        <v>670</v>
      </c>
      <c r="C264" s="412" t="s">
        <v>664</v>
      </c>
      <c r="D264" s="339" t="s">
        <v>13</v>
      </c>
      <c r="E264" s="339">
        <v>70.14</v>
      </c>
      <c r="F264" s="497">
        <f>F257*E264</f>
        <v>154.30800000000002</v>
      </c>
      <c r="G264" s="339"/>
      <c r="H264" s="72"/>
      <c r="I264" s="339"/>
      <c r="J264" s="72"/>
      <c r="K264" s="339"/>
      <c r="L264" s="72"/>
      <c r="M264" s="67"/>
    </row>
    <row r="265" spans="1:13" s="44" customFormat="1" ht="13.5">
      <c r="A265" s="150"/>
      <c r="B265" s="496" t="s">
        <v>18</v>
      </c>
      <c r="C265" s="109"/>
      <c r="D265" s="76" t="s">
        <v>0</v>
      </c>
      <c r="E265" s="76">
        <v>14.5</v>
      </c>
      <c r="F265" s="324">
        <f>E265*F257</f>
        <v>31.900000000000002</v>
      </c>
      <c r="G265" s="76"/>
      <c r="H265" s="71"/>
      <c r="I265" s="339"/>
      <c r="J265" s="71"/>
      <c r="K265" s="76"/>
      <c r="L265" s="71"/>
      <c r="M265" s="67"/>
    </row>
    <row r="266" spans="1:13" s="44" customFormat="1" ht="13.5">
      <c r="A266" s="150"/>
      <c r="B266" s="500" t="s">
        <v>665</v>
      </c>
      <c r="C266" s="61" t="s">
        <v>666</v>
      </c>
      <c r="D266" s="503" t="s">
        <v>13</v>
      </c>
      <c r="E266" s="500">
        <v>1</v>
      </c>
      <c r="F266" s="500">
        <f>F264*E266</f>
        <v>154.30800000000002</v>
      </c>
      <c r="G266" s="500"/>
      <c r="H266" s="500"/>
      <c r="I266" s="114"/>
      <c r="J266" s="114"/>
      <c r="K266" s="500"/>
      <c r="L266" s="500"/>
      <c r="M266" s="67"/>
    </row>
    <row r="267" spans="1:13" s="44" customFormat="1" ht="14.25">
      <c r="A267" s="120"/>
      <c r="B267" s="121" t="s">
        <v>226</v>
      </c>
      <c r="C267" s="122"/>
      <c r="D267" s="58"/>
      <c r="E267" s="58"/>
      <c r="F267" s="402"/>
      <c r="G267" s="58"/>
      <c r="H267" s="123"/>
      <c r="I267" s="124"/>
      <c r="J267" s="123"/>
      <c r="K267" s="121"/>
      <c r="L267" s="123"/>
      <c r="M267" s="125"/>
    </row>
    <row r="268" spans="1:21" s="44" customFormat="1" ht="48">
      <c r="A268" s="120"/>
      <c r="B268" s="58" t="s">
        <v>227</v>
      </c>
      <c r="C268" s="55"/>
      <c r="D268" s="55"/>
      <c r="E268" s="55"/>
      <c r="F268" s="379"/>
      <c r="G268" s="56"/>
      <c r="H268" s="57"/>
      <c r="I268" s="56"/>
      <c r="J268" s="57"/>
      <c r="K268" s="56"/>
      <c r="L268" s="57"/>
      <c r="M268" s="57"/>
      <c r="N268" s="73"/>
      <c r="O268" s="73"/>
      <c r="P268" s="73"/>
      <c r="Q268" s="73"/>
      <c r="R268" s="73"/>
      <c r="S268" s="73"/>
      <c r="T268" s="73"/>
      <c r="U268" s="73"/>
    </row>
    <row r="269" spans="1:13" ht="27">
      <c r="A269" s="68">
        <v>1</v>
      </c>
      <c r="B269" s="69" t="s">
        <v>636</v>
      </c>
      <c r="C269" s="61" t="s">
        <v>228</v>
      </c>
      <c r="D269" s="70" t="s">
        <v>26</v>
      </c>
      <c r="E269" s="149"/>
      <c r="F269" s="391">
        <f>(0.35*1+0.24+0.24)/10*8</f>
        <v>0.6639999999999999</v>
      </c>
      <c r="G269" s="70"/>
      <c r="H269" s="71"/>
      <c r="I269" s="70"/>
      <c r="J269" s="72"/>
      <c r="K269" s="70"/>
      <c r="L269" s="71"/>
      <c r="M269" s="72"/>
    </row>
    <row r="270" spans="1:21" s="44" customFormat="1" ht="13.5">
      <c r="A270" s="78"/>
      <c r="B270" s="60" t="s">
        <v>99</v>
      </c>
      <c r="C270" s="59"/>
      <c r="D270" s="62" t="s">
        <v>15</v>
      </c>
      <c r="E270" s="66">
        <v>106</v>
      </c>
      <c r="F270" s="383">
        <f>F269*E270</f>
        <v>70.38399999999999</v>
      </c>
      <c r="G270" s="59"/>
      <c r="H270" s="77"/>
      <c r="I270" s="59"/>
      <c r="J270" s="77"/>
      <c r="K270" s="59"/>
      <c r="L270" s="77"/>
      <c r="M270" s="77"/>
      <c r="N270" s="73"/>
      <c r="O270" s="73"/>
      <c r="P270" s="73"/>
      <c r="Q270" s="73"/>
      <c r="R270" s="73"/>
      <c r="S270" s="73"/>
      <c r="T270" s="73"/>
      <c r="U270" s="73"/>
    </row>
    <row r="271" spans="1:21" s="44" customFormat="1" ht="13.5">
      <c r="A271" s="75"/>
      <c r="B271" s="60" t="s">
        <v>25</v>
      </c>
      <c r="C271" s="59"/>
      <c r="D271" s="62" t="s">
        <v>0</v>
      </c>
      <c r="E271" s="59">
        <v>71.4</v>
      </c>
      <c r="F271" s="384">
        <f>E271*F269</f>
        <v>47.4096</v>
      </c>
      <c r="G271" s="59"/>
      <c r="H271" s="77"/>
      <c r="I271" s="59"/>
      <c r="J271" s="77"/>
      <c r="K271" s="59"/>
      <c r="L271" s="77"/>
      <c r="M271" s="77"/>
      <c r="N271" s="73"/>
      <c r="O271" s="73"/>
      <c r="P271" s="73"/>
      <c r="Q271" s="73"/>
      <c r="R271" s="73"/>
      <c r="S271" s="73"/>
      <c r="T271" s="73"/>
      <c r="U271" s="73"/>
    </row>
    <row r="272" spans="1:21" s="44" customFormat="1" ht="13.5">
      <c r="A272" s="59"/>
      <c r="B272" s="59" t="s">
        <v>23</v>
      </c>
      <c r="C272" s="59"/>
      <c r="D272" s="59"/>
      <c r="E272" s="87"/>
      <c r="F272" s="384"/>
      <c r="G272" s="62"/>
      <c r="H272" s="64"/>
      <c r="I272" s="62"/>
      <c r="J272" s="64"/>
      <c r="K272" s="62"/>
      <c r="L272" s="64"/>
      <c r="M272" s="77"/>
      <c r="N272" s="73"/>
      <c r="O272" s="73"/>
      <c r="P272" s="73"/>
      <c r="Q272" s="73"/>
      <c r="R272" s="73"/>
      <c r="S272" s="73"/>
      <c r="T272" s="73"/>
      <c r="U272" s="73"/>
    </row>
    <row r="273" spans="1:21" s="44" customFormat="1" ht="12" customHeight="1">
      <c r="A273" s="78"/>
      <c r="B273" s="60" t="s">
        <v>543</v>
      </c>
      <c r="C273" s="353" t="s">
        <v>513</v>
      </c>
      <c r="D273" s="62" t="s">
        <v>24</v>
      </c>
      <c r="E273" s="66"/>
      <c r="F273" s="383">
        <v>8</v>
      </c>
      <c r="G273" s="358"/>
      <c r="H273" s="82"/>
      <c r="I273" s="83"/>
      <c r="J273" s="126"/>
      <c r="K273" s="81"/>
      <c r="L273" s="82"/>
      <c r="M273" s="77"/>
      <c r="N273" s="73"/>
      <c r="O273" s="73"/>
      <c r="P273" s="73"/>
      <c r="Q273" s="73"/>
      <c r="R273" s="73"/>
      <c r="S273" s="73"/>
      <c r="T273" s="73"/>
      <c r="U273" s="73"/>
    </row>
    <row r="274" spans="1:21" s="44" customFormat="1" ht="14.25" customHeight="1">
      <c r="A274" s="78"/>
      <c r="B274" s="60" t="s">
        <v>229</v>
      </c>
      <c r="C274" s="353" t="s">
        <v>512</v>
      </c>
      <c r="D274" s="62" t="s">
        <v>24</v>
      </c>
      <c r="E274" s="66"/>
      <c r="F274" s="383">
        <v>8</v>
      </c>
      <c r="G274" s="358"/>
      <c r="H274" s="82"/>
      <c r="I274" s="83"/>
      <c r="J274" s="126"/>
      <c r="K274" s="81"/>
      <c r="L274" s="82"/>
      <c r="M274" s="77"/>
      <c r="N274" s="73"/>
      <c r="O274" s="73"/>
      <c r="P274" s="73"/>
      <c r="Q274" s="73"/>
      <c r="R274" s="73"/>
      <c r="S274" s="73"/>
      <c r="T274" s="73"/>
      <c r="U274" s="73"/>
    </row>
    <row r="275" spans="1:21" s="44" customFormat="1" ht="18" customHeight="1">
      <c r="A275" s="78"/>
      <c r="B275" s="60" t="s">
        <v>230</v>
      </c>
      <c r="C275" s="353" t="s">
        <v>544</v>
      </c>
      <c r="D275" s="62" t="s">
        <v>24</v>
      </c>
      <c r="E275" s="66"/>
      <c r="F275" s="383">
        <v>8</v>
      </c>
      <c r="G275" s="358"/>
      <c r="H275" s="82"/>
      <c r="I275" s="83"/>
      <c r="J275" s="126"/>
      <c r="K275" s="81"/>
      <c r="L275" s="82"/>
      <c r="M275" s="77"/>
      <c r="N275" s="73"/>
      <c r="O275" s="73"/>
      <c r="P275" s="73"/>
      <c r="Q275" s="73"/>
      <c r="R275" s="73"/>
      <c r="S275" s="73"/>
      <c r="T275" s="73"/>
      <c r="U275" s="73"/>
    </row>
    <row r="276" spans="1:21" s="44" customFormat="1" ht="13.5">
      <c r="A276" s="78"/>
      <c r="B276" s="65" t="s">
        <v>18</v>
      </c>
      <c r="C276" s="62"/>
      <c r="D276" s="62" t="s">
        <v>0</v>
      </c>
      <c r="E276" s="66">
        <v>66.1</v>
      </c>
      <c r="F276" s="383">
        <f>F269*E276</f>
        <v>43.89039999999999</v>
      </c>
      <c r="G276" s="81"/>
      <c r="H276" s="82"/>
      <c r="I276" s="83"/>
      <c r="J276" s="126"/>
      <c r="K276" s="81"/>
      <c r="L276" s="82"/>
      <c r="M276" s="77"/>
      <c r="N276" s="73"/>
      <c r="O276" s="73"/>
      <c r="P276" s="73"/>
      <c r="Q276" s="73"/>
      <c r="R276" s="73"/>
      <c r="S276" s="73"/>
      <c r="T276" s="73"/>
      <c r="U276" s="73"/>
    </row>
    <row r="277" spans="1:21" s="44" customFormat="1" ht="27">
      <c r="A277" s="68">
        <v>2</v>
      </c>
      <c r="B277" s="69" t="s">
        <v>635</v>
      </c>
      <c r="C277" s="61" t="s">
        <v>228</v>
      </c>
      <c r="D277" s="70" t="s">
        <v>26</v>
      </c>
      <c r="E277" s="149"/>
      <c r="F277" s="391">
        <f>(0.35*1.5+0.24+0.24)/10*5</f>
        <v>0.5025</v>
      </c>
      <c r="G277" s="70"/>
      <c r="H277" s="71"/>
      <c r="I277" s="70"/>
      <c r="J277" s="72"/>
      <c r="K277" s="70"/>
      <c r="L277" s="71"/>
      <c r="M277" s="72"/>
      <c r="N277" s="73"/>
      <c r="O277" s="73"/>
      <c r="P277" s="73"/>
      <c r="Q277" s="73"/>
      <c r="R277" s="73"/>
      <c r="S277" s="73"/>
      <c r="T277" s="73"/>
      <c r="U277" s="73"/>
    </row>
    <row r="278" spans="1:21" s="44" customFormat="1" ht="13.5">
      <c r="A278" s="150"/>
      <c r="B278" s="60" t="s">
        <v>99</v>
      </c>
      <c r="C278" s="59"/>
      <c r="D278" s="62" t="s">
        <v>15</v>
      </c>
      <c r="E278" s="66">
        <v>106</v>
      </c>
      <c r="F278" s="383">
        <f>F277*E278</f>
        <v>53.26499999999999</v>
      </c>
      <c r="G278" s="59"/>
      <c r="H278" s="77"/>
      <c r="I278" s="59"/>
      <c r="J278" s="77"/>
      <c r="K278" s="59"/>
      <c r="L278" s="77"/>
      <c r="M278" s="77"/>
      <c r="N278" s="73"/>
      <c r="O278" s="73"/>
      <c r="P278" s="73"/>
      <c r="Q278" s="73"/>
      <c r="R278" s="73"/>
      <c r="S278" s="73"/>
      <c r="T278" s="73"/>
      <c r="U278" s="73"/>
    </row>
    <row r="279" spans="1:21" s="44" customFormat="1" ht="13.5">
      <c r="A279" s="75"/>
      <c r="B279" s="60" t="s">
        <v>25</v>
      </c>
      <c r="C279" s="59"/>
      <c r="D279" s="62" t="s">
        <v>0</v>
      </c>
      <c r="E279" s="59">
        <v>71.4</v>
      </c>
      <c r="F279" s="384">
        <f>E279*F277</f>
        <v>35.8785</v>
      </c>
      <c r="G279" s="59"/>
      <c r="H279" s="77"/>
      <c r="I279" s="59"/>
      <c r="J279" s="77"/>
      <c r="K279" s="59"/>
      <c r="L279" s="77"/>
      <c r="M279" s="77"/>
      <c r="N279" s="73"/>
      <c r="O279" s="73"/>
      <c r="P279" s="73"/>
      <c r="Q279" s="73"/>
      <c r="R279" s="73"/>
      <c r="S279" s="73"/>
      <c r="T279" s="73"/>
      <c r="U279" s="73"/>
    </row>
    <row r="280" spans="1:21" s="44" customFormat="1" ht="13.5">
      <c r="A280" s="59"/>
      <c r="B280" s="59" t="s">
        <v>23</v>
      </c>
      <c r="C280" s="59"/>
      <c r="D280" s="59"/>
      <c r="E280" s="87"/>
      <c r="F280" s="384"/>
      <c r="G280" s="62"/>
      <c r="H280" s="64"/>
      <c r="I280" s="62"/>
      <c r="J280" s="64"/>
      <c r="K280" s="62"/>
      <c r="L280" s="64"/>
      <c r="M280" s="77"/>
      <c r="N280" s="73"/>
      <c r="O280" s="73"/>
      <c r="P280" s="73"/>
      <c r="Q280" s="73"/>
      <c r="R280" s="73"/>
      <c r="S280" s="73"/>
      <c r="T280" s="73"/>
      <c r="U280" s="73"/>
    </row>
    <row r="281" spans="1:21" s="44" customFormat="1" ht="13.5">
      <c r="A281" s="150"/>
      <c r="B281" s="60" t="s">
        <v>43</v>
      </c>
      <c r="C281" s="353" t="s">
        <v>514</v>
      </c>
      <c r="D281" s="62" t="s">
        <v>24</v>
      </c>
      <c r="E281" s="66"/>
      <c r="F281" s="383">
        <v>5</v>
      </c>
      <c r="G281" s="358"/>
      <c r="H281" s="82"/>
      <c r="I281" s="83"/>
      <c r="J281" s="126"/>
      <c r="K281" s="81"/>
      <c r="L281" s="82"/>
      <c r="M281" s="77"/>
      <c r="N281" s="73"/>
      <c r="O281" s="73"/>
      <c r="P281" s="73"/>
      <c r="Q281" s="73"/>
      <c r="R281" s="73"/>
      <c r="S281" s="73"/>
      <c r="T281" s="73"/>
      <c r="U281" s="73"/>
    </row>
    <row r="282" spans="1:21" s="44" customFormat="1" ht="13.5">
      <c r="A282" s="150"/>
      <c r="B282" s="60" t="s">
        <v>229</v>
      </c>
      <c r="C282" s="353" t="s">
        <v>545</v>
      </c>
      <c r="D282" s="62" t="s">
        <v>24</v>
      </c>
      <c r="E282" s="66"/>
      <c r="F282" s="383">
        <v>5</v>
      </c>
      <c r="G282" s="358"/>
      <c r="H282" s="82"/>
      <c r="I282" s="83"/>
      <c r="J282" s="126"/>
      <c r="K282" s="81"/>
      <c r="L282" s="82"/>
      <c r="M282" s="77"/>
      <c r="N282" s="73"/>
      <c r="O282" s="73"/>
      <c r="P282" s="73"/>
      <c r="Q282" s="73"/>
      <c r="R282" s="73"/>
      <c r="S282" s="73"/>
      <c r="T282" s="73"/>
      <c r="U282" s="73"/>
    </row>
    <row r="283" spans="1:21" s="44" customFormat="1" ht="13.5">
      <c r="A283" s="150"/>
      <c r="B283" s="60" t="s">
        <v>230</v>
      </c>
      <c r="C283" s="353" t="s">
        <v>546</v>
      </c>
      <c r="D283" s="62" t="s">
        <v>24</v>
      </c>
      <c r="E283" s="66"/>
      <c r="F283" s="383">
        <v>5</v>
      </c>
      <c r="G283" s="358"/>
      <c r="H283" s="82"/>
      <c r="I283" s="83"/>
      <c r="J283" s="126"/>
      <c r="K283" s="81"/>
      <c r="L283" s="82"/>
      <c r="M283" s="77"/>
      <c r="N283" s="73"/>
      <c r="O283" s="73"/>
      <c r="P283" s="73"/>
      <c r="Q283" s="73"/>
      <c r="R283" s="73"/>
      <c r="S283" s="73"/>
      <c r="T283" s="73"/>
      <c r="U283" s="73"/>
    </row>
    <row r="284" spans="1:21" s="44" customFormat="1" ht="13.5">
      <c r="A284" s="150"/>
      <c r="B284" s="65" t="s">
        <v>18</v>
      </c>
      <c r="C284" s="62"/>
      <c r="D284" s="62" t="s">
        <v>0</v>
      </c>
      <c r="E284" s="66">
        <v>66.1</v>
      </c>
      <c r="F284" s="383">
        <f>F277*E284</f>
        <v>33.21524999999999</v>
      </c>
      <c r="G284" s="81"/>
      <c r="H284" s="82"/>
      <c r="I284" s="83"/>
      <c r="J284" s="126"/>
      <c r="K284" s="81"/>
      <c r="L284" s="82"/>
      <c r="M284" s="77"/>
      <c r="N284" s="73"/>
      <c r="O284" s="73"/>
      <c r="P284" s="73"/>
      <c r="Q284" s="73"/>
      <c r="R284" s="73"/>
      <c r="S284" s="73"/>
      <c r="T284" s="73"/>
      <c r="U284" s="73"/>
    </row>
    <row r="285" spans="1:21" s="44" customFormat="1" ht="13.5">
      <c r="A285" s="59">
        <v>8</v>
      </c>
      <c r="B285" s="65" t="s">
        <v>637</v>
      </c>
      <c r="C285" s="75" t="s">
        <v>231</v>
      </c>
      <c r="D285" s="62" t="s">
        <v>24</v>
      </c>
      <c r="E285" s="62"/>
      <c r="F285" s="384">
        <v>8</v>
      </c>
      <c r="G285" s="92"/>
      <c r="H285" s="64"/>
      <c r="I285" s="62"/>
      <c r="J285" s="64"/>
      <c r="K285" s="62"/>
      <c r="L285" s="64"/>
      <c r="M285" s="64"/>
      <c r="N285" s="73"/>
      <c r="O285" s="73"/>
      <c r="P285" s="73"/>
      <c r="Q285" s="73"/>
      <c r="R285" s="73"/>
      <c r="S285" s="73"/>
      <c r="T285" s="73"/>
      <c r="U285" s="73"/>
    </row>
    <row r="286" spans="1:21" s="44" customFormat="1" ht="13.5">
      <c r="A286" s="59"/>
      <c r="B286" s="65" t="s">
        <v>12</v>
      </c>
      <c r="C286" s="59"/>
      <c r="D286" s="62" t="s">
        <v>15</v>
      </c>
      <c r="E286" s="62">
        <v>0.62</v>
      </c>
      <c r="F286" s="383">
        <f>F285*E286</f>
        <v>4.96</v>
      </c>
      <c r="G286" s="62"/>
      <c r="H286" s="64"/>
      <c r="I286" s="62"/>
      <c r="J286" s="64"/>
      <c r="K286" s="62"/>
      <c r="L286" s="64"/>
      <c r="M286" s="64"/>
      <c r="N286" s="73"/>
      <c r="O286" s="73"/>
      <c r="P286" s="73"/>
      <c r="Q286" s="73"/>
      <c r="R286" s="73"/>
      <c r="S286" s="73"/>
      <c r="T286" s="73"/>
      <c r="U286" s="73"/>
    </row>
    <row r="287" spans="1:21" s="44" customFormat="1" ht="13.5">
      <c r="A287" s="59"/>
      <c r="B287" s="65" t="s">
        <v>14</v>
      </c>
      <c r="C287" s="59"/>
      <c r="D287" s="59" t="s">
        <v>0</v>
      </c>
      <c r="E287" s="62">
        <v>0.85</v>
      </c>
      <c r="F287" s="386">
        <f>E287*F285</f>
        <v>6.8</v>
      </c>
      <c r="G287" s="62"/>
      <c r="H287" s="64"/>
      <c r="I287" s="62"/>
      <c r="J287" s="64"/>
      <c r="K287" s="62"/>
      <c r="L287" s="64"/>
      <c r="M287" s="64"/>
      <c r="N287" s="73"/>
      <c r="O287" s="73"/>
      <c r="P287" s="73"/>
      <c r="Q287" s="73"/>
      <c r="R287" s="73"/>
      <c r="S287" s="73"/>
      <c r="T287" s="73"/>
      <c r="U287" s="73"/>
    </row>
    <row r="288" spans="1:21" s="44" customFormat="1" ht="13.5">
      <c r="A288" s="78"/>
      <c r="B288" s="59" t="s">
        <v>192</v>
      </c>
      <c r="C288" s="79"/>
      <c r="D288" s="59"/>
      <c r="E288" s="59"/>
      <c r="F288" s="384"/>
      <c r="G288" s="59"/>
      <c r="H288" s="77"/>
      <c r="I288" s="62"/>
      <c r="J288" s="77"/>
      <c r="K288" s="59"/>
      <c r="L288" s="77"/>
      <c r="M288" s="77"/>
      <c r="N288" s="73"/>
      <c r="O288" s="73"/>
      <c r="P288" s="73"/>
      <c r="Q288" s="73"/>
      <c r="R288" s="73"/>
      <c r="S288" s="73"/>
      <c r="T288" s="73"/>
      <c r="U288" s="73"/>
    </row>
    <row r="289" spans="1:21" s="44" customFormat="1" ht="13.5">
      <c r="A289" s="78"/>
      <c r="B289" s="86" t="s">
        <v>638</v>
      </c>
      <c r="C289" s="79"/>
      <c r="D289" s="59" t="s">
        <v>24</v>
      </c>
      <c r="E289" s="59">
        <v>1</v>
      </c>
      <c r="F289" s="384">
        <f>E289*F285</f>
        <v>8</v>
      </c>
      <c r="G289" s="63"/>
      <c r="H289" s="77"/>
      <c r="I289" s="62"/>
      <c r="J289" s="77"/>
      <c r="K289" s="59"/>
      <c r="L289" s="77"/>
      <c r="M289" s="77"/>
      <c r="N289" s="73"/>
      <c r="O289" s="73"/>
      <c r="P289" s="73"/>
      <c r="Q289" s="73"/>
      <c r="R289" s="73"/>
      <c r="S289" s="73"/>
      <c r="T289" s="73"/>
      <c r="U289" s="73"/>
    </row>
    <row r="290" spans="1:21" s="44" customFormat="1" ht="13.5">
      <c r="A290" s="78"/>
      <c r="B290" s="65" t="s">
        <v>18</v>
      </c>
      <c r="C290" s="79"/>
      <c r="D290" s="59" t="s">
        <v>0</v>
      </c>
      <c r="E290" s="59">
        <v>0.04</v>
      </c>
      <c r="F290" s="384">
        <f>E290*F285</f>
        <v>0.32</v>
      </c>
      <c r="G290" s="59"/>
      <c r="H290" s="77"/>
      <c r="I290" s="62"/>
      <c r="J290" s="77"/>
      <c r="K290" s="59"/>
      <c r="L290" s="77"/>
      <c r="M290" s="77"/>
      <c r="N290" s="73"/>
      <c r="O290" s="73"/>
      <c r="P290" s="73"/>
      <c r="Q290" s="73"/>
      <c r="R290" s="73"/>
      <c r="S290" s="73"/>
      <c r="T290" s="73"/>
      <c r="U290" s="73"/>
    </row>
    <row r="291" spans="1:21" s="44" customFormat="1" ht="13.5">
      <c r="A291" s="59">
        <v>8</v>
      </c>
      <c r="B291" s="65" t="s">
        <v>263</v>
      </c>
      <c r="C291" s="75" t="s">
        <v>231</v>
      </c>
      <c r="D291" s="62" t="s">
        <v>24</v>
      </c>
      <c r="E291" s="62"/>
      <c r="F291" s="384">
        <v>8</v>
      </c>
      <c r="G291" s="92"/>
      <c r="H291" s="64"/>
      <c r="I291" s="62"/>
      <c r="J291" s="64"/>
      <c r="K291" s="62"/>
      <c r="L291" s="64"/>
      <c r="M291" s="64"/>
      <c r="N291" s="73"/>
      <c r="O291" s="73"/>
      <c r="P291" s="73"/>
      <c r="Q291" s="73"/>
      <c r="R291" s="73"/>
      <c r="S291" s="73"/>
      <c r="T291" s="73"/>
      <c r="U291" s="73"/>
    </row>
    <row r="292" spans="1:21" s="44" customFormat="1" ht="13.5">
      <c r="A292" s="59"/>
      <c r="B292" s="65" t="s">
        <v>12</v>
      </c>
      <c r="C292" s="59"/>
      <c r="D292" s="62" t="s">
        <v>15</v>
      </c>
      <c r="E292" s="62">
        <v>0.62</v>
      </c>
      <c r="F292" s="383">
        <f>F291*E292</f>
        <v>4.96</v>
      </c>
      <c r="G292" s="62"/>
      <c r="H292" s="64"/>
      <c r="I292" s="62"/>
      <c r="J292" s="64"/>
      <c r="K292" s="62"/>
      <c r="L292" s="64"/>
      <c r="M292" s="64"/>
      <c r="N292" s="73"/>
      <c r="O292" s="73"/>
      <c r="P292" s="73"/>
      <c r="Q292" s="73"/>
      <c r="R292" s="73"/>
      <c r="S292" s="73"/>
      <c r="T292" s="73"/>
      <c r="U292" s="73"/>
    </row>
    <row r="293" spans="1:21" s="44" customFormat="1" ht="13.5">
      <c r="A293" s="59"/>
      <c r="B293" s="65" t="s">
        <v>14</v>
      </c>
      <c r="C293" s="59"/>
      <c r="D293" s="59" t="s">
        <v>0</v>
      </c>
      <c r="E293" s="62">
        <v>0.41</v>
      </c>
      <c r="F293" s="386">
        <f>E293*F291</f>
        <v>3.28</v>
      </c>
      <c r="G293" s="62"/>
      <c r="H293" s="64"/>
      <c r="I293" s="62"/>
      <c r="J293" s="64"/>
      <c r="K293" s="62"/>
      <c r="L293" s="64"/>
      <c r="M293" s="64"/>
      <c r="N293" s="73"/>
      <c r="O293" s="73"/>
      <c r="P293" s="73"/>
      <c r="Q293" s="73"/>
      <c r="R293" s="73"/>
      <c r="S293" s="73"/>
      <c r="T293" s="73"/>
      <c r="U293" s="73"/>
    </row>
    <row r="294" spans="1:21" s="44" customFormat="1" ht="13.5">
      <c r="A294" s="150"/>
      <c r="B294" s="59" t="s">
        <v>192</v>
      </c>
      <c r="C294" s="79"/>
      <c r="D294" s="59"/>
      <c r="E294" s="59"/>
      <c r="F294" s="384"/>
      <c r="G294" s="59"/>
      <c r="H294" s="77"/>
      <c r="I294" s="62"/>
      <c r="J294" s="77"/>
      <c r="K294" s="59"/>
      <c r="L294" s="77"/>
      <c r="M294" s="77"/>
      <c r="N294" s="73"/>
      <c r="O294" s="73"/>
      <c r="P294" s="73"/>
      <c r="Q294" s="73"/>
      <c r="R294" s="73"/>
      <c r="S294" s="73"/>
      <c r="T294" s="73"/>
      <c r="U294" s="73"/>
    </row>
    <row r="295" spans="1:21" s="44" customFormat="1" ht="13.5">
      <c r="A295" s="150"/>
      <c r="B295" s="86" t="s">
        <v>264</v>
      </c>
      <c r="C295" s="79" t="s">
        <v>251</v>
      </c>
      <c r="D295" s="59" t="s">
        <v>24</v>
      </c>
      <c r="E295" s="59">
        <v>1</v>
      </c>
      <c r="F295" s="384">
        <f>E295*F291</f>
        <v>8</v>
      </c>
      <c r="G295" s="63"/>
      <c r="H295" s="77"/>
      <c r="I295" s="62"/>
      <c r="J295" s="77"/>
      <c r="K295" s="59"/>
      <c r="L295" s="77"/>
      <c r="M295" s="77"/>
      <c r="N295" s="73"/>
      <c r="O295" s="73"/>
      <c r="P295" s="73"/>
      <c r="Q295" s="73"/>
      <c r="R295" s="73"/>
      <c r="S295" s="73"/>
      <c r="T295" s="73"/>
      <c r="U295" s="73"/>
    </row>
    <row r="296" spans="1:21" s="44" customFormat="1" ht="13.5">
      <c r="A296" s="150"/>
      <c r="B296" s="65" t="s">
        <v>18</v>
      </c>
      <c r="C296" s="79"/>
      <c r="D296" s="59" t="s">
        <v>0</v>
      </c>
      <c r="E296" s="59">
        <v>0.04</v>
      </c>
      <c r="F296" s="384">
        <f>E296*F291</f>
        <v>0.32</v>
      </c>
      <c r="G296" s="59"/>
      <c r="H296" s="77"/>
      <c r="I296" s="62"/>
      <c r="J296" s="77"/>
      <c r="K296" s="59"/>
      <c r="L296" s="77"/>
      <c r="M296" s="77"/>
      <c r="N296" s="73"/>
      <c r="O296" s="73"/>
      <c r="P296" s="73"/>
      <c r="Q296" s="73"/>
      <c r="R296" s="73"/>
      <c r="S296" s="73"/>
      <c r="T296" s="73"/>
      <c r="U296" s="73"/>
    </row>
    <row r="297" spans="1:21" s="44" customFormat="1" ht="13.5">
      <c r="A297" s="59">
        <v>8</v>
      </c>
      <c r="B297" s="65" t="s">
        <v>232</v>
      </c>
      <c r="C297" s="75" t="s">
        <v>231</v>
      </c>
      <c r="D297" s="62" t="s">
        <v>24</v>
      </c>
      <c r="E297" s="62"/>
      <c r="F297" s="384">
        <v>8</v>
      </c>
      <c r="G297" s="92"/>
      <c r="H297" s="64"/>
      <c r="I297" s="62"/>
      <c r="J297" s="64"/>
      <c r="K297" s="62"/>
      <c r="L297" s="64"/>
      <c r="M297" s="64"/>
      <c r="N297" s="73"/>
      <c r="O297" s="73"/>
      <c r="P297" s="73"/>
      <c r="Q297" s="73"/>
      <c r="R297" s="73"/>
      <c r="S297" s="73"/>
      <c r="T297" s="73"/>
      <c r="U297" s="73"/>
    </row>
    <row r="298" spans="1:21" s="44" customFormat="1" ht="13.5">
      <c r="A298" s="59"/>
      <c r="B298" s="65" t="s">
        <v>12</v>
      </c>
      <c r="C298" s="59"/>
      <c r="D298" s="62" t="s">
        <v>15</v>
      </c>
      <c r="E298" s="62">
        <v>0.62</v>
      </c>
      <c r="F298" s="383">
        <f>F297*E298</f>
        <v>4.96</v>
      </c>
      <c r="G298" s="62"/>
      <c r="H298" s="64"/>
      <c r="I298" s="62"/>
      <c r="J298" s="64"/>
      <c r="K298" s="62"/>
      <c r="L298" s="64"/>
      <c r="M298" s="64"/>
      <c r="N298" s="73"/>
      <c r="O298" s="73"/>
      <c r="P298" s="73"/>
      <c r="Q298" s="73"/>
      <c r="R298" s="73"/>
      <c r="S298" s="73"/>
      <c r="T298" s="73"/>
      <c r="U298" s="73"/>
    </row>
    <row r="299" spans="1:21" s="44" customFormat="1" ht="13.5">
      <c r="A299" s="59"/>
      <c r="B299" s="65" t="s">
        <v>14</v>
      </c>
      <c r="C299" s="59"/>
      <c r="D299" s="59" t="s">
        <v>0</v>
      </c>
      <c r="E299" s="62">
        <v>0.85</v>
      </c>
      <c r="F299" s="386">
        <f>E299*F297</f>
        <v>6.8</v>
      </c>
      <c r="G299" s="62"/>
      <c r="H299" s="64"/>
      <c r="I299" s="62"/>
      <c r="J299" s="64"/>
      <c r="K299" s="62"/>
      <c r="L299" s="64"/>
      <c r="M299" s="64"/>
      <c r="N299" s="73"/>
      <c r="O299" s="73"/>
      <c r="P299" s="73"/>
      <c r="Q299" s="73"/>
      <c r="R299" s="73"/>
      <c r="S299" s="73"/>
      <c r="T299" s="73"/>
      <c r="U299" s="73"/>
    </row>
    <row r="300" spans="1:21" s="44" customFormat="1" ht="13.5">
      <c r="A300" s="78"/>
      <c r="B300" s="59" t="s">
        <v>192</v>
      </c>
      <c r="C300" s="79"/>
      <c r="D300" s="59"/>
      <c r="E300" s="59"/>
      <c r="F300" s="384"/>
      <c r="G300" s="59"/>
      <c r="H300" s="77"/>
      <c r="I300" s="62"/>
      <c r="J300" s="77"/>
      <c r="K300" s="59"/>
      <c r="L300" s="77"/>
      <c r="M300" s="77"/>
      <c r="N300" s="73"/>
      <c r="O300" s="73"/>
      <c r="P300" s="73"/>
      <c r="Q300" s="73"/>
      <c r="R300" s="73"/>
      <c r="S300" s="73"/>
      <c r="T300" s="73"/>
      <c r="U300" s="73"/>
    </row>
    <row r="301" spans="1:21" s="44" customFormat="1" ht="13.5">
      <c r="A301" s="78"/>
      <c r="B301" s="86" t="s">
        <v>233</v>
      </c>
      <c r="C301" s="79"/>
      <c r="D301" s="59" t="s">
        <v>24</v>
      </c>
      <c r="E301" s="59">
        <v>1</v>
      </c>
      <c r="F301" s="384">
        <f>E301*F297</f>
        <v>8</v>
      </c>
      <c r="G301" s="63"/>
      <c r="H301" s="77"/>
      <c r="I301" s="62"/>
      <c r="J301" s="77"/>
      <c r="K301" s="59"/>
      <c r="L301" s="77"/>
      <c r="M301" s="77"/>
      <c r="N301" s="73"/>
      <c r="O301" s="73"/>
      <c r="P301" s="73"/>
      <c r="Q301" s="73"/>
      <c r="R301" s="73"/>
      <c r="S301" s="73"/>
      <c r="T301" s="73"/>
      <c r="U301" s="73"/>
    </row>
    <row r="302" spans="1:21" s="44" customFormat="1" ht="13.5">
      <c r="A302" s="78"/>
      <c r="B302" s="65" t="s">
        <v>18</v>
      </c>
      <c r="C302" s="79"/>
      <c r="D302" s="59" t="s">
        <v>0</v>
      </c>
      <c r="E302" s="59">
        <v>0.04</v>
      </c>
      <c r="F302" s="384">
        <f>E302*F297</f>
        <v>0.32</v>
      </c>
      <c r="G302" s="59"/>
      <c r="H302" s="77"/>
      <c r="I302" s="62"/>
      <c r="J302" s="77"/>
      <c r="K302" s="59"/>
      <c r="L302" s="77"/>
      <c r="M302" s="77"/>
      <c r="N302" s="73"/>
      <c r="O302" s="73"/>
      <c r="P302" s="73"/>
      <c r="Q302" s="73"/>
      <c r="R302" s="73"/>
      <c r="S302" s="73"/>
      <c r="T302" s="73"/>
      <c r="U302" s="73"/>
    </row>
    <row r="303" spans="1:21" s="44" customFormat="1" ht="13.5">
      <c r="A303" s="59">
        <v>9</v>
      </c>
      <c r="B303" s="65" t="s">
        <v>265</v>
      </c>
      <c r="C303" s="75" t="s">
        <v>234</v>
      </c>
      <c r="D303" s="62" t="s">
        <v>24</v>
      </c>
      <c r="E303" s="62"/>
      <c r="F303" s="384">
        <v>4</v>
      </c>
      <c r="G303" s="92"/>
      <c r="H303" s="64"/>
      <c r="I303" s="62"/>
      <c r="J303" s="64"/>
      <c r="K303" s="62"/>
      <c r="L303" s="64"/>
      <c r="M303" s="64"/>
      <c r="N303" s="73"/>
      <c r="O303" s="73"/>
      <c r="P303" s="73"/>
      <c r="Q303" s="73"/>
      <c r="R303" s="73"/>
      <c r="S303" s="73"/>
      <c r="T303" s="73"/>
      <c r="U303" s="73"/>
    </row>
    <row r="304" spans="1:21" s="44" customFormat="1" ht="13.5">
      <c r="A304" s="59"/>
      <c r="B304" s="65" t="s">
        <v>12</v>
      </c>
      <c r="C304" s="59"/>
      <c r="D304" s="62" t="s">
        <v>15</v>
      </c>
      <c r="E304" s="62">
        <v>0.48</v>
      </c>
      <c r="F304" s="383">
        <f>F303*E304</f>
        <v>1.92</v>
      </c>
      <c r="G304" s="62"/>
      <c r="H304" s="64"/>
      <c r="I304" s="62"/>
      <c r="J304" s="64"/>
      <c r="K304" s="62"/>
      <c r="L304" s="64"/>
      <c r="M304" s="64"/>
      <c r="N304" s="73"/>
      <c r="O304" s="73"/>
      <c r="P304" s="73"/>
      <c r="Q304" s="73"/>
      <c r="R304" s="73"/>
      <c r="S304" s="73"/>
      <c r="T304" s="73"/>
      <c r="U304" s="73"/>
    </row>
    <row r="305" spans="1:21" s="44" customFormat="1" ht="13.5">
      <c r="A305" s="59"/>
      <c r="B305" s="65" t="s">
        <v>14</v>
      </c>
      <c r="C305" s="59"/>
      <c r="D305" s="59" t="s">
        <v>0</v>
      </c>
      <c r="E305" s="62">
        <v>0.31</v>
      </c>
      <c r="F305" s="386">
        <f>E305*F303</f>
        <v>1.24</v>
      </c>
      <c r="G305" s="62"/>
      <c r="H305" s="64"/>
      <c r="I305" s="62"/>
      <c r="J305" s="64"/>
      <c r="K305" s="62"/>
      <c r="L305" s="64"/>
      <c r="M305" s="64"/>
      <c r="N305" s="73"/>
      <c r="O305" s="73"/>
      <c r="P305" s="73"/>
      <c r="Q305" s="73"/>
      <c r="R305" s="73"/>
      <c r="S305" s="73"/>
      <c r="T305" s="73"/>
      <c r="U305" s="73"/>
    </row>
    <row r="306" spans="1:21" s="44" customFormat="1" ht="13.5">
      <c r="A306" s="78"/>
      <c r="B306" s="59" t="s">
        <v>192</v>
      </c>
      <c r="C306" s="79"/>
      <c r="D306" s="59"/>
      <c r="E306" s="59"/>
      <c r="F306" s="384"/>
      <c r="G306" s="59"/>
      <c r="H306" s="77"/>
      <c r="I306" s="62"/>
      <c r="J306" s="77"/>
      <c r="K306" s="59"/>
      <c r="L306" s="77"/>
      <c r="M306" s="77"/>
      <c r="N306" s="73"/>
      <c r="O306" s="73"/>
      <c r="P306" s="73"/>
      <c r="Q306" s="73"/>
      <c r="R306" s="73"/>
      <c r="S306" s="73"/>
      <c r="T306" s="73"/>
      <c r="U306" s="73"/>
    </row>
    <row r="307" spans="1:21" s="44" customFormat="1" ht="13.5">
      <c r="A307" s="78"/>
      <c r="B307" s="86" t="s">
        <v>266</v>
      </c>
      <c r="C307" s="79"/>
      <c r="D307" s="59" t="s">
        <v>24</v>
      </c>
      <c r="E307" s="59">
        <v>1</v>
      </c>
      <c r="F307" s="384">
        <f>E307*F303</f>
        <v>4</v>
      </c>
      <c r="G307" s="63"/>
      <c r="H307" s="77"/>
      <c r="I307" s="62"/>
      <c r="J307" s="77"/>
      <c r="K307" s="59"/>
      <c r="L307" s="77"/>
      <c r="M307" s="77"/>
      <c r="N307" s="73"/>
      <c r="O307" s="73"/>
      <c r="P307" s="73"/>
      <c r="Q307" s="73"/>
      <c r="R307" s="73"/>
      <c r="S307" s="73"/>
      <c r="T307" s="73"/>
      <c r="U307" s="73"/>
    </row>
    <row r="308" spans="1:21" s="44" customFormat="1" ht="13.5">
      <c r="A308" s="78"/>
      <c r="B308" s="65" t="s">
        <v>18</v>
      </c>
      <c r="C308" s="79"/>
      <c r="D308" s="59" t="s">
        <v>0</v>
      </c>
      <c r="E308" s="59">
        <v>0.02</v>
      </c>
      <c r="F308" s="384">
        <f>E308*F303</f>
        <v>0.08</v>
      </c>
      <c r="G308" s="59"/>
      <c r="H308" s="77"/>
      <c r="I308" s="62"/>
      <c r="J308" s="77"/>
      <c r="K308" s="59"/>
      <c r="L308" s="77"/>
      <c r="M308" s="77"/>
      <c r="N308" s="73"/>
      <c r="O308" s="73"/>
      <c r="P308" s="73"/>
      <c r="Q308" s="73"/>
      <c r="R308" s="73"/>
      <c r="S308" s="73"/>
      <c r="T308" s="73"/>
      <c r="U308" s="73"/>
    </row>
    <row r="309" spans="1:21" s="44" customFormat="1" ht="13.5">
      <c r="A309" s="59">
        <v>10</v>
      </c>
      <c r="B309" s="65" t="s">
        <v>267</v>
      </c>
      <c r="C309" s="75" t="s">
        <v>234</v>
      </c>
      <c r="D309" s="62" t="s">
        <v>24</v>
      </c>
      <c r="E309" s="62"/>
      <c r="F309" s="384">
        <v>2</v>
      </c>
      <c r="G309" s="92"/>
      <c r="H309" s="64"/>
      <c r="I309" s="62"/>
      <c r="J309" s="64"/>
      <c r="K309" s="62"/>
      <c r="L309" s="64"/>
      <c r="M309" s="64"/>
      <c r="N309" s="73"/>
      <c r="O309" s="73"/>
      <c r="P309" s="73"/>
      <c r="Q309" s="73"/>
      <c r="R309" s="73"/>
      <c r="S309" s="73"/>
      <c r="T309" s="73"/>
      <c r="U309" s="73"/>
    </row>
    <row r="310" spans="1:21" s="44" customFormat="1" ht="13.5">
      <c r="A310" s="59"/>
      <c r="B310" s="65" t="s">
        <v>12</v>
      </c>
      <c r="C310" s="59"/>
      <c r="D310" s="62" t="s">
        <v>15</v>
      </c>
      <c r="E310" s="62">
        <v>0.48</v>
      </c>
      <c r="F310" s="383">
        <f>F309*E310</f>
        <v>0.96</v>
      </c>
      <c r="G310" s="62"/>
      <c r="H310" s="64"/>
      <c r="I310" s="62"/>
      <c r="J310" s="64"/>
      <c r="K310" s="62"/>
      <c r="L310" s="64"/>
      <c r="M310" s="64"/>
      <c r="N310" s="73"/>
      <c r="O310" s="73"/>
      <c r="P310" s="73"/>
      <c r="Q310" s="73"/>
      <c r="R310" s="73"/>
      <c r="S310" s="73"/>
      <c r="T310" s="73"/>
      <c r="U310" s="73"/>
    </row>
    <row r="311" spans="1:21" s="44" customFormat="1" ht="13.5">
      <c r="A311" s="59"/>
      <c r="B311" s="65" t="s">
        <v>14</v>
      </c>
      <c r="C311" s="59"/>
      <c r="D311" s="59" t="s">
        <v>0</v>
      </c>
      <c r="E311" s="62">
        <v>0.31</v>
      </c>
      <c r="F311" s="386">
        <f>E311*F309</f>
        <v>0.62</v>
      </c>
      <c r="G311" s="62"/>
      <c r="H311" s="64"/>
      <c r="I311" s="62"/>
      <c r="J311" s="64"/>
      <c r="K311" s="62"/>
      <c r="L311" s="64"/>
      <c r="M311" s="64"/>
      <c r="N311" s="73"/>
      <c r="O311" s="73"/>
      <c r="P311" s="73"/>
      <c r="Q311" s="73"/>
      <c r="R311" s="73"/>
      <c r="S311" s="73"/>
      <c r="T311" s="73"/>
      <c r="U311" s="73"/>
    </row>
    <row r="312" spans="1:21" s="44" customFormat="1" ht="13.5">
      <c r="A312" s="150"/>
      <c r="B312" s="59" t="s">
        <v>192</v>
      </c>
      <c r="C312" s="79"/>
      <c r="D312" s="59"/>
      <c r="E312" s="59"/>
      <c r="F312" s="384"/>
      <c r="G312" s="59"/>
      <c r="H312" s="77"/>
      <c r="I312" s="62"/>
      <c r="J312" s="77"/>
      <c r="K312" s="59"/>
      <c r="L312" s="77"/>
      <c r="M312" s="77"/>
      <c r="N312" s="73"/>
      <c r="O312" s="73"/>
      <c r="P312" s="73"/>
      <c r="Q312" s="73"/>
      <c r="R312" s="73"/>
      <c r="S312" s="73"/>
      <c r="T312" s="73"/>
      <c r="U312" s="73"/>
    </row>
    <row r="313" spans="1:21" s="44" customFormat="1" ht="13.5">
      <c r="A313" s="150"/>
      <c r="B313" s="86" t="s">
        <v>268</v>
      </c>
      <c r="C313" s="79" t="s">
        <v>251</v>
      </c>
      <c r="D313" s="59" t="s">
        <v>24</v>
      </c>
      <c r="E313" s="59">
        <v>1</v>
      </c>
      <c r="F313" s="384">
        <f>E313*F309</f>
        <v>2</v>
      </c>
      <c r="G313" s="63"/>
      <c r="H313" s="77"/>
      <c r="I313" s="62"/>
      <c r="J313" s="77"/>
      <c r="K313" s="59"/>
      <c r="L313" s="77"/>
      <c r="M313" s="77"/>
      <c r="N313" s="73"/>
      <c r="O313" s="73"/>
      <c r="P313" s="73"/>
      <c r="Q313" s="73"/>
      <c r="R313" s="73"/>
      <c r="S313" s="73"/>
      <c r="T313" s="73"/>
      <c r="U313" s="73"/>
    </row>
    <row r="314" spans="1:21" s="44" customFormat="1" ht="13.5">
      <c r="A314" s="150"/>
      <c r="B314" s="65" t="s">
        <v>18</v>
      </c>
      <c r="C314" s="79"/>
      <c r="D314" s="59" t="s">
        <v>0</v>
      </c>
      <c r="E314" s="59">
        <v>0.02</v>
      </c>
      <c r="F314" s="384">
        <f>E314*F309</f>
        <v>0.04</v>
      </c>
      <c r="G314" s="59"/>
      <c r="H314" s="77"/>
      <c r="I314" s="62"/>
      <c r="J314" s="77"/>
      <c r="K314" s="59"/>
      <c r="L314" s="77"/>
      <c r="M314" s="77"/>
      <c r="N314" s="73"/>
      <c r="O314" s="73"/>
      <c r="P314" s="73"/>
      <c r="Q314" s="73"/>
      <c r="R314" s="73"/>
      <c r="S314" s="73"/>
      <c r="T314" s="73"/>
      <c r="U314" s="73"/>
    </row>
    <row r="315" spans="1:21" s="44" customFormat="1" ht="13.5">
      <c r="A315" s="59">
        <v>13</v>
      </c>
      <c r="B315" s="65" t="s">
        <v>639</v>
      </c>
      <c r="C315" s="75" t="s">
        <v>231</v>
      </c>
      <c r="D315" s="62" t="s">
        <v>24</v>
      </c>
      <c r="E315" s="62"/>
      <c r="F315" s="384">
        <v>8</v>
      </c>
      <c r="G315" s="92"/>
      <c r="H315" s="64"/>
      <c r="I315" s="62"/>
      <c r="J315" s="64"/>
      <c r="K315" s="62"/>
      <c r="L315" s="64"/>
      <c r="M315" s="64"/>
      <c r="N315" s="73"/>
      <c r="O315" s="73"/>
      <c r="P315" s="73"/>
      <c r="Q315" s="73"/>
      <c r="R315" s="73"/>
      <c r="S315" s="73"/>
      <c r="T315" s="73"/>
      <c r="U315" s="73"/>
    </row>
    <row r="316" spans="1:21" s="44" customFormat="1" ht="13.5">
      <c r="A316" s="59"/>
      <c r="B316" s="65" t="s">
        <v>12</v>
      </c>
      <c r="C316" s="59"/>
      <c r="D316" s="62" t="s">
        <v>15</v>
      </c>
      <c r="E316" s="62">
        <v>0.62</v>
      </c>
      <c r="F316" s="383">
        <f>F315*E316</f>
        <v>4.96</v>
      </c>
      <c r="G316" s="62"/>
      <c r="H316" s="64"/>
      <c r="I316" s="62"/>
      <c r="J316" s="64"/>
      <c r="K316" s="62"/>
      <c r="L316" s="64"/>
      <c r="M316" s="64"/>
      <c r="N316" s="73"/>
      <c r="O316" s="73"/>
      <c r="P316" s="73"/>
      <c r="Q316" s="73"/>
      <c r="R316" s="73"/>
      <c r="S316" s="73"/>
      <c r="T316" s="73"/>
      <c r="U316" s="73"/>
    </row>
    <row r="317" spans="1:21" s="44" customFormat="1" ht="13.5">
      <c r="A317" s="59"/>
      <c r="B317" s="65" t="s">
        <v>14</v>
      </c>
      <c r="C317" s="59"/>
      <c r="D317" s="59" t="s">
        <v>0</v>
      </c>
      <c r="E317" s="62">
        <v>0.41</v>
      </c>
      <c r="F317" s="386">
        <f>E317*F315</f>
        <v>3.28</v>
      </c>
      <c r="G317" s="62"/>
      <c r="H317" s="64"/>
      <c r="I317" s="62"/>
      <c r="J317" s="64"/>
      <c r="K317" s="62"/>
      <c r="L317" s="64"/>
      <c r="M317" s="64"/>
      <c r="N317" s="73"/>
      <c r="O317" s="73"/>
      <c r="P317" s="73"/>
      <c r="Q317" s="73"/>
      <c r="R317" s="73"/>
      <c r="S317" s="73"/>
      <c r="T317" s="73"/>
      <c r="U317" s="73"/>
    </row>
    <row r="318" spans="1:21" s="44" customFormat="1" ht="13.5">
      <c r="A318" s="150"/>
      <c r="B318" s="59" t="s">
        <v>192</v>
      </c>
      <c r="C318" s="79"/>
      <c r="D318" s="59"/>
      <c r="E318" s="59"/>
      <c r="F318" s="384"/>
      <c r="G318" s="59"/>
      <c r="H318" s="77"/>
      <c r="I318" s="62"/>
      <c r="J318" s="77"/>
      <c r="K318" s="59"/>
      <c r="L318" s="77"/>
      <c r="M318" s="77"/>
      <c r="N318" s="73"/>
      <c r="O318" s="73"/>
      <c r="P318" s="73"/>
      <c r="Q318" s="73"/>
      <c r="R318" s="73"/>
      <c r="S318" s="73"/>
      <c r="T318" s="73"/>
      <c r="U318" s="73"/>
    </row>
    <row r="319" spans="1:21" s="44" customFormat="1" ht="13.5">
      <c r="A319" s="150"/>
      <c r="B319" s="86" t="s">
        <v>640</v>
      </c>
      <c r="C319" s="79" t="s">
        <v>251</v>
      </c>
      <c r="D319" s="59" t="s">
        <v>24</v>
      </c>
      <c r="E319" s="59">
        <v>1</v>
      </c>
      <c r="F319" s="384">
        <f>E319*F315</f>
        <v>8</v>
      </c>
      <c r="G319" s="63"/>
      <c r="H319" s="77"/>
      <c r="I319" s="62"/>
      <c r="J319" s="77"/>
      <c r="K319" s="59"/>
      <c r="L319" s="77"/>
      <c r="M319" s="77"/>
      <c r="N319" s="73"/>
      <c r="O319" s="73"/>
      <c r="P319" s="73"/>
      <c r="Q319" s="73"/>
      <c r="R319" s="73"/>
      <c r="S319" s="73"/>
      <c r="T319" s="73"/>
      <c r="U319" s="73"/>
    </row>
    <row r="320" spans="1:21" s="44" customFormat="1" ht="13.5">
      <c r="A320" s="150"/>
      <c r="B320" s="65" t="s">
        <v>18</v>
      </c>
      <c r="C320" s="79"/>
      <c r="D320" s="59" t="s">
        <v>0</v>
      </c>
      <c r="E320" s="59">
        <v>0.04</v>
      </c>
      <c r="F320" s="384">
        <f>E320*F315</f>
        <v>0.32</v>
      </c>
      <c r="G320" s="59"/>
      <c r="H320" s="77"/>
      <c r="I320" s="62"/>
      <c r="J320" s="77"/>
      <c r="K320" s="59"/>
      <c r="L320" s="77"/>
      <c r="M320" s="77"/>
      <c r="N320" s="73"/>
      <c r="O320" s="73"/>
      <c r="P320" s="73"/>
      <c r="Q320" s="73"/>
      <c r="R320" s="73"/>
      <c r="S320" s="73"/>
      <c r="T320" s="73"/>
      <c r="U320" s="73"/>
    </row>
    <row r="321" spans="1:21" s="44" customFormat="1" ht="13.5">
      <c r="A321" s="59">
        <v>13</v>
      </c>
      <c r="B321" s="65" t="s">
        <v>269</v>
      </c>
      <c r="C321" s="75" t="s">
        <v>231</v>
      </c>
      <c r="D321" s="62" t="s">
        <v>24</v>
      </c>
      <c r="E321" s="62"/>
      <c r="F321" s="384">
        <v>8</v>
      </c>
      <c r="G321" s="92"/>
      <c r="H321" s="64"/>
      <c r="I321" s="62"/>
      <c r="J321" s="64"/>
      <c r="K321" s="62"/>
      <c r="L321" s="64"/>
      <c r="M321" s="64"/>
      <c r="N321" s="73"/>
      <c r="O321" s="73"/>
      <c r="P321" s="73"/>
      <c r="Q321" s="73"/>
      <c r="R321" s="73"/>
      <c r="S321" s="73"/>
      <c r="T321" s="73"/>
      <c r="U321" s="73"/>
    </row>
    <row r="322" spans="1:21" s="44" customFormat="1" ht="13.5">
      <c r="A322" s="59"/>
      <c r="B322" s="65" t="s">
        <v>12</v>
      </c>
      <c r="C322" s="59"/>
      <c r="D322" s="62" t="s">
        <v>15</v>
      </c>
      <c r="E322" s="62">
        <v>0.62</v>
      </c>
      <c r="F322" s="383">
        <f>F321*E322</f>
        <v>4.96</v>
      </c>
      <c r="G322" s="62"/>
      <c r="H322" s="64"/>
      <c r="I322" s="62"/>
      <c r="J322" s="64"/>
      <c r="K322" s="62"/>
      <c r="L322" s="64"/>
      <c r="M322" s="64"/>
      <c r="N322" s="73"/>
      <c r="O322" s="73"/>
      <c r="P322" s="73"/>
      <c r="Q322" s="73"/>
      <c r="R322" s="73"/>
      <c r="S322" s="73"/>
      <c r="T322" s="73"/>
      <c r="U322" s="73"/>
    </row>
    <row r="323" spans="1:21" s="44" customFormat="1" ht="13.5">
      <c r="A323" s="59"/>
      <c r="B323" s="65" t="s">
        <v>14</v>
      </c>
      <c r="C323" s="59"/>
      <c r="D323" s="59" t="s">
        <v>0</v>
      </c>
      <c r="E323" s="62">
        <v>0.41</v>
      </c>
      <c r="F323" s="386">
        <f>E323*F321</f>
        <v>3.28</v>
      </c>
      <c r="G323" s="62"/>
      <c r="H323" s="64"/>
      <c r="I323" s="62"/>
      <c r="J323" s="64"/>
      <c r="K323" s="62"/>
      <c r="L323" s="64"/>
      <c r="M323" s="64"/>
      <c r="N323" s="73"/>
      <c r="O323" s="73"/>
      <c r="P323" s="73"/>
      <c r="Q323" s="73"/>
      <c r="R323" s="73"/>
      <c r="S323" s="73"/>
      <c r="T323" s="73"/>
      <c r="U323" s="73"/>
    </row>
    <row r="324" spans="1:21" s="44" customFormat="1" ht="13.5">
      <c r="A324" s="150"/>
      <c r="B324" s="59" t="s">
        <v>192</v>
      </c>
      <c r="C324" s="79"/>
      <c r="D324" s="59"/>
      <c r="E324" s="59"/>
      <c r="F324" s="384"/>
      <c r="G324" s="59"/>
      <c r="H324" s="77"/>
      <c r="I324" s="62"/>
      <c r="J324" s="77"/>
      <c r="K324" s="59"/>
      <c r="L324" s="77"/>
      <c r="M324" s="77"/>
      <c r="N324" s="73"/>
      <c r="O324" s="73"/>
      <c r="P324" s="73"/>
      <c r="Q324" s="73"/>
      <c r="R324" s="73"/>
      <c r="S324" s="73"/>
      <c r="T324" s="73"/>
      <c r="U324" s="73"/>
    </row>
    <row r="325" spans="1:21" s="44" customFormat="1" ht="13.5">
      <c r="A325" s="150"/>
      <c r="B325" s="86" t="s">
        <v>270</v>
      </c>
      <c r="C325" s="79" t="s">
        <v>251</v>
      </c>
      <c r="D325" s="59" t="s">
        <v>24</v>
      </c>
      <c r="E325" s="59">
        <v>1</v>
      </c>
      <c r="F325" s="384">
        <f>E325*F321</f>
        <v>8</v>
      </c>
      <c r="G325" s="63"/>
      <c r="H325" s="77"/>
      <c r="I325" s="62"/>
      <c r="J325" s="77"/>
      <c r="K325" s="59"/>
      <c r="L325" s="77"/>
      <c r="M325" s="77"/>
      <c r="N325" s="73"/>
      <c r="O325" s="73"/>
      <c r="P325" s="73"/>
      <c r="Q325" s="73"/>
      <c r="R325" s="73"/>
      <c r="S325" s="73"/>
      <c r="T325" s="73"/>
      <c r="U325" s="73"/>
    </row>
    <row r="326" spans="1:21" s="44" customFormat="1" ht="13.5">
      <c r="A326" s="150"/>
      <c r="B326" s="65" t="s">
        <v>18</v>
      </c>
      <c r="C326" s="79"/>
      <c r="D326" s="59" t="s">
        <v>0</v>
      </c>
      <c r="E326" s="59">
        <v>0.04</v>
      </c>
      <c r="F326" s="384">
        <f>E326*F321</f>
        <v>0.32</v>
      </c>
      <c r="G326" s="59"/>
      <c r="H326" s="77"/>
      <c r="I326" s="62"/>
      <c r="J326" s="77"/>
      <c r="K326" s="59"/>
      <c r="L326" s="77"/>
      <c r="M326" s="77"/>
      <c r="N326" s="73"/>
      <c r="O326" s="73"/>
      <c r="P326" s="73"/>
      <c r="Q326" s="73"/>
      <c r="R326" s="73"/>
      <c r="S326" s="73"/>
      <c r="T326" s="73"/>
      <c r="U326" s="73"/>
    </row>
    <row r="327" spans="1:256" s="128" customFormat="1" ht="13.5">
      <c r="A327" s="59">
        <v>13</v>
      </c>
      <c r="B327" s="65" t="s">
        <v>235</v>
      </c>
      <c r="C327" s="75" t="s">
        <v>231</v>
      </c>
      <c r="D327" s="62" t="s">
        <v>24</v>
      </c>
      <c r="E327" s="62"/>
      <c r="F327" s="384">
        <v>8</v>
      </c>
      <c r="G327" s="92"/>
      <c r="H327" s="64"/>
      <c r="I327" s="62"/>
      <c r="J327" s="64"/>
      <c r="K327" s="62"/>
      <c r="L327" s="64"/>
      <c r="M327" s="64"/>
      <c r="N327" s="73"/>
      <c r="O327" s="73"/>
      <c r="P327" s="73"/>
      <c r="Q327" s="73"/>
      <c r="R327" s="73"/>
      <c r="S327" s="73"/>
      <c r="T327" s="73"/>
      <c r="U327" s="73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  <c r="IM327" s="44"/>
      <c r="IN327" s="44"/>
      <c r="IO327" s="44"/>
      <c r="IP327" s="44"/>
      <c r="IQ327" s="44"/>
      <c r="IR327" s="44"/>
      <c r="IS327" s="44"/>
      <c r="IT327" s="44"/>
      <c r="IU327" s="44"/>
      <c r="IV327" s="44"/>
    </row>
    <row r="328" spans="1:256" s="128" customFormat="1" ht="13.5">
      <c r="A328" s="59"/>
      <c r="B328" s="65" t="s">
        <v>12</v>
      </c>
      <c r="C328" s="59"/>
      <c r="D328" s="62" t="s">
        <v>15</v>
      </c>
      <c r="E328" s="62">
        <v>0.62</v>
      </c>
      <c r="F328" s="383">
        <f>F327*E328</f>
        <v>4.96</v>
      </c>
      <c r="G328" s="62"/>
      <c r="H328" s="64"/>
      <c r="I328" s="62"/>
      <c r="J328" s="64"/>
      <c r="K328" s="62"/>
      <c r="L328" s="64"/>
      <c r="M328" s="64"/>
      <c r="N328" s="73"/>
      <c r="O328" s="73"/>
      <c r="P328" s="73"/>
      <c r="Q328" s="73"/>
      <c r="R328" s="73"/>
      <c r="S328" s="73"/>
      <c r="T328" s="73"/>
      <c r="U328" s="73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  <c r="IM328" s="44"/>
      <c r="IN328" s="44"/>
      <c r="IO328" s="44"/>
      <c r="IP328" s="44"/>
      <c r="IQ328" s="44"/>
      <c r="IR328" s="44"/>
      <c r="IS328" s="44"/>
      <c r="IT328" s="44"/>
      <c r="IU328" s="44"/>
      <c r="IV328" s="44"/>
    </row>
    <row r="329" spans="1:256" s="128" customFormat="1" ht="13.5">
      <c r="A329" s="59"/>
      <c r="B329" s="65" t="s">
        <v>14</v>
      </c>
      <c r="C329" s="59"/>
      <c r="D329" s="59" t="s">
        <v>0</v>
      </c>
      <c r="E329" s="62">
        <v>0.85</v>
      </c>
      <c r="F329" s="386">
        <f>E329*F327</f>
        <v>6.8</v>
      </c>
      <c r="G329" s="62"/>
      <c r="H329" s="64"/>
      <c r="I329" s="62"/>
      <c r="J329" s="64"/>
      <c r="K329" s="62"/>
      <c r="L329" s="64"/>
      <c r="M329" s="64"/>
      <c r="N329" s="73"/>
      <c r="O329" s="73"/>
      <c r="P329" s="73"/>
      <c r="Q329" s="73"/>
      <c r="R329" s="73"/>
      <c r="S329" s="73"/>
      <c r="T329" s="73"/>
      <c r="U329" s="73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  <c r="IM329" s="44"/>
      <c r="IN329" s="44"/>
      <c r="IO329" s="44"/>
      <c r="IP329" s="44"/>
      <c r="IQ329" s="44"/>
      <c r="IR329" s="44"/>
      <c r="IS329" s="44"/>
      <c r="IT329" s="44"/>
      <c r="IU329" s="44"/>
      <c r="IV329" s="44"/>
    </row>
    <row r="330" spans="1:256" s="128" customFormat="1" ht="13.5">
      <c r="A330" s="78"/>
      <c r="B330" s="59" t="s">
        <v>192</v>
      </c>
      <c r="C330" s="79"/>
      <c r="D330" s="59"/>
      <c r="E330" s="59"/>
      <c r="F330" s="384"/>
      <c r="G330" s="59"/>
      <c r="H330" s="77"/>
      <c r="I330" s="62"/>
      <c r="J330" s="77"/>
      <c r="K330" s="59"/>
      <c r="L330" s="77"/>
      <c r="M330" s="77"/>
      <c r="N330" s="73"/>
      <c r="O330" s="73"/>
      <c r="P330" s="73"/>
      <c r="Q330" s="73"/>
      <c r="R330" s="73"/>
      <c r="S330" s="73"/>
      <c r="T330" s="73"/>
      <c r="U330" s="73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  <c r="IM330" s="44"/>
      <c r="IN330" s="44"/>
      <c r="IO330" s="44"/>
      <c r="IP330" s="44"/>
      <c r="IQ330" s="44"/>
      <c r="IR330" s="44"/>
      <c r="IS330" s="44"/>
      <c r="IT330" s="44"/>
      <c r="IU330" s="44"/>
      <c r="IV330" s="44"/>
    </row>
    <row r="331" spans="1:256" s="128" customFormat="1" ht="13.5">
      <c r="A331" s="78"/>
      <c r="B331" s="86" t="s">
        <v>236</v>
      </c>
      <c r="C331" s="79"/>
      <c r="D331" s="59" t="s">
        <v>24</v>
      </c>
      <c r="E331" s="59">
        <v>1</v>
      </c>
      <c r="F331" s="384">
        <f>E331*F327</f>
        <v>8</v>
      </c>
      <c r="G331" s="63"/>
      <c r="H331" s="77"/>
      <c r="I331" s="62"/>
      <c r="J331" s="77"/>
      <c r="K331" s="59"/>
      <c r="L331" s="77"/>
      <c r="M331" s="77"/>
      <c r="N331" s="73"/>
      <c r="O331" s="73"/>
      <c r="P331" s="73"/>
      <c r="Q331" s="73"/>
      <c r="R331" s="73"/>
      <c r="S331" s="73"/>
      <c r="T331" s="73"/>
      <c r="U331" s="73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  <c r="IM331" s="44"/>
      <c r="IN331" s="44"/>
      <c r="IO331" s="44"/>
      <c r="IP331" s="44"/>
      <c r="IQ331" s="44"/>
      <c r="IR331" s="44"/>
      <c r="IS331" s="44"/>
      <c r="IT331" s="44"/>
      <c r="IU331" s="44"/>
      <c r="IV331" s="44"/>
    </row>
    <row r="332" spans="1:256" s="128" customFormat="1" ht="13.5">
      <c r="A332" s="78"/>
      <c r="B332" s="65" t="s">
        <v>18</v>
      </c>
      <c r="C332" s="79"/>
      <c r="D332" s="59" t="s">
        <v>0</v>
      </c>
      <c r="E332" s="59">
        <v>0.04</v>
      </c>
      <c r="F332" s="384">
        <f>E332*F327</f>
        <v>0.32</v>
      </c>
      <c r="G332" s="59"/>
      <c r="H332" s="77"/>
      <c r="I332" s="62"/>
      <c r="J332" s="77"/>
      <c r="K332" s="59"/>
      <c r="L332" s="77"/>
      <c r="M332" s="77"/>
      <c r="N332" s="73"/>
      <c r="O332" s="73"/>
      <c r="P332" s="73"/>
      <c r="Q332" s="73"/>
      <c r="R332" s="73"/>
      <c r="S332" s="73"/>
      <c r="T332" s="73"/>
      <c r="U332" s="73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  <c r="IM332" s="44"/>
      <c r="IN332" s="44"/>
      <c r="IO332" s="44"/>
      <c r="IP332" s="44"/>
      <c r="IQ332" s="44"/>
      <c r="IR332" s="44"/>
      <c r="IS332" s="44"/>
      <c r="IT332" s="44"/>
      <c r="IU332" s="44"/>
      <c r="IV332" s="44"/>
    </row>
    <row r="333" spans="1:256" s="128" customFormat="1" ht="13.5">
      <c r="A333" s="59">
        <v>15</v>
      </c>
      <c r="B333" s="65" t="s">
        <v>271</v>
      </c>
      <c r="C333" s="75" t="s">
        <v>234</v>
      </c>
      <c r="D333" s="62" t="s">
        <v>24</v>
      </c>
      <c r="E333" s="62"/>
      <c r="F333" s="384">
        <v>4</v>
      </c>
      <c r="G333" s="92"/>
      <c r="H333" s="64"/>
      <c r="I333" s="62"/>
      <c r="J333" s="64"/>
      <c r="K333" s="62"/>
      <c r="L333" s="64"/>
      <c r="M333" s="64"/>
      <c r="N333" s="73"/>
      <c r="O333" s="73"/>
      <c r="P333" s="73"/>
      <c r="Q333" s="73"/>
      <c r="R333" s="73"/>
      <c r="S333" s="73"/>
      <c r="T333" s="73"/>
      <c r="U333" s="73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  <c r="IM333" s="44"/>
      <c r="IN333" s="44"/>
      <c r="IO333" s="44"/>
      <c r="IP333" s="44"/>
      <c r="IQ333" s="44"/>
      <c r="IR333" s="44"/>
      <c r="IS333" s="44"/>
      <c r="IT333" s="44"/>
      <c r="IU333" s="44"/>
      <c r="IV333" s="44"/>
    </row>
    <row r="334" spans="1:256" s="128" customFormat="1" ht="13.5">
      <c r="A334" s="59"/>
      <c r="B334" s="65" t="s">
        <v>12</v>
      </c>
      <c r="C334" s="59"/>
      <c r="D334" s="62" t="s">
        <v>15</v>
      </c>
      <c r="E334" s="62">
        <v>0.48</v>
      </c>
      <c r="F334" s="383">
        <f>F333*E334</f>
        <v>1.92</v>
      </c>
      <c r="G334" s="62"/>
      <c r="H334" s="64"/>
      <c r="I334" s="62"/>
      <c r="J334" s="64"/>
      <c r="K334" s="62"/>
      <c r="L334" s="64"/>
      <c r="M334" s="64"/>
      <c r="N334" s="73"/>
      <c r="O334" s="73"/>
      <c r="P334" s="73"/>
      <c r="Q334" s="73"/>
      <c r="R334" s="73"/>
      <c r="S334" s="73"/>
      <c r="T334" s="73"/>
      <c r="U334" s="73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  <c r="IM334" s="44"/>
      <c r="IN334" s="44"/>
      <c r="IO334" s="44"/>
      <c r="IP334" s="44"/>
      <c r="IQ334" s="44"/>
      <c r="IR334" s="44"/>
      <c r="IS334" s="44"/>
      <c r="IT334" s="44"/>
      <c r="IU334" s="44"/>
      <c r="IV334" s="44"/>
    </row>
    <row r="335" spans="1:256" s="128" customFormat="1" ht="13.5">
      <c r="A335" s="59"/>
      <c r="B335" s="65" t="s">
        <v>14</v>
      </c>
      <c r="C335" s="59"/>
      <c r="D335" s="59" t="s">
        <v>0</v>
      </c>
      <c r="E335" s="62">
        <v>0.31</v>
      </c>
      <c r="F335" s="386">
        <f>E335*F333</f>
        <v>1.24</v>
      </c>
      <c r="G335" s="62"/>
      <c r="H335" s="64"/>
      <c r="I335" s="62"/>
      <c r="J335" s="64"/>
      <c r="K335" s="62"/>
      <c r="L335" s="64"/>
      <c r="M335" s="64"/>
      <c r="N335" s="73"/>
      <c r="O335" s="73"/>
      <c r="P335" s="73"/>
      <c r="Q335" s="73"/>
      <c r="R335" s="73"/>
      <c r="S335" s="73"/>
      <c r="T335" s="73"/>
      <c r="U335" s="73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  <c r="IM335" s="44"/>
      <c r="IN335" s="44"/>
      <c r="IO335" s="44"/>
      <c r="IP335" s="44"/>
      <c r="IQ335" s="44"/>
      <c r="IR335" s="44"/>
      <c r="IS335" s="44"/>
      <c r="IT335" s="44"/>
      <c r="IU335" s="44"/>
      <c r="IV335" s="44"/>
    </row>
    <row r="336" spans="1:256" s="128" customFormat="1" ht="13.5">
      <c r="A336" s="150"/>
      <c r="B336" s="59" t="s">
        <v>192</v>
      </c>
      <c r="C336" s="79"/>
      <c r="D336" s="59"/>
      <c r="E336" s="59"/>
      <c r="F336" s="384"/>
      <c r="G336" s="59"/>
      <c r="H336" s="77"/>
      <c r="I336" s="62"/>
      <c r="J336" s="77"/>
      <c r="K336" s="59"/>
      <c r="L336" s="77"/>
      <c r="M336" s="77"/>
      <c r="N336" s="73"/>
      <c r="O336" s="73"/>
      <c r="P336" s="73"/>
      <c r="Q336" s="73"/>
      <c r="R336" s="73"/>
      <c r="S336" s="73"/>
      <c r="T336" s="73"/>
      <c r="U336" s="73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  <c r="IM336" s="44"/>
      <c r="IN336" s="44"/>
      <c r="IO336" s="44"/>
      <c r="IP336" s="44"/>
      <c r="IQ336" s="44"/>
      <c r="IR336" s="44"/>
      <c r="IS336" s="44"/>
      <c r="IT336" s="44"/>
      <c r="IU336" s="44"/>
      <c r="IV336" s="44"/>
    </row>
    <row r="337" spans="1:256" s="128" customFormat="1" ht="13.5">
      <c r="A337" s="150"/>
      <c r="B337" s="86" t="s">
        <v>272</v>
      </c>
      <c r="C337" s="79" t="s">
        <v>251</v>
      </c>
      <c r="D337" s="59" t="s">
        <v>24</v>
      </c>
      <c r="E337" s="59">
        <v>1</v>
      </c>
      <c r="F337" s="384">
        <f>E337*F333</f>
        <v>4</v>
      </c>
      <c r="G337" s="63"/>
      <c r="H337" s="77"/>
      <c r="I337" s="62"/>
      <c r="J337" s="77"/>
      <c r="K337" s="59"/>
      <c r="L337" s="77"/>
      <c r="M337" s="77"/>
      <c r="N337" s="73"/>
      <c r="O337" s="73"/>
      <c r="P337" s="73"/>
      <c r="Q337" s="73"/>
      <c r="R337" s="73"/>
      <c r="S337" s="73"/>
      <c r="T337" s="73"/>
      <c r="U337" s="73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  <c r="IM337" s="44"/>
      <c r="IN337" s="44"/>
      <c r="IO337" s="44"/>
      <c r="IP337" s="44"/>
      <c r="IQ337" s="44"/>
      <c r="IR337" s="44"/>
      <c r="IS337" s="44"/>
      <c r="IT337" s="44"/>
      <c r="IU337" s="44"/>
      <c r="IV337" s="44"/>
    </row>
    <row r="338" spans="1:256" s="128" customFormat="1" ht="13.5">
      <c r="A338" s="150"/>
      <c r="B338" s="65" t="s">
        <v>18</v>
      </c>
      <c r="C338" s="79"/>
      <c r="D338" s="59" t="s">
        <v>0</v>
      </c>
      <c r="E338" s="59">
        <v>0.02</v>
      </c>
      <c r="F338" s="384">
        <f>E338*F333</f>
        <v>0.08</v>
      </c>
      <c r="G338" s="59"/>
      <c r="H338" s="77"/>
      <c r="I338" s="62"/>
      <c r="J338" s="77"/>
      <c r="K338" s="59"/>
      <c r="L338" s="77"/>
      <c r="M338" s="77"/>
      <c r="N338" s="73"/>
      <c r="O338" s="73"/>
      <c r="P338" s="73"/>
      <c r="Q338" s="73"/>
      <c r="R338" s="73"/>
      <c r="S338" s="73"/>
      <c r="T338" s="73"/>
      <c r="U338" s="73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  <c r="IM338" s="44"/>
      <c r="IN338" s="44"/>
      <c r="IO338" s="44"/>
      <c r="IP338" s="44"/>
      <c r="IQ338" s="44"/>
      <c r="IR338" s="44"/>
      <c r="IS338" s="44"/>
      <c r="IT338" s="44"/>
      <c r="IU338" s="44"/>
      <c r="IV338" s="44"/>
    </row>
    <row r="339" spans="1:256" s="128" customFormat="1" ht="13.5">
      <c r="A339" s="59">
        <v>15</v>
      </c>
      <c r="B339" s="65" t="s">
        <v>273</v>
      </c>
      <c r="C339" s="75" t="s">
        <v>274</v>
      </c>
      <c r="D339" s="62" t="s">
        <v>24</v>
      </c>
      <c r="E339" s="62"/>
      <c r="F339" s="384">
        <v>2</v>
      </c>
      <c r="G339" s="92"/>
      <c r="H339" s="64"/>
      <c r="I339" s="62"/>
      <c r="J339" s="64"/>
      <c r="K339" s="62"/>
      <c r="L339" s="64"/>
      <c r="M339" s="64"/>
      <c r="N339" s="73"/>
      <c r="O339" s="73"/>
      <c r="P339" s="73"/>
      <c r="Q339" s="73"/>
      <c r="R339" s="73"/>
      <c r="S339" s="73"/>
      <c r="T339" s="73"/>
      <c r="U339" s="73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  <c r="IM339" s="44"/>
      <c r="IN339" s="44"/>
      <c r="IO339" s="44"/>
      <c r="IP339" s="44"/>
      <c r="IQ339" s="44"/>
      <c r="IR339" s="44"/>
      <c r="IS339" s="44"/>
      <c r="IT339" s="44"/>
      <c r="IU339" s="44"/>
      <c r="IV339" s="44"/>
    </row>
    <row r="340" spans="1:256" s="128" customFormat="1" ht="13.5">
      <c r="A340" s="59"/>
      <c r="B340" s="65" t="s">
        <v>12</v>
      </c>
      <c r="C340" s="59"/>
      <c r="D340" s="62" t="s">
        <v>15</v>
      </c>
      <c r="E340" s="62">
        <v>0.35</v>
      </c>
      <c r="F340" s="383">
        <f>F339*E340</f>
        <v>0.7</v>
      </c>
      <c r="G340" s="62"/>
      <c r="H340" s="64"/>
      <c r="I340" s="62"/>
      <c r="J340" s="64"/>
      <c r="K340" s="62"/>
      <c r="L340" s="64"/>
      <c r="M340" s="64"/>
      <c r="N340" s="73"/>
      <c r="O340" s="73"/>
      <c r="P340" s="73"/>
      <c r="Q340" s="73"/>
      <c r="R340" s="73"/>
      <c r="S340" s="73"/>
      <c r="T340" s="73"/>
      <c r="U340" s="73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  <c r="IM340" s="44"/>
      <c r="IN340" s="44"/>
      <c r="IO340" s="44"/>
      <c r="IP340" s="44"/>
      <c r="IQ340" s="44"/>
      <c r="IR340" s="44"/>
      <c r="IS340" s="44"/>
      <c r="IT340" s="44"/>
      <c r="IU340" s="44"/>
      <c r="IV340" s="44"/>
    </row>
    <row r="341" spans="1:256" s="128" customFormat="1" ht="13.5">
      <c r="A341" s="59"/>
      <c r="B341" s="65" t="s">
        <v>14</v>
      </c>
      <c r="C341" s="59"/>
      <c r="D341" s="59" t="s">
        <v>0</v>
      </c>
      <c r="E341" s="62">
        <v>0.23</v>
      </c>
      <c r="F341" s="386">
        <f>E341*F339</f>
        <v>0.46</v>
      </c>
      <c r="G341" s="62"/>
      <c r="H341" s="64"/>
      <c r="I341" s="62"/>
      <c r="J341" s="64"/>
      <c r="K341" s="62"/>
      <c r="L341" s="64"/>
      <c r="M341" s="64"/>
      <c r="N341" s="73"/>
      <c r="O341" s="73"/>
      <c r="P341" s="73"/>
      <c r="Q341" s="73"/>
      <c r="R341" s="73"/>
      <c r="S341" s="73"/>
      <c r="T341" s="73"/>
      <c r="U341" s="73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  <c r="IM341" s="44"/>
      <c r="IN341" s="44"/>
      <c r="IO341" s="44"/>
      <c r="IP341" s="44"/>
      <c r="IQ341" s="44"/>
      <c r="IR341" s="44"/>
      <c r="IS341" s="44"/>
      <c r="IT341" s="44"/>
      <c r="IU341" s="44"/>
      <c r="IV341" s="44"/>
    </row>
    <row r="342" spans="1:256" s="128" customFormat="1" ht="13.5">
      <c r="A342" s="150"/>
      <c r="B342" s="59" t="s">
        <v>192</v>
      </c>
      <c r="C342" s="79"/>
      <c r="D342" s="59"/>
      <c r="E342" s="59"/>
      <c r="F342" s="384"/>
      <c r="G342" s="59"/>
      <c r="H342" s="77"/>
      <c r="I342" s="62"/>
      <c r="J342" s="77"/>
      <c r="K342" s="59"/>
      <c r="L342" s="77"/>
      <c r="M342" s="77"/>
      <c r="N342" s="73"/>
      <c r="O342" s="73"/>
      <c r="P342" s="73"/>
      <c r="Q342" s="73"/>
      <c r="R342" s="73"/>
      <c r="S342" s="73"/>
      <c r="T342" s="73"/>
      <c r="U342" s="73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  <c r="IM342" s="44"/>
      <c r="IN342" s="44"/>
      <c r="IO342" s="44"/>
      <c r="IP342" s="44"/>
      <c r="IQ342" s="44"/>
      <c r="IR342" s="44"/>
      <c r="IS342" s="44"/>
      <c r="IT342" s="44"/>
      <c r="IU342" s="44"/>
      <c r="IV342" s="44"/>
    </row>
    <row r="343" spans="1:256" s="128" customFormat="1" ht="13.5">
      <c r="A343" s="150"/>
      <c r="B343" s="86" t="s">
        <v>275</v>
      </c>
      <c r="C343" s="79" t="s">
        <v>251</v>
      </c>
      <c r="D343" s="59" t="s">
        <v>24</v>
      </c>
      <c r="E343" s="59">
        <v>1</v>
      </c>
      <c r="F343" s="384">
        <f>E343*F339</f>
        <v>2</v>
      </c>
      <c r="G343" s="63"/>
      <c r="H343" s="77"/>
      <c r="I343" s="62"/>
      <c r="J343" s="77"/>
      <c r="K343" s="59"/>
      <c r="L343" s="77"/>
      <c r="M343" s="77"/>
      <c r="N343" s="73"/>
      <c r="O343" s="73"/>
      <c r="P343" s="73"/>
      <c r="Q343" s="73"/>
      <c r="R343" s="73"/>
      <c r="S343" s="73"/>
      <c r="T343" s="73"/>
      <c r="U343" s="73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  <c r="IL343" s="44"/>
      <c r="IM343" s="44"/>
      <c r="IN343" s="44"/>
      <c r="IO343" s="44"/>
      <c r="IP343" s="44"/>
      <c r="IQ343" s="44"/>
      <c r="IR343" s="44"/>
      <c r="IS343" s="44"/>
      <c r="IT343" s="44"/>
      <c r="IU343" s="44"/>
      <c r="IV343" s="44"/>
    </row>
    <row r="344" spans="1:256" s="128" customFormat="1" ht="13.5">
      <c r="A344" s="150"/>
      <c r="B344" s="65" t="s">
        <v>18</v>
      </c>
      <c r="C344" s="79"/>
      <c r="D344" s="59" t="s">
        <v>0</v>
      </c>
      <c r="E344" s="59">
        <v>0.01</v>
      </c>
      <c r="F344" s="384">
        <f>E344*F339</f>
        <v>0.02</v>
      </c>
      <c r="G344" s="59"/>
      <c r="H344" s="77"/>
      <c r="I344" s="62"/>
      <c r="J344" s="77"/>
      <c r="K344" s="59"/>
      <c r="L344" s="77"/>
      <c r="M344" s="77"/>
      <c r="N344" s="73"/>
      <c r="O344" s="73"/>
      <c r="P344" s="73"/>
      <c r="Q344" s="73"/>
      <c r="R344" s="73"/>
      <c r="S344" s="73"/>
      <c r="T344" s="73"/>
      <c r="U344" s="73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  <c r="IM344" s="44"/>
      <c r="IN344" s="44"/>
      <c r="IO344" s="44"/>
      <c r="IP344" s="44"/>
      <c r="IQ344" s="44"/>
      <c r="IR344" s="44"/>
      <c r="IS344" s="44"/>
      <c r="IT344" s="44"/>
      <c r="IU344" s="44"/>
      <c r="IV344" s="44"/>
    </row>
    <row r="345" spans="1:256" s="128" customFormat="1" ht="13.5">
      <c r="A345" s="101">
        <v>18</v>
      </c>
      <c r="B345" s="65" t="s">
        <v>641</v>
      </c>
      <c r="C345" s="61" t="s">
        <v>276</v>
      </c>
      <c r="D345" s="59" t="s">
        <v>24</v>
      </c>
      <c r="E345" s="59"/>
      <c r="F345" s="396">
        <v>4</v>
      </c>
      <c r="G345" s="102"/>
      <c r="H345" s="103"/>
      <c r="I345" s="101"/>
      <c r="J345" s="103"/>
      <c r="K345" s="101"/>
      <c r="L345" s="103"/>
      <c r="M345" s="103"/>
      <c r="N345" s="73"/>
      <c r="O345" s="73"/>
      <c r="P345" s="73"/>
      <c r="Q345" s="73"/>
      <c r="R345" s="73"/>
      <c r="S345" s="73"/>
      <c r="T345" s="73"/>
      <c r="U345" s="73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  <c r="IM345" s="44"/>
      <c r="IN345" s="44"/>
      <c r="IO345" s="44"/>
      <c r="IP345" s="44"/>
      <c r="IQ345" s="44"/>
      <c r="IR345" s="44"/>
      <c r="IS345" s="44"/>
      <c r="IT345" s="44"/>
      <c r="IU345" s="44"/>
      <c r="IV345" s="44"/>
    </row>
    <row r="346" spans="1:256" s="128" customFormat="1" ht="13.5">
      <c r="A346" s="101"/>
      <c r="B346" s="105" t="s">
        <v>108</v>
      </c>
      <c r="C346" s="127"/>
      <c r="D346" s="101" t="s">
        <v>15</v>
      </c>
      <c r="E346" s="59">
        <v>2.29</v>
      </c>
      <c r="F346" s="397">
        <f>F345*E346</f>
        <v>9.16</v>
      </c>
      <c r="G346" s="106"/>
      <c r="H346" s="107"/>
      <c r="I346" s="101"/>
      <c r="J346" s="103"/>
      <c r="K346" s="101"/>
      <c r="L346" s="103"/>
      <c r="M346" s="103"/>
      <c r="N346" s="73"/>
      <c r="O346" s="73"/>
      <c r="P346" s="73"/>
      <c r="Q346" s="73"/>
      <c r="R346" s="73"/>
      <c r="S346" s="73"/>
      <c r="T346" s="73"/>
      <c r="U346" s="73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  <c r="IL346" s="44"/>
      <c r="IM346" s="44"/>
      <c r="IN346" s="44"/>
      <c r="IO346" s="44"/>
      <c r="IP346" s="44"/>
      <c r="IQ346" s="44"/>
      <c r="IR346" s="44"/>
      <c r="IS346" s="44"/>
      <c r="IT346" s="44"/>
      <c r="IU346" s="44"/>
      <c r="IV346" s="44"/>
    </row>
    <row r="347" spans="1:256" s="128" customFormat="1" ht="13.5">
      <c r="A347" s="101"/>
      <c r="B347" s="105" t="s">
        <v>109</v>
      </c>
      <c r="C347" s="108"/>
      <c r="D347" s="101" t="s">
        <v>0</v>
      </c>
      <c r="E347" s="59">
        <v>0.09</v>
      </c>
      <c r="F347" s="397">
        <f>F345*E347</f>
        <v>0.36</v>
      </c>
      <c r="G347" s="101"/>
      <c r="H347" s="103"/>
      <c r="I347" s="101"/>
      <c r="J347" s="103"/>
      <c r="K347" s="101"/>
      <c r="L347" s="103"/>
      <c r="M347" s="103"/>
      <c r="N347" s="73"/>
      <c r="O347" s="73"/>
      <c r="P347" s="73"/>
      <c r="Q347" s="73"/>
      <c r="R347" s="73"/>
      <c r="S347" s="73"/>
      <c r="T347" s="73"/>
      <c r="U347" s="73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  <c r="IM347" s="44"/>
      <c r="IN347" s="44"/>
      <c r="IO347" s="44"/>
      <c r="IP347" s="44"/>
      <c r="IQ347" s="44"/>
      <c r="IR347" s="44"/>
      <c r="IS347" s="44"/>
      <c r="IT347" s="44"/>
      <c r="IU347" s="44"/>
      <c r="IV347" s="44"/>
    </row>
    <row r="348" spans="1:256" s="128" customFormat="1" ht="13.5">
      <c r="A348" s="101"/>
      <c r="B348" s="59" t="s">
        <v>192</v>
      </c>
      <c r="C348" s="108"/>
      <c r="D348" s="101"/>
      <c r="E348" s="59"/>
      <c r="F348" s="398"/>
      <c r="G348" s="101"/>
      <c r="H348" s="103"/>
      <c r="I348" s="101"/>
      <c r="J348" s="103"/>
      <c r="K348" s="101"/>
      <c r="L348" s="103"/>
      <c r="M348" s="103"/>
      <c r="N348" s="73"/>
      <c r="O348" s="73"/>
      <c r="P348" s="73"/>
      <c r="Q348" s="73"/>
      <c r="R348" s="73"/>
      <c r="S348" s="73"/>
      <c r="T348" s="73"/>
      <c r="U348" s="73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  <c r="IR348" s="44"/>
      <c r="IS348" s="44"/>
      <c r="IT348" s="44"/>
      <c r="IU348" s="44"/>
      <c r="IV348" s="44"/>
    </row>
    <row r="349" spans="1:256" s="128" customFormat="1" ht="13.5">
      <c r="A349" s="101"/>
      <c r="B349" s="105" t="s">
        <v>642</v>
      </c>
      <c r="C349" s="360" t="s">
        <v>549</v>
      </c>
      <c r="D349" s="101" t="s">
        <v>24</v>
      </c>
      <c r="E349" s="59">
        <v>1</v>
      </c>
      <c r="F349" s="398">
        <f>F345*E349</f>
        <v>4</v>
      </c>
      <c r="G349" s="359"/>
      <c r="H349" s="103"/>
      <c r="I349" s="101"/>
      <c r="J349" s="103"/>
      <c r="K349" s="101"/>
      <c r="L349" s="103"/>
      <c r="M349" s="103"/>
      <c r="N349" s="73"/>
      <c r="O349" s="73"/>
      <c r="P349" s="73"/>
      <c r="Q349" s="73"/>
      <c r="R349" s="73"/>
      <c r="S349" s="73"/>
      <c r="T349" s="73"/>
      <c r="U349" s="73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  <c r="IM349" s="44"/>
      <c r="IN349" s="44"/>
      <c r="IO349" s="44"/>
      <c r="IP349" s="44"/>
      <c r="IQ349" s="44"/>
      <c r="IR349" s="44"/>
      <c r="IS349" s="44"/>
      <c r="IT349" s="44"/>
      <c r="IU349" s="44"/>
      <c r="IV349" s="44"/>
    </row>
    <row r="350" spans="1:256" s="128" customFormat="1" ht="13.5">
      <c r="A350" s="101"/>
      <c r="B350" s="105" t="s">
        <v>18</v>
      </c>
      <c r="C350" s="108"/>
      <c r="D350" s="101" t="s">
        <v>0</v>
      </c>
      <c r="E350" s="59">
        <v>0.68</v>
      </c>
      <c r="F350" s="398">
        <f>F345*E350</f>
        <v>2.72</v>
      </c>
      <c r="G350" s="101"/>
      <c r="H350" s="103"/>
      <c r="I350" s="101"/>
      <c r="J350" s="103"/>
      <c r="K350" s="101"/>
      <c r="L350" s="103"/>
      <c r="M350" s="103"/>
      <c r="N350" s="73"/>
      <c r="O350" s="73"/>
      <c r="P350" s="73"/>
      <c r="Q350" s="73"/>
      <c r="R350" s="73"/>
      <c r="S350" s="73"/>
      <c r="T350" s="73"/>
      <c r="U350" s="73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  <c r="IL350" s="44"/>
      <c r="IM350" s="44"/>
      <c r="IN350" s="44"/>
      <c r="IO350" s="44"/>
      <c r="IP350" s="44"/>
      <c r="IQ350" s="44"/>
      <c r="IR350" s="44"/>
      <c r="IS350" s="44"/>
      <c r="IT350" s="44"/>
      <c r="IU350" s="44"/>
      <c r="IV350" s="44"/>
    </row>
    <row r="351" spans="1:256" s="128" customFormat="1" ht="13.5">
      <c r="A351" s="101">
        <v>18</v>
      </c>
      <c r="B351" s="65" t="s">
        <v>548</v>
      </c>
      <c r="C351" s="61" t="s">
        <v>276</v>
      </c>
      <c r="D351" s="59" t="s">
        <v>24</v>
      </c>
      <c r="E351" s="59"/>
      <c r="F351" s="396">
        <v>4</v>
      </c>
      <c r="G351" s="102"/>
      <c r="H351" s="103"/>
      <c r="I351" s="101"/>
      <c r="J351" s="103"/>
      <c r="K351" s="101"/>
      <c r="L351" s="103"/>
      <c r="M351" s="103"/>
      <c r="N351" s="73"/>
      <c r="O351" s="73"/>
      <c r="P351" s="73"/>
      <c r="Q351" s="73"/>
      <c r="R351" s="73"/>
      <c r="S351" s="73"/>
      <c r="T351" s="73"/>
      <c r="U351" s="73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  <c r="IN351" s="44"/>
      <c r="IO351" s="44"/>
      <c r="IP351" s="44"/>
      <c r="IQ351" s="44"/>
      <c r="IR351" s="44"/>
      <c r="IS351" s="44"/>
      <c r="IT351" s="44"/>
      <c r="IU351" s="44"/>
      <c r="IV351" s="44"/>
    </row>
    <row r="352" spans="1:256" s="128" customFormat="1" ht="13.5">
      <c r="A352" s="101"/>
      <c r="B352" s="105" t="s">
        <v>108</v>
      </c>
      <c r="C352" s="127"/>
      <c r="D352" s="101" t="s">
        <v>15</v>
      </c>
      <c r="E352" s="59">
        <v>2.29</v>
      </c>
      <c r="F352" s="397">
        <f>F351*E352</f>
        <v>9.16</v>
      </c>
      <c r="G352" s="106"/>
      <c r="H352" s="107"/>
      <c r="I352" s="101"/>
      <c r="J352" s="103"/>
      <c r="K352" s="101"/>
      <c r="L352" s="103"/>
      <c r="M352" s="103"/>
      <c r="N352" s="73"/>
      <c r="O352" s="73"/>
      <c r="P352" s="73"/>
      <c r="Q352" s="73"/>
      <c r="R352" s="73"/>
      <c r="S352" s="73"/>
      <c r="T352" s="73"/>
      <c r="U352" s="73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  <c r="IM352" s="44"/>
      <c r="IN352" s="44"/>
      <c r="IO352" s="44"/>
      <c r="IP352" s="44"/>
      <c r="IQ352" s="44"/>
      <c r="IR352" s="44"/>
      <c r="IS352" s="44"/>
      <c r="IT352" s="44"/>
      <c r="IU352" s="44"/>
      <c r="IV352" s="44"/>
    </row>
    <row r="353" spans="1:256" s="128" customFormat="1" ht="13.5">
      <c r="A353" s="101"/>
      <c r="B353" s="105" t="s">
        <v>109</v>
      </c>
      <c r="C353" s="108"/>
      <c r="D353" s="101" t="s">
        <v>0</v>
      </c>
      <c r="E353" s="59">
        <v>0.09</v>
      </c>
      <c r="F353" s="397">
        <f>F351*E353</f>
        <v>0.36</v>
      </c>
      <c r="G353" s="101"/>
      <c r="H353" s="103"/>
      <c r="I353" s="101"/>
      <c r="J353" s="103"/>
      <c r="K353" s="101"/>
      <c r="L353" s="103"/>
      <c r="M353" s="103"/>
      <c r="N353" s="73"/>
      <c r="O353" s="73"/>
      <c r="P353" s="73"/>
      <c r="Q353" s="73"/>
      <c r="R353" s="73"/>
      <c r="S353" s="73"/>
      <c r="T353" s="73"/>
      <c r="U353" s="73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  <c r="IM353" s="44"/>
      <c r="IN353" s="44"/>
      <c r="IO353" s="44"/>
      <c r="IP353" s="44"/>
      <c r="IQ353" s="44"/>
      <c r="IR353" s="44"/>
      <c r="IS353" s="44"/>
      <c r="IT353" s="44"/>
      <c r="IU353" s="44"/>
      <c r="IV353" s="44"/>
    </row>
    <row r="354" spans="1:256" s="128" customFormat="1" ht="13.5">
      <c r="A354" s="101"/>
      <c r="B354" s="59" t="s">
        <v>192</v>
      </c>
      <c r="C354" s="108"/>
      <c r="D354" s="101"/>
      <c r="E354" s="59"/>
      <c r="F354" s="398"/>
      <c r="G354" s="101"/>
      <c r="H354" s="103"/>
      <c r="I354" s="101"/>
      <c r="J354" s="103"/>
      <c r="K354" s="101"/>
      <c r="L354" s="103"/>
      <c r="M354" s="103"/>
      <c r="N354" s="73"/>
      <c r="O354" s="73"/>
      <c r="P354" s="73"/>
      <c r="Q354" s="73"/>
      <c r="R354" s="73"/>
      <c r="S354" s="73"/>
      <c r="T354" s="73"/>
      <c r="U354" s="73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  <c r="IM354" s="44"/>
      <c r="IN354" s="44"/>
      <c r="IO354" s="44"/>
      <c r="IP354" s="44"/>
      <c r="IQ354" s="44"/>
      <c r="IR354" s="44"/>
      <c r="IS354" s="44"/>
      <c r="IT354" s="44"/>
      <c r="IU354" s="44"/>
      <c r="IV354" s="44"/>
    </row>
    <row r="355" spans="1:256" s="128" customFormat="1" ht="16.5" customHeight="1">
      <c r="A355" s="101"/>
      <c r="B355" s="105" t="s">
        <v>547</v>
      </c>
      <c r="C355" s="360" t="s">
        <v>549</v>
      </c>
      <c r="D355" s="101" t="s">
        <v>24</v>
      </c>
      <c r="E355" s="59">
        <v>1</v>
      </c>
      <c r="F355" s="398">
        <f>F351*E355</f>
        <v>4</v>
      </c>
      <c r="G355" s="359"/>
      <c r="H355" s="103"/>
      <c r="I355" s="101"/>
      <c r="J355" s="103"/>
      <c r="K355" s="101"/>
      <c r="L355" s="103"/>
      <c r="M355" s="103"/>
      <c r="N355" s="73"/>
      <c r="O355" s="73"/>
      <c r="P355" s="73"/>
      <c r="Q355" s="73"/>
      <c r="R355" s="73"/>
      <c r="S355" s="73"/>
      <c r="T355" s="73"/>
      <c r="U355" s="73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  <c r="IM355" s="44"/>
      <c r="IN355" s="44"/>
      <c r="IO355" s="44"/>
      <c r="IP355" s="44"/>
      <c r="IQ355" s="44"/>
      <c r="IR355" s="44"/>
      <c r="IS355" s="44"/>
      <c r="IT355" s="44"/>
      <c r="IU355" s="44"/>
      <c r="IV355" s="44"/>
    </row>
    <row r="356" spans="1:256" s="128" customFormat="1" ht="13.5">
      <c r="A356" s="101"/>
      <c r="B356" s="105" t="s">
        <v>18</v>
      </c>
      <c r="C356" s="108"/>
      <c r="D356" s="101" t="s">
        <v>0</v>
      </c>
      <c r="E356" s="59">
        <v>0.68</v>
      </c>
      <c r="F356" s="398">
        <f>F351*E356</f>
        <v>2.72</v>
      </c>
      <c r="G356" s="101"/>
      <c r="H356" s="103"/>
      <c r="I356" s="101"/>
      <c r="J356" s="103"/>
      <c r="K356" s="101"/>
      <c r="L356" s="103"/>
      <c r="M356" s="103"/>
      <c r="N356" s="73"/>
      <c r="O356" s="73"/>
      <c r="P356" s="73"/>
      <c r="Q356" s="73"/>
      <c r="R356" s="73"/>
      <c r="S356" s="73"/>
      <c r="T356" s="73"/>
      <c r="U356" s="73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  <c r="IM356" s="44"/>
      <c r="IN356" s="44"/>
      <c r="IO356" s="44"/>
      <c r="IP356" s="44"/>
      <c r="IQ356" s="44"/>
      <c r="IR356" s="44"/>
      <c r="IS356" s="44"/>
      <c r="IT356" s="44"/>
      <c r="IU356" s="44"/>
      <c r="IV356" s="44"/>
    </row>
    <row r="357" spans="1:21" s="128" customFormat="1" ht="13.5">
      <c r="A357" s="101">
        <v>18</v>
      </c>
      <c r="B357" s="65" t="s">
        <v>552</v>
      </c>
      <c r="C357" s="61" t="s">
        <v>237</v>
      </c>
      <c r="D357" s="59" t="s">
        <v>24</v>
      </c>
      <c r="E357" s="59"/>
      <c r="F357" s="396">
        <v>2</v>
      </c>
      <c r="G357" s="102"/>
      <c r="H357" s="103"/>
      <c r="I357" s="101"/>
      <c r="J357" s="103"/>
      <c r="K357" s="101"/>
      <c r="L357" s="103"/>
      <c r="M357" s="103"/>
      <c r="N357" s="73"/>
      <c r="O357" s="73"/>
      <c r="P357" s="73"/>
      <c r="Q357" s="73"/>
      <c r="R357" s="73"/>
      <c r="S357" s="73"/>
      <c r="T357" s="73"/>
      <c r="U357" s="73"/>
    </row>
    <row r="358" spans="1:21" s="128" customFormat="1" ht="13.5">
      <c r="A358" s="101"/>
      <c r="B358" s="105" t="s">
        <v>108</v>
      </c>
      <c r="C358" s="127"/>
      <c r="D358" s="101" t="s">
        <v>15</v>
      </c>
      <c r="E358" s="59">
        <v>2.29</v>
      </c>
      <c r="F358" s="397">
        <f>F357*E358</f>
        <v>4.58</v>
      </c>
      <c r="G358" s="106"/>
      <c r="H358" s="107"/>
      <c r="I358" s="101"/>
      <c r="J358" s="103"/>
      <c r="K358" s="101"/>
      <c r="L358" s="103"/>
      <c r="M358" s="103"/>
      <c r="N358" s="73"/>
      <c r="O358" s="73"/>
      <c r="P358" s="73"/>
      <c r="Q358" s="73"/>
      <c r="R358" s="73"/>
      <c r="S358" s="73"/>
      <c r="T358" s="73"/>
      <c r="U358" s="73"/>
    </row>
    <row r="359" spans="1:21" s="128" customFormat="1" ht="13.5">
      <c r="A359" s="101"/>
      <c r="B359" s="105" t="s">
        <v>109</v>
      </c>
      <c r="C359" s="108"/>
      <c r="D359" s="101" t="s">
        <v>0</v>
      </c>
      <c r="E359" s="59">
        <v>0.09</v>
      </c>
      <c r="F359" s="397">
        <f>F357*E359</f>
        <v>0.18</v>
      </c>
      <c r="G359" s="101"/>
      <c r="H359" s="103"/>
      <c r="I359" s="101"/>
      <c r="J359" s="103"/>
      <c r="K359" s="101"/>
      <c r="L359" s="103"/>
      <c r="M359" s="103"/>
      <c r="N359" s="73"/>
      <c r="O359" s="73"/>
      <c r="P359" s="73"/>
      <c r="Q359" s="73"/>
      <c r="R359" s="73"/>
      <c r="S359" s="73"/>
      <c r="T359" s="73"/>
      <c r="U359" s="73"/>
    </row>
    <row r="360" spans="1:21" s="128" customFormat="1" ht="13.5">
      <c r="A360" s="101"/>
      <c r="B360" s="59" t="s">
        <v>192</v>
      </c>
      <c r="C360" s="108"/>
      <c r="D360" s="101"/>
      <c r="E360" s="59"/>
      <c r="F360" s="398"/>
      <c r="G360" s="101"/>
      <c r="H360" s="103"/>
      <c r="I360" s="101"/>
      <c r="J360" s="103"/>
      <c r="K360" s="101"/>
      <c r="L360" s="103"/>
      <c r="M360" s="103"/>
      <c r="N360" s="73"/>
      <c r="O360" s="73"/>
      <c r="P360" s="73"/>
      <c r="Q360" s="73"/>
      <c r="R360" s="73"/>
      <c r="S360" s="73"/>
      <c r="T360" s="73"/>
      <c r="U360" s="73"/>
    </row>
    <row r="361" spans="1:21" s="128" customFormat="1" ht="13.5">
      <c r="A361" s="101"/>
      <c r="B361" s="105" t="s">
        <v>553</v>
      </c>
      <c r="C361" s="360" t="s">
        <v>550</v>
      </c>
      <c r="D361" s="101" t="s">
        <v>24</v>
      </c>
      <c r="E361" s="59">
        <v>1</v>
      </c>
      <c r="F361" s="398">
        <f>F357*E361</f>
        <v>2</v>
      </c>
      <c r="G361" s="359"/>
      <c r="H361" s="103"/>
      <c r="I361" s="101"/>
      <c r="J361" s="103"/>
      <c r="K361" s="101"/>
      <c r="L361" s="103"/>
      <c r="M361" s="103"/>
      <c r="N361" s="73"/>
      <c r="O361" s="73"/>
      <c r="P361" s="73"/>
      <c r="Q361" s="73"/>
      <c r="R361" s="73"/>
      <c r="S361" s="73"/>
      <c r="T361" s="73"/>
      <c r="U361" s="73"/>
    </row>
    <row r="362" spans="1:21" s="128" customFormat="1" ht="13.5">
      <c r="A362" s="101"/>
      <c r="B362" s="105" t="s">
        <v>18</v>
      </c>
      <c r="C362" s="108"/>
      <c r="D362" s="101" t="s">
        <v>0</v>
      </c>
      <c r="E362" s="59">
        <v>0.68</v>
      </c>
      <c r="F362" s="398">
        <f>F357*E362</f>
        <v>1.36</v>
      </c>
      <c r="G362" s="101"/>
      <c r="H362" s="103"/>
      <c r="I362" s="101"/>
      <c r="J362" s="103"/>
      <c r="K362" s="101"/>
      <c r="L362" s="103"/>
      <c r="M362" s="103"/>
      <c r="N362" s="73"/>
      <c r="O362" s="73"/>
      <c r="P362" s="73"/>
      <c r="Q362" s="73"/>
      <c r="R362" s="73"/>
      <c r="S362" s="73"/>
      <c r="T362" s="73"/>
      <c r="U362" s="73"/>
    </row>
    <row r="363" spans="1:21" s="128" customFormat="1" ht="24" customHeight="1">
      <c r="A363" s="101">
        <v>19</v>
      </c>
      <c r="B363" s="65" t="s">
        <v>551</v>
      </c>
      <c r="C363" s="274" t="s">
        <v>237</v>
      </c>
      <c r="D363" s="59" t="s">
        <v>24</v>
      </c>
      <c r="E363" s="59"/>
      <c r="F363" s="396">
        <v>3</v>
      </c>
      <c r="G363" s="102"/>
      <c r="H363" s="103"/>
      <c r="I363" s="101"/>
      <c r="J363" s="103"/>
      <c r="K363" s="101"/>
      <c r="L363" s="103"/>
      <c r="M363" s="103"/>
      <c r="N363" s="73"/>
      <c r="O363" s="73"/>
      <c r="P363" s="73"/>
      <c r="Q363" s="73"/>
      <c r="R363" s="73"/>
      <c r="S363" s="73"/>
      <c r="T363" s="73"/>
      <c r="U363" s="73"/>
    </row>
    <row r="364" spans="1:21" s="128" customFormat="1" ht="13.5">
      <c r="A364" s="101"/>
      <c r="B364" s="105" t="s">
        <v>108</v>
      </c>
      <c r="C364" s="127"/>
      <c r="D364" s="59" t="s">
        <v>15</v>
      </c>
      <c r="E364" s="59">
        <v>2.29</v>
      </c>
      <c r="F364" s="397">
        <f>F363*E364</f>
        <v>6.87</v>
      </c>
      <c r="G364" s="106"/>
      <c r="H364" s="107"/>
      <c r="I364" s="101"/>
      <c r="J364" s="103"/>
      <c r="K364" s="101"/>
      <c r="L364" s="103"/>
      <c r="M364" s="103"/>
      <c r="N364" s="73"/>
      <c r="O364" s="73"/>
      <c r="P364" s="73"/>
      <c r="Q364" s="73"/>
      <c r="R364" s="73"/>
      <c r="S364" s="73"/>
      <c r="T364" s="73"/>
      <c r="U364" s="73"/>
    </row>
    <row r="365" spans="1:21" s="128" customFormat="1" ht="13.5">
      <c r="A365" s="101"/>
      <c r="B365" s="105" t="s">
        <v>109</v>
      </c>
      <c r="C365" s="108"/>
      <c r="D365" s="101" t="s">
        <v>0</v>
      </c>
      <c r="E365" s="59">
        <v>0.09</v>
      </c>
      <c r="F365" s="397">
        <f>F363*E365</f>
        <v>0.27</v>
      </c>
      <c r="G365" s="101"/>
      <c r="H365" s="103"/>
      <c r="I365" s="101"/>
      <c r="J365" s="103"/>
      <c r="K365" s="101"/>
      <c r="L365" s="103"/>
      <c r="M365" s="103"/>
      <c r="N365" s="73"/>
      <c r="O365" s="73"/>
      <c r="P365" s="73"/>
      <c r="Q365" s="73"/>
      <c r="R365" s="73"/>
      <c r="S365" s="73"/>
      <c r="T365" s="73"/>
      <c r="U365" s="73"/>
    </row>
    <row r="366" spans="1:21" s="128" customFormat="1" ht="13.5">
      <c r="A366" s="101"/>
      <c r="B366" s="59" t="s">
        <v>192</v>
      </c>
      <c r="C366" s="108"/>
      <c r="D366" s="101"/>
      <c r="E366" s="59"/>
      <c r="F366" s="398"/>
      <c r="G366" s="101"/>
      <c r="H366" s="103"/>
      <c r="I366" s="101"/>
      <c r="J366" s="103"/>
      <c r="K366" s="101"/>
      <c r="L366" s="103"/>
      <c r="M366" s="103"/>
      <c r="N366" s="73"/>
      <c r="O366" s="73"/>
      <c r="P366" s="73"/>
      <c r="Q366" s="73"/>
      <c r="R366" s="73"/>
      <c r="S366" s="73"/>
      <c r="T366" s="73"/>
      <c r="U366" s="73"/>
    </row>
    <row r="367" spans="1:21" s="128" customFormat="1" ht="13.5">
      <c r="A367" s="101"/>
      <c r="B367" s="105" t="s">
        <v>238</v>
      </c>
      <c r="C367" s="108" t="s">
        <v>251</v>
      </c>
      <c r="D367" s="101" t="s">
        <v>24</v>
      </c>
      <c r="E367" s="59">
        <v>1</v>
      </c>
      <c r="F367" s="398">
        <f>F363*E367</f>
        <v>3</v>
      </c>
      <c r="G367" s="101"/>
      <c r="H367" s="103"/>
      <c r="I367" s="101"/>
      <c r="J367" s="103"/>
      <c r="K367" s="101"/>
      <c r="L367" s="103"/>
      <c r="M367" s="103"/>
      <c r="N367" s="73"/>
      <c r="O367" s="73"/>
      <c r="P367" s="73"/>
      <c r="Q367" s="73"/>
      <c r="R367" s="73"/>
      <c r="S367" s="73"/>
      <c r="T367" s="73"/>
      <c r="U367" s="73"/>
    </row>
    <row r="368" spans="1:21" s="128" customFormat="1" ht="13.5">
      <c r="A368" s="101"/>
      <c r="B368" s="105" t="s">
        <v>18</v>
      </c>
      <c r="C368" s="108"/>
      <c r="D368" s="101" t="s">
        <v>0</v>
      </c>
      <c r="E368" s="59">
        <v>0.68</v>
      </c>
      <c r="F368" s="398">
        <f>F363*E368</f>
        <v>2.04</v>
      </c>
      <c r="G368" s="101"/>
      <c r="H368" s="103"/>
      <c r="I368" s="101"/>
      <c r="J368" s="103"/>
      <c r="K368" s="101"/>
      <c r="L368" s="103"/>
      <c r="M368" s="103"/>
      <c r="N368" s="73"/>
      <c r="O368" s="73"/>
      <c r="P368" s="73"/>
      <c r="Q368" s="73"/>
      <c r="R368" s="73"/>
      <c r="S368" s="73"/>
      <c r="T368" s="73"/>
      <c r="U368" s="73"/>
    </row>
    <row r="369" spans="1:21" s="128" customFormat="1" ht="22.5" customHeight="1">
      <c r="A369" s="129">
        <v>14</v>
      </c>
      <c r="B369" s="130" t="s">
        <v>239</v>
      </c>
      <c r="C369" s="133" t="s">
        <v>240</v>
      </c>
      <c r="D369" s="132" t="s">
        <v>241</v>
      </c>
      <c r="E369" s="133"/>
      <c r="F369" s="403">
        <v>550</v>
      </c>
      <c r="G369" s="277"/>
      <c r="H369" s="241"/>
      <c r="I369" s="277"/>
      <c r="J369" s="277"/>
      <c r="K369" s="277"/>
      <c r="L369" s="277"/>
      <c r="M369" s="278"/>
      <c r="N369" s="73"/>
      <c r="O369" s="73"/>
      <c r="P369" s="73"/>
      <c r="Q369" s="73"/>
      <c r="R369" s="73"/>
      <c r="S369" s="73"/>
      <c r="T369" s="73"/>
      <c r="U369" s="73"/>
    </row>
    <row r="370" spans="1:21" s="128" customFormat="1" ht="15.75">
      <c r="A370" s="129"/>
      <c r="B370" s="134" t="s">
        <v>242</v>
      </c>
      <c r="C370" s="79"/>
      <c r="D370" s="135" t="s">
        <v>15</v>
      </c>
      <c r="E370" s="131">
        <v>5.68</v>
      </c>
      <c r="F370" s="404">
        <f>F369*E370</f>
        <v>3124</v>
      </c>
      <c r="G370" s="241"/>
      <c r="H370" s="241"/>
      <c r="I370" s="241"/>
      <c r="J370" s="241"/>
      <c r="K370" s="241"/>
      <c r="L370" s="241"/>
      <c r="M370" s="278"/>
      <c r="N370" s="73"/>
      <c r="O370" s="73"/>
      <c r="P370" s="73"/>
      <c r="Q370" s="73"/>
      <c r="R370" s="73"/>
      <c r="S370" s="73"/>
      <c r="T370" s="73"/>
      <c r="U370" s="73"/>
    </row>
    <row r="371" spans="1:256" s="44" customFormat="1" ht="15.75">
      <c r="A371" s="129"/>
      <c r="B371" s="136" t="s">
        <v>243</v>
      </c>
      <c r="C371" s="79"/>
      <c r="D371" s="135" t="s">
        <v>0</v>
      </c>
      <c r="E371" s="131">
        <v>0.33</v>
      </c>
      <c r="F371" s="404">
        <f>F369*E371</f>
        <v>181.5</v>
      </c>
      <c r="G371" s="241"/>
      <c r="H371" s="241"/>
      <c r="I371" s="241"/>
      <c r="J371" s="241"/>
      <c r="K371" s="241"/>
      <c r="L371" s="241"/>
      <c r="M371" s="278"/>
      <c r="N371" s="73"/>
      <c r="O371" s="73"/>
      <c r="P371" s="73"/>
      <c r="Q371" s="73"/>
      <c r="R371" s="73"/>
      <c r="S371" s="73"/>
      <c r="T371" s="73"/>
      <c r="U371" s="73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8"/>
      <c r="DF371" s="128"/>
      <c r="DG371" s="128"/>
      <c r="DH371" s="128"/>
      <c r="DI371" s="128"/>
      <c r="DJ371" s="128"/>
      <c r="DK371" s="128"/>
      <c r="DL371" s="128"/>
      <c r="DM371" s="128"/>
      <c r="DN371" s="128"/>
      <c r="DO371" s="128"/>
      <c r="DP371" s="128"/>
      <c r="DQ371" s="128"/>
      <c r="DR371" s="128"/>
      <c r="DS371" s="128"/>
      <c r="DT371" s="128"/>
      <c r="DU371" s="128"/>
      <c r="DV371" s="128"/>
      <c r="DW371" s="128"/>
      <c r="DX371" s="128"/>
      <c r="DY371" s="128"/>
      <c r="DZ371" s="128"/>
      <c r="EA371" s="128"/>
      <c r="EB371" s="128"/>
      <c r="EC371" s="128"/>
      <c r="ED371" s="128"/>
      <c r="EE371" s="128"/>
      <c r="EF371" s="128"/>
      <c r="EG371" s="128"/>
      <c r="EH371" s="128"/>
      <c r="EI371" s="128"/>
      <c r="EJ371" s="128"/>
      <c r="EK371" s="128"/>
      <c r="EL371" s="128"/>
      <c r="EM371" s="128"/>
      <c r="EN371" s="128"/>
      <c r="EO371" s="128"/>
      <c r="EP371" s="128"/>
      <c r="EQ371" s="128"/>
      <c r="ER371" s="128"/>
      <c r="ES371" s="128"/>
      <c r="ET371" s="128"/>
      <c r="EU371" s="128"/>
      <c r="EV371" s="128"/>
      <c r="EW371" s="128"/>
      <c r="EX371" s="128"/>
      <c r="EY371" s="128"/>
      <c r="EZ371" s="128"/>
      <c r="FA371" s="128"/>
      <c r="FB371" s="128"/>
      <c r="FC371" s="128"/>
      <c r="FD371" s="128"/>
      <c r="FE371" s="128"/>
      <c r="FF371" s="128"/>
      <c r="FG371" s="128"/>
      <c r="FH371" s="128"/>
      <c r="FI371" s="128"/>
      <c r="FJ371" s="128"/>
      <c r="FK371" s="128"/>
      <c r="FL371" s="128"/>
      <c r="FM371" s="128"/>
      <c r="FN371" s="128"/>
      <c r="FO371" s="128"/>
      <c r="FP371" s="128"/>
      <c r="FQ371" s="128"/>
      <c r="FR371" s="128"/>
      <c r="FS371" s="128"/>
      <c r="FT371" s="128"/>
      <c r="FU371" s="128"/>
      <c r="FV371" s="128"/>
      <c r="FW371" s="128"/>
      <c r="FX371" s="128"/>
      <c r="FY371" s="128"/>
      <c r="FZ371" s="128"/>
      <c r="GA371" s="128"/>
      <c r="GB371" s="128"/>
      <c r="GC371" s="128"/>
      <c r="GD371" s="128"/>
      <c r="GE371" s="128"/>
      <c r="GF371" s="128"/>
      <c r="GG371" s="128"/>
      <c r="GH371" s="128"/>
      <c r="GI371" s="128"/>
      <c r="GJ371" s="128"/>
      <c r="GK371" s="128"/>
      <c r="GL371" s="128"/>
      <c r="GM371" s="128"/>
      <c r="GN371" s="128"/>
      <c r="GO371" s="128"/>
      <c r="GP371" s="128"/>
      <c r="GQ371" s="128"/>
      <c r="GR371" s="128"/>
      <c r="GS371" s="128"/>
      <c r="GT371" s="128"/>
      <c r="GU371" s="128"/>
      <c r="GV371" s="128"/>
      <c r="GW371" s="128"/>
      <c r="GX371" s="128"/>
      <c r="GY371" s="128"/>
      <c r="GZ371" s="128"/>
      <c r="HA371" s="128"/>
      <c r="HB371" s="128"/>
      <c r="HC371" s="128"/>
      <c r="HD371" s="128"/>
      <c r="HE371" s="128"/>
      <c r="HF371" s="128"/>
      <c r="HG371" s="128"/>
      <c r="HH371" s="128"/>
      <c r="HI371" s="128"/>
      <c r="HJ371" s="128"/>
      <c r="HK371" s="128"/>
      <c r="HL371" s="128"/>
      <c r="HM371" s="128"/>
      <c r="HN371" s="128"/>
      <c r="HO371" s="128"/>
      <c r="HP371" s="128"/>
      <c r="HQ371" s="128"/>
      <c r="HR371" s="128"/>
      <c r="HS371" s="128"/>
      <c r="HT371" s="128"/>
      <c r="HU371" s="128"/>
      <c r="HV371" s="128"/>
      <c r="HW371" s="128"/>
      <c r="HX371" s="128"/>
      <c r="HY371" s="128"/>
      <c r="HZ371" s="128"/>
      <c r="IA371" s="128"/>
      <c r="IB371" s="128"/>
      <c r="IC371" s="128"/>
      <c r="ID371" s="128"/>
      <c r="IE371" s="128"/>
      <c r="IF371" s="128"/>
      <c r="IG371" s="128"/>
      <c r="IH371" s="128"/>
      <c r="II371" s="128"/>
      <c r="IJ371" s="128"/>
      <c r="IK371" s="128"/>
      <c r="IL371" s="128"/>
      <c r="IM371" s="128"/>
      <c r="IN371" s="128"/>
      <c r="IO371" s="128"/>
      <c r="IP371" s="128"/>
      <c r="IQ371" s="128"/>
      <c r="IR371" s="128"/>
      <c r="IS371" s="128"/>
      <c r="IT371" s="128"/>
      <c r="IU371" s="128"/>
      <c r="IV371" s="128"/>
    </row>
    <row r="372" spans="1:256" s="44" customFormat="1" ht="15.75">
      <c r="A372" s="129"/>
      <c r="B372" s="136" t="s">
        <v>244</v>
      </c>
      <c r="C372" s="300"/>
      <c r="D372" s="135" t="s">
        <v>245</v>
      </c>
      <c r="E372" s="131">
        <v>0</v>
      </c>
      <c r="F372" s="405">
        <f>F369</f>
        <v>550</v>
      </c>
      <c r="G372" s="241"/>
      <c r="H372" s="241"/>
      <c r="I372" s="241"/>
      <c r="J372" s="241"/>
      <c r="K372" s="241"/>
      <c r="L372" s="241"/>
      <c r="M372" s="278"/>
      <c r="N372" s="73"/>
      <c r="O372" s="73"/>
      <c r="P372" s="73"/>
      <c r="Q372" s="73"/>
      <c r="R372" s="73"/>
      <c r="S372" s="73"/>
      <c r="T372" s="73"/>
      <c r="U372" s="73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8"/>
      <c r="AS372" s="128"/>
      <c r="AT372" s="128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8"/>
      <c r="BJ372" s="128"/>
      <c r="BK372" s="128"/>
      <c r="BL372" s="128"/>
      <c r="BM372" s="128"/>
      <c r="BN372" s="128"/>
      <c r="BO372" s="128"/>
      <c r="BP372" s="128"/>
      <c r="BQ372" s="128"/>
      <c r="BR372" s="128"/>
      <c r="BS372" s="128"/>
      <c r="BT372" s="128"/>
      <c r="BU372" s="128"/>
      <c r="BV372" s="128"/>
      <c r="BW372" s="128"/>
      <c r="BX372" s="128"/>
      <c r="BY372" s="128"/>
      <c r="BZ372" s="128"/>
      <c r="CA372" s="128"/>
      <c r="CB372" s="128"/>
      <c r="CC372" s="128"/>
      <c r="CD372" s="128"/>
      <c r="CE372" s="128"/>
      <c r="CF372" s="128"/>
      <c r="CG372" s="128"/>
      <c r="CH372" s="128"/>
      <c r="CI372" s="128"/>
      <c r="CJ372" s="128"/>
      <c r="CK372" s="128"/>
      <c r="CL372" s="128"/>
      <c r="CM372" s="128"/>
      <c r="CN372" s="128"/>
      <c r="CO372" s="128"/>
      <c r="CP372" s="128"/>
      <c r="CQ372" s="128"/>
      <c r="CR372" s="128"/>
      <c r="CS372" s="128"/>
      <c r="CT372" s="128"/>
      <c r="CU372" s="128"/>
      <c r="CV372" s="128"/>
      <c r="CW372" s="128"/>
      <c r="CX372" s="128"/>
      <c r="CY372" s="128"/>
      <c r="CZ372" s="128"/>
      <c r="DA372" s="128"/>
      <c r="DB372" s="128"/>
      <c r="DC372" s="128"/>
      <c r="DD372" s="128"/>
      <c r="DE372" s="128"/>
      <c r="DF372" s="128"/>
      <c r="DG372" s="128"/>
      <c r="DH372" s="128"/>
      <c r="DI372" s="128"/>
      <c r="DJ372" s="128"/>
      <c r="DK372" s="128"/>
      <c r="DL372" s="128"/>
      <c r="DM372" s="128"/>
      <c r="DN372" s="128"/>
      <c r="DO372" s="128"/>
      <c r="DP372" s="128"/>
      <c r="DQ372" s="128"/>
      <c r="DR372" s="128"/>
      <c r="DS372" s="128"/>
      <c r="DT372" s="128"/>
      <c r="DU372" s="128"/>
      <c r="DV372" s="128"/>
      <c r="DW372" s="128"/>
      <c r="DX372" s="128"/>
      <c r="DY372" s="128"/>
      <c r="DZ372" s="128"/>
      <c r="EA372" s="128"/>
      <c r="EB372" s="128"/>
      <c r="EC372" s="128"/>
      <c r="ED372" s="128"/>
      <c r="EE372" s="128"/>
      <c r="EF372" s="128"/>
      <c r="EG372" s="128"/>
      <c r="EH372" s="128"/>
      <c r="EI372" s="128"/>
      <c r="EJ372" s="128"/>
      <c r="EK372" s="128"/>
      <c r="EL372" s="128"/>
      <c r="EM372" s="128"/>
      <c r="EN372" s="128"/>
      <c r="EO372" s="128"/>
      <c r="EP372" s="128"/>
      <c r="EQ372" s="128"/>
      <c r="ER372" s="128"/>
      <c r="ES372" s="128"/>
      <c r="ET372" s="128"/>
      <c r="EU372" s="128"/>
      <c r="EV372" s="128"/>
      <c r="EW372" s="128"/>
      <c r="EX372" s="128"/>
      <c r="EY372" s="128"/>
      <c r="EZ372" s="128"/>
      <c r="FA372" s="128"/>
      <c r="FB372" s="128"/>
      <c r="FC372" s="128"/>
      <c r="FD372" s="128"/>
      <c r="FE372" s="128"/>
      <c r="FF372" s="128"/>
      <c r="FG372" s="128"/>
      <c r="FH372" s="128"/>
      <c r="FI372" s="128"/>
      <c r="FJ372" s="128"/>
      <c r="FK372" s="128"/>
      <c r="FL372" s="128"/>
      <c r="FM372" s="128"/>
      <c r="FN372" s="128"/>
      <c r="FO372" s="128"/>
      <c r="FP372" s="128"/>
      <c r="FQ372" s="128"/>
      <c r="FR372" s="128"/>
      <c r="FS372" s="128"/>
      <c r="FT372" s="128"/>
      <c r="FU372" s="128"/>
      <c r="FV372" s="128"/>
      <c r="FW372" s="128"/>
      <c r="FX372" s="128"/>
      <c r="FY372" s="128"/>
      <c r="FZ372" s="128"/>
      <c r="GA372" s="128"/>
      <c r="GB372" s="128"/>
      <c r="GC372" s="128"/>
      <c r="GD372" s="128"/>
      <c r="GE372" s="128"/>
      <c r="GF372" s="128"/>
      <c r="GG372" s="128"/>
      <c r="GH372" s="128"/>
      <c r="GI372" s="128"/>
      <c r="GJ372" s="128"/>
      <c r="GK372" s="128"/>
      <c r="GL372" s="128"/>
      <c r="GM372" s="128"/>
      <c r="GN372" s="128"/>
      <c r="GO372" s="128"/>
      <c r="GP372" s="128"/>
      <c r="GQ372" s="128"/>
      <c r="GR372" s="128"/>
      <c r="GS372" s="128"/>
      <c r="GT372" s="128"/>
      <c r="GU372" s="128"/>
      <c r="GV372" s="128"/>
      <c r="GW372" s="128"/>
      <c r="GX372" s="128"/>
      <c r="GY372" s="128"/>
      <c r="GZ372" s="128"/>
      <c r="HA372" s="128"/>
      <c r="HB372" s="128"/>
      <c r="HC372" s="128"/>
      <c r="HD372" s="128"/>
      <c r="HE372" s="128"/>
      <c r="HF372" s="128"/>
      <c r="HG372" s="128"/>
      <c r="HH372" s="128"/>
      <c r="HI372" s="128"/>
      <c r="HJ372" s="128"/>
      <c r="HK372" s="128"/>
      <c r="HL372" s="128"/>
      <c r="HM372" s="128"/>
      <c r="HN372" s="128"/>
      <c r="HO372" s="128"/>
      <c r="HP372" s="128"/>
      <c r="HQ372" s="128"/>
      <c r="HR372" s="128"/>
      <c r="HS372" s="128"/>
      <c r="HT372" s="128"/>
      <c r="HU372" s="128"/>
      <c r="HV372" s="128"/>
      <c r="HW372" s="128"/>
      <c r="HX372" s="128"/>
      <c r="HY372" s="128"/>
      <c r="HZ372" s="128"/>
      <c r="IA372" s="128"/>
      <c r="IB372" s="128"/>
      <c r="IC372" s="128"/>
      <c r="ID372" s="128"/>
      <c r="IE372" s="128"/>
      <c r="IF372" s="128"/>
      <c r="IG372" s="128"/>
      <c r="IH372" s="128"/>
      <c r="II372" s="128"/>
      <c r="IJ372" s="128"/>
      <c r="IK372" s="128"/>
      <c r="IL372" s="128"/>
      <c r="IM372" s="128"/>
      <c r="IN372" s="128"/>
      <c r="IO372" s="128"/>
      <c r="IP372" s="128"/>
      <c r="IQ372" s="128"/>
      <c r="IR372" s="128"/>
      <c r="IS372" s="128"/>
      <c r="IT372" s="128"/>
      <c r="IU372" s="128"/>
      <c r="IV372" s="128"/>
    </row>
    <row r="373" spans="1:256" s="44" customFormat="1" ht="15.75">
      <c r="A373" s="137"/>
      <c r="B373" s="136" t="s">
        <v>246</v>
      </c>
      <c r="C373" s="300"/>
      <c r="D373" s="135" t="s">
        <v>247</v>
      </c>
      <c r="E373" s="131">
        <v>0</v>
      </c>
      <c r="F373" s="405">
        <f>F369</f>
        <v>550</v>
      </c>
      <c r="G373" s="241"/>
      <c r="H373" s="241"/>
      <c r="I373" s="241"/>
      <c r="J373" s="241"/>
      <c r="K373" s="241"/>
      <c r="L373" s="241"/>
      <c r="M373" s="278"/>
      <c r="N373" s="73"/>
      <c r="O373" s="73"/>
      <c r="P373" s="73"/>
      <c r="Q373" s="73"/>
      <c r="R373" s="73"/>
      <c r="S373" s="73"/>
      <c r="T373" s="73"/>
      <c r="U373" s="73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  <c r="DL373" s="128"/>
      <c r="DM373" s="128"/>
      <c r="DN373" s="128"/>
      <c r="DO373" s="128"/>
      <c r="DP373" s="128"/>
      <c r="DQ373" s="128"/>
      <c r="DR373" s="128"/>
      <c r="DS373" s="128"/>
      <c r="DT373" s="128"/>
      <c r="DU373" s="128"/>
      <c r="DV373" s="128"/>
      <c r="DW373" s="128"/>
      <c r="DX373" s="128"/>
      <c r="DY373" s="128"/>
      <c r="DZ373" s="128"/>
      <c r="EA373" s="128"/>
      <c r="EB373" s="128"/>
      <c r="EC373" s="128"/>
      <c r="ED373" s="128"/>
      <c r="EE373" s="128"/>
      <c r="EF373" s="128"/>
      <c r="EG373" s="128"/>
      <c r="EH373" s="128"/>
      <c r="EI373" s="128"/>
      <c r="EJ373" s="128"/>
      <c r="EK373" s="128"/>
      <c r="EL373" s="128"/>
      <c r="EM373" s="128"/>
      <c r="EN373" s="128"/>
      <c r="EO373" s="128"/>
      <c r="EP373" s="128"/>
      <c r="EQ373" s="128"/>
      <c r="ER373" s="128"/>
      <c r="ES373" s="128"/>
      <c r="ET373" s="128"/>
      <c r="EU373" s="128"/>
      <c r="EV373" s="128"/>
      <c r="EW373" s="128"/>
      <c r="EX373" s="128"/>
      <c r="EY373" s="128"/>
      <c r="EZ373" s="128"/>
      <c r="FA373" s="128"/>
      <c r="FB373" s="128"/>
      <c r="FC373" s="128"/>
      <c r="FD373" s="128"/>
      <c r="FE373" s="128"/>
      <c r="FF373" s="128"/>
      <c r="FG373" s="128"/>
      <c r="FH373" s="128"/>
      <c r="FI373" s="128"/>
      <c r="FJ373" s="128"/>
      <c r="FK373" s="128"/>
      <c r="FL373" s="128"/>
      <c r="FM373" s="128"/>
      <c r="FN373" s="128"/>
      <c r="FO373" s="128"/>
      <c r="FP373" s="128"/>
      <c r="FQ373" s="128"/>
      <c r="FR373" s="128"/>
      <c r="FS373" s="128"/>
      <c r="FT373" s="128"/>
      <c r="FU373" s="128"/>
      <c r="FV373" s="128"/>
      <c r="FW373" s="128"/>
      <c r="FX373" s="128"/>
      <c r="FY373" s="128"/>
      <c r="FZ373" s="128"/>
      <c r="GA373" s="128"/>
      <c r="GB373" s="128"/>
      <c r="GC373" s="128"/>
      <c r="GD373" s="128"/>
      <c r="GE373" s="128"/>
      <c r="GF373" s="128"/>
      <c r="GG373" s="128"/>
      <c r="GH373" s="128"/>
      <c r="GI373" s="128"/>
      <c r="GJ373" s="128"/>
      <c r="GK373" s="128"/>
      <c r="GL373" s="128"/>
      <c r="GM373" s="128"/>
      <c r="GN373" s="128"/>
      <c r="GO373" s="128"/>
      <c r="GP373" s="128"/>
      <c r="GQ373" s="128"/>
      <c r="GR373" s="128"/>
      <c r="GS373" s="128"/>
      <c r="GT373" s="128"/>
      <c r="GU373" s="128"/>
      <c r="GV373" s="128"/>
      <c r="GW373" s="128"/>
      <c r="GX373" s="128"/>
      <c r="GY373" s="128"/>
      <c r="GZ373" s="128"/>
      <c r="HA373" s="128"/>
      <c r="HB373" s="128"/>
      <c r="HC373" s="128"/>
      <c r="HD373" s="128"/>
      <c r="HE373" s="128"/>
      <c r="HF373" s="128"/>
      <c r="HG373" s="128"/>
      <c r="HH373" s="128"/>
      <c r="HI373" s="128"/>
      <c r="HJ373" s="128"/>
      <c r="HK373" s="128"/>
      <c r="HL373" s="128"/>
      <c r="HM373" s="128"/>
      <c r="HN373" s="128"/>
      <c r="HO373" s="128"/>
      <c r="HP373" s="128"/>
      <c r="HQ373" s="128"/>
      <c r="HR373" s="128"/>
      <c r="HS373" s="128"/>
      <c r="HT373" s="128"/>
      <c r="HU373" s="128"/>
      <c r="HV373" s="128"/>
      <c r="HW373" s="128"/>
      <c r="HX373" s="128"/>
      <c r="HY373" s="128"/>
      <c r="HZ373" s="128"/>
      <c r="IA373" s="128"/>
      <c r="IB373" s="128"/>
      <c r="IC373" s="128"/>
      <c r="ID373" s="128"/>
      <c r="IE373" s="128"/>
      <c r="IF373" s="128"/>
      <c r="IG373" s="128"/>
      <c r="IH373" s="128"/>
      <c r="II373" s="128"/>
      <c r="IJ373" s="128"/>
      <c r="IK373" s="128"/>
      <c r="IL373" s="128"/>
      <c r="IM373" s="128"/>
      <c r="IN373" s="128"/>
      <c r="IO373" s="128"/>
      <c r="IP373" s="128"/>
      <c r="IQ373" s="128"/>
      <c r="IR373" s="128"/>
      <c r="IS373" s="128"/>
      <c r="IT373" s="128"/>
      <c r="IU373" s="128"/>
      <c r="IV373" s="128"/>
    </row>
    <row r="374" spans="1:256" s="44" customFormat="1" ht="15.75">
      <c r="A374" s="138"/>
      <c r="B374" s="136" t="s">
        <v>248</v>
      </c>
      <c r="C374" s="300"/>
      <c r="D374" s="135" t="s">
        <v>247</v>
      </c>
      <c r="E374" s="131">
        <v>1</v>
      </c>
      <c r="F374" s="405">
        <f>F369*2</f>
        <v>1100</v>
      </c>
      <c r="G374" s="241"/>
      <c r="H374" s="241"/>
      <c r="I374" s="241"/>
      <c r="J374" s="241"/>
      <c r="K374" s="241"/>
      <c r="L374" s="241"/>
      <c r="M374" s="278"/>
      <c r="N374" s="73"/>
      <c r="O374" s="73"/>
      <c r="P374" s="73"/>
      <c r="Q374" s="73"/>
      <c r="R374" s="73"/>
      <c r="S374" s="73"/>
      <c r="T374" s="73"/>
      <c r="U374" s="73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8"/>
      <c r="AR374" s="128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8"/>
      <c r="BJ374" s="128"/>
      <c r="BK374" s="128"/>
      <c r="BL374" s="128"/>
      <c r="BM374" s="128"/>
      <c r="BN374" s="128"/>
      <c r="BO374" s="128"/>
      <c r="BP374" s="128"/>
      <c r="BQ374" s="128"/>
      <c r="BR374" s="128"/>
      <c r="BS374" s="128"/>
      <c r="BT374" s="128"/>
      <c r="BU374" s="128"/>
      <c r="BV374" s="128"/>
      <c r="BW374" s="128"/>
      <c r="BX374" s="128"/>
      <c r="BY374" s="128"/>
      <c r="BZ374" s="128"/>
      <c r="CA374" s="128"/>
      <c r="CB374" s="128"/>
      <c r="CC374" s="128"/>
      <c r="CD374" s="128"/>
      <c r="CE374" s="128"/>
      <c r="CF374" s="128"/>
      <c r="CG374" s="128"/>
      <c r="CH374" s="128"/>
      <c r="CI374" s="128"/>
      <c r="CJ374" s="128"/>
      <c r="CK374" s="128"/>
      <c r="CL374" s="128"/>
      <c r="CM374" s="128"/>
      <c r="CN374" s="128"/>
      <c r="CO374" s="128"/>
      <c r="CP374" s="128"/>
      <c r="CQ374" s="128"/>
      <c r="CR374" s="128"/>
      <c r="CS374" s="128"/>
      <c r="CT374" s="128"/>
      <c r="CU374" s="128"/>
      <c r="CV374" s="128"/>
      <c r="CW374" s="128"/>
      <c r="CX374" s="128"/>
      <c r="CY374" s="128"/>
      <c r="CZ374" s="128"/>
      <c r="DA374" s="128"/>
      <c r="DB374" s="128"/>
      <c r="DC374" s="128"/>
      <c r="DD374" s="128"/>
      <c r="DE374" s="128"/>
      <c r="DF374" s="128"/>
      <c r="DG374" s="128"/>
      <c r="DH374" s="128"/>
      <c r="DI374" s="128"/>
      <c r="DJ374" s="128"/>
      <c r="DK374" s="128"/>
      <c r="DL374" s="128"/>
      <c r="DM374" s="128"/>
      <c r="DN374" s="128"/>
      <c r="DO374" s="128"/>
      <c r="DP374" s="128"/>
      <c r="DQ374" s="128"/>
      <c r="DR374" s="128"/>
      <c r="DS374" s="128"/>
      <c r="DT374" s="128"/>
      <c r="DU374" s="128"/>
      <c r="DV374" s="128"/>
      <c r="DW374" s="128"/>
      <c r="DX374" s="128"/>
      <c r="DY374" s="128"/>
      <c r="DZ374" s="128"/>
      <c r="EA374" s="128"/>
      <c r="EB374" s="128"/>
      <c r="EC374" s="128"/>
      <c r="ED374" s="128"/>
      <c r="EE374" s="128"/>
      <c r="EF374" s="128"/>
      <c r="EG374" s="128"/>
      <c r="EH374" s="128"/>
      <c r="EI374" s="128"/>
      <c r="EJ374" s="128"/>
      <c r="EK374" s="128"/>
      <c r="EL374" s="128"/>
      <c r="EM374" s="128"/>
      <c r="EN374" s="128"/>
      <c r="EO374" s="128"/>
      <c r="EP374" s="128"/>
      <c r="EQ374" s="128"/>
      <c r="ER374" s="128"/>
      <c r="ES374" s="128"/>
      <c r="ET374" s="128"/>
      <c r="EU374" s="128"/>
      <c r="EV374" s="128"/>
      <c r="EW374" s="128"/>
      <c r="EX374" s="128"/>
      <c r="EY374" s="128"/>
      <c r="EZ374" s="128"/>
      <c r="FA374" s="128"/>
      <c r="FB374" s="128"/>
      <c r="FC374" s="128"/>
      <c r="FD374" s="128"/>
      <c r="FE374" s="128"/>
      <c r="FF374" s="128"/>
      <c r="FG374" s="128"/>
      <c r="FH374" s="128"/>
      <c r="FI374" s="128"/>
      <c r="FJ374" s="128"/>
      <c r="FK374" s="128"/>
      <c r="FL374" s="128"/>
      <c r="FM374" s="128"/>
      <c r="FN374" s="128"/>
      <c r="FO374" s="128"/>
      <c r="FP374" s="128"/>
      <c r="FQ374" s="128"/>
      <c r="FR374" s="128"/>
      <c r="FS374" s="128"/>
      <c r="FT374" s="128"/>
      <c r="FU374" s="128"/>
      <c r="FV374" s="128"/>
      <c r="FW374" s="128"/>
      <c r="FX374" s="128"/>
      <c r="FY374" s="128"/>
      <c r="FZ374" s="128"/>
      <c r="GA374" s="128"/>
      <c r="GB374" s="128"/>
      <c r="GC374" s="128"/>
      <c r="GD374" s="128"/>
      <c r="GE374" s="128"/>
      <c r="GF374" s="128"/>
      <c r="GG374" s="128"/>
      <c r="GH374" s="128"/>
      <c r="GI374" s="128"/>
      <c r="GJ374" s="128"/>
      <c r="GK374" s="128"/>
      <c r="GL374" s="128"/>
      <c r="GM374" s="128"/>
      <c r="GN374" s="128"/>
      <c r="GO374" s="128"/>
      <c r="GP374" s="128"/>
      <c r="GQ374" s="128"/>
      <c r="GR374" s="128"/>
      <c r="GS374" s="128"/>
      <c r="GT374" s="128"/>
      <c r="GU374" s="128"/>
      <c r="GV374" s="128"/>
      <c r="GW374" s="128"/>
      <c r="GX374" s="128"/>
      <c r="GY374" s="128"/>
      <c r="GZ374" s="128"/>
      <c r="HA374" s="128"/>
      <c r="HB374" s="128"/>
      <c r="HC374" s="128"/>
      <c r="HD374" s="128"/>
      <c r="HE374" s="128"/>
      <c r="HF374" s="128"/>
      <c r="HG374" s="128"/>
      <c r="HH374" s="128"/>
      <c r="HI374" s="128"/>
      <c r="HJ374" s="128"/>
      <c r="HK374" s="128"/>
      <c r="HL374" s="128"/>
      <c r="HM374" s="128"/>
      <c r="HN374" s="128"/>
      <c r="HO374" s="128"/>
      <c r="HP374" s="128"/>
      <c r="HQ374" s="128"/>
      <c r="HR374" s="128"/>
      <c r="HS374" s="128"/>
      <c r="HT374" s="128"/>
      <c r="HU374" s="128"/>
      <c r="HV374" s="128"/>
      <c r="HW374" s="128"/>
      <c r="HX374" s="128"/>
      <c r="HY374" s="128"/>
      <c r="HZ374" s="128"/>
      <c r="IA374" s="128"/>
      <c r="IB374" s="128"/>
      <c r="IC374" s="128"/>
      <c r="ID374" s="128"/>
      <c r="IE374" s="128"/>
      <c r="IF374" s="128"/>
      <c r="IG374" s="128"/>
      <c r="IH374" s="128"/>
      <c r="II374" s="128"/>
      <c r="IJ374" s="128"/>
      <c r="IK374" s="128"/>
      <c r="IL374" s="128"/>
      <c r="IM374" s="128"/>
      <c r="IN374" s="128"/>
      <c r="IO374" s="128"/>
      <c r="IP374" s="128"/>
      <c r="IQ374" s="128"/>
      <c r="IR374" s="128"/>
      <c r="IS374" s="128"/>
      <c r="IT374" s="128"/>
      <c r="IU374" s="128"/>
      <c r="IV374" s="128"/>
    </row>
    <row r="375" spans="1:256" s="44" customFormat="1" ht="15.75">
      <c r="A375" s="138"/>
      <c r="B375" s="136" t="s">
        <v>249</v>
      </c>
      <c r="C375" s="300"/>
      <c r="D375" s="135" t="s">
        <v>247</v>
      </c>
      <c r="E375" s="131">
        <v>0</v>
      </c>
      <c r="F375" s="405">
        <f>F369</f>
        <v>550</v>
      </c>
      <c r="G375" s="241"/>
      <c r="H375" s="241"/>
      <c r="I375" s="241"/>
      <c r="J375" s="241"/>
      <c r="K375" s="241"/>
      <c r="L375" s="241"/>
      <c r="M375" s="278"/>
      <c r="N375" s="73"/>
      <c r="O375" s="73"/>
      <c r="P375" s="73"/>
      <c r="Q375" s="73"/>
      <c r="R375" s="73"/>
      <c r="S375" s="73"/>
      <c r="T375" s="73"/>
      <c r="U375" s="73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8"/>
      <c r="BJ375" s="128"/>
      <c r="BK375" s="128"/>
      <c r="BL375" s="128"/>
      <c r="BM375" s="128"/>
      <c r="BN375" s="128"/>
      <c r="BO375" s="128"/>
      <c r="BP375" s="128"/>
      <c r="BQ375" s="128"/>
      <c r="BR375" s="128"/>
      <c r="BS375" s="128"/>
      <c r="BT375" s="128"/>
      <c r="BU375" s="128"/>
      <c r="BV375" s="128"/>
      <c r="BW375" s="128"/>
      <c r="BX375" s="128"/>
      <c r="BY375" s="128"/>
      <c r="BZ375" s="128"/>
      <c r="CA375" s="128"/>
      <c r="CB375" s="128"/>
      <c r="CC375" s="128"/>
      <c r="CD375" s="128"/>
      <c r="CE375" s="128"/>
      <c r="CF375" s="128"/>
      <c r="CG375" s="128"/>
      <c r="CH375" s="128"/>
      <c r="CI375" s="128"/>
      <c r="CJ375" s="128"/>
      <c r="CK375" s="128"/>
      <c r="CL375" s="128"/>
      <c r="CM375" s="128"/>
      <c r="CN375" s="128"/>
      <c r="CO375" s="128"/>
      <c r="CP375" s="128"/>
      <c r="CQ375" s="128"/>
      <c r="CR375" s="128"/>
      <c r="CS375" s="128"/>
      <c r="CT375" s="128"/>
      <c r="CU375" s="128"/>
      <c r="CV375" s="128"/>
      <c r="CW375" s="128"/>
      <c r="CX375" s="128"/>
      <c r="CY375" s="128"/>
      <c r="CZ375" s="128"/>
      <c r="DA375" s="128"/>
      <c r="DB375" s="128"/>
      <c r="DC375" s="128"/>
      <c r="DD375" s="128"/>
      <c r="DE375" s="128"/>
      <c r="DF375" s="128"/>
      <c r="DG375" s="128"/>
      <c r="DH375" s="128"/>
      <c r="DI375" s="128"/>
      <c r="DJ375" s="128"/>
      <c r="DK375" s="128"/>
      <c r="DL375" s="128"/>
      <c r="DM375" s="128"/>
      <c r="DN375" s="128"/>
      <c r="DO375" s="128"/>
      <c r="DP375" s="128"/>
      <c r="DQ375" s="128"/>
      <c r="DR375" s="128"/>
      <c r="DS375" s="128"/>
      <c r="DT375" s="128"/>
      <c r="DU375" s="128"/>
      <c r="DV375" s="128"/>
      <c r="DW375" s="128"/>
      <c r="DX375" s="128"/>
      <c r="DY375" s="128"/>
      <c r="DZ375" s="128"/>
      <c r="EA375" s="128"/>
      <c r="EB375" s="128"/>
      <c r="EC375" s="128"/>
      <c r="ED375" s="128"/>
      <c r="EE375" s="128"/>
      <c r="EF375" s="128"/>
      <c r="EG375" s="128"/>
      <c r="EH375" s="128"/>
      <c r="EI375" s="128"/>
      <c r="EJ375" s="128"/>
      <c r="EK375" s="128"/>
      <c r="EL375" s="128"/>
      <c r="EM375" s="128"/>
      <c r="EN375" s="128"/>
      <c r="EO375" s="128"/>
      <c r="EP375" s="128"/>
      <c r="EQ375" s="128"/>
      <c r="ER375" s="128"/>
      <c r="ES375" s="128"/>
      <c r="ET375" s="128"/>
      <c r="EU375" s="128"/>
      <c r="EV375" s="128"/>
      <c r="EW375" s="128"/>
      <c r="EX375" s="128"/>
      <c r="EY375" s="128"/>
      <c r="EZ375" s="128"/>
      <c r="FA375" s="128"/>
      <c r="FB375" s="128"/>
      <c r="FC375" s="128"/>
      <c r="FD375" s="128"/>
      <c r="FE375" s="128"/>
      <c r="FF375" s="128"/>
      <c r="FG375" s="128"/>
      <c r="FH375" s="128"/>
      <c r="FI375" s="128"/>
      <c r="FJ375" s="128"/>
      <c r="FK375" s="128"/>
      <c r="FL375" s="128"/>
      <c r="FM375" s="128"/>
      <c r="FN375" s="128"/>
      <c r="FO375" s="128"/>
      <c r="FP375" s="128"/>
      <c r="FQ375" s="128"/>
      <c r="FR375" s="128"/>
      <c r="FS375" s="128"/>
      <c r="FT375" s="128"/>
      <c r="FU375" s="128"/>
      <c r="FV375" s="128"/>
      <c r="FW375" s="128"/>
      <c r="FX375" s="128"/>
      <c r="FY375" s="128"/>
      <c r="FZ375" s="128"/>
      <c r="GA375" s="128"/>
      <c r="GB375" s="128"/>
      <c r="GC375" s="128"/>
      <c r="GD375" s="128"/>
      <c r="GE375" s="128"/>
      <c r="GF375" s="128"/>
      <c r="GG375" s="128"/>
      <c r="GH375" s="128"/>
      <c r="GI375" s="128"/>
      <c r="GJ375" s="128"/>
      <c r="GK375" s="128"/>
      <c r="GL375" s="128"/>
      <c r="GM375" s="128"/>
      <c r="GN375" s="128"/>
      <c r="GO375" s="128"/>
      <c r="GP375" s="128"/>
      <c r="GQ375" s="128"/>
      <c r="GR375" s="128"/>
      <c r="GS375" s="128"/>
      <c r="GT375" s="128"/>
      <c r="GU375" s="128"/>
      <c r="GV375" s="128"/>
      <c r="GW375" s="128"/>
      <c r="GX375" s="128"/>
      <c r="GY375" s="128"/>
      <c r="GZ375" s="128"/>
      <c r="HA375" s="128"/>
      <c r="HB375" s="128"/>
      <c r="HC375" s="128"/>
      <c r="HD375" s="128"/>
      <c r="HE375" s="128"/>
      <c r="HF375" s="128"/>
      <c r="HG375" s="128"/>
      <c r="HH375" s="128"/>
      <c r="HI375" s="128"/>
      <c r="HJ375" s="128"/>
      <c r="HK375" s="128"/>
      <c r="HL375" s="128"/>
      <c r="HM375" s="128"/>
      <c r="HN375" s="128"/>
      <c r="HO375" s="128"/>
      <c r="HP375" s="128"/>
      <c r="HQ375" s="128"/>
      <c r="HR375" s="128"/>
      <c r="HS375" s="128"/>
      <c r="HT375" s="128"/>
      <c r="HU375" s="128"/>
      <c r="HV375" s="128"/>
      <c r="HW375" s="128"/>
      <c r="HX375" s="128"/>
      <c r="HY375" s="128"/>
      <c r="HZ375" s="128"/>
      <c r="IA375" s="128"/>
      <c r="IB375" s="128"/>
      <c r="IC375" s="128"/>
      <c r="ID375" s="128"/>
      <c r="IE375" s="128"/>
      <c r="IF375" s="128"/>
      <c r="IG375" s="128"/>
      <c r="IH375" s="128"/>
      <c r="II375" s="128"/>
      <c r="IJ375" s="128"/>
      <c r="IK375" s="128"/>
      <c r="IL375" s="128"/>
      <c r="IM375" s="128"/>
      <c r="IN375" s="128"/>
      <c r="IO375" s="128"/>
      <c r="IP375" s="128"/>
      <c r="IQ375" s="128"/>
      <c r="IR375" s="128"/>
      <c r="IS375" s="128"/>
      <c r="IT375" s="128"/>
      <c r="IU375" s="128"/>
      <c r="IV375" s="128"/>
    </row>
    <row r="376" spans="1:256" s="44" customFormat="1" ht="15.75">
      <c r="A376" s="129"/>
      <c r="B376" s="136" t="s">
        <v>515</v>
      </c>
      <c r="C376" s="300"/>
      <c r="D376" s="135" t="s">
        <v>247</v>
      </c>
      <c r="E376" s="131">
        <v>2</v>
      </c>
      <c r="F376" s="405">
        <f>E376*F369</f>
        <v>1100</v>
      </c>
      <c r="G376" s="241"/>
      <c r="H376" s="241"/>
      <c r="I376" s="241"/>
      <c r="J376" s="241"/>
      <c r="K376" s="241"/>
      <c r="L376" s="241"/>
      <c r="M376" s="278"/>
      <c r="N376" s="73"/>
      <c r="O376" s="73"/>
      <c r="P376" s="73"/>
      <c r="Q376" s="73"/>
      <c r="R376" s="73"/>
      <c r="S376" s="73"/>
      <c r="T376" s="73"/>
      <c r="U376" s="73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  <c r="AI376" s="128"/>
      <c r="AJ376" s="128"/>
      <c r="AK376" s="128"/>
      <c r="AL376" s="128"/>
      <c r="AM376" s="128"/>
      <c r="AN376" s="128"/>
      <c r="AO376" s="128"/>
      <c r="AP376" s="128"/>
      <c r="AQ376" s="128"/>
      <c r="AR376" s="128"/>
      <c r="AS376" s="128"/>
      <c r="AT376" s="128"/>
      <c r="AU376" s="128"/>
      <c r="AV376" s="128"/>
      <c r="AW376" s="128"/>
      <c r="AX376" s="128"/>
      <c r="AY376" s="128"/>
      <c r="AZ376" s="128"/>
      <c r="BA376" s="128"/>
      <c r="BB376" s="128"/>
      <c r="BC376" s="128"/>
      <c r="BD376" s="128"/>
      <c r="BE376" s="128"/>
      <c r="BF376" s="128"/>
      <c r="BG376" s="128"/>
      <c r="BH376" s="128"/>
      <c r="BI376" s="128"/>
      <c r="BJ376" s="128"/>
      <c r="BK376" s="128"/>
      <c r="BL376" s="128"/>
      <c r="BM376" s="128"/>
      <c r="BN376" s="128"/>
      <c r="BO376" s="128"/>
      <c r="BP376" s="128"/>
      <c r="BQ376" s="128"/>
      <c r="BR376" s="128"/>
      <c r="BS376" s="128"/>
      <c r="BT376" s="128"/>
      <c r="BU376" s="128"/>
      <c r="BV376" s="128"/>
      <c r="BW376" s="128"/>
      <c r="BX376" s="128"/>
      <c r="BY376" s="128"/>
      <c r="BZ376" s="128"/>
      <c r="CA376" s="128"/>
      <c r="CB376" s="128"/>
      <c r="CC376" s="128"/>
      <c r="CD376" s="128"/>
      <c r="CE376" s="128"/>
      <c r="CF376" s="128"/>
      <c r="CG376" s="128"/>
      <c r="CH376" s="128"/>
      <c r="CI376" s="128"/>
      <c r="CJ376" s="128"/>
      <c r="CK376" s="128"/>
      <c r="CL376" s="128"/>
      <c r="CM376" s="128"/>
      <c r="CN376" s="128"/>
      <c r="CO376" s="128"/>
      <c r="CP376" s="128"/>
      <c r="CQ376" s="128"/>
      <c r="CR376" s="128"/>
      <c r="CS376" s="128"/>
      <c r="CT376" s="128"/>
      <c r="CU376" s="128"/>
      <c r="CV376" s="128"/>
      <c r="CW376" s="128"/>
      <c r="CX376" s="128"/>
      <c r="CY376" s="128"/>
      <c r="CZ376" s="128"/>
      <c r="DA376" s="128"/>
      <c r="DB376" s="128"/>
      <c r="DC376" s="128"/>
      <c r="DD376" s="128"/>
      <c r="DE376" s="128"/>
      <c r="DF376" s="128"/>
      <c r="DG376" s="128"/>
      <c r="DH376" s="128"/>
      <c r="DI376" s="128"/>
      <c r="DJ376" s="128"/>
      <c r="DK376" s="128"/>
      <c r="DL376" s="128"/>
      <c r="DM376" s="128"/>
      <c r="DN376" s="128"/>
      <c r="DO376" s="128"/>
      <c r="DP376" s="128"/>
      <c r="DQ376" s="128"/>
      <c r="DR376" s="128"/>
      <c r="DS376" s="128"/>
      <c r="DT376" s="128"/>
      <c r="DU376" s="128"/>
      <c r="DV376" s="128"/>
      <c r="DW376" s="128"/>
      <c r="DX376" s="128"/>
      <c r="DY376" s="128"/>
      <c r="DZ376" s="128"/>
      <c r="EA376" s="128"/>
      <c r="EB376" s="128"/>
      <c r="EC376" s="128"/>
      <c r="ED376" s="128"/>
      <c r="EE376" s="128"/>
      <c r="EF376" s="128"/>
      <c r="EG376" s="128"/>
      <c r="EH376" s="128"/>
      <c r="EI376" s="128"/>
      <c r="EJ376" s="128"/>
      <c r="EK376" s="128"/>
      <c r="EL376" s="128"/>
      <c r="EM376" s="128"/>
      <c r="EN376" s="128"/>
      <c r="EO376" s="128"/>
      <c r="EP376" s="128"/>
      <c r="EQ376" s="128"/>
      <c r="ER376" s="128"/>
      <c r="ES376" s="128"/>
      <c r="ET376" s="128"/>
      <c r="EU376" s="128"/>
      <c r="EV376" s="128"/>
      <c r="EW376" s="128"/>
      <c r="EX376" s="128"/>
      <c r="EY376" s="128"/>
      <c r="EZ376" s="128"/>
      <c r="FA376" s="128"/>
      <c r="FB376" s="128"/>
      <c r="FC376" s="128"/>
      <c r="FD376" s="128"/>
      <c r="FE376" s="128"/>
      <c r="FF376" s="128"/>
      <c r="FG376" s="128"/>
      <c r="FH376" s="128"/>
      <c r="FI376" s="128"/>
      <c r="FJ376" s="128"/>
      <c r="FK376" s="128"/>
      <c r="FL376" s="128"/>
      <c r="FM376" s="128"/>
      <c r="FN376" s="128"/>
      <c r="FO376" s="128"/>
      <c r="FP376" s="128"/>
      <c r="FQ376" s="128"/>
      <c r="FR376" s="128"/>
      <c r="FS376" s="128"/>
      <c r="FT376" s="128"/>
      <c r="FU376" s="128"/>
      <c r="FV376" s="128"/>
      <c r="FW376" s="128"/>
      <c r="FX376" s="128"/>
      <c r="FY376" s="128"/>
      <c r="FZ376" s="128"/>
      <c r="GA376" s="128"/>
      <c r="GB376" s="128"/>
      <c r="GC376" s="128"/>
      <c r="GD376" s="128"/>
      <c r="GE376" s="128"/>
      <c r="GF376" s="128"/>
      <c r="GG376" s="128"/>
      <c r="GH376" s="128"/>
      <c r="GI376" s="128"/>
      <c r="GJ376" s="128"/>
      <c r="GK376" s="128"/>
      <c r="GL376" s="128"/>
      <c r="GM376" s="128"/>
      <c r="GN376" s="128"/>
      <c r="GO376" s="128"/>
      <c r="GP376" s="128"/>
      <c r="GQ376" s="128"/>
      <c r="GR376" s="128"/>
      <c r="GS376" s="128"/>
      <c r="GT376" s="128"/>
      <c r="GU376" s="128"/>
      <c r="GV376" s="128"/>
      <c r="GW376" s="128"/>
      <c r="GX376" s="128"/>
      <c r="GY376" s="128"/>
      <c r="GZ376" s="128"/>
      <c r="HA376" s="128"/>
      <c r="HB376" s="128"/>
      <c r="HC376" s="128"/>
      <c r="HD376" s="128"/>
      <c r="HE376" s="128"/>
      <c r="HF376" s="128"/>
      <c r="HG376" s="128"/>
      <c r="HH376" s="128"/>
      <c r="HI376" s="128"/>
      <c r="HJ376" s="128"/>
      <c r="HK376" s="128"/>
      <c r="HL376" s="128"/>
      <c r="HM376" s="128"/>
      <c r="HN376" s="128"/>
      <c r="HO376" s="128"/>
      <c r="HP376" s="128"/>
      <c r="HQ376" s="128"/>
      <c r="HR376" s="128"/>
      <c r="HS376" s="128"/>
      <c r="HT376" s="128"/>
      <c r="HU376" s="128"/>
      <c r="HV376" s="128"/>
      <c r="HW376" s="128"/>
      <c r="HX376" s="128"/>
      <c r="HY376" s="128"/>
      <c r="HZ376" s="128"/>
      <c r="IA376" s="128"/>
      <c r="IB376" s="128"/>
      <c r="IC376" s="128"/>
      <c r="ID376" s="128"/>
      <c r="IE376" s="128"/>
      <c r="IF376" s="128"/>
      <c r="IG376" s="128"/>
      <c r="IH376" s="128"/>
      <c r="II376" s="128"/>
      <c r="IJ376" s="128"/>
      <c r="IK376" s="128"/>
      <c r="IL376" s="128"/>
      <c r="IM376" s="128"/>
      <c r="IN376" s="128"/>
      <c r="IO376" s="128"/>
      <c r="IP376" s="128"/>
      <c r="IQ376" s="128"/>
      <c r="IR376" s="128"/>
      <c r="IS376" s="128"/>
      <c r="IT376" s="128"/>
      <c r="IU376" s="128"/>
      <c r="IV376" s="128"/>
    </row>
    <row r="377" spans="1:256" s="44" customFormat="1" ht="33">
      <c r="A377" s="129"/>
      <c r="B377" s="279" t="s">
        <v>252</v>
      </c>
      <c r="C377" s="300"/>
      <c r="D377" s="280" t="s">
        <v>76</v>
      </c>
      <c r="E377" s="280">
        <v>2</v>
      </c>
      <c r="F377" s="406">
        <f>E377*F369</f>
        <v>1100</v>
      </c>
      <c r="G377" s="301"/>
      <c r="H377" s="241"/>
      <c r="I377" s="281"/>
      <c r="J377" s="281"/>
      <c r="K377" s="282"/>
      <c r="L377" s="282"/>
      <c r="M377" s="278"/>
      <c r="N377" s="73"/>
      <c r="O377" s="73"/>
      <c r="P377" s="73"/>
      <c r="Q377" s="73"/>
      <c r="R377" s="73"/>
      <c r="S377" s="73"/>
      <c r="T377" s="73"/>
      <c r="U377" s="73"/>
      <c r="V377" s="128"/>
      <c r="W377" s="128"/>
      <c r="X377" s="128"/>
      <c r="Y377" s="128"/>
      <c r="Z377" s="128"/>
      <c r="AA377" s="128"/>
      <c r="AB377" s="128"/>
      <c r="AC377" s="128"/>
      <c r="AD377" s="128"/>
      <c r="AE377" s="128"/>
      <c r="AF377" s="128"/>
      <c r="AG377" s="128"/>
      <c r="AH377" s="128"/>
      <c r="AI377" s="128"/>
      <c r="AJ377" s="128"/>
      <c r="AK377" s="128"/>
      <c r="AL377" s="128"/>
      <c r="AM377" s="128"/>
      <c r="AN377" s="128"/>
      <c r="AO377" s="128"/>
      <c r="AP377" s="128"/>
      <c r="AQ377" s="128"/>
      <c r="AR377" s="128"/>
      <c r="AS377" s="128"/>
      <c r="AT377" s="128"/>
      <c r="AU377" s="128"/>
      <c r="AV377" s="128"/>
      <c r="AW377" s="128"/>
      <c r="AX377" s="128"/>
      <c r="AY377" s="128"/>
      <c r="AZ377" s="128"/>
      <c r="BA377" s="128"/>
      <c r="BB377" s="128"/>
      <c r="BC377" s="128"/>
      <c r="BD377" s="128"/>
      <c r="BE377" s="128"/>
      <c r="BF377" s="128"/>
      <c r="BG377" s="128"/>
      <c r="BH377" s="128"/>
      <c r="BI377" s="128"/>
      <c r="BJ377" s="128"/>
      <c r="BK377" s="128"/>
      <c r="BL377" s="128"/>
      <c r="BM377" s="128"/>
      <c r="BN377" s="128"/>
      <c r="BO377" s="128"/>
      <c r="BP377" s="128"/>
      <c r="BQ377" s="128"/>
      <c r="BR377" s="128"/>
      <c r="BS377" s="128"/>
      <c r="BT377" s="128"/>
      <c r="BU377" s="128"/>
      <c r="BV377" s="128"/>
      <c r="BW377" s="128"/>
      <c r="BX377" s="128"/>
      <c r="BY377" s="128"/>
      <c r="BZ377" s="128"/>
      <c r="CA377" s="128"/>
      <c r="CB377" s="128"/>
      <c r="CC377" s="128"/>
      <c r="CD377" s="128"/>
      <c r="CE377" s="128"/>
      <c r="CF377" s="128"/>
      <c r="CG377" s="128"/>
      <c r="CH377" s="128"/>
      <c r="CI377" s="128"/>
      <c r="CJ377" s="128"/>
      <c r="CK377" s="128"/>
      <c r="CL377" s="128"/>
      <c r="CM377" s="128"/>
      <c r="CN377" s="128"/>
      <c r="CO377" s="128"/>
      <c r="CP377" s="128"/>
      <c r="CQ377" s="128"/>
      <c r="CR377" s="128"/>
      <c r="CS377" s="128"/>
      <c r="CT377" s="128"/>
      <c r="CU377" s="128"/>
      <c r="CV377" s="128"/>
      <c r="CW377" s="128"/>
      <c r="CX377" s="128"/>
      <c r="CY377" s="128"/>
      <c r="CZ377" s="128"/>
      <c r="DA377" s="128"/>
      <c r="DB377" s="128"/>
      <c r="DC377" s="128"/>
      <c r="DD377" s="128"/>
      <c r="DE377" s="128"/>
      <c r="DF377" s="128"/>
      <c r="DG377" s="128"/>
      <c r="DH377" s="128"/>
      <c r="DI377" s="128"/>
      <c r="DJ377" s="128"/>
      <c r="DK377" s="128"/>
      <c r="DL377" s="128"/>
      <c r="DM377" s="128"/>
      <c r="DN377" s="128"/>
      <c r="DO377" s="128"/>
      <c r="DP377" s="128"/>
      <c r="DQ377" s="128"/>
      <c r="DR377" s="128"/>
      <c r="DS377" s="128"/>
      <c r="DT377" s="128"/>
      <c r="DU377" s="128"/>
      <c r="DV377" s="128"/>
      <c r="DW377" s="128"/>
      <c r="DX377" s="128"/>
      <c r="DY377" s="128"/>
      <c r="DZ377" s="128"/>
      <c r="EA377" s="128"/>
      <c r="EB377" s="128"/>
      <c r="EC377" s="128"/>
      <c r="ED377" s="128"/>
      <c r="EE377" s="128"/>
      <c r="EF377" s="128"/>
      <c r="EG377" s="128"/>
      <c r="EH377" s="128"/>
      <c r="EI377" s="128"/>
      <c r="EJ377" s="128"/>
      <c r="EK377" s="128"/>
      <c r="EL377" s="128"/>
      <c r="EM377" s="128"/>
      <c r="EN377" s="128"/>
      <c r="EO377" s="128"/>
      <c r="EP377" s="128"/>
      <c r="EQ377" s="128"/>
      <c r="ER377" s="128"/>
      <c r="ES377" s="128"/>
      <c r="ET377" s="128"/>
      <c r="EU377" s="128"/>
      <c r="EV377" s="128"/>
      <c r="EW377" s="128"/>
      <c r="EX377" s="128"/>
      <c r="EY377" s="128"/>
      <c r="EZ377" s="128"/>
      <c r="FA377" s="128"/>
      <c r="FB377" s="128"/>
      <c r="FC377" s="128"/>
      <c r="FD377" s="128"/>
      <c r="FE377" s="128"/>
      <c r="FF377" s="128"/>
      <c r="FG377" s="128"/>
      <c r="FH377" s="128"/>
      <c r="FI377" s="128"/>
      <c r="FJ377" s="128"/>
      <c r="FK377" s="128"/>
      <c r="FL377" s="128"/>
      <c r="FM377" s="128"/>
      <c r="FN377" s="128"/>
      <c r="FO377" s="128"/>
      <c r="FP377" s="128"/>
      <c r="FQ377" s="128"/>
      <c r="FR377" s="128"/>
      <c r="FS377" s="128"/>
      <c r="FT377" s="128"/>
      <c r="FU377" s="128"/>
      <c r="FV377" s="128"/>
      <c r="FW377" s="128"/>
      <c r="FX377" s="128"/>
      <c r="FY377" s="128"/>
      <c r="FZ377" s="128"/>
      <c r="GA377" s="128"/>
      <c r="GB377" s="128"/>
      <c r="GC377" s="128"/>
      <c r="GD377" s="128"/>
      <c r="GE377" s="128"/>
      <c r="GF377" s="128"/>
      <c r="GG377" s="128"/>
      <c r="GH377" s="128"/>
      <c r="GI377" s="128"/>
      <c r="GJ377" s="128"/>
      <c r="GK377" s="128"/>
      <c r="GL377" s="128"/>
      <c r="GM377" s="128"/>
      <c r="GN377" s="128"/>
      <c r="GO377" s="128"/>
      <c r="GP377" s="128"/>
      <c r="GQ377" s="128"/>
      <c r="GR377" s="128"/>
      <c r="GS377" s="128"/>
      <c r="GT377" s="128"/>
      <c r="GU377" s="128"/>
      <c r="GV377" s="128"/>
      <c r="GW377" s="128"/>
      <c r="GX377" s="128"/>
      <c r="GY377" s="128"/>
      <c r="GZ377" s="128"/>
      <c r="HA377" s="128"/>
      <c r="HB377" s="128"/>
      <c r="HC377" s="128"/>
      <c r="HD377" s="128"/>
      <c r="HE377" s="128"/>
      <c r="HF377" s="128"/>
      <c r="HG377" s="128"/>
      <c r="HH377" s="128"/>
      <c r="HI377" s="128"/>
      <c r="HJ377" s="128"/>
      <c r="HK377" s="128"/>
      <c r="HL377" s="128"/>
      <c r="HM377" s="128"/>
      <c r="HN377" s="128"/>
      <c r="HO377" s="128"/>
      <c r="HP377" s="128"/>
      <c r="HQ377" s="128"/>
      <c r="HR377" s="128"/>
      <c r="HS377" s="128"/>
      <c r="HT377" s="128"/>
      <c r="HU377" s="128"/>
      <c r="HV377" s="128"/>
      <c r="HW377" s="128"/>
      <c r="HX377" s="128"/>
      <c r="HY377" s="128"/>
      <c r="HZ377" s="128"/>
      <c r="IA377" s="128"/>
      <c r="IB377" s="128"/>
      <c r="IC377" s="128"/>
      <c r="ID377" s="128"/>
      <c r="IE377" s="128"/>
      <c r="IF377" s="128"/>
      <c r="IG377" s="128"/>
      <c r="IH377" s="128"/>
      <c r="II377" s="128"/>
      <c r="IJ377" s="128"/>
      <c r="IK377" s="128"/>
      <c r="IL377" s="128"/>
      <c r="IM377" s="128"/>
      <c r="IN377" s="128"/>
      <c r="IO377" s="128"/>
      <c r="IP377" s="128"/>
      <c r="IQ377" s="128"/>
      <c r="IR377" s="128"/>
      <c r="IS377" s="128"/>
      <c r="IT377" s="128"/>
      <c r="IU377" s="128"/>
      <c r="IV377" s="128"/>
    </row>
    <row r="378" spans="1:256" s="44" customFormat="1" ht="15.75">
      <c r="A378" s="137"/>
      <c r="B378" s="136" t="s">
        <v>18</v>
      </c>
      <c r="C378" s="85"/>
      <c r="D378" s="135" t="s">
        <v>0</v>
      </c>
      <c r="E378" s="139">
        <v>1.3</v>
      </c>
      <c r="F378" s="407">
        <f>E378*F369</f>
        <v>715</v>
      </c>
      <c r="G378" s="241"/>
      <c r="H378" s="241"/>
      <c r="I378" s="241"/>
      <c r="J378" s="241"/>
      <c r="K378" s="241"/>
      <c r="L378" s="241"/>
      <c r="M378" s="278"/>
      <c r="N378" s="73"/>
      <c r="O378" s="73"/>
      <c r="P378" s="73"/>
      <c r="Q378" s="73"/>
      <c r="R378" s="73"/>
      <c r="S378" s="73"/>
      <c r="T378" s="73"/>
      <c r="U378" s="73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128"/>
      <c r="AH378" s="128"/>
      <c r="AI378" s="128"/>
      <c r="AJ378" s="128"/>
      <c r="AK378" s="128"/>
      <c r="AL378" s="128"/>
      <c r="AM378" s="128"/>
      <c r="AN378" s="128"/>
      <c r="AO378" s="128"/>
      <c r="AP378" s="128"/>
      <c r="AQ378" s="128"/>
      <c r="AR378" s="128"/>
      <c r="AS378" s="128"/>
      <c r="AT378" s="128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8"/>
      <c r="BJ378" s="128"/>
      <c r="BK378" s="128"/>
      <c r="BL378" s="128"/>
      <c r="BM378" s="128"/>
      <c r="BN378" s="128"/>
      <c r="BO378" s="128"/>
      <c r="BP378" s="128"/>
      <c r="BQ378" s="128"/>
      <c r="BR378" s="128"/>
      <c r="BS378" s="128"/>
      <c r="BT378" s="128"/>
      <c r="BU378" s="128"/>
      <c r="BV378" s="128"/>
      <c r="BW378" s="128"/>
      <c r="BX378" s="128"/>
      <c r="BY378" s="128"/>
      <c r="BZ378" s="128"/>
      <c r="CA378" s="128"/>
      <c r="CB378" s="128"/>
      <c r="CC378" s="128"/>
      <c r="CD378" s="128"/>
      <c r="CE378" s="128"/>
      <c r="CF378" s="128"/>
      <c r="CG378" s="128"/>
      <c r="CH378" s="128"/>
      <c r="CI378" s="128"/>
      <c r="CJ378" s="128"/>
      <c r="CK378" s="128"/>
      <c r="CL378" s="128"/>
      <c r="CM378" s="128"/>
      <c r="CN378" s="128"/>
      <c r="CO378" s="128"/>
      <c r="CP378" s="128"/>
      <c r="CQ378" s="128"/>
      <c r="CR378" s="128"/>
      <c r="CS378" s="128"/>
      <c r="CT378" s="128"/>
      <c r="CU378" s="128"/>
      <c r="CV378" s="128"/>
      <c r="CW378" s="128"/>
      <c r="CX378" s="128"/>
      <c r="CY378" s="128"/>
      <c r="CZ378" s="128"/>
      <c r="DA378" s="128"/>
      <c r="DB378" s="128"/>
      <c r="DC378" s="128"/>
      <c r="DD378" s="128"/>
      <c r="DE378" s="128"/>
      <c r="DF378" s="128"/>
      <c r="DG378" s="128"/>
      <c r="DH378" s="128"/>
      <c r="DI378" s="128"/>
      <c r="DJ378" s="128"/>
      <c r="DK378" s="128"/>
      <c r="DL378" s="128"/>
      <c r="DM378" s="128"/>
      <c r="DN378" s="128"/>
      <c r="DO378" s="128"/>
      <c r="DP378" s="128"/>
      <c r="DQ378" s="128"/>
      <c r="DR378" s="128"/>
      <c r="DS378" s="128"/>
      <c r="DT378" s="128"/>
      <c r="DU378" s="128"/>
      <c r="DV378" s="128"/>
      <c r="DW378" s="128"/>
      <c r="DX378" s="128"/>
      <c r="DY378" s="128"/>
      <c r="DZ378" s="128"/>
      <c r="EA378" s="128"/>
      <c r="EB378" s="128"/>
      <c r="EC378" s="128"/>
      <c r="ED378" s="128"/>
      <c r="EE378" s="128"/>
      <c r="EF378" s="128"/>
      <c r="EG378" s="128"/>
      <c r="EH378" s="128"/>
      <c r="EI378" s="128"/>
      <c r="EJ378" s="128"/>
      <c r="EK378" s="128"/>
      <c r="EL378" s="128"/>
      <c r="EM378" s="128"/>
      <c r="EN378" s="128"/>
      <c r="EO378" s="128"/>
      <c r="EP378" s="128"/>
      <c r="EQ378" s="128"/>
      <c r="ER378" s="128"/>
      <c r="ES378" s="128"/>
      <c r="ET378" s="128"/>
      <c r="EU378" s="128"/>
      <c r="EV378" s="128"/>
      <c r="EW378" s="128"/>
      <c r="EX378" s="128"/>
      <c r="EY378" s="128"/>
      <c r="EZ378" s="128"/>
      <c r="FA378" s="128"/>
      <c r="FB378" s="128"/>
      <c r="FC378" s="128"/>
      <c r="FD378" s="128"/>
      <c r="FE378" s="128"/>
      <c r="FF378" s="128"/>
      <c r="FG378" s="128"/>
      <c r="FH378" s="128"/>
      <c r="FI378" s="128"/>
      <c r="FJ378" s="128"/>
      <c r="FK378" s="128"/>
      <c r="FL378" s="128"/>
      <c r="FM378" s="128"/>
      <c r="FN378" s="128"/>
      <c r="FO378" s="128"/>
      <c r="FP378" s="128"/>
      <c r="FQ378" s="128"/>
      <c r="FR378" s="128"/>
      <c r="FS378" s="128"/>
      <c r="FT378" s="128"/>
      <c r="FU378" s="128"/>
      <c r="FV378" s="128"/>
      <c r="FW378" s="128"/>
      <c r="FX378" s="128"/>
      <c r="FY378" s="128"/>
      <c r="FZ378" s="128"/>
      <c r="GA378" s="128"/>
      <c r="GB378" s="128"/>
      <c r="GC378" s="128"/>
      <c r="GD378" s="128"/>
      <c r="GE378" s="128"/>
      <c r="GF378" s="128"/>
      <c r="GG378" s="128"/>
      <c r="GH378" s="128"/>
      <c r="GI378" s="128"/>
      <c r="GJ378" s="128"/>
      <c r="GK378" s="128"/>
      <c r="GL378" s="128"/>
      <c r="GM378" s="128"/>
      <c r="GN378" s="128"/>
      <c r="GO378" s="128"/>
      <c r="GP378" s="128"/>
      <c r="GQ378" s="128"/>
      <c r="GR378" s="128"/>
      <c r="GS378" s="128"/>
      <c r="GT378" s="128"/>
      <c r="GU378" s="128"/>
      <c r="GV378" s="128"/>
      <c r="GW378" s="128"/>
      <c r="GX378" s="128"/>
      <c r="GY378" s="128"/>
      <c r="GZ378" s="128"/>
      <c r="HA378" s="128"/>
      <c r="HB378" s="128"/>
      <c r="HC378" s="128"/>
      <c r="HD378" s="128"/>
      <c r="HE378" s="128"/>
      <c r="HF378" s="128"/>
      <c r="HG378" s="128"/>
      <c r="HH378" s="128"/>
      <c r="HI378" s="128"/>
      <c r="HJ378" s="128"/>
      <c r="HK378" s="128"/>
      <c r="HL378" s="128"/>
      <c r="HM378" s="128"/>
      <c r="HN378" s="128"/>
      <c r="HO378" s="128"/>
      <c r="HP378" s="128"/>
      <c r="HQ378" s="128"/>
      <c r="HR378" s="128"/>
      <c r="HS378" s="128"/>
      <c r="HT378" s="128"/>
      <c r="HU378" s="128"/>
      <c r="HV378" s="128"/>
      <c r="HW378" s="128"/>
      <c r="HX378" s="128"/>
      <c r="HY378" s="128"/>
      <c r="HZ378" s="128"/>
      <c r="IA378" s="128"/>
      <c r="IB378" s="128"/>
      <c r="IC378" s="128"/>
      <c r="ID378" s="128"/>
      <c r="IE378" s="128"/>
      <c r="IF378" s="128"/>
      <c r="IG378" s="128"/>
      <c r="IH378" s="128"/>
      <c r="II378" s="128"/>
      <c r="IJ378" s="128"/>
      <c r="IK378" s="128"/>
      <c r="IL378" s="128"/>
      <c r="IM378" s="128"/>
      <c r="IN378" s="128"/>
      <c r="IO378" s="128"/>
      <c r="IP378" s="128"/>
      <c r="IQ378" s="128"/>
      <c r="IR378" s="128"/>
      <c r="IS378" s="128"/>
      <c r="IT378" s="128"/>
      <c r="IU378" s="128"/>
      <c r="IV378" s="128"/>
    </row>
    <row r="379" spans="1:256" ht="13.5">
      <c r="A379" s="78"/>
      <c r="B379" s="60" t="s">
        <v>8</v>
      </c>
      <c r="C379" s="140"/>
      <c r="D379" s="78"/>
      <c r="E379" s="78"/>
      <c r="F379" s="408"/>
      <c r="G379" s="78"/>
      <c r="H379" s="141"/>
      <c r="I379" s="142"/>
      <c r="J379" s="141"/>
      <c r="K379" s="142"/>
      <c r="L379" s="141"/>
      <c r="M379" s="141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  <c r="IK379" s="44"/>
      <c r="IL379" s="44"/>
      <c r="IM379" s="44"/>
      <c r="IN379" s="44"/>
      <c r="IO379" s="44"/>
      <c r="IP379" s="44"/>
      <c r="IQ379" s="44"/>
      <c r="IR379" s="44"/>
      <c r="IS379" s="44"/>
      <c r="IT379" s="44"/>
      <c r="IU379" s="44"/>
      <c r="IV379" s="44"/>
    </row>
    <row r="380" spans="1:256" ht="13.5">
      <c r="A380" s="78"/>
      <c r="B380" s="60" t="s">
        <v>253</v>
      </c>
      <c r="C380" s="140"/>
      <c r="D380" s="78"/>
      <c r="E380" s="78"/>
      <c r="F380" s="408"/>
      <c r="G380" s="78"/>
      <c r="H380" s="141"/>
      <c r="I380" s="142"/>
      <c r="J380" s="141"/>
      <c r="K380" s="142"/>
      <c r="L380" s="141"/>
      <c r="M380" s="141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  <c r="IM380" s="44"/>
      <c r="IN380" s="44"/>
      <c r="IO380" s="44"/>
      <c r="IP380" s="44"/>
      <c r="IQ380" s="44"/>
      <c r="IR380" s="44"/>
      <c r="IS380" s="44"/>
      <c r="IT380" s="44"/>
      <c r="IU380" s="44"/>
      <c r="IV380" s="44"/>
    </row>
    <row r="381" spans="1:256" ht="13.5">
      <c r="A381" s="78"/>
      <c r="B381" s="65" t="s">
        <v>16</v>
      </c>
      <c r="C381" s="143" t="s">
        <v>671</v>
      </c>
      <c r="D381" s="59"/>
      <c r="E381" s="59"/>
      <c r="F381" s="394"/>
      <c r="G381" s="59"/>
      <c r="H381" s="144"/>
      <c r="I381" s="145"/>
      <c r="J381" s="144"/>
      <c r="K381" s="145"/>
      <c r="L381" s="144"/>
      <c r="M381" s="1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  <c r="IK381" s="44"/>
      <c r="IL381" s="44"/>
      <c r="IM381" s="44"/>
      <c r="IN381" s="44"/>
      <c r="IO381" s="44"/>
      <c r="IP381" s="44"/>
      <c r="IQ381" s="44"/>
      <c r="IR381" s="44"/>
      <c r="IS381" s="44"/>
      <c r="IT381" s="44"/>
      <c r="IU381" s="44"/>
      <c r="IV381" s="44"/>
    </row>
    <row r="382" spans="1:256" ht="13.5">
      <c r="A382" s="78"/>
      <c r="B382" s="60" t="s">
        <v>8</v>
      </c>
      <c r="C382" s="143"/>
      <c r="D382" s="59"/>
      <c r="E382" s="59"/>
      <c r="F382" s="394"/>
      <c r="G382" s="59"/>
      <c r="H382" s="144"/>
      <c r="I382" s="145"/>
      <c r="J382" s="144"/>
      <c r="K382" s="145"/>
      <c r="L382" s="144"/>
      <c r="M382" s="1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  <c r="IM382" s="44"/>
      <c r="IN382" s="44"/>
      <c r="IO382" s="44"/>
      <c r="IP382" s="44"/>
      <c r="IQ382" s="44"/>
      <c r="IR382" s="44"/>
      <c r="IS382" s="44"/>
      <c r="IT382" s="44"/>
      <c r="IU382" s="44"/>
      <c r="IV382" s="44"/>
    </row>
    <row r="383" spans="1:256" ht="13.5">
      <c r="A383" s="78"/>
      <c r="B383" s="60" t="s">
        <v>29</v>
      </c>
      <c r="C383" s="143" t="s">
        <v>671</v>
      </c>
      <c r="D383" s="59"/>
      <c r="E383" s="59"/>
      <c r="F383" s="394"/>
      <c r="G383" s="59"/>
      <c r="H383" s="144"/>
      <c r="I383" s="145"/>
      <c r="J383" s="144"/>
      <c r="K383" s="145"/>
      <c r="L383" s="144"/>
      <c r="M383" s="1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  <c r="IM383" s="44"/>
      <c r="IN383" s="44"/>
      <c r="IO383" s="44"/>
      <c r="IP383" s="44"/>
      <c r="IQ383" s="44"/>
      <c r="IR383" s="44"/>
      <c r="IS383" s="44"/>
      <c r="IT383" s="44"/>
      <c r="IU383" s="44"/>
      <c r="IV383" s="44"/>
    </row>
    <row r="384" spans="1:256" ht="13.5">
      <c r="A384" s="78"/>
      <c r="B384" s="60" t="s">
        <v>8</v>
      </c>
      <c r="C384" s="74"/>
      <c r="D384" s="59"/>
      <c r="E384" s="59"/>
      <c r="F384" s="394"/>
      <c r="G384" s="59"/>
      <c r="H384" s="144"/>
      <c r="I384" s="145"/>
      <c r="J384" s="144"/>
      <c r="K384" s="145"/>
      <c r="L384" s="144"/>
      <c r="M384" s="1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  <c r="IM384" s="44"/>
      <c r="IN384" s="44"/>
      <c r="IO384" s="44"/>
      <c r="IP384" s="44"/>
      <c r="IQ384" s="44"/>
      <c r="IR384" s="44"/>
      <c r="IS384" s="44"/>
      <c r="IT384" s="44"/>
      <c r="IU384" s="44"/>
      <c r="IV384" s="44"/>
    </row>
    <row r="385" spans="1:256" ht="13.5">
      <c r="A385" s="78"/>
      <c r="B385" s="60" t="s">
        <v>254</v>
      </c>
      <c r="C385" s="143" t="s">
        <v>671</v>
      </c>
      <c r="D385" s="59"/>
      <c r="E385" s="59"/>
      <c r="F385" s="394"/>
      <c r="G385" s="59"/>
      <c r="H385" s="144"/>
      <c r="I385" s="145"/>
      <c r="J385" s="144"/>
      <c r="K385" s="145"/>
      <c r="L385" s="144"/>
      <c r="M385" s="1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  <c r="IM385" s="44"/>
      <c r="IN385" s="44"/>
      <c r="IO385" s="44"/>
      <c r="IP385" s="44"/>
      <c r="IQ385" s="44"/>
      <c r="IR385" s="44"/>
      <c r="IS385" s="44"/>
      <c r="IT385" s="44"/>
      <c r="IU385" s="44"/>
      <c r="IV385" s="44"/>
    </row>
    <row r="386" spans="1:256" ht="13.5">
      <c r="A386" s="78"/>
      <c r="B386" s="60" t="s">
        <v>8</v>
      </c>
      <c r="C386" s="143"/>
      <c r="D386" s="59"/>
      <c r="E386" s="59"/>
      <c r="F386" s="394"/>
      <c r="G386" s="59"/>
      <c r="H386" s="144"/>
      <c r="I386" s="145"/>
      <c r="J386" s="144"/>
      <c r="K386" s="145"/>
      <c r="L386" s="144"/>
      <c r="M386" s="1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  <c r="IK386" s="44"/>
      <c r="IL386" s="44"/>
      <c r="IM386" s="44"/>
      <c r="IN386" s="44"/>
      <c r="IO386" s="44"/>
      <c r="IP386" s="44"/>
      <c r="IQ386" s="44"/>
      <c r="IR386" s="44"/>
      <c r="IS386" s="44"/>
      <c r="IT386" s="44"/>
      <c r="IU386" s="44"/>
      <c r="IV386" s="44"/>
    </row>
    <row r="387" spans="1:256" ht="13.5">
      <c r="A387" s="78"/>
      <c r="B387" s="65" t="s">
        <v>255</v>
      </c>
      <c r="C387" s="143">
        <v>0.03</v>
      </c>
      <c r="D387" s="59"/>
      <c r="E387" s="59"/>
      <c r="F387" s="394"/>
      <c r="G387" s="59"/>
      <c r="H387" s="144"/>
      <c r="I387" s="145"/>
      <c r="J387" s="144"/>
      <c r="K387" s="145"/>
      <c r="L387" s="144"/>
      <c r="M387" s="1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  <c r="IK387" s="44"/>
      <c r="IL387" s="44"/>
      <c r="IM387" s="44"/>
      <c r="IN387" s="44"/>
      <c r="IO387" s="44"/>
      <c r="IP387" s="44"/>
      <c r="IQ387" s="44"/>
      <c r="IR387" s="44"/>
      <c r="IS387" s="44"/>
      <c r="IT387" s="44"/>
      <c r="IU387" s="44"/>
      <c r="IV387" s="44"/>
    </row>
    <row r="388" spans="1:256" ht="13.5">
      <c r="A388" s="78"/>
      <c r="B388" s="60" t="s">
        <v>8</v>
      </c>
      <c r="C388" s="143"/>
      <c r="D388" s="59"/>
      <c r="E388" s="59"/>
      <c r="F388" s="394"/>
      <c r="G388" s="59"/>
      <c r="H388" s="144"/>
      <c r="I388" s="145"/>
      <c r="J388" s="144"/>
      <c r="K388" s="145"/>
      <c r="L388" s="144"/>
      <c r="M388" s="1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  <c r="IK388" s="44"/>
      <c r="IL388" s="44"/>
      <c r="IM388" s="44"/>
      <c r="IN388" s="44"/>
      <c r="IO388" s="44"/>
      <c r="IP388" s="44"/>
      <c r="IQ388" s="44"/>
      <c r="IR388" s="44"/>
      <c r="IS388" s="44"/>
      <c r="IT388" s="44"/>
      <c r="IU388" s="44"/>
      <c r="IV388" s="44"/>
    </row>
    <row r="389" spans="2:13" ht="13.5">
      <c r="B389" s="65" t="s">
        <v>27</v>
      </c>
      <c r="C389" s="143">
        <v>0.18</v>
      </c>
      <c r="D389" s="59"/>
      <c r="E389" s="59"/>
      <c r="F389" s="394"/>
      <c r="G389" s="59"/>
      <c r="H389" s="144"/>
      <c r="I389" s="145"/>
      <c r="J389" s="144"/>
      <c r="K389" s="145"/>
      <c r="L389" s="144"/>
      <c r="M389" s="144"/>
    </row>
    <row r="390" spans="2:13" ht="13.5">
      <c r="B390" s="60" t="s">
        <v>8</v>
      </c>
      <c r="C390" s="143"/>
      <c r="D390" s="59"/>
      <c r="E390" s="59"/>
      <c r="F390" s="394"/>
      <c r="G390" s="59"/>
      <c r="H390" s="144"/>
      <c r="I390" s="145"/>
      <c r="J390" s="144"/>
      <c r="K390" s="145"/>
      <c r="L390" s="144"/>
      <c r="M390" s="144"/>
    </row>
    <row r="391" spans="3:10" ht="13.5">
      <c r="C391" s="550"/>
      <c r="D391" s="550"/>
      <c r="F391" s="374"/>
      <c r="I391" s="551"/>
      <c r="J391" s="551"/>
    </row>
    <row r="392" spans="2:13" ht="16.5" customHeight="1">
      <c r="B392" s="284" t="s">
        <v>617</v>
      </c>
      <c r="C392" s="222"/>
      <c r="D392" s="506" t="s">
        <v>618</v>
      </c>
      <c r="E392" s="506"/>
      <c r="F392" s="494"/>
      <c r="G392" s="494"/>
      <c r="H392" s="494"/>
      <c r="I392" s="494"/>
      <c r="J392" s="494"/>
      <c r="K392" s="494"/>
      <c r="L392" s="494"/>
      <c r="M392" s="494"/>
    </row>
    <row r="393" spans="2:13" ht="13.5" customHeight="1">
      <c r="B393" s="494"/>
      <c r="C393" s="494"/>
      <c r="D393" s="494"/>
      <c r="E393" s="494"/>
      <c r="F393" s="494"/>
      <c r="G393" s="494"/>
      <c r="H393" s="494"/>
      <c r="I393" s="494"/>
      <c r="J393" s="494"/>
      <c r="K393" s="494"/>
      <c r="L393" s="494"/>
      <c r="M393" s="494"/>
    </row>
    <row r="394" spans="2:13" ht="13.5" customHeight="1">
      <c r="B394" s="494"/>
      <c r="C394" s="494"/>
      <c r="D394" s="494"/>
      <c r="E394" s="494"/>
      <c r="F394" s="494"/>
      <c r="G394" s="494"/>
      <c r="H394" s="494"/>
      <c r="I394" s="494"/>
      <c r="J394" s="494"/>
      <c r="K394" s="494"/>
      <c r="L394" s="494"/>
      <c r="M394" s="494"/>
    </row>
    <row r="395" spans="2:13" ht="13.5" customHeight="1">
      <c r="B395" s="494"/>
      <c r="C395" s="494"/>
      <c r="D395" s="494"/>
      <c r="E395" s="494"/>
      <c r="F395" s="494"/>
      <c r="G395" s="494"/>
      <c r="H395" s="494"/>
      <c r="I395" s="494"/>
      <c r="J395" s="494"/>
      <c r="K395" s="494"/>
      <c r="L395" s="494"/>
      <c r="M395" s="494"/>
    </row>
    <row r="396" spans="2:13" ht="13.5" customHeight="1">
      <c r="B396" s="494"/>
      <c r="C396" s="494"/>
      <c r="D396" s="494"/>
      <c r="E396" s="494"/>
      <c r="F396" s="494"/>
      <c r="G396" s="494"/>
      <c r="H396" s="494"/>
      <c r="I396" s="494"/>
      <c r="J396" s="494"/>
      <c r="K396" s="494"/>
      <c r="L396" s="494"/>
      <c r="M396" s="494"/>
    </row>
    <row r="397" spans="2:13" ht="13.5" customHeight="1">
      <c r="B397" s="494"/>
      <c r="C397" s="494"/>
      <c r="D397" s="494"/>
      <c r="E397" s="494"/>
      <c r="F397" s="494"/>
      <c r="G397" s="494"/>
      <c r="H397" s="494"/>
      <c r="I397" s="494"/>
      <c r="J397" s="494"/>
      <c r="K397" s="494"/>
      <c r="L397" s="494"/>
      <c r="M397" s="494"/>
    </row>
    <row r="398" spans="2:13" ht="13.5" customHeight="1">
      <c r="B398" s="494"/>
      <c r="C398" s="494"/>
      <c r="D398" s="494"/>
      <c r="E398" s="494"/>
      <c r="F398" s="494"/>
      <c r="G398" s="494"/>
      <c r="H398" s="494"/>
      <c r="I398" s="494"/>
      <c r="J398" s="494"/>
      <c r="K398" s="494"/>
      <c r="L398" s="494"/>
      <c r="M398" s="494"/>
    </row>
    <row r="399" spans="2:13" ht="13.5" customHeight="1">
      <c r="B399" s="494"/>
      <c r="C399" s="494"/>
      <c r="D399" s="494"/>
      <c r="E399" s="494"/>
      <c r="F399" s="494"/>
      <c r="G399" s="494"/>
      <c r="H399" s="494"/>
      <c r="I399" s="494"/>
      <c r="J399" s="494"/>
      <c r="K399" s="494"/>
      <c r="L399" s="494"/>
      <c r="M399" s="494"/>
    </row>
    <row r="400" spans="2:13" ht="13.5" customHeight="1">
      <c r="B400" s="494"/>
      <c r="C400" s="494"/>
      <c r="D400" s="494"/>
      <c r="E400" s="494"/>
      <c r="F400" s="494"/>
      <c r="G400" s="494"/>
      <c r="H400" s="494"/>
      <c r="I400" s="494"/>
      <c r="J400" s="494"/>
      <c r="K400" s="494"/>
      <c r="L400" s="494"/>
      <c r="M400" s="494"/>
    </row>
    <row r="401" spans="2:13" ht="13.5" customHeight="1">
      <c r="B401" s="494"/>
      <c r="C401" s="494"/>
      <c r="D401" s="494"/>
      <c r="E401" s="494"/>
      <c r="F401" s="494"/>
      <c r="G401" s="494"/>
      <c r="H401" s="494"/>
      <c r="I401" s="494"/>
      <c r="J401" s="494"/>
      <c r="K401" s="494"/>
      <c r="L401" s="494"/>
      <c r="M401" s="494"/>
    </row>
    <row r="402" spans="2:13" ht="13.5" customHeight="1">
      <c r="B402" s="494"/>
      <c r="C402" s="494"/>
      <c r="D402" s="494"/>
      <c r="E402" s="494"/>
      <c r="F402" s="494"/>
      <c r="G402" s="494"/>
      <c r="H402" s="494"/>
      <c r="I402" s="494"/>
      <c r="J402" s="494"/>
      <c r="K402" s="494"/>
      <c r="L402" s="494"/>
      <c r="M402" s="494"/>
    </row>
    <row r="403" spans="2:11" ht="13.5">
      <c r="B403" s="222"/>
      <c r="C403" s="222"/>
      <c r="D403" s="222"/>
      <c r="E403" s="222"/>
      <c r="F403" s="409"/>
      <c r="G403" s="222"/>
      <c r="H403" s="222"/>
      <c r="I403" s="222"/>
      <c r="J403" s="222"/>
      <c r="K403" s="222"/>
    </row>
    <row r="404" spans="2:11" ht="13.5">
      <c r="B404" s="222"/>
      <c r="C404" s="222"/>
      <c r="D404" s="222"/>
      <c r="E404" s="222"/>
      <c r="F404" s="371"/>
      <c r="G404" s="222"/>
      <c r="H404" s="222"/>
      <c r="I404" s="222"/>
      <c r="J404" s="222"/>
      <c r="K404" s="222"/>
    </row>
    <row r="405" spans="2:11" ht="13.5">
      <c r="B405" s="159"/>
      <c r="C405" s="222"/>
      <c r="D405" s="222"/>
      <c r="E405" s="222"/>
      <c r="F405" s="371"/>
      <c r="G405" s="222"/>
      <c r="H405" s="222"/>
      <c r="I405" s="222"/>
      <c r="J405" s="222"/>
      <c r="K405" s="222"/>
    </row>
  </sheetData>
  <sheetProtection/>
  <mergeCells count="16">
    <mergeCell ref="D392:E392"/>
    <mergeCell ref="I7:J7"/>
    <mergeCell ref="K7:L7"/>
    <mergeCell ref="C391:D391"/>
    <mergeCell ref="I391:J391"/>
    <mergeCell ref="G7:H7"/>
    <mergeCell ref="A1:L1"/>
    <mergeCell ref="A2:L2"/>
    <mergeCell ref="A4:L4"/>
    <mergeCell ref="A5:L5"/>
    <mergeCell ref="A7:A8"/>
    <mergeCell ref="B7:B8"/>
    <mergeCell ref="C7:C8"/>
    <mergeCell ref="D7:D8"/>
    <mergeCell ref="E7:E8"/>
    <mergeCell ref="F7:F8"/>
  </mergeCells>
  <conditionalFormatting sqref="B13">
    <cfRule type="cellIs" priority="3" dxfId="0" operator="equal" stopIfTrue="1">
      <formula>8223.307275</formula>
    </cfRule>
  </conditionalFormatting>
  <conditionalFormatting sqref="E13">
    <cfRule type="cellIs" priority="1" dxfId="0" operator="equal" stopIfTrue="1">
      <formula>8223.307275</formula>
    </cfRule>
  </conditionalFormatting>
  <conditionalFormatting sqref="E12">
    <cfRule type="cellIs" priority="2" dxfId="0" operator="equal" stopIfTrue="1">
      <formula>8223.307275</formula>
    </cfRule>
  </conditionalFormatting>
  <printOptions/>
  <pageMargins left="0.7" right="0.7" top="0.75" bottom="0.75" header="0.3" footer="0.3"/>
  <pageSetup horizontalDpi="300" verticalDpi="300" orientation="landscape" paperSize="9" scale="71" r:id="rId1"/>
  <rowBreaks count="2" manualBreakCount="2">
    <brk id="356" max="12" man="1"/>
    <brk id="40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4"/>
  <sheetViews>
    <sheetView view="pageBreakPreview" zoomScaleSheetLayoutView="100" zoomScalePageLayoutView="0" workbookViewId="0" topLeftCell="A259">
      <selection activeCell="E287" sqref="E287"/>
    </sheetView>
  </sheetViews>
  <sheetFormatPr defaultColWidth="9.140625" defaultRowHeight="12.75"/>
  <cols>
    <col min="1" max="1" width="3.57421875" style="73" customWidth="1"/>
    <col min="2" max="2" width="33.57421875" style="73" customWidth="1"/>
    <col min="3" max="3" width="7.8515625" style="52" customWidth="1"/>
    <col min="4" max="4" width="9.28125" style="73" customWidth="1"/>
    <col min="5" max="5" width="8.421875" style="73" customWidth="1"/>
    <col min="6" max="6" width="9.7109375" style="73" customWidth="1"/>
    <col min="7" max="7" width="8.7109375" style="73" customWidth="1"/>
    <col min="8" max="8" width="12.00390625" style="73" bestFit="1" customWidth="1"/>
    <col min="9" max="9" width="9.421875" style="73" customWidth="1"/>
    <col min="10" max="10" width="9.8515625" style="73" bestFit="1" customWidth="1"/>
    <col min="11" max="11" width="8.140625" style="73" customWidth="1"/>
    <col min="12" max="12" width="8.57421875" style="73" bestFit="1" customWidth="1"/>
    <col min="13" max="13" width="12.00390625" style="73" customWidth="1"/>
    <col min="14" max="16384" width="9.140625" style="73" customWidth="1"/>
  </cols>
  <sheetData>
    <row r="1" spans="1:13" s="52" customFormat="1" ht="23.25" customHeight="1">
      <c r="A1" s="302"/>
      <c r="B1" s="508" t="s">
        <v>619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s="52" customFormat="1" ht="14.25">
      <c r="A2" s="554" t="s">
        <v>58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3" s="52" customFormat="1" ht="14.25">
      <c r="A3" s="554" t="s">
        <v>329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3" s="52" customFormat="1" ht="13.5" customHeight="1">
      <c r="A4" s="302"/>
      <c r="B4" s="555" t="s">
        <v>292</v>
      </c>
      <c r="C4" s="555"/>
      <c r="D4" s="555"/>
      <c r="E4" s="555"/>
      <c r="F4" s="555"/>
      <c r="G4" s="555"/>
      <c r="H4" s="555"/>
      <c r="I4" s="555"/>
      <c r="J4" s="555"/>
      <c r="K4" s="555"/>
      <c r="L4" s="303"/>
      <c r="M4" s="303"/>
    </row>
    <row r="5" spans="1:13" s="52" customFormat="1" ht="14.25" customHeight="1">
      <c r="A5" s="552" t="s">
        <v>1</v>
      </c>
      <c r="B5" s="552" t="s">
        <v>2</v>
      </c>
      <c r="C5" s="552" t="s">
        <v>183</v>
      </c>
      <c r="D5" s="552" t="s">
        <v>3</v>
      </c>
      <c r="E5" s="552" t="s">
        <v>11</v>
      </c>
      <c r="F5" s="552" t="s">
        <v>4</v>
      </c>
      <c r="G5" s="553" t="s">
        <v>17</v>
      </c>
      <c r="H5" s="553"/>
      <c r="I5" s="553" t="s">
        <v>5</v>
      </c>
      <c r="J5" s="553"/>
      <c r="K5" s="552" t="s">
        <v>6</v>
      </c>
      <c r="L5" s="552"/>
      <c r="M5" s="54" t="s">
        <v>143</v>
      </c>
    </row>
    <row r="6" spans="1:13" s="52" customFormat="1" ht="12" customHeight="1">
      <c r="A6" s="552"/>
      <c r="B6" s="552"/>
      <c r="C6" s="552"/>
      <c r="D6" s="552"/>
      <c r="E6" s="552"/>
      <c r="F6" s="552"/>
      <c r="G6" s="54" t="s">
        <v>7</v>
      </c>
      <c r="H6" s="304" t="s">
        <v>8</v>
      </c>
      <c r="I6" s="54" t="s">
        <v>7</v>
      </c>
      <c r="J6" s="304" t="s">
        <v>8</v>
      </c>
      <c r="K6" s="54" t="s">
        <v>7</v>
      </c>
      <c r="L6" s="304" t="s">
        <v>9</v>
      </c>
      <c r="M6" s="54" t="s">
        <v>10</v>
      </c>
    </row>
    <row r="7" spans="1:13" s="52" customFormat="1" ht="11.2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54">
        <v>7</v>
      </c>
      <c r="H7" s="53">
        <v>8</v>
      </c>
      <c r="I7" s="54">
        <v>9</v>
      </c>
      <c r="J7" s="53">
        <v>10</v>
      </c>
      <c r="K7" s="54">
        <v>11</v>
      </c>
      <c r="L7" s="53">
        <v>12</v>
      </c>
      <c r="M7" s="54">
        <v>13</v>
      </c>
    </row>
    <row r="8" spans="1:13" s="214" customFormat="1" ht="14.25">
      <c r="A8" s="59"/>
      <c r="B8" s="138" t="s">
        <v>293</v>
      </c>
      <c r="C8" s="138"/>
      <c r="D8" s="252"/>
      <c r="E8" s="253"/>
      <c r="F8" s="252"/>
      <c r="G8" s="252"/>
      <c r="H8" s="305"/>
      <c r="I8" s="305"/>
      <c r="J8" s="305"/>
      <c r="K8" s="305"/>
      <c r="L8" s="305"/>
      <c r="M8" s="306"/>
    </row>
    <row r="9" spans="1:13" s="307" customFormat="1" ht="42.75">
      <c r="A9" s="138">
        <v>1</v>
      </c>
      <c r="B9" s="226" t="s">
        <v>330</v>
      </c>
      <c r="C9" s="227" t="s">
        <v>282</v>
      </c>
      <c r="D9" s="138" t="s">
        <v>283</v>
      </c>
      <c r="E9" s="228"/>
      <c r="F9" s="229">
        <v>0.05</v>
      </c>
      <c r="G9" s="228"/>
      <c r="H9" s="230"/>
      <c r="I9" s="228"/>
      <c r="J9" s="230"/>
      <c r="K9" s="228"/>
      <c r="L9" s="230"/>
      <c r="M9" s="230"/>
    </row>
    <row r="10" spans="1:13" s="307" customFormat="1" ht="14.25">
      <c r="A10" s="138"/>
      <c r="B10" s="65" t="s">
        <v>12</v>
      </c>
      <c r="C10" s="231"/>
      <c r="D10" s="62" t="s">
        <v>15</v>
      </c>
      <c r="E10" s="62">
        <v>116</v>
      </c>
      <c r="F10" s="66">
        <f>F9*E10</f>
        <v>5.800000000000001</v>
      </c>
      <c r="G10" s="62"/>
      <c r="H10" s="66"/>
      <c r="I10" s="62"/>
      <c r="J10" s="66"/>
      <c r="K10" s="62"/>
      <c r="L10" s="66"/>
      <c r="M10" s="66"/>
    </row>
    <row r="11" spans="1:13" s="307" customFormat="1" ht="17.25" customHeight="1">
      <c r="A11" s="138"/>
      <c r="B11" s="65" t="s">
        <v>284</v>
      </c>
      <c r="C11" s="231"/>
      <c r="D11" s="62" t="s">
        <v>22</v>
      </c>
      <c r="E11" s="62">
        <v>54.3</v>
      </c>
      <c r="F11" s="66">
        <f>F9*E11</f>
        <v>2.715</v>
      </c>
      <c r="G11" s="62"/>
      <c r="H11" s="66"/>
      <c r="I11" s="232"/>
      <c r="J11" s="232"/>
      <c r="K11" s="62"/>
      <c r="L11" s="66"/>
      <c r="M11" s="66"/>
    </row>
    <row r="12" spans="1:13" ht="14.25">
      <c r="A12" s="138"/>
      <c r="B12" s="65" t="s">
        <v>14</v>
      </c>
      <c r="C12" s="231"/>
      <c r="D12" s="59" t="s">
        <v>0</v>
      </c>
      <c r="E12" s="62">
        <v>0.1</v>
      </c>
      <c r="F12" s="84">
        <f>E12*F9</f>
        <v>0.005000000000000001</v>
      </c>
      <c r="G12" s="62"/>
      <c r="H12" s="66"/>
      <c r="I12" s="62"/>
      <c r="J12" s="66"/>
      <c r="K12" s="62"/>
      <c r="L12" s="66"/>
      <c r="M12" s="66"/>
    </row>
    <row r="13" spans="1:13" s="307" customFormat="1" ht="14.25">
      <c r="A13" s="138"/>
      <c r="B13" s="59" t="s">
        <v>23</v>
      </c>
      <c r="C13" s="231"/>
      <c r="D13" s="62"/>
      <c r="E13" s="62"/>
      <c r="F13" s="66"/>
      <c r="G13" s="62"/>
      <c r="H13" s="66"/>
      <c r="I13" s="62"/>
      <c r="J13" s="66"/>
      <c r="K13" s="62"/>
      <c r="L13" s="66"/>
      <c r="M13" s="66"/>
    </row>
    <row r="14" spans="1:13" s="307" customFormat="1" ht="14.25">
      <c r="A14" s="138"/>
      <c r="B14" s="65" t="s">
        <v>285</v>
      </c>
      <c r="C14" s="231"/>
      <c r="D14" s="62" t="s">
        <v>20</v>
      </c>
      <c r="E14" s="62">
        <v>1.05</v>
      </c>
      <c r="F14" s="66">
        <f>F9*E14</f>
        <v>0.052500000000000005</v>
      </c>
      <c r="G14" s="63"/>
      <c r="H14" s="63"/>
      <c r="I14" s="62"/>
      <c r="J14" s="63"/>
      <c r="K14" s="59"/>
      <c r="L14" s="63"/>
      <c r="M14" s="66"/>
    </row>
    <row r="15" spans="1:13" s="307" customFormat="1" ht="14.25">
      <c r="A15" s="138"/>
      <c r="B15" s="65" t="s">
        <v>286</v>
      </c>
      <c r="C15" s="231"/>
      <c r="D15" s="62" t="s">
        <v>24</v>
      </c>
      <c r="E15" s="62">
        <v>0.01</v>
      </c>
      <c r="F15" s="233">
        <f>F9*E15</f>
        <v>0.0005</v>
      </c>
      <c r="G15" s="59"/>
      <c r="H15" s="63"/>
      <c r="I15" s="62"/>
      <c r="J15" s="63"/>
      <c r="K15" s="59"/>
      <c r="L15" s="63"/>
      <c r="M15" s="66"/>
    </row>
    <row r="16" spans="1:13" s="307" customFormat="1" ht="14.25">
      <c r="A16" s="138"/>
      <c r="B16" s="65" t="s">
        <v>287</v>
      </c>
      <c r="C16" s="231"/>
      <c r="D16" s="62" t="s">
        <v>24</v>
      </c>
      <c r="E16" s="62">
        <v>0.7</v>
      </c>
      <c r="F16" s="66">
        <f>F9*E16</f>
        <v>0.034999999999999996</v>
      </c>
      <c r="G16" s="62"/>
      <c r="H16" s="63"/>
      <c r="I16" s="62"/>
      <c r="J16" s="66"/>
      <c r="K16" s="62"/>
      <c r="L16" s="66"/>
      <c r="M16" s="66"/>
    </row>
    <row r="17" spans="1:13" s="89" customFormat="1" ht="15.75">
      <c r="A17" s="234"/>
      <c r="B17" s="65" t="s">
        <v>18</v>
      </c>
      <c r="C17" s="231"/>
      <c r="D17" s="59" t="s">
        <v>0</v>
      </c>
      <c r="E17" s="91">
        <v>10.4</v>
      </c>
      <c r="F17" s="63">
        <f>E17*F9</f>
        <v>0.52</v>
      </c>
      <c r="G17" s="59"/>
      <c r="H17" s="63"/>
      <c r="I17" s="62"/>
      <c r="J17" s="63"/>
      <c r="K17" s="59"/>
      <c r="L17" s="63"/>
      <c r="M17" s="66"/>
    </row>
    <row r="18" spans="1:13" s="307" customFormat="1" ht="42.75">
      <c r="A18" s="138">
        <v>2</v>
      </c>
      <c r="B18" s="226" t="s">
        <v>331</v>
      </c>
      <c r="C18" s="227" t="s">
        <v>332</v>
      </c>
      <c r="D18" s="138" t="s">
        <v>283</v>
      </c>
      <c r="E18" s="228"/>
      <c r="F18" s="229">
        <v>0.25</v>
      </c>
      <c r="G18" s="228"/>
      <c r="H18" s="230"/>
      <c r="I18" s="228"/>
      <c r="J18" s="230"/>
      <c r="K18" s="228"/>
      <c r="L18" s="230"/>
      <c r="M18" s="230"/>
    </row>
    <row r="19" spans="1:13" s="307" customFormat="1" ht="14.25">
      <c r="A19" s="138"/>
      <c r="B19" s="65" t="s">
        <v>12</v>
      </c>
      <c r="C19" s="231"/>
      <c r="D19" s="62" t="s">
        <v>15</v>
      </c>
      <c r="E19" s="62">
        <v>233</v>
      </c>
      <c r="F19" s="66">
        <f>F18*E19</f>
        <v>58.25</v>
      </c>
      <c r="G19" s="62"/>
      <c r="H19" s="66"/>
      <c r="I19" s="62"/>
      <c r="J19" s="66"/>
      <c r="K19" s="62"/>
      <c r="L19" s="66"/>
      <c r="M19" s="66"/>
    </row>
    <row r="20" spans="1:13" s="307" customFormat="1" ht="17.25" customHeight="1">
      <c r="A20" s="138"/>
      <c r="B20" s="65" t="s">
        <v>284</v>
      </c>
      <c r="C20" s="231"/>
      <c r="D20" s="62" t="s">
        <v>22</v>
      </c>
      <c r="E20" s="62">
        <v>115</v>
      </c>
      <c r="F20" s="66">
        <f>F18*E20</f>
        <v>28.75</v>
      </c>
      <c r="G20" s="62"/>
      <c r="H20" s="66"/>
      <c r="I20" s="232"/>
      <c r="J20" s="232"/>
      <c r="K20" s="62"/>
      <c r="L20" s="66"/>
      <c r="M20" s="66"/>
    </row>
    <row r="21" spans="1:13" ht="14.25">
      <c r="A21" s="138"/>
      <c r="B21" s="65" t="s">
        <v>14</v>
      </c>
      <c r="C21" s="231"/>
      <c r="D21" s="59" t="s">
        <v>0</v>
      </c>
      <c r="E21" s="62">
        <v>0.28</v>
      </c>
      <c r="F21" s="84">
        <f>E21*F18</f>
        <v>0.07</v>
      </c>
      <c r="G21" s="62"/>
      <c r="H21" s="66"/>
      <c r="I21" s="62"/>
      <c r="J21" s="66"/>
      <c r="K21" s="62"/>
      <c r="L21" s="66"/>
      <c r="M21" s="66"/>
    </row>
    <row r="22" spans="1:13" s="307" customFormat="1" ht="14.25">
      <c r="A22" s="138"/>
      <c r="B22" s="59" t="s">
        <v>23</v>
      </c>
      <c r="C22" s="231"/>
      <c r="D22" s="62"/>
      <c r="E22" s="62"/>
      <c r="F22" s="66"/>
      <c r="G22" s="62"/>
      <c r="H22" s="66"/>
      <c r="I22" s="62"/>
      <c r="J22" s="66"/>
      <c r="K22" s="62"/>
      <c r="L22" s="66"/>
      <c r="M22" s="66"/>
    </row>
    <row r="23" spans="1:13" s="307" customFormat="1" ht="14.25">
      <c r="A23" s="138"/>
      <c r="B23" s="65" t="s">
        <v>285</v>
      </c>
      <c r="C23" s="231"/>
      <c r="D23" s="62" t="s">
        <v>20</v>
      </c>
      <c r="E23" s="62">
        <v>2</v>
      </c>
      <c r="F23" s="66">
        <f>F18*E23</f>
        <v>0.5</v>
      </c>
      <c r="G23" s="63"/>
      <c r="H23" s="63"/>
      <c r="I23" s="62"/>
      <c r="J23" s="63"/>
      <c r="K23" s="59"/>
      <c r="L23" s="63"/>
      <c r="M23" s="66"/>
    </row>
    <row r="24" spans="1:13" s="307" customFormat="1" ht="14.25">
      <c r="A24" s="138"/>
      <c r="B24" s="65" t="s">
        <v>286</v>
      </c>
      <c r="C24" s="231"/>
      <c r="D24" s="62" t="s">
        <v>24</v>
      </c>
      <c r="E24" s="62">
        <v>0.02</v>
      </c>
      <c r="F24" s="233">
        <f>F18*E24</f>
        <v>0.005</v>
      </c>
      <c r="G24" s="59"/>
      <c r="H24" s="63"/>
      <c r="I24" s="62"/>
      <c r="J24" s="63"/>
      <c r="K24" s="59"/>
      <c r="L24" s="63"/>
      <c r="M24" s="66"/>
    </row>
    <row r="25" spans="1:13" s="307" customFormat="1" ht="14.25">
      <c r="A25" s="138"/>
      <c r="B25" s="65" t="s">
        <v>287</v>
      </c>
      <c r="C25" s="231"/>
      <c r="D25" s="62" t="s">
        <v>24</v>
      </c>
      <c r="E25" s="62">
        <v>2.2</v>
      </c>
      <c r="F25" s="66">
        <f>F18*E25</f>
        <v>0.55</v>
      </c>
      <c r="G25" s="62"/>
      <c r="H25" s="63"/>
      <c r="I25" s="62"/>
      <c r="J25" s="66"/>
      <c r="K25" s="62"/>
      <c r="L25" s="66"/>
      <c r="M25" s="66"/>
    </row>
    <row r="26" spans="1:13" s="89" customFormat="1" ht="15.75">
      <c r="A26" s="234"/>
      <c r="B26" s="65" t="s">
        <v>18</v>
      </c>
      <c r="C26" s="231"/>
      <c r="D26" s="59" t="s">
        <v>0</v>
      </c>
      <c r="E26" s="91">
        <v>17.2</v>
      </c>
      <c r="F26" s="63">
        <f>E26*F18</f>
        <v>4.3</v>
      </c>
      <c r="G26" s="59"/>
      <c r="H26" s="63"/>
      <c r="I26" s="62"/>
      <c r="J26" s="63"/>
      <c r="K26" s="59"/>
      <c r="L26" s="63"/>
      <c r="M26" s="66"/>
    </row>
    <row r="27" spans="1:13" s="307" customFormat="1" ht="42.75">
      <c r="A27" s="138">
        <v>3</v>
      </c>
      <c r="B27" s="226" t="s">
        <v>333</v>
      </c>
      <c r="C27" s="227" t="s">
        <v>334</v>
      </c>
      <c r="D27" s="138" t="s">
        <v>283</v>
      </c>
      <c r="E27" s="228"/>
      <c r="F27" s="229">
        <v>0.2</v>
      </c>
      <c r="G27" s="228"/>
      <c r="H27" s="230"/>
      <c r="I27" s="228"/>
      <c r="J27" s="230"/>
      <c r="K27" s="228"/>
      <c r="L27" s="230"/>
      <c r="M27" s="230"/>
    </row>
    <row r="28" spans="1:13" s="307" customFormat="1" ht="14.25">
      <c r="A28" s="138"/>
      <c r="B28" s="65" t="s">
        <v>12</v>
      </c>
      <c r="C28" s="231"/>
      <c r="D28" s="62" t="s">
        <v>15</v>
      </c>
      <c r="E28" s="62">
        <v>388</v>
      </c>
      <c r="F28" s="66">
        <f>F27*E28</f>
        <v>77.60000000000001</v>
      </c>
      <c r="G28" s="62"/>
      <c r="H28" s="66"/>
      <c r="I28" s="62"/>
      <c r="J28" s="66"/>
      <c r="K28" s="62"/>
      <c r="L28" s="66"/>
      <c r="M28" s="66"/>
    </row>
    <row r="29" spans="1:13" s="307" customFormat="1" ht="17.25" customHeight="1">
      <c r="A29" s="138"/>
      <c r="B29" s="65" t="s">
        <v>284</v>
      </c>
      <c r="C29" s="231"/>
      <c r="D29" s="62" t="s">
        <v>22</v>
      </c>
      <c r="E29" s="62">
        <v>195</v>
      </c>
      <c r="F29" s="66">
        <f>F27*E29</f>
        <v>39</v>
      </c>
      <c r="G29" s="62"/>
      <c r="H29" s="66"/>
      <c r="I29" s="232"/>
      <c r="J29" s="232"/>
      <c r="K29" s="62"/>
      <c r="L29" s="66"/>
      <c r="M29" s="66"/>
    </row>
    <row r="30" spans="1:13" ht="14.25">
      <c r="A30" s="138"/>
      <c r="B30" s="65" t="s">
        <v>14</v>
      </c>
      <c r="C30" s="231"/>
      <c r="D30" s="59" t="s">
        <v>0</v>
      </c>
      <c r="E30" s="62">
        <v>0.62</v>
      </c>
      <c r="F30" s="84">
        <f>E30*F27</f>
        <v>0.124</v>
      </c>
      <c r="G30" s="62"/>
      <c r="H30" s="66"/>
      <c r="I30" s="62"/>
      <c r="J30" s="66"/>
      <c r="K30" s="62"/>
      <c r="L30" s="66"/>
      <c r="M30" s="66"/>
    </row>
    <row r="31" spans="1:13" s="307" customFormat="1" ht="14.25">
      <c r="A31" s="138"/>
      <c r="B31" s="59" t="s">
        <v>23</v>
      </c>
      <c r="C31" s="231"/>
      <c r="D31" s="62"/>
      <c r="E31" s="62"/>
      <c r="F31" s="66"/>
      <c r="G31" s="62"/>
      <c r="H31" s="66"/>
      <c r="I31" s="62"/>
      <c r="J31" s="66"/>
      <c r="K31" s="62"/>
      <c r="L31" s="66"/>
      <c r="M31" s="66"/>
    </row>
    <row r="32" spans="1:13" s="307" customFormat="1" ht="14.25">
      <c r="A32" s="138"/>
      <c r="B32" s="65" t="s">
        <v>285</v>
      </c>
      <c r="C32" s="231"/>
      <c r="D32" s="62" t="s">
        <v>20</v>
      </c>
      <c r="E32" s="62">
        <v>3.5</v>
      </c>
      <c r="F32" s="66">
        <f>F27*E32</f>
        <v>0.7000000000000001</v>
      </c>
      <c r="G32" s="63"/>
      <c r="H32" s="63"/>
      <c r="I32" s="62"/>
      <c r="J32" s="63"/>
      <c r="K32" s="59"/>
      <c r="L32" s="63"/>
      <c r="M32" s="66"/>
    </row>
    <row r="33" spans="1:13" s="307" customFormat="1" ht="14.25">
      <c r="A33" s="138"/>
      <c r="B33" s="65" t="s">
        <v>286</v>
      </c>
      <c r="C33" s="231"/>
      <c r="D33" s="62" t="s">
        <v>24</v>
      </c>
      <c r="E33" s="62">
        <v>0.04</v>
      </c>
      <c r="F33" s="233">
        <f>F27*E33</f>
        <v>0.008</v>
      </c>
      <c r="G33" s="59"/>
      <c r="H33" s="63"/>
      <c r="I33" s="62"/>
      <c r="J33" s="63"/>
      <c r="K33" s="59"/>
      <c r="L33" s="63"/>
      <c r="M33" s="66"/>
    </row>
    <row r="34" spans="1:13" s="307" customFormat="1" ht="14.25">
      <c r="A34" s="138"/>
      <c r="B34" s="65" t="s">
        <v>287</v>
      </c>
      <c r="C34" s="231"/>
      <c r="D34" s="62" t="s">
        <v>24</v>
      </c>
      <c r="E34" s="62">
        <v>4.2</v>
      </c>
      <c r="F34" s="66">
        <f>F27*E34</f>
        <v>0.8400000000000001</v>
      </c>
      <c r="G34" s="62"/>
      <c r="H34" s="63"/>
      <c r="I34" s="62"/>
      <c r="J34" s="66"/>
      <c r="K34" s="62"/>
      <c r="L34" s="66"/>
      <c r="M34" s="66"/>
    </row>
    <row r="35" spans="1:13" s="89" customFormat="1" ht="15.75">
      <c r="A35" s="234"/>
      <c r="B35" s="65" t="s">
        <v>18</v>
      </c>
      <c r="C35" s="231"/>
      <c r="D35" s="59" t="s">
        <v>0</v>
      </c>
      <c r="E35" s="91">
        <v>26.2</v>
      </c>
      <c r="F35" s="63">
        <f>E35*F27</f>
        <v>5.24</v>
      </c>
      <c r="G35" s="59"/>
      <c r="H35" s="63"/>
      <c r="I35" s="62"/>
      <c r="J35" s="63"/>
      <c r="K35" s="59"/>
      <c r="L35" s="63"/>
      <c r="M35" s="66"/>
    </row>
    <row r="36" spans="1:13" s="307" customFormat="1" ht="42.75">
      <c r="A36" s="138">
        <v>4</v>
      </c>
      <c r="B36" s="226" t="s">
        <v>335</v>
      </c>
      <c r="C36" s="227" t="s">
        <v>336</v>
      </c>
      <c r="D36" s="138" t="s">
        <v>283</v>
      </c>
      <c r="E36" s="228"/>
      <c r="F36" s="229">
        <v>0.5</v>
      </c>
      <c r="G36" s="228"/>
      <c r="H36" s="230"/>
      <c r="I36" s="228"/>
      <c r="J36" s="230"/>
      <c r="K36" s="228"/>
      <c r="L36" s="230"/>
      <c r="M36" s="230"/>
    </row>
    <row r="37" spans="1:13" s="307" customFormat="1" ht="14.25">
      <c r="A37" s="138"/>
      <c r="B37" s="65" t="s">
        <v>12</v>
      </c>
      <c r="C37" s="231"/>
      <c r="D37" s="62" t="s">
        <v>15</v>
      </c>
      <c r="E37" s="62">
        <v>578</v>
      </c>
      <c r="F37" s="66">
        <f>F36*E37</f>
        <v>289</v>
      </c>
      <c r="G37" s="62"/>
      <c r="H37" s="66"/>
      <c r="I37" s="62"/>
      <c r="J37" s="66"/>
      <c r="K37" s="62"/>
      <c r="L37" s="66"/>
      <c r="M37" s="66"/>
    </row>
    <row r="38" spans="1:13" s="307" customFormat="1" ht="17.25" customHeight="1">
      <c r="A38" s="138"/>
      <c r="B38" s="65" t="s">
        <v>284</v>
      </c>
      <c r="C38" s="231"/>
      <c r="D38" s="62" t="s">
        <v>22</v>
      </c>
      <c r="E38" s="62">
        <v>294</v>
      </c>
      <c r="F38" s="66">
        <f>F36*E38</f>
        <v>147</v>
      </c>
      <c r="G38" s="62"/>
      <c r="H38" s="66"/>
      <c r="I38" s="232"/>
      <c r="J38" s="232"/>
      <c r="K38" s="62"/>
      <c r="L38" s="66"/>
      <c r="M38" s="66"/>
    </row>
    <row r="39" spans="1:13" ht="14.25">
      <c r="A39" s="138"/>
      <c r="B39" s="65" t="s">
        <v>14</v>
      </c>
      <c r="C39" s="231"/>
      <c r="D39" s="59" t="s">
        <v>0</v>
      </c>
      <c r="E39" s="62">
        <v>1.02</v>
      </c>
      <c r="F39" s="84">
        <f>E39*F36</f>
        <v>0.51</v>
      </c>
      <c r="G39" s="62"/>
      <c r="H39" s="66"/>
      <c r="I39" s="62"/>
      <c r="J39" s="66"/>
      <c r="K39" s="62"/>
      <c r="L39" s="66"/>
      <c r="M39" s="66"/>
    </row>
    <row r="40" spans="1:13" s="307" customFormat="1" ht="14.25">
      <c r="A40" s="138"/>
      <c r="B40" s="59" t="s">
        <v>23</v>
      </c>
      <c r="C40" s="231"/>
      <c r="D40" s="62"/>
      <c r="E40" s="62"/>
      <c r="F40" s="66"/>
      <c r="G40" s="62"/>
      <c r="H40" s="66"/>
      <c r="I40" s="62"/>
      <c r="J40" s="66"/>
      <c r="K40" s="62"/>
      <c r="L40" s="66"/>
      <c r="M40" s="66"/>
    </row>
    <row r="41" spans="1:13" s="307" customFormat="1" ht="14.25">
      <c r="A41" s="138"/>
      <c r="B41" s="65" t="s">
        <v>285</v>
      </c>
      <c r="C41" s="231"/>
      <c r="D41" s="62" t="s">
        <v>20</v>
      </c>
      <c r="E41" s="62">
        <v>5</v>
      </c>
      <c r="F41" s="66">
        <f>F36*E41</f>
        <v>2.5</v>
      </c>
      <c r="G41" s="63"/>
      <c r="H41" s="63"/>
      <c r="I41" s="62"/>
      <c r="J41" s="63"/>
      <c r="K41" s="59"/>
      <c r="L41" s="63"/>
      <c r="M41" s="66"/>
    </row>
    <row r="42" spans="1:13" s="307" customFormat="1" ht="14.25">
      <c r="A42" s="138"/>
      <c r="B42" s="65" t="s">
        <v>286</v>
      </c>
      <c r="C42" s="231"/>
      <c r="D42" s="62" t="s">
        <v>24</v>
      </c>
      <c r="E42" s="62">
        <v>0.06</v>
      </c>
      <c r="F42" s="233">
        <f>F36*E42</f>
        <v>0.03</v>
      </c>
      <c r="G42" s="59"/>
      <c r="H42" s="63"/>
      <c r="I42" s="62"/>
      <c r="J42" s="63"/>
      <c r="K42" s="59"/>
      <c r="L42" s="63"/>
      <c r="M42" s="66"/>
    </row>
    <row r="43" spans="1:13" s="307" customFormat="1" ht="14.25">
      <c r="A43" s="138"/>
      <c r="B43" s="65" t="s">
        <v>287</v>
      </c>
      <c r="C43" s="231"/>
      <c r="D43" s="62" t="s">
        <v>24</v>
      </c>
      <c r="E43" s="62">
        <v>7</v>
      </c>
      <c r="F43" s="66">
        <f>F36*E43</f>
        <v>3.5</v>
      </c>
      <c r="G43" s="62"/>
      <c r="H43" s="63"/>
      <c r="I43" s="62"/>
      <c r="J43" s="66"/>
      <c r="K43" s="62"/>
      <c r="L43" s="66"/>
      <c r="M43" s="66"/>
    </row>
    <row r="44" spans="1:13" s="89" customFormat="1" ht="15.75">
      <c r="A44" s="234"/>
      <c r="B44" s="65" t="s">
        <v>18</v>
      </c>
      <c r="C44" s="231"/>
      <c r="D44" s="59" t="s">
        <v>0</v>
      </c>
      <c r="E44" s="91">
        <v>42</v>
      </c>
      <c r="F44" s="63">
        <f>E44*F36</f>
        <v>21</v>
      </c>
      <c r="G44" s="59"/>
      <c r="H44" s="63"/>
      <c r="I44" s="62"/>
      <c r="J44" s="63"/>
      <c r="K44" s="59"/>
      <c r="L44" s="63"/>
      <c r="M44" s="66"/>
    </row>
    <row r="45" spans="1:13" s="89" customFormat="1" ht="42.75">
      <c r="A45" s="138">
        <v>5</v>
      </c>
      <c r="B45" s="226" t="s">
        <v>337</v>
      </c>
      <c r="C45" s="231" t="s">
        <v>332</v>
      </c>
      <c r="D45" s="138" t="s">
        <v>283</v>
      </c>
      <c r="E45" s="228"/>
      <c r="F45" s="229">
        <v>0.5</v>
      </c>
      <c r="G45" s="62"/>
      <c r="H45" s="66"/>
      <c r="I45" s="62"/>
      <c r="J45" s="66"/>
      <c r="K45" s="62"/>
      <c r="L45" s="66"/>
      <c r="M45" s="66"/>
    </row>
    <row r="46" spans="1:13" s="89" customFormat="1" ht="15.75">
      <c r="A46" s="138"/>
      <c r="B46" s="65" t="s">
        <v>12</v>
      </c>
      <c r="C46" s="231"/>
      <c r="D46" s="62" t="s">
        <v>15</v>
      </c>
      <c r="E46" s="62">
        <f>1.1*599</f>
        <v>658.9000000000001</v>
      </c>
      <c r="F46" s="66">
        <f>F45*E46</f>
        <v>329.45000000000005</v>
      </c>
      <c r="G46" s="62"/>
      <c r="H46" s="66"/>
      <c r="I46" s="62"/>
      <c r="J46" s="66"/>
      <c r="K46" s="62"/>
      <c r="L46" s="66"/>
      <c r="M46" s="66"/>
    </row>
    <row r="47" spans="1:13" s="89" customFormat="1" ht="27">
      <c r="A47" s="138"/>
      <c r="B47" s="65" t="s">
        <v>284</v>
      </c>
      <c r="C47" s="231"/>
      <c r="D47" s="62" t="s">
        <v>22</v>
      </c>
      <c r="E47" s="62">
        <f>1.1*305</f>
        <v>335.5</v>
      </c>
      <c r="F47" s="66">
        <f>F45*E47</f>
        <v>167.75</v>
      </c>
      <c r="G47" s="62"/>
      <c r="H47" s="66"/>
      <c r="I47" s="232"/>
      <c r="J47" s="232"/>
      <c r="K47" s="62"/>
      <c r="L47" s="66"/>
      <c r="M47" s="66"/>
    </row>
    <row r="48" spans="1:13" s="89" customFormat="1" ht="15.75">
      <c r="A48" s="138"/>
      <c r="B48" s="65" t="s">
        <v>14</v>
      </c>
      <c r="C48" s="231"/>
      <c r="D48" s="59" t="s">
        <v>0</v>
      </c>
      <c r="E48" s="62">
        <f>1.1*0.89</f>
        <v>0.9790000000000001</v>
      </c>
      <c r="F48" s="84">
        <f>E48*F45</f>
        <v>0.48950000000000005</v>
      </c>
      <c r="G48" s="62"/>
      <c r="H48" s="66"/>
      <c r="I48" s="62"/>
      <c r="J48" s="66"/>
      <c r="K48" s="62"/>
      <c r="L48" s="66"/>
      <c r="M48" s="66"/>
    </row>
    <row r="49" spans="1:13" s="89" customFormat="1" ht="15.75">
      <c r="A49" s="138"/>
      <c r="B49" s="59" t="s">
        <v>23</v>
      </c>
      <c r="C49" s="231"/>
      <c r="D49" s="62"/>
      <c r="E49" s="62"/>
      <c r="F49" s="66"/>
      <c r="G49" s="62"/>
      <c r="H49" s="66"/>
      <c r="I49" s="62"/>
      <c r="J49" s="66"/>
      <c r="K49" s="62"/>
      <c r="L49" s="66"/>
      <c r="M49" s="66"/>
    </row>
    <row r="50" spans="1:13" s="89" customFormat="1" ht="15.75">
      <c r="A50" s="138"/>
      <c r="B50" s="65" t="s">
        <v>285</v>
      </c>
      <c r="C50" s="231"/>
      <c r="D50" s="62" t="s">
        <v>20</v>
      </c>
      <c r="E50" s="62">
        <f>1.1*6.6</f>
        <v>7.26</v>
      </c>
      <c r="F50" s="66">
        <f>F45*E50</f>
        <v>3.63</v>
      </c>
      <c r="G50" s="63"/>
      <c r="H50" s="63"/>
      <c r="I50" s="62"/>
      <c r="J50" s="63"/>
      <c r="K50" s="59"/>
      <c r="L50" s="63"/>
      <c r="M50" s="66"/>
    </row>
    <row r="51" spans="1:13" s="89" customFormat="1" ht="15.75">
      <c r="A51" s="138"/>
      <c r="B51" s="65" t="s">
        <v>286</v>
      </c>
      <c r="C51" s="231"/>
      <c r="D51" s="62" t="s">
        <v>24</v>
      </c>
      <c r="E51" s="62">
        <f>1.1*0.6</f>
        <v>0.66</v>
      </c>
      <c r="F51" s="233">
        <f>F45*E51</f>
        <v>0.33</v>
      </c>
      <c r="G51" s="59"/>
      <c r="H51" s="63"/>
      <c r="I51" s="62"/>
      <c r="J51" s="63"/>
      <c r="K51" s="59"/>
      <c r="L51" s="63"/>
      <c r="M51" s="66"/>
    </row>
    <row r="52" spans="1:13" s="89" customFormat="1" ht="15.75">
      <c r="A52" s="138"/>
      <c r="B52" s="65" t="s">
        <v>287</v>
      </c>
      <c r="C52" s="231"/>
      <c r="D52" s="62" t="s">
        <v>24</v>
      </c>
      <c r="E52" s="62">
        <v>7.5</v>
      </c>
      <c r="F52" s="66">
        <f>F45*E52</f>
        <v>3.75</v>
      </c>
      <c r="G52" s="62"/>
      <c r="H52" s="63"/>
      <c r="I52" s="62"/>
      <c r="J52" s="66"/>
      <c r="K52" s="62"/>
      <c r="L52" s="66"/>
      <c r="M52" s="66"/>
    </row>
    <row r="53" spans="1:13" s="89" customFormat="1" ht="15.75">
      <c r="A53" s="234"/>
      <c r="B53" s="65" t="s">
        <v>18</v>
      </c>
      <c r="C53" s="231"/>
      <c r="D53" s="59" t="s">
        <v>0</v>
      </c>
      <c r="E53" s="91">
        <f>1.1*49</f>
        <v>53.900000000000006</v>
      </c>
      <c r="F53" s="63">
        <f>E53*F45</f>
        <v>26.950000000000003</v>
      </c>
      <c r="G53" s="59"/>
      <c r="H53" s="63"/>
      <c r="I53" s="62"/>
      <c r="J53" s="63"/>
      <c r="K53" s="59"/>
      <c r="L53" s="63"/>
      <c r="M53" s="66"/>
    </row>
    <row r="54" spans="1:13" s="307" customFormat="1" ht="42.75">
      <c r="A54" s="138">
        <v>6</v>
      </c>
      <c r="B54" s="226" t="s">
        <v>417</v>
      </c>
      <c r="C54" s="227" t="s">
        <v>338</v>
      </c>
      <c r="D54" s="138" t="s">
        <v>283</v>
      </c>
      <c r="E54" s="228"/>
      <c r="F54" s="229">
        <v>1</v>
      </c>
      <c r="G54" s="62"/>
      <c r="H54" s="66"/>
      <c r="I54" s="62"/>
      <c r="J54" s="66"/>
      <c r="K54" s="62"/>
      <c r="L54" s="66"/>
      <c r="M54" s="66"/>
    </row>
    <row r="55" spans="1:13" s="307" customFormat="1" ht="14.25">
      <c r="A55" s="138"/>
      <c r="B55" s="65" t="s">
        <v>12</v>
      </c>
      <c r="C55" s="231"/>
      <c r="D55" s="62" t="s">
        <v>15</v>
      </c>
      <c r="E55" s="62">
        <v>19</v>
      </c>
      <c r="F55" s="66">
        <f>F54*E55</f>
        <v>19</v>
      </c>
      <c r="G55" s="62"/>
      <c r="H55" s="66"/>
      <c r="I55" s="62"/>
      <c r="J55" s="66"/>
      <c r="K55" s="62"/>
      <c r="L55" s="66"/>
      <c r="M55" s="66"/>
    </row>
    <row r="56" spans="1:13" ht="14.25">
      <c r="A56" s="138"/>
      <c r="B56" s="65" t="s">
        <v>339</v>
      </c>
      <c r="C56" s="231" t="s">
        <v>251</v>
      </c>
      <c r="D56" s="59" t="s">
        <v>22</v>
      </c>
      <c r="E56" s="62">
        <v>8.62</v>
      </c>
      <c r="F56" s="84">
        <f>E56*F54</f>
        <v>8.62</v>
      </c>
      <c r="G56" s="62"/>
      <c r="H56" s="66"/>
      <c r="I56" s="62"/>
      <c r="J56" s="66"/>
      <c r="K56" s="62"/>
      <c r="L56" s="66"/>
      <c r="M56" s="66"/>
    </row>
    <row r="57" spans="1:13" s="307" customFormat="1" ht="14.25">
      <c r="A57" s="138"/>
      <c r="B57" s="59" t="s">
        <v>23</v>
      </c>
      <c r="C57" s="231"/>
      <c r="D57" s="62"/>
      <c r="E57" s="62"/>
      <c r="F57" s="66"/>
      <c r="G57" s="62"/>
      <c r="H57" s="66"/>
      <c r="I57" s="62"/>
      <c r="J57" s="66"/>
      <c r="K57" s="62"/>
      <c r="L57" s="66"/>
      <c r="M57" s="66"/>
    </row>
    <row r="58" spans="1:13" s="89" customFormat="1" ht="22.5">
      <c r="A58" s="234"/>
      <c r="B58" s="65" t="s">
        <v>418</v>
      </c>
      <c r="C58" s="61" t="s">
        <v>419</v>
      </c>
      <c r="D58" s="59" t="s">
        <v>20</v>
      </c>
      <c r="E58" s="91">
        <v>100</v>
      </c>
      <c r="F58" s="63">
        <f>F54*E58</f>
        <v>100</v>
      </c>
      <c r="G58" s="59"/>
      <c r="H58" s="63"/>
      <c r="I58" s="62"/>
      <c r="J58" s="63"/>
      <c r="K58" s="59"/>
      <c r="L58" s="63"/>
      <c r="M58" s="63"/>
    </row>
    <row r="59" spans="1:13" s="89" customFormat="1" ht="15.75">
      <c r="A59" s="234"/>
      <c r="B59" s="65" t="s">
        <v>18</v>
      </c>
      <c r="C59" s="61"/>
      <c r="D59" s="59" t="s">
        <v>0</v>
      </c>
      <c r="E59" s="63">
        <v>4.51</v>
      </c>
      <c r="F59" s="63">
        <f>E59*F54</f>
        <v>4.51</v>
      </c>
      <c r="G59" s="59"/>
      <c r="H59" s="63"/>
      <c r="I59" s="62"/>
      <c r="J59" s="63"/>
      <c r="K59" s="59"/>
      <c r="L59" s="63"/>
      <c r="M59" s="63"/>
    </row>
    <row r="60" spans="1:13" s="307" customFormat="1" ht="42.75">
      <c r="A60" s="138">
        <v>7</v>
      </c>
      <c r="B60" s="226" t="s">
        <v>340</v>
      </c>
      <c r="C60" s="231" t="s">
        <v>338</v>
      </c>
      <c r="D60" s="138" t="s">
        <v>283</v>
      </c>
      <c r="E60" s="228"/>
      <c r="F60" s="229">
        <v>0.5</v>
      </c>
      <c r="G60" s="62"/>
      <c r="H60" s="66"/>
      <c r="I60" s="62"/>
      <c r="J60" s="66"/>
      <c r="K60" s="62"/>
      <c r="L60" s="66"/>
      <c r="M60" s="66"/>
    </row>
    <row r="61" spans="1:13" s="307" customFormat="1" ht="14.25">
      <c r="A61" s="138"/>
      <c r="B61" s="65" t="s">
        <v>12</v>
      </c>
      <c r="C61" s="231"/>
      <c r="D61" s="62" t="s">
        <v>15</v>
      </c>
      <c r="E61" s="62">
        <v>19</v>
      </c>
      <c r="F61" s="66">
        <f>F60*E61</f>
        <v>9.5</v>
      </c>
      <c r="G61" s="62"/>
      <c r="H61" s="66"/>
      <c r="I61" s="62"/>
      <c r="J61" s="66"/>
      <c r="K61" s="62"/>
      <c r="L61" s="66"/>
      <c r="M61" s="66"/>
    </row>
    <row r="62" spans="1:13" ht="14.25">
      <c r="A62" s="138"/>
      <c r="B62" s="65" t="s">
        <v>339</v>
      </c>
      <c r="C62" s="231"/>
      <c r="D62" s="59" t="s">
        <v>22</v>
      </c>
      <c r="E62" s="62">
        <v>8.62</v>
      </c>
      <c r="F62" s="84">
        <f>E62*F60</f>
        <v>4.31</v>
      </c>
      <c r="G62" s="62"/>
      <c r="H62" s="66"/>
      <c r="I62" s="62"/>
      <c r="J62" s="66"/>
      <c r="K62" s="62"/>
      <c r="L62" s="66"/>
      <c r="M62" s="66"/>
    </row>
    <row r="63" spans="1:13" s="307" customFormat="1" ht="14.25">
      <c r="A63" s="138"/>
      <c r="B63" s="59" t="s">
        <v>23</v>
      </c>
      <c r="C63" s="231"/>
      <c r="D63" s="62"/>
      <c r="E63" s="62"/>
      <c r="F63" s="66"/>
      <c r="G63" s="62"/>
      <c r="H63" s="66"/>
      <c r="I63" s="62"/>
      <c r="J63" s="66"/>
      <c r="K63" s="62"/>
      <c r="L63" s="66"/>
      <c r="M63" s="66"/>
    </row>
    <row r="64" spans="1:13" s="89" customFormat="1" ht="22.5">
      <c r="A64" s="234"/>
      <c r="B64" s="65" t="s">
        <v>341</v>
      </c>
      <c r="C64" s="61" t="s">
        <v>420</v>
      </c>
      <c r="D64" s="59" t="s">
        <v>20</v>
      </c>
      <c r="E64" s="91">
        <v>100</v>
      </c>
      <c r="F64" s="63">
        <f>F60*E64</f>
        <v>50</v>
      </c>
      <c r="G64" s="63"/>
      <c r="H64" s="63"/>
      <c r="I64" s="62"/>
      <c r="J64" s="63"/>
      <c r="K64" s="59"/>
      <c r="L64" s="63"/>
      <c r="M64" s="63"/>
    </row>
    <row r="65" spans="1:13" s="89" customFormat="1" ht="15.75">
      <c r="A65" s="234"/>
      <c r="B65" s="65" t="s">
        <v>18</v>
      </c>
      <c r="C65" s="231"/>
      <c r="D65" s="59" t="s">
        <v>0</v>
      </c>
      <c r="E65" s="91">
        <v>4.51</v>
      </c>
      <c r="F65" s="63">
        <f>E65*F60</f>
        <v>2.255</v>
      </c>
      <c r="G65" s="59"/>
      <c r="H65" s="63"/>
      <c r="I65" s="62"/>
      <c r="J65" s="63"/>
      <c r="K65" s="59"/>
      <c r="L65" s="63"/>
      <c r="M65" s="63"/>
    </row>
    <row r="66" spans="1:13" s="89" customFormat="1" ht="28.5">
      <c r="A66" s="138">
        <v>8</v>
      </c>
      <c r="B66" s="226" t="s">
        <v>342</v>
      </c>
      <c r="C66" s="231" t="s">
        <v>338</v>
      </c>
      <c r="D66" s="138" t="s">
        <v>283</v>
      </c>
      <c r="E66" s="228"/>
      <c r="F66" s="229">
        <v>1</v>
      </c>
      <c r="G66" s="62"/>
      <c r="H66" s="66"/>
      <c r="I66" s="62"/>
      <c r="J66" s="66"/>
      <c r="K66" s="62"/>
      <c r="L66" s="66"/>
      <c r="M66" s="66"/>
    </row>
    <row r="67" spans="1:13" s="89" customFormat="1" ht="15.75">
      <c r="A67" s="138"/>
      <c r="B67" s="65" t="s">
        <v>12</v>
      </c>
      <c r="C67" s="231"/>
      <c r="D67" s="62" t="s">
        <v>15</v>
      </c>
      <c r="E67" s="62">
        <v>19</v>
      </c>
      <c r="F67" s="66">
        <f>F66*E67</f>
        <v>19</v>
      </c>
      <c r="G67" s="62"/>
      <c r="H67" s="66"/>
      <c r="I67" s="62"/>
      <c r="J67" s="66"/>
      <c r="K67" s="62"/>
      <c r="L67" s="66"/>
      <c r="M67" s="66"/>
    </row>
    <row r="68" spans="1:13" s="89" customFormat="1" ht="15.75">
      <c r="A68" s="138"/>
      <c r="B68" s="65" t="s">
        <v>339</v>
      </c>
      <c r="C68" s="231" t="s">
        <v>251</v>
      </c>
      <c r="D68" s="59" t="s">
        <v>22</v>
      </c>
      <c r="E68" s="62">
        <v>8.62</v>
      </c>
      <c r="F68" s="84">
        <f>E68*F66</f>
        <v>8.62</v>
      </c>
      <c r="G68" s="62"/>
      <c r="H68" s="66"/>
      <c r="I68" s="62"/>
      <c r="J68" s="66"/>
      <c r="K68" s="62"/>
      <c r="L68" s="66"/>
      <c r="M68" s="66"/>
    </row>
    <row r="69" spans="1:13" s="89" customFormat="1" ht="15.75">
      <c r="A69" s="138"/>
      <c r="B69" s="59" t="s">
        <v>23</v>
      </c>
      <c r="C69" s="231"/>
      <c r="D69" s="62"/>
      <c r="E69" s="62"/>
      <c r="F69" s="66"/>
      <c r="G69" s="62"/>
      <c r="H69" s="66"/>
      <c r="I69" s="62"/>
      <c r="J69" s="66"/>
      <c r="K69" s="62"/>
      <c r="L69" s="66"/>
      <c r="M69" s="66"/>
    </row>
    <row r="70" spans="1:13" s="89" customFormat="1" ht="15.75">
      <c r="A70" s="234"/>
      <c r="B70" s="65" t="s">
        <v>343</v>
      </c>
      <c r="C70" s="231"/>
      <c r="D70" s="59" t="s">
        <v>20</v>
      </c>
      <c r="E70" s="91">
        <v>100</v>
      </c>
      <c r="F70" s="63">
        <f>F66*E70</f>
        <v>100</v>
      </c>
      <c r="G70" s="59"/>
      <c r="H70" s="63"/>
      <c r="I70" s="62"/>
      <c r="J70" s="63"/>
      <c r="K70" s="59"/>
      <c r="L70" s="63"/>
      <c r="M70" s="63"/>
    </row>
    <row r="71" spans="1:13" s="89" customFormat="1" ht="15.75">
      <c r="A71" s="234"/>
      <c r="B71" s="65" t="s">
        <v>18</v>
      </c>
      <c r="C71" s="231"/>
      <c r="D71" s="59" t="s">
        <v>0</v>
      </c>
      <c r="E71" s="91">
        <v>4.51</v>
      </c>
      <c r="F71" s="63">
        <f>E71*F66</f>
        <v>4.51</v>
      </c>
      <c r="G71" s="59"/>
      <c r="H71" s="63"/>
      <c r="I71" s="62"/>
      <c r="J71" s="63"/>
      <c r="K71" s="59"/>
      <c r="L71" s="63"/>
      <c r="M71" s="63"/>
    </row>
    <row r="72" spans="1:13" s="89" customFormat="1" ht="42.75">
      <c r="A72" s="138">
        <v>9</v>
      </c>
      <c r="B72" s="226" t="s">
        <v>344</v>
      </c>
      <c r="C72" s="231" t="s">
        <v>338</v>
      </c>
      <c r="D72" s="138" t="s">
        <v>283</v>
      </c>
      <c r="E72" s="228"/>
      <c r="F72" s="229">
        <v>0.5</v>
      </c>
      <c r="G72" s="62"/>
      <c r="H72" s="66"/>
      <c r="I72" s="62"/>
      <c r="J72" s="66"/>
      <c r="K72" s="62"/>
      <c r="L72" s="66"/>
      <c r="M72" s="66"/>
    </row>
    <row r="73" spans="1:13" s="89" customFormat="1" ht="15.75">
      <c r="A73" s="138"/>
      <c r="B73" s="65" t="s">
        <v>12</v>
      </c>
      <c r="C73" s="231"/>
      <c r="D73" s="62" t="s">
        <v>15</v>
      </c>
      <c r="E73" s="62">
        <v>19</v>
      </c>
      <c r="F73" s="66">
        <f>F72*E73</f>
        <v>9.5</v>
      </c>
      <c r="G73" s="62"/>
      <c r="H73" s="66"/>
      <c r="I73" s="62"/>
      <c r="J73" s="66"/>
      <c r="K73" s="62"/>
      <c r="L73" s="66"/>
      <c r="M73" s="66"/>
    </row>
    <row r="74" spans="1:13" s="89" customFormat="1" ht="15.75">
      <c r="A74" s="138"/>
      <c r="B74" s="65" t="s">
        <v>339</v>
      </c>
      <c r="C74" s="231"/>
      <c r="D74" s="59" t="s">
        <v>22</v>
      </c>
      <c r="E74" s="62">
        <v>8.62</v>
      </c>
      <c r="F74" s="84">
        <f>E74*F72</f>
        <v>4.31</v>
      </c>
      <c r="G74" s="62"/>
      <c r="H74" s="66"/>
      <c r="I74" s="62"/>
      <c r="J74" s="66"/>
      <c r="K74" s="62"/>
      <c r="L74" s="66"/>
      <c r="M74" s="66"/>
    </row>
    <row r="75" spans="1:13" s="89" customFormat="1" ht="15.75">
      <c r="A75" s="138"/>
      <c r="B75" s="59" t="s">
        <v>23</v>
      </c>
      <c r="C75" s="231"/>
      <c r="D75" s="62"/>
      <c r="E75" s="62"/>
      <c r="F75" s="66"/>
      <c r="G75" s="62"/>
      <c r="H75" s="66"/>
      <c r="I75" s="62"/>
      <c r="J75" s="66"/>
      <c r="K75" s="62"/>
      <c r="L75" s="66"/>
      <c r="M75" s="66"/>
    </row>
    <row r="76" spans="1:13" s="89" customFormat="1" ht="15.75">
      <c r="A76" s="234"/>
      <c r="B76" s="65" t="s">
        <v>345</v>
      </c>
      <c r="C76" s="231"/>
      <c r="D76" s="59" t="s">
        <v>20</v>
      </c>
      <c r="E76" s="91">
        <v>100</v>
      </c>
      <c r="F76" s="63">
        <f>F72*E76</f>
        <v>50</v>
      </c>
      <c r="G76" s="63"/>
      <c r="H76" s="63"/>
      <c r="I76" s="62"/>
      <c r="J76" s="63"/>
      <c r="K76" s="59"/>
      <c r="L76" s="63"/>
      <c r="M76" s="63"/>
    </row>
    <row r="77" spans="1:13" s="89" customFormat="1" ht="15.75">
      <c r="A77" s="234"/>
      <c r="B77" s="65" t="s">
        <v>18</v>
      </c>
      <c r="C77" s="231"/>
      <c r="D77" s="59" t="s">
        <v>0</v>
      </c>
      <c r="E77" s="91">
        <v>4.51</v>
      </c>
      <c r="F77" s="63">
        <f>E77*F72</f>
        <v>2.255</v>
      </c>
      <c r="G77" s="59"/>
      <c r="H77" s="63"/>
      <c r="I77" s="62"/>
      <c r="J77" s="63"/>
      <c r="K77" s="59"/>
      <c r="L77" s="63"/>
      <c r="M77" s="63"/>
    </row>
    <row r="78" spans="1:13" s="307" customFormat="1" ht="28.5">
      <c r="A78" s="138">
        <v>10</v>
      </c>
      <c r="B78" s="226" t="s">
        <v>346</v>
      </c>
      <c r="C78" s="231" t="s">
        <v>347</v>
      </c>
      <c r="D78" s="138" t="s">
        <v>20</v>
      </c>
      <c r="E78" s="228"/>
      <c r="F78" s="308">
        <v>150</v>
      </c>
      <c r="G78" s="62"/>
      <c r="H78" s="66"/>
      <c r="I78" s="62"/>
      <c r="J78" s="66"/>
      <c r="K78" s="62"/>
      <c r="L78" s="66"/>
      <c r="M78" s="66"/>
    </row>
    <row r="79" spans="1:13" s="307" customFormat="1" ht="14.25">
      <c r="A79" s="138"/>
      <c r="B79" s="65" t="s">
        <v>12</v>
      </c>
      <c r="C79" s="231"/>
      <c r="D79" s="62" t="s">
        <v>15</v>
      </c>
      <c r="E79" s="62">
        <v>0.82</v>
      </c>
      <c r="F79" s="66">
        <f>F78*E79</f>
        <v>122.99999999999999</v>
      </c>
      <c r="G79" s="62"/>
      <c r="H79" s="66"/>
      <c r="I79" s="62"/>
      <c r="J79" s="66"/>
      <c r="K79" s="62"/>
      <c r="L79" s="66"/>
      <c r="M79" s="66"/>
    </row>
    <row r="80" spans="1:13" s="307" customFormat="1" ht="17.25" customHeight="1">
      <c r="A80" s="138"/>
      <c r="B80" s="65" t="s">
        <v>284</v>
      </c>
      <c r="C80" s="231"/>
      <c r="D80" s="62" t="s">
        <v>22</v>
      </c>
      <c r="E80" s="62">
        <v>0.43</v>
      </c>
      <c r="F80" s="66">
        <f>F78*E80</f>
        <v>64.5</v>
      </c>
      <c r="G80" s="62"/>
      <c r="H80" s="66"/>
      <c r="I80" s="232"/>
      <c r="J80" s="232"/>
      <c r="K80" s="62"/>
      <c r="L80" s="66"/>
      <c r="M80" s="66"/>
    </row>
    <row r="81" spans="1:13" s="307" customFormat="1" ht="28.5">
      <c r="A81" s="138">
        <v>11</v>
      </c>
      <c r="B81" s="226" t="s">
        <v>288</v>
      </c>
      <c r="C81" s="231" t="s">
        <v>289</v>
      </c>
      <c r="D81" s="309" t="s">
        <v>290</v>
      </c>
      <c r="E81" s="228"/>
      <c r="F81" s="229">
        <v>3</v>
      </c>
      <c r="G81" s="62"/>
      <c r="H81" s="66"/>
      <c r="I81" s="62"/>
      <c r="J81" s="66"/>
      <c r="K81" s="62"/>
      <c r="L81" s="66"/>
      <c r="M81" s="66"/>
    </row>
    <row r="82" spans="1:13" s="307" customFormat="1" ht="14.25">
      <c r="A82" s="138"/>
      <c r="B82" s="65" t="s">
        <v>12</v>
      </c>
      <c r="C82" s="231"/>
      <c r="D82" s="62" t="s">
        <v>15</v>
      </c>
      <c r="E82" s="62">
        <v>31.4</v>
      </c>
      <c r="F82" s="66">
        <f>F81*E82</f>
        <v>94.19999999999999</v>
      </c>
      <c r="G82" s="62"/>
      <c r="H82" s="66"/>
      <c r="I82" s="62"/>
      <c r="J82" s="66"/>
      <c r="K82" s="62"/>
      <c r="L82" s="66"/>
      <c r="M82" s="66"/>
    </row>
    <row r="83" spans="1:13" s="307" customFormat="1" ht="17.25" customHeight="1">
      <c r="A83" s="138"/>
      <c r="B83" s="65" t="s">
        <v>284</v>
      </c>
      <c r="C83" s="231"/>
      <c r="D83" s="62" t="s">
        <v>22</v>
      </c>
      <c r="E83" s="62">
        <v>1.7</v>
      </c>
      <c r="F83" s="66">
        <f>F81*E83</f>
        <v>5.1</v>
      </c>
      <c r="G83" s="62"/>
      <c r="H83" s="66"/>
      <c r="I83" s="232"/>
      <c r="J83" s="232"/>
      <c r="K83" s="62"/>
      <c r="L83" s="66"/>
      <c r="M83" s="66"/>
    </row>
    <row r="84" spans="1:13" s="307" customFormat="1" ht="17.25" customHeight="1">
      <c r="A84" s="138"/>
      <c r="B84" s="65" t="s">
        <v>291</v>
      </c>
      <c r="C84" s="231"/>
      <c r="D84" s="62" t="s">
        <v>22</v>
      </c>
      <c r="E84" s="62">
        <v>24</v>
      </c>
      <c r="F84" s="66">
        <f>F81*E84</f>
        <v>72</v>
      </c>
      <c r="G84" s="62"/>
      <c r="H84" s="66"/>
      <c r="I84" s="232"/>
      <c r="J84" s="232"/>
      <c r="K84" s="62"/>
      <c r="L84" s="66"/>
      <c r="M84" s="66"/>
    </row>
    <row r="85" spans="1:14" s="214" customFormat="1" ht="14.25">
      <c r="A85" s="59"/>
      <c r="B85" s="242" t="s">
        <v>8</v>
      </c>
      <c r="C85" s="138"/>
      <c r="D85" s="62"/>
      <c r="E85" s="253"/>
      <c r="F85" s="252"/>
      <c r="G85" s="252"/>
      <c r="H85" s="306"/>
      <c r="I85" s="306"/>
      <c r="J85" s="306"/>
      <c r="K85" s="306"/>
      <c r="L85" s="306"/>
      <c r="M85" s="306"/>
      <c r="N85" s="310"/>
    </row>
    <row r="86" spans="1:13" s="214" customFormat="1" ht="13.5">
      <c r="A86" s="59"/>
      <c r="B86" s="65" t="s">
        <v>294</v>
      </c>
      <c r="C86" s="311"/>
      <c r="D86" s="271">
        <v>0.04</v>
      </c>
      <c r="E86" s="312"/>
      <c r="F86" s="313"/>
      <c r="G86" s="313"/>
      <c r="H86" s="314"/>
      <c r="I86" s="313"/>
      <c r="J86" s="314"/>
      <c r="K86" s="313"/>
      <c r="L86" s="314"/>
      <c r="M86" s="314"/>
    </row>
    <row r="87" spans="1:15" s="214" customFormat="1" ht="14.25">
      <c r="A87" s="59"/>
      <c r="B87" s="242" t="s">
        <v>8</v>
      </c>
      <c r="C87" s="138"/>
      <c r="D87" s="62"/>
      <c r="E87" s="253"/>
      <c r="F87" s="252"/>
      <c r="G87" s="252"/>
      <c r="H87" s="306"/>
      <c r="I87" s="305"/>
      <c r="J87" s="306"/>
      <c r="K87" s="305"/>
      <c r="L87" s="306"/>
      <c r="M87" s="306"/>
      <c r="O87" s="310"/>
    </row>
    <row r="88" spans="1:13" s="214" customFormat="1" ht="13.5">
      <c r="A88" s="59"/>
      <c r="B88" s="60" t="s">
        <v>29</v>
      </c>
      <c r="C88" s="315"/>
      <c r="D88" s="316">
        <v>0.145</v>
      </c>
      <c r="E88" s="312"/>
      <c r="F88" s="313"/>
      <c r="G88" s="313"/>
      <c r="H88" s="317"/>
      <c r="I88" s="317"/>
      <c r="J88" s="317"/>
      <c r="K88" s="317"/>
      <c r="L88" s="317"/>
      <c r="M88" s="314"/>
    </row>
    <row r="89" spans="1:13" s="214" customFormat="1" ht="14.25">
      <c r="A89" s="59"/>
      <c r="B89" s="242" t="s">
        <v>8</v>
      </c>
      <c r="C89" s="138"/>
      <c r="D89" s="62"/>
      <c r="E89" s="253"/>
      <c r="F89" s="252"/>
      <c r="G89" s="252"/>
      <c r="H89" s="305"/>
      <c r="I89" s="305"/>
      <c r="J89" s="305"/>
      <c r="K89" s="305"/>
      <c r="L89" s="305"/>
      <c r="M89" s="306"/>
    </row>
    <row r="90" spans="1:13" s="214" customFormat="1" ht="13.5">
      <c r="A90" s="59"/>
      <c r="B90" s="60" t="s">
        <v>19</v>
      </c>
      <c r="C90" s="315"/>
      <c r="D90" s="271">
        <v>0.08</v>
      </c>
      <c r="E90" s="312"/>
      <c r="F90" s="313"/>
      <c r="G90" s="313"/>
      <c r="H90" s="317"/>
      <c r="I90" s="317"/>
      <c r="J90" s="317"/>
      <c r="K90" s="317"/>
      <c r="L90" s="317"/>
      <c r="M90" s="314"/>
    </row>
    <row r="91" spans="1:13" s="214" customFormat="1" ht="14.25">
      <c r="A91" s="59"/>
      <c r="B91" s="242" t="s">
        <v>295</v>
      </c>
      <c r="C91" s="138"/>
      <c r="D91" s="252"/>
      <c r="E91" s="253"/>
      <c r="F91" s="252"/>
      <c r="G91" s="252"/>
      <c r="H91" s="305"/>
      <c r="I91" s="305"/>
      <c r="J91" s="305"/>
      <c r="K91" s="305"/>
      <c r="L91" s="305"/>
      <c r="M91" s="306"/>
    </row>
    <row r="92" spans="1:13" s="214" customFormat="1" ht="14.25">
      <c r="A92" s="59"/>
      <c r="B92" s="138" t="s">
        <v>296</v>
      </c>
      <c r="C92" s="138"/>
      <c r="D92" s="252"/>
      <c r="E92" s="253"/>
      <c r="F92" s="252"/>
      <c r="G92" s="252"/>
      <c r="H92" s="305"/>
      <c r="I92" s="305"/>
      <c r="J92" s="305"/>
      <c r="K92" s="305"/>
      <c r="L92" s="305"/>
      <c r="M92" s="306"/>
    </row>
    <row r="93" spans="1:13" s="214" customFormat="1" ht="28.5">
      <c r="A93" s="138">
        <v>1</v>
      </c>
      <c r="B93" s="242" t="s">
        <v>297</v>
      </c>
      <c r="C93" s="227" t="s">
        <v>421</v>
      </c>
      <c r="D93" s="228" t="s">
        <v>42</v>
      </c>
      <c r="E93" s="228"/>
      <c r="F93" s="229">
        <f>3*3*0.1</f>
        <v>0.9</v>
      </c>
      <c r="G93" s="228"/>
      <c r="H93" s="230"/>
      <c r="I93" s="228"/>
      <c r="J93" s="230"/>
      <c r="K93" s="228"/>
      <c r="L93" s="230"/>
      <c r="M93" s="230"/>
    </row>
    <row r="94" spans="1:13" s="214" customFormat="1" ht="13.5">
      <c r="A94" s="59"/>
      <c r="B94" s="65" t="s">
        <v>12</v>
      </c>
      <c r="C94" s="74"/>
      <c r="D94" s="62" t="s">
        <v>15</v>
      </c>
      <c r="E94" s="62">
        <v>2.06</v>
      </c>
      <c r="F94" s="66">
        <f>F93*E94</f>
        <v>1.854</v>
      </c>
      <c r="G94" s="62"/>
      <c r="H94" s="66"/>
      <c r="I94" s="62"/>
      <c r="J94" s="66"/>
      <c r="K94" s="62"/>
      <c r="L94" s="66"/>
      <c r="M94" s="66"/>
    </row>
    <row r="95" spans="1:13" s="214" customFormat="1" ht="29.25" customHeight="1">
      <c r="A95" s="138">
        <v>2</v>
      </c>
      <c r="B95" s="226" t="s">
        <v>299</v>
      </c>
      <c r="C95" s="235" t="s">
        <v>422</v>
      </c>
      <c r="D95" s="138" t="s">
        <v>42</v>
      </c>
      <c r="E95" s="138"/>
      <c r="F95" s="244">
        <f>3*3*0.1</f>
        <v>0.9</v>
      </c>
      <c r="G95" s="228"/>
      <c r="H95" s="318"/>
      <c r="I95" s="228"/>
      <c r="J95" s="318"/>
      <c r="K95" s="228"/>
      <c r="L95" s="318"/>
      <c r="M95" s="228"/>
    </row>
    <row r="96" spans="1:13" s="214" customFormat="1" ht="13.5">
      <c r="A96" s="150"/>
      <c r="B96" s="60" t="s">
        <v>300</v>
      </c>
      <c r="C96" s="59"/>
      <c r="D96" s="59" t="s">
        <v>15</v>
      </c>
      <c r="E96" s="59">
        <v>0.89</v>
      </c>
      <c r="F96" s="63">
        <f>F95*E96</f>
        <v>0.801</v>
      </c>
      <c r="G96" s="59"/>
      <c r="H96" s="63"/>
      <c r="I96" s="59"/>
      <c r="J96" s="63"/>
      <c r="K96" s="59"/>
      <c r="L96" s="63"/>
      <c r="M96" s="63"/>
    </row>
    <row r="97" spans="1:13" s="214" customFormat="1" ht="14.25">
      <c r="A97" s="138"/>
      <c r="B97" s="65" t="s">
        <v>14</v>
      </c>
      <c r="C97" s="231"/>
      <c r="D97" s="59" t="s">
        <v>0</v>
      </c>
      <c r="E97" s="62">
        <v>0.37</v>
      </c>
      <c r="F97" s="84">
        <f>E97*F95</f>
        <v>0.333</v>
      </c>
      <c r="G97" s="62"/>
      <c r="H97" s="66"/>
      <c r="I97" s="62"/>
      <c r="J97" s="66"/>
      <c r="K97" s="62"/>
      <c r="L97" s="66"/>
      <c r="M97" s="66"/>
    </row>
    <row r="98" spans="1:13" s="214" customFormat="1" ht="22.5">
      <c r="A98" s="150"/>
      <c r="B98" s="236" t="s">
        <v>147</v>
      </c>
      <c r="C98" s="61" t="s">
        <v>423</v>
      </c>
      <c r="D98" s="62" t="s">
        <v>301</v>
      </c>
      <c r="E98" s="59">
        <v>1.15</v>
      </c>
      <c r="F98" s="63">
        <f>F95*E98</f>
        <v>1.035</v>
      </c>
      <c r="G98" s="59"/>
      <c r="H98" s="63"/>
      <c r="I98" s="59"/>
      <c r="J98" s="63"/>
      <c r="K98" s="59"/>
      <c r="L98" s="63"/>
      <c r="M98" s="63"/>
    </row>
    <row r="99" spans="1:13" s="214" customFormat="1" ht="13.5">
      <c r="A99" s="150"/>
      <c r="B99" s="65" t="s">
        <v>18</v>
      </c>
      <c r="C99" s="79"/>
      <c r="D99" s="59" t="s">
        <v>0</v>
      </c>
      <c r="E99" s="59">
        <v>0.02</v>
      </c>
      <c r="F99" s="63">
        <f>F95*E99</f>
        <v>0.018000000000000002</v>
      </c>
      <c r="G99" s="59"/>
      <c r="H99" s="63"/>
      <c r="I99" s="59"/>
      <c r="J99" s="63"/>
      <c r="K99" s="59"/>
      <c r="L99" s="63"/>
      <c r="M99" s="63"/>
    </row>
    <row r="100" spans="1:13" s="214" customFormat="1" ht="42.75">
      <c r="A100" s="138">
        <v>3</v>
      </c>
      <c r="B100" s="226" t="s">
        <v>348</v>
      </c>
      <c r="C100" s="235" t="s">
        <v>422</v>
      </c>
      <c r="D100" s="138" t="s">
        <v>42</v>
      </c>
      <c r="E100" s="138"/>
      <c r="F100" s="244">
        <v>5</v>
      </c>
      <c r="G100" s="228"/>
      <c r="H100" s="318"/>
      <c r="I100" s="228"/>
      <c r="J100" s="318"/>
      <c r="K100" s="228"/>
      <c r="L100" s="318"/>
      <c r="M100" s="228"/>
    </row>
    <row r="101" spans="1:13" s="214" customFormat="1" ht="13.5">
      <c r="A101" s="150"/>
      <c r="B101" s="60" t="s">
        <v>300</v>
      </c>
      <c r="C101" s="59"/>
      <c r="D101" s="59" t="s">
        <v>15</v>
      </c>
      <c r="E101" s="59">
        <v>0.89</v>
      </c>
      <c r="F101" s="63">
        <f>F100*E101</f>
        <v>4.45</v>
      </c>
      <c r="G101" s="59"/>
      <c r="H101" s="63"/>
      <c r="I101" s="59"/>
      <c r="J101" s="63"/>
      <c r="K101" s="59"/>
      <c r="L101" s="63"/>
      <c r="M101" s="63"/>
    </row>
    <row r="102" spans="1:13" s="214" customFormat="1" ht="14.25">
      <c r="A102" s="138"/>
      <c r="B102" s="65" t="s">
        <v>14</v>
      </c>
      <c r="C102" s="231"/>
      <c r="D102" s="59" t="s">
        <v>0</v>
      </c>
      <c r="E102" s="62">
        <v>0.37</v>
      </c>
      <c r="F102" s="84">
        <f>E102*F100</f>
        <v>1.85</v>
      </c>
      <c r="G102" s="62"/>
      <c r="H102" s="66"/>
      <c r="I102" s="62"/>
      <c r="J102" s="66"/>
      <c r="K102" s="62"/>
      <c r="L102" s="66"/>
      <c r="M102" s="66"/>
    </row>
    <row r="103" spans="1:13" s="307" customFormat="1" ht="22.5">
      <c r="A103" s="150"/>
      <c r="B103" s="10" t="s">
        <v>147</v>
      </c>
      <c r="C103" s="61" t="s">
        <v>423</v>
      </c>
      <c r="D103" s="62" t="s">
        <v>301</v>
      </c>
      <c r="E103" s="59">
        <v>1.15</v>
      </c>
      <c r="F103" s="63">
        <f>F100*E103</f>
        <v>5.75</v>
      </c>
      <c r="G103" s="59"/>
      <c r="H103" s="63"/>
      <c r="I103" s="59"/>
      <c r="J103" s="63"/>
      <c r="K103" s="59"/>
      <c r="L103" s="63"/>
      <c r="M103" s="63"/>
    </row>
    <row r="104" spans="1:13" s="307" customFormat="1" ht="14.25">
      <c r="A104" s="150"/>
      <c r="B104" s="65" t="s">
        <v>18</v>
      </c>
      <c r="C104" s="79"/>
      <c r="D104" s="59" t="s">
        <v>0</v>
      </c>
      <c r="E104" s="59">
        <v>0.02</v>
      </c>
      <c r="F104" s="63">
        <f>F100*E104</f>
        <v>0.1</v>
      </c>
      <c r="G104" s="59"/>
      <c r="H104" s="63"/>
      <c r="I104" s="59"/>
      <c r="J104" s="63"/>
      <c r="K104" s="59"/>
      <c r="L104" s="63"/>
      <c r="M104" s="63"/>
    </row>
    <row r="105" spans="1:13" ht="42.75">
      <c r="A105" s="138">
        <v>4</v>
      </c>
      <c r="B105" s="226" t="s">
        <v>302</v>
      </c>
      <c r="C105" s="227" t="s">
        <v>424</v>
      </c>
      <c r="D105" s="138" t="s">
        <v>304</v>
      </c>
      <c r="E105" s="228"/>
      <c r="F105" s="319">
        <v>0.02</v>
      </c>
      <c r="G105" s="62"/>
      <c r="H105" s="66"/>
      <c r="I105" s="62"/>
      <c r="J105" s="66"/>
      <c r="K105" s="62"/>
      <c r="L105" s="66"/>
      <c r="M105" s="66"/>
    </row>
    <row r="106" spans="1:13" s="307" customFormat="1" ht="14.25">
      <c r="A106" s="138"/>
      <c r="B106" s="65" t="s">
        <v>12</v>
      </c>
      <c r="C106" s="231"/>
      <c r="D106" s="62" t="s">
        <v>15</v>
      </c>
      <c r="E106" s="62">
        <v>99</v>
      </c>
      <c r="F106" s="66">
        <f>F105*E106</f>
        <v>1.98</v>
      </c>
      <c r="G106" s="62"/>
      <c r="H106" s="66"/>
      <c r="I106" s="62"/>
      <c r="J106" s="66"/>
      <c r="K106" s="62"/>
      <c r="L106" s="66"/>
      <c r="M106" s="66"/>
    </row>
    <row r="107" spans="1:13" s="307" customFormat="1" ht="14.25">
      <c r="A107" s="138"/>
      <c r="B107" s="65" t="s">
        <v>14</v>
      </c>
      <c r="C107" s="231"/>
      <c r="D107" s="59" t="s">
        <v>0</v>
      </c>
      <c r="E107" s="62">
        <v>34</v>
      </c>
      <c r="F107" s="84">
        <f>E107*F105</f>
        <v>0.68</v>
      </c>
      <c r="G107" s="62"/>
      <c r="H107" s="66"/>
      <c r="I107" s="62"/>
      <c r="J107" s="66"/>
      <c r="K107" s="62"/>
      <c r="L107" s="66"/>
      <c r="M107" s="66"/>
    </row>
    <row r="108" spans="1:13" s="307" customFormat="1" ht="14.25">
      <c r="A108" s="138"/>
      <c r="B108" s="59" t="s">
        <v>23</v>
      </c>
      <c r="C108" s="231"/>
      <c r="D108" s="62"/>
      <c r="E108" s="62"/>
      <c r="F108" s="66"/>
      <c r="G108" s="62"/>
      <c r="H108" s="66"/>
      <c r="I108" s="62"/>
      <c r="J108" s="66"/>
      <c r="K108" s="62"/>
      <c r="L108" s="66"/>
      <c r="M108" s="66"/>
    </row>
    <row r="109" spans="1:13" s="307" customFormat="1" ht="25.5">
      <c r="A109" s="138"/>
      <c r="B109" s="237" t="s">
        <v>425</v>
      </c>
      <c r="C109" s="76" t="s">
        <v>426</v>
      </c>
      <c r="D109" s="62" t="s">
        <v>42</v>
      </c>
      <c r="E109" s="62">
        <v>102</v>
      </c>
      <c r="F109" s="66">
        <f>F105*E109</f>
        <v>2.04</v>
      </c>
      <c r="G109" s="59"/>
      <c r="H109" s="63"/>
      <c r="I109" s="62"/>
      <c r="J109" s="63"/>
      <c r="K109" s="59"/>
      <c r="L109" s="63"/>
      <c r="M109" s="63"/>
    </row>
    <row r="110" spans="1:13" s="89" customFormat="1" ht="15.75">
      <c r="A110" s="138"/>
      <c r="B110" s="237" t="s">
        <v>359</v>
      </c>
      <c r="C110" s="76" t="s">
        <v>427</v>
      </c>
      <c r="D110" s="62" t="s">
        <v>305</v>
      </c>
      <c r="E110" s="62">
        <v>7.54</v>
      </c>
      <c r="F110" s="233">
        <f>F105*E110</f>
        <v>0.15080000000000002</v>
      </c>
      <c r="G110" s="59"/>
      <c r="H110" s="63"/>
      <c r="I110" s="62"/>
      <c r="J110" s="63"/>
      <c r="K110" s="59"/>
      <c r="L110" s="63"/>
      <c r="M110" s="63"/>
    </row>
    <row r="111" spans="1:13" s="307" customFormat="1" ht="14.25">
      <c r="A111" s="138"/>
      <c r="B111" s="237" t="s">
        <v>360</v>
      </c>
      <c r="C111" s="76" t="s">
        <v>428</v>
      </c>
      <c r="D111" s="62" t="s">
        <v>42</v>
      </c>
      <c r="E111" s="62">
        <v>0.08</v>
      </c>
      <c r="F111" s="233">
        <f>F105*E111</f>
        <v>0.0016</v>
      </c>
      <c r="G111" s="59"/>
      <c r="H111" s="63"/>
      <c r="I111" s="62"/>
      <c r="J111" s="63"/>
      <c r="K111" s="59"/>
      <c r="L111" s="63"/>
      <c r="M111" s="63"/>
    </row>
    <row r="112" spans="1:13" ht="14.25">
      <c r="A112" s="234"/>
      <c r="B112" s="65" t="s">
        <v>18</v>
      </c>
      <c r="C112" s="231"/>
      <c r="D112" s="59" t="s">
        <v>0</v>
      </c>
      <c r="E112" s="91">
        <v>16</v>
      </c>
      <c r="F112" s="63">
        <f>E112*F105</f>
        <v>0.32</v>
      </c>
      <c r="G112" s="59"/>
      <c r="H112" s="63"/>
      <c r="I112" s="62"/>
      <c r="J112" s="63"/>
      <c r="K112" s="59"/>
      <c r="L112" s="63"/>
      <c r="M112" s="63"/>
    </row>
    <row r="113" spans="1:13" ht="57">
      <c r="A113" s="138">
        <v>5</v>
      </c>
      <c r="B113" s="226" t="s">
        <v>429</v>
      </c>
      <c r="C113" s="320" t="s">
        <v>430</v>
      </c>
      <c r="D113" s="228" t="s">
        <v>20</v>
      </c>
      <c r="E113" s="228"/>
      <c r="F113" s="238">
        <v>70</v>
      </c>
      <c r="G113" s="239"/>
      <c r="H113" s="269"/>
      <c r="I113" s="228"/>
      <c r="J113" s="230"/>
      <c r="K113" s="228"/>
      <c r="L113" s="230"/>
      <c r="M113" s="230"/>
    </row>
    <row r="114" spans="1:13" s="89" customFormat="1" ht="15.75">
      <c r="A114" s="138"/>
      <c r="B114" s="65" t="s">
        <v>12</v>
      </c>
      <c r="C114" s="76"/>
      <c r="D114" s="62" t="s">
        <v>15</v>
      </c>
      <c r="E114" s="62">
        <v>0.438</v>
      </c>
      <c r="F114" s="66">
        <f>F113*E114</f>
        <v>30.66</v>
      </c>
      <c r="G114" s="62"/>
      <c r="H114" s="66"/>
      <c r="I114" s="62"/>
      <c r="J114" s="66"/>
      <c r="K114" s="62"/>
      <c r="L114" s="66"/>
      <c r="M114" s="66"/>
    </row>
    <row r="115" spans="1:13" s="89" customFormat="1" ht="15.75">
      <c r="A115" s="138"/>
      <c r="B115" s="65" t="s">
        <v>14</v>
      </c>
      <c r="C115" s="76"/>
      <c r="D115" s="59" t="s">
        <v>0</v>
      </c>
      <c r="E115" s="62">
        <v>0.169</v>
      </c>
      <c r="F115" s="84">
        <f>E115*F113</f>
        <v>11.83</v>
      </c>
      <c r="G115" s="62"/>
      <c r="H115" s="66"/>
      <c r="I115" s="62"/>
      <c r="J115" s="66"/>
      <c r="K115" s="62"/>
      <c r="L115" s="66"/>
      <c r="M115" s="66"/>
    </row>
    <row r="116" spans="1:13" s="89" customFormat="1" ht="15.75">
      <c r="A116" s="234"/>
      <c r="B116" s="59" t="s">
        <v>192</v>
      </c>
      <c r="C116" s="85"/>
      <c r="D116" s="59"/>
      <c r="E116" s="59"/>
      <c r="F116" s="63"/>
      <c r="G116" s="59"/>
      <c r="H116" s="63"/>
      <c r="I116" s="62"/>
      <c r="J116" s="63"/>
      <c r="K116" s="59"/>
      <c r="L116" s="63"/>
      <c r="M116" s="63"/>
    </row>
    <row r="117" spans="1:13" s="89" customFormat="1" ht="22.5">
      <c r="A117" s="234"/>
      <c r="B117" s="86" t="s">
        <v>431</v>
      </c>
      <c r="C117" s="61" t="s">
        <v>432</v>
      </c>
      <c r="D117" s="59" t="s">
        <v>20</v>
      </c>
      <c r="E117" s="59">
        <v>0.998</v>
      </c>
      <c r="F117" s="63">
        <f>E117*F113</f>
        <v>69.86</v>
      </c>
      <c r="G117" s="63"/>
      <c r="H117" s="63"/>
      <c r="I117" s="62"/>
      <c r="J117" s="63"/>
      <c r="K117" s="59"/>
      <c r="L117" s="63"/>
      <c r="M117" s="63"/>
    </row>
    <row r="118" spans="1:13" s="89" customFormat="1" ht="15.75">
      <c r="A118" s="234"/>
      <c r="B118" s="65" t="s">
        <v>18</v>
      </c>
      <c r="C118" s="85"/>
      <c r="D118" s="59" t="s">
        <v>0</v>
      </c>
      <c r="E118" s="59">
        <v>0.0548</v>
      </c>
      <c r="F118" s="87">
        <f>E118*F113</f>
        <v>3.8360000000000003</v>
      </c>
      <c r="G118" s="59"/>
      <c r="H118" s="87"/>
      <c r="I118" s="62"/>
      <c r="J118" s="63"/>
      <c r="K118" s="59"/>
      <c r="L118" s="63"/>
      <c r="M118" s="87"/>
    </row>
    <row r="119" spans="1:13" s="89" customFormat="1" ht="42.75">
      <c r="A119" s="234">
        <v>6</v>
      </c>
      <c r="B119" s="226" t="s">
        <v>307</v>
      </c>
      <c r="C119" s="321" t="s">
        <v>433</v>
      </c>
      <c r="D119" s="228" t="s">
        <v>57</v>
      </c>
      <c r="E119" s="228"/>
      <c r="F119" s="238">
        <v>30</v>
      </c>
      <c r="G119" s="239"/>
      <c r="H119" s="269"/>
      <c r="I119" s="228"/>
      <c r="J119" s="230"/>
      <c r="K119" s="228"/>
      <c r="L119" s="230"/>
      <c r="M119" s="230"/>
    </row>
    <row r="120" spans="1:13" s="89" customFormat="1" ht="15.75">
      <c r="A120" s="234"/>
      <c r="B120" s="65" t="s">
        <v>12</v>
      </c>
      <c r="C120" s="85"/>
      <c r="D120" s="62" t="s">
        <v>15</v>
      </c>
      <c r="E120" s="62">
        <v>0.305</v>
      </c>
      <c r="F120" s="66">
        <f>F119*E120</f>
        <v>9.15</v>
      </c>
      <c r="G120" s="62"/>
      <c r="H120" s="66"/>
      <c r="I120" s="62"/>
      <c r="J120" s="66"/>
      <c r="K120" s="62"/>
      <c r="L120" s="66"/>
      <c r="M120" s="66"/>
    </row>
    <row r="121" spans="1:13" s="89" customFormat="1" ht="15.75">
      <c r="A121" s="234"/>
      <c r="B121" s="65" t="s">
        <v>14</v>
      </c>
      <c r="C121" s="85"/>
      <c r="D121" s="59" t="s">
        <v>0</v>
      </c>
      <c r="E121" s="62">
        <v>0.162</v>
      </c>
      <c r="F121" s="84">
        <f>E121*F119</f>
        <v>4.86</v>
      </c>
      <c r="G121" s="62"/>
      <c r="H121" s="66"/>
      <c r="I121" s="62"/>
      <c r="J121" s="66"/>
      <c r="K121" s="62"/>
      <c r="L121" s="66"/>
      <c r="M121" s="66"/>
    </row>
    <row r="122" spans="1:13" s="89" customFormat="1" ht="15.75">
      <c r="A122" s="234"/>
      <c r="B122" s="59" t="s">
        <v>192</v>
      </c>
      <c r="C122" s="85"/>
      <c r="D122" s="59"/>
      <c r="E122" s="59"/>
      <c r="F122" s="63"/>
      <c r="G122" s="59"/>
      <c r="H122" s="63"/>
      <c r="I122" s="62"/>
      <c r="J122" s="63"/>
      <c r="K122" s="59"/>
      <c r="L122" s="63"/>
      <c r="M122" s="63"/>
    </row>
    <row r="123" spans="1:13" s="89" customFormat="1" ht="15.75">
      <c r="A123" s="234"/>
      <c r="B123" s="86" t="s">
        <v>434</v>
      </c>
      <c r="C123" s="85"/>
      <c r="D123" s="59" t="s">
        <v>57</v>
      </c>
      <c r="E123" s="59">
        <v>1</v>
      </c>
      <c r="F123" s="63">
        <f>E123*F119</f>
        <v>30</v>
      </c>
      <c r="G123" s="63"/>
      <c r="H123" s="63"/>
      <c r="I123" s="62"/>
      <c r="J123" s="63"/>
      <c r="K123" s="59"/>
      <c r="L123" s="63"/>
      <c r="M123" s="63"/>
    </row>
    <row r="124" spans="1:13" s="89" customFormat="1" ht="15.75">
      <c r="A124" s="234"/>
      <c r="B124" s="65" t="s">
        <v>18</v>
      </c>
      <c r="C124" s="85"/>
      <c r="D124" s="59" t="s">
        <v>0</v>
      </c>
      <c r="E124" s="59">
        <v>0.0492</v>
      </c>
      <c r="F124" s="87">
        <f>E124*F119</f>
        <v>1.476</v>
      </c>
      <c r="G124" s="59"/>
      <c r="H124" s="87"/>
      <c r="I124" s="62"/>
      <c r="J124" s="63"/>
      <c r="K124" s="59"/>
      <c r="L124" s="63"/>
      <c r="M124" s="87"/>
    </row>
    <row r="125" spans="1:13" s="89" customFormat="1" ht="42.75">
      <c r="A125" s="234">
        <v>7</v>
      </c>
      <c r="B125" s="226" t="s">
        <v>435</v>
      </c>
      <c r="C125" s="321" t="s">
        <v>234</v>
      </c>
      <c r="D125" s="228" t="s">
        <v>24</v>
      </c>
      <c r="E125" s="228"/>
      <c r="F125" s="238">
        <v>66</v>
      </c>
      <c r="G125" s="239"/>
      <c r="H125" s="269"/>
      <c r="I125" s="228"/>
      <c r="J125" s="230"/>
      <c r="K125" s="228"/>
      <c r="L125" s="230"/>
      <c r="M125" s="230"/>
    </row>
    <row r="126" spans="1:13" s="89" customFormat="1" ht="15.75">
      <c r="A126" s="234"/>
      <c r="B126" s="65" t="s">
        <v>12</v>
      </c>
      <c r="C126" s="85"/>
      <c r="D126" s="62" t="s">
        <v>15</v>
      </c>
      <c r="E126" s="62">
        <v>0.48</v>
      </c>
      <c r="F126" s="66">
        <f>F125*E126</f>
        <v>31.68</v>
      </c>
      <c r="G126" s="62"/>
      <c r="H126" s="66"/>
      <c r="I126" s="62"/>
      <c r="J126" s="66"/>
      <c r="K126" s="62"/>
      <c r="L126" s="66"/>
      <c r="M126" s="66"/>
    </row>
    <row r="127" spans="1:13" s="89" customFormat="1" ht="15.75">
      <c r="A127" s="234"/>
      <c r="B127" s="65" t="s">
        <v>14</v>
      </c>
      <c r="C127" s="85"/>
      <c r="D127" s="59" t="s">
        <v>0</v>
      </c>
      <c r="E127" s="62">
        <v>0.31</v>
      </c>
      <c r="F127" s="84">
        <f>E127*F125</f>
        <v>20.46</v>
      </c>
      <c r="G127" s="62"/>
      <c r="H127" s="66"/>
      <c r="I127" s="62"/>
      <c r="J127" s="66"/>
      <c r="K127" s="62"/>
      <c r="L127" s="66"/>
      <c r="M127" s="66"/>
    </row>
    <row r="128" spans="1:13" s="89" customFormat="1" ht="15.75">
      <c r="A128" s="234"/>
      <c r="B128" s="59" t="s">
        <v>192</v>
      </c>
      <c r="C128" s="85"/>
      <c r="D128" s="59"/>
      <c r="E128" s="59"/>
      <c r="F128" s="63"/>
      <c r="G128" s="59"/>
      <c r="H128" s="63"/>
      <c r="I128" s="62"/>
      <c r="J128" s="63"/>
      <c r="K128" s="59"/>
      <c r="L128" s="63"/>
      <c r="M128" s="63"/>
    </row>
    <row r="129" spans="1:13" s="89" customFormat="1" ht="22.5">
      <c r="A129" s="234"/>
      <c r="B129" s="86" t="s">
        <v>436</v>
      </c>
      <c r="C129" s="61" t="s">
        <v>437</v>
      </c>
      <c r="D129" s="59" t="s">
        <v>24</v>
      </c>
      <c r="E129" s="59">
        <f>1/1000</f>
        <v>0.001</v>
      </c>
      <c r="F129" s="91">
        <f>E129*F125</f>
        <v>0.066</v>
      </c>
      <c r="G129" s="63"/>
      <c r="H129" s="63"/>
      <c r="I129" s="62"/>
      <c r="J129" s="66"/>
      <c r="K129" s="59"/>
      <c r="L129" s="63"/>
      <c r="M129" s="63"/>
    </row>
    <row r="130" spans="1:13" s="89" customFormat="1" ht="15.75">
      <c r="A130" s="234"/>
      <c r="B130" s="65" t="s">
        <v>18</v>
      </c>
      <c r="C130" s="85"/>
      <c r="D130" s="59" t="s">
        <v>0</v>
      </c>
      <c r="E130" s="59">
        <f>33.4/1000</f>
        <v>0.0334</v>
      </c>
      <c r="F130" s="87">
        <f>E130*F125</f>
        <v>2.2044</v>
      </c>
      <c r="G130" s="59"/>
      <c r="H130" s="87"/>
      <c r="I130" s="62"/>
      <c r="J130" s="66"/>
      <c r="K130" s="59"/>
      <c r="L130" s="63"/>
      <c r="M130" s="63"/>
    </row>
    <row r="131" spans="1:13" s="89" customFormat="1" ht="71.25">
      <c r="A131" s="234">
        <v>8</v>
      </c>
      <c r="B131" s="226" t="s">
        <v>308</v>
      </c>
      <c r="C131" s="321" t="s">
        <v>216</v>
      </c>
      <c r="D131" s="228" t="s">
        <v>20</v>
      </c>
      <c r="E131" s="228"/>
      <c r="F131" s="238">
        <v>80</v>
      </c>
      <c r="G131" s="240"/>
      <c r="H131" s="269"/>
      <c r="I131" s="228"/>
      <c r="J131" s="230"/>
      <c r="K131" s="228"/>
      <c r="L131" s="230"/>
      <c r="M131" s="230"/>
    </row>
    <row r="132" spans="1:13" s="89" customFormat="1" ht="15.75">
      <c r="A132" s="234"/>
      <c r="B132" s="65" t="s">
        <v>12</v>
      </c>
      <c r="C132" s="85"/>
      <c r="D132" s="62" t="s">
        <v>15</v>
      </c>
      <c r="E132" s="62">
        <v>0.0567</v>
      </c>
      <c r="F132" s="66">
        <f>F131*E132</f>
        <v>4.536</v>
      </c>
      <c r="G132" s="203"/>
      <c r="H132" s="66"/>
      <c r="I132" s="62"/>
      <c r="J132" s="66"/>
      <c r="K132" s="62"/>
      <c r="L132" s="66"/>
      <c r="M132" s="66"/>
    </row>
    <row r="133" spans="1:13" s="89" customFormat="1" ht="15.75">
      <c r="A133" s="234"/>
      <c r="B133" s="59" t="s">
        <v>192</v>
      </c>
      <c r="C133" s="85"/>
      <c r="D133" s="59"/>
      <c r="E133" s="59"/>
      <c r="F133" s="63"/>
      <c r="G133" s="241"/>
      <c r="H133" s="63"/>
      <c r="I133" s="62"/>
      <c r="J133" s="63"/>
      <c r="K133" s="59"/>
      <c r="L133" s="63"/>
      <c r="M133" s="63"/>
    </row>
    <row r="134" spans="1:13" s="89" customFormat="1" ht="15.75">
      <c r="A134" s="234"/>
      <c r="B134" s="86" t="s">
        <v>215</v>
      </c>
      <c r="C134" s="85"/>
      <c r="D134" s="59" t="s">
        <v>42</v>
      </c>
      <c r="E134" s="59">
        <v>0.057</v>
      </c>
      <c r="F134" s="91">
        <f>E134*F131</f>
        <v>4.5600000000000005</v>
      </c>
      <c r="G134" s="241"/>
      <c r="H134" s="63"/>
      <c r="I134" s="62"/>
      <c r="J134" s="63"/>
      <c r="K134" s="59"/>
      <c r="L134" s="63"/>
      <c r="M134" s="63"/>
    </row>
    <row r="135" spans="1:13" s="89" customFormat="1" ht="15.75">
      <c r="A135" s="234"/>
      <c r="B135" s="65" t="s">
        <v>18</v>
      </c>
      <c r="C135" s="85"/>
      <c r="D135" s="59" t="s">
        <v>0</v>
      </c>
      <c r="E135" s="59">
        <v>0.0001</v>
      </c>
      <c r="F135" s="87">
        <f>E135*F131</f>
        <v>0.008</v>
      </c>
      <c r="G135" s="241"/>
      <c r="H135" s="87"/>
      <c r="I135" s="62"/>
      <c r="J135" s="63"/>
      <c r="K135" s="59"/>
      <c r="L135" s="63"/>
      <c r="M135" s="87"/>
    </row>
    <row r="136" spans="1:13" s="89" customFormat="1" ht="71.25">
      <c r="A136" s="234">
        <v>9</v>
      </c>
      <c r="B136" s="226" t="s">
        <v>309</v>
      </c>
      <c r="C136" s="85"/>
      <c r="D136" s="228" t="s">
        <v>20</v>
      </c>
      <c r="E136" s="228"/>
      <c r="F136" s="238">
        <v>80</v>
      </c>
      <c r="G136" s="240"/>
      <c r="H136" s="269"/>
      <c r="I136" s="228"/>
      <c r="J136" s="230"/>
      <c r="K136" s="228"/>
      <c r="L136" s="230"/>
      <c r="M136" s="230"/>
    </row>
    <row r="137" spans="1:13" s="89" customFormat="1" ht="15.75">
      <c r="A137" s="234"/>
      <c r="B137" s="65" t="s">
        <v>12</v>
      </c>
      <c r="C137" s="76"/>
      <c r="D137" s="62" t="s">
        <v>15</v>
      </c>
      <c r="E137" s="84">
        <f>1.15*0.837</f>
        <v>0.9625499999999999</v>
      </c>
      <c r="F137" s="66">
        <f>F136*E137</f>
        <v>77.00399999999999</v>
      </c>
      <c r="G137" s="203"/>
      <c r="H137" s="66"/>
      <c r="I137" s="62"/>
      <c r="J137" s="66"/>
      <c r="K137" s="62"/>
      <c r="L137" s="66"/>
      <c r="M137" s="66"/>
    </row>
    <row r="138" spans="1:13" s="89" customFormat="1" ht="15.75">
      <c r="A138" s="234"/>
      <c r="B138" s="65" t="s">
        <v>14</v>
      </c>
      <c r="C138" s="76"/>
      <c r="D138" s="59" t="s">
        <v>0</v>
      </c>
      <c r="E138" s="84">
        <f>1.15*0.95/100</f>
        <v>0.010924999999999997</v>
      </c>
      <c r="F138" s="84">
        <f>E138*F136</f>
        <v>0.8739999999999998</v>
      </c>
      <c r="G138" s="203"/>
      <c r="H138" s="66"/>
      <c r="I138" s="62"/>
      <c r="J138" s="66"/>
      <c r="K138" s="62"/>
      <c r="L138" s="66"/>
      <c r="M138" s="66"/>
    </row>
    <row r="139" spans="1:13" s="89" customFormat="1" ht="15.75">
      <c r="A139" s="234"/>
      <c r="B139" s="59" t="s">
        <v>192</v>
      </c>
      <c r="C139" s="76"/>
      <c r="D139" s="59"/>
      <c r="E139" s="62"/>
      <c r="F139" s="84"/>
      <c r="G139" s="203"/>
      <c r="H139" s="66"/>
      <c r="I139" s="62"/>
      <c r="J139" s="66"/>
      <c r="K139" s="62"/>
      <c r="L139" s="66"/>
      <c r="M139" s="66"/>
    </row>
    <row r="140" spans="1:13" s="89" customFormat="1" ht="15.75">
      <c r="A140" s="234"/>
      <c r="B140" s="60" t="s">
        <v>310</v>
      </c>
      <c r="C140" s="175"/>
      <c r="D140" s="59" t="s">
        <v>57</v>
      </c>
      <c r="E140" s="59">
        <v>0.29</v>
      </c>
      <c r="F140" s="63">
        <f>E140*F136</f>
        <v>23.2</v>
      </c>
      <c r="G140" s="241"/>
      <c r="H140" s="63"/>
      <c r="I140" s="62"/>
      <c r="J140" s="63"/>
      <c r="K140" s="59"/>
      <c r="L140" s="63"/>
      <c r="M140" s="63"/>
    </row>
    <row r="141" spans="1:13" s="89" customFormat="1" ht="15.75">
      <c r="A141" s="234"/>
      <c r="B141" s="65" t="s">
        <v>18</v>
      </c>
      <c r="C141" s="85"/>
      <c r="D141" s="59" t="s">
        <v>0</v>
      </c>
      <c r="E141" s="87">
        <f>1.15*1.16/100</f>
        <v>0.013339999999999998</v>
      </c>
      <c r="F141" s="87">
        <f>E141*F136</f>
        <v>1.0671999999999997</v>
      </c>
      <c r="G141" s="241"/>
      <c r="H141" s="63"/>
      <c r="I141" s="66"/>
      <c r="J141" s="63"/>
      <c r="K141" s="63"/>
      <c r="L141" s="63"/>
      <c r="M141" s="63"/>
    </row>
    <row r="142" spans="1:13" s="89" customFormat="1" ht="28.5">
      <c r="A142" s="138">
        <v>10</v>
      </c>
      <c r="B142" s="242" t="s">
        <v>311</v>
      </c>
      <c r="C142" s="227" t="s">
        <v>298</v>
      </c>
      <c r="D142" s="228" t="s">
        <v>42</v>
      </c>
      <c r="E142" s="228"/>
      <c r="F142" s="229">
        <v>0.5</v>
      </c>
      <c r="G142" s="240"/>
      <c r="H142" s="240"/>
      <c r="I142" s="240"/>
      <c r="J142" s="240"/>
      <c r="K142" s="240"/>
      <c r="L142" s="240"/>
      <c r="M142" s="240"/>
    </row>
    <row r="143" spans="1:13" s="89" customFormat="1" ht="15.75">
      <c r="A143" s="59"/>
      <c r="B143" s="65" t="s">
        <v>12</v>
      </c>
      <c r="C143" s="74"/>
      <c r="D143" s="62" t="s">
        <v>15</v>
      </c>
      <c r="E143" s="62">
        <v>3.88</v>
      </c>
      <c r="F143" s="66">
        <f>F142*E143</f>
        <v>1.94</v>
      </c>
      <c r="G143" s="203"/>
      <c r="H143" s="203"/>
      <c r="I143" s="203"/>
      <c r="J143" s="203"/>
      <c r="K143" s="203"/>
      <c r="L143" s="203"/>
      <c r="M143" s="203"/>
    </row>
    <row r="144" spans="1:13" s="89" customFormat="1" ht="42.75">
      <c r="A144" s="138">
        <v>11</v>
      </c>
      <c r="B144" s="226" t="s">
        <v>312</v>
      </c>
      <c r="C144" s="227" t="s">
        <v>303</v>
      </c>
      <c r="D144" s="228" t="s">
        <v>42</v>
      </c>
      <c r="E144" s="243"/>
      <c r="F144" s="244">
        <v>0.5</v>
      </c>
      <c r="G144" s="240"/>
      <c r="H144" s="240"/>
      <c r="I144" s="240"/>
      <c r="J144" s="240"/>
      <c r="K144" s="240"/>
      <c r="L144" s="240"/>
      <c r="M144" s="240"/>
    </row>
    <row r="145" spans="1:13" s="89" customFormat="1" ht="15.75">
      <c r="A145" s="59"/>
      <c r="B145" s="65" t="s">
        <v>313</v>
      </c>
      <c r="C145" s="59"/>
      <c r="D145" s="62" t="s">
        <v>42</v>
      </c>
      <c r="E145" s="245">
        <v>4.5</v>
      </c>
      <c r="F145" s="246">
        <f>E145*F144</f>
        <v>2.25</v>
      </c>
      <c r="G145" s="247"/>
      <c r="H145" s="247"/>
      <c r="I145" s="247"/>
      <c r="J145" s="247"/>
      <c r="K145" s="248"/>
      <c r="L145" s="247"/>
      <c r="M145" s="248"/>
    </row>
    <row r="146" spans="1:13" s="89" customFormat="1" ht="15.75">
      <c r="A146" s="59"/>
      <c r="B146" s="65" t="s">
        <v>50</v>
      </c>
      <c r="C146" s="59"/>
      <c r="D146" s="62" t="s">
        <v>0</v>
      </c>
      <c r="E146" s="245">
        <v>0.37</v>
      </c>
      <c r="F146" s="246">
        <f>E146*F144</f>
        <v>0.185</v>
      </c>
      <c r="G146" s="247"/>
      <c r="H146" s="247"/>
      <c r="I146" s="247"/>
      <c r="J146" s="247"/>
      <c r="K146" s="248"/>
      <c r="L146" s="247"/>
      <c r="M146" s="248"/>
    </row>
    <row r="147" spans="1:13" s="89" customFormat="1" ht="36.75" customHeight="1">
      <c r="A147" s="59"/>
      <c r="B147" s="10" t="s">
        <v>82</v>
      </c>
      <c r="C147" s="3"/>
      <c r="D147" s="62" t="s">
        <v>42</v>
      </c>
      <c r="E147" s="245">
        <v>1.02</v>
      </c>
      <c r="F147" s="246">
        <f>E147*F144</f>
        <v>0.51</v>
      </c>
      <c r="G147" s="163"/>
      <c r="H147" s="247"/>
      <c r="I147" s="247"/>
      <c r="J147" s="247"/>
      <c r="K147" s="248"/>
      <c r="L147" s="247"/>
      <c r="M147" s="248"/>
    </row>
    <row r="148" spans="1:13" s="89" customFormat="1" ht="15.75">
      <c r="A148" s="59"/>
      <c r="B148" s="10" t="s">
        <v>359</v>
      </c>
      <c r="C148" s="3"/>
      <c r="D148" s="62" t="s">
        <v>305</v>
      </c>
      <c r="E148" s="245">
        <v>1.61</v>
      </c>
      <c r="F148" s="246">
        <f>E148*F144</f>
        <v>0.805</v>
      </c>
      <c r="G148" s="163"/>
      <c r="H148" s="247"/>
      <c r="I148" s="247"/>
      <c r="J148" s="247"/>
      <c r="K148" s="248"/>
      <c r="L148" s="247"/>
      <c r="M148" s="248"/>
    </row>
    <row r="149" spans="1:13" s="89" customFormat="1" ht="15.75">
      <c r="A149" s="59"/>
      <c r="B149" s="10" t="s">
        <v>360</v>
      </c>
      <c r="C149" s="3"/>
      <c r="D149" s="62" t="s">
        <v>42</v>
      </c>
      <c r="E149" s="249">
        <f>1.72/100</f>
        <v>0.0172</v>
      </c>
      <c r="F149" s="246">
        <f>E149*F144</f>
        <v>0.0086</v>
      </c>
      <c r="G149" s="163"/>
      <c r="H149" s="247"/>
      <c r="I149" s="247"/>
      <c r="J149" s="247"/>
      <c r="K149" s="248"/>
      <c r="L149" s="247"/>
      <c r="M149" s="248"/>
    </row>
    <row r="150" spans="1:13" s="89" customFormat="1" ht="15.75">
      <c r="A150" s="59"/>
      <c r="B150" s="65" t="s">
        <v>50</v>
      </c>
      <c r="C150" s="74"/>
      <c r="D150" s="62" t="s">
        <v>0</v>
      </c>
      <c r="E150" s="249">
        <v>0.28</v>
      </c>
      <c r="F150" s="250">
        <f>E150*F144</f>
        <v>0.14</v>
      </c>
      <c r="G150" s="247"/>
      <c r="H150" s="247"/>
      <c r="I150" s="247"/>
      <c r="J150" s="247"/>
      <c r="K150" s="248"/>
      <c r="L150" s="247"/>
      <c r="M150" s="248"/>
    </row>
    <row r="151" spans="1:13" s="89" customFormat="1" ht="15.75">
      <c r="A151" s="59">
        <v>12</v>
      </c>
      <c r="B151" s="242" t="s">
        <v>349</v>
      </c>
      <c r="C151" s="76" t="s">
        <v>314</v>
      </c>
      <c r="D151" s="138" t="s">
        <v>241</v>
      </c>
      <c r="E151" s="321"/>
      <c r="F151" s="322">
        <v>1</v>
      </c>
      <c r="G151" s="138"/>
      <c r="H151" s="63"/>
      <c r="I151" s="138"/>
      <c r="J151" s="244"/>
      <c r="K151" s="138"/>
      <c r="L151" s="244"/>
      <c r="M151" s="323"/>
    </row>
    <row r="152" spans="1:13" s="89" customFormat="1" ht="15.75">
      <c r="A152" s="59"/>
      <c r="B152" s="60" t="s">
        <v>242</v>
      </c>
      <c r="C152" s="74"/>
      <c r="D152" s="59" t="s">
        <v>15</v>
      </c>
      <c r="E152" s="76">
        <v>15.8</v>
      </c>
      <c r="F152" s="63">
        <f>F151*E152</f>
        <v>15.8</v>
      </c>
      <c r="G152" s="63"/>
      <c r="H152" s="63"/>
      <c r="I152" s="59"/>
      <c r="J152" s="63"/>
      <c r="K152" s="59"/>
      <c r="L152" s="63"/>
      <c r="M152" s="324"/>
    </row>
    <row r="153" spans="1:13" s="89" customFormat="1" ht="15.75">
      <c r="A153" s="59"/>
      <c r="B153" s="65" t="s">
        <v>243</v>
      </c>
      <c r="C153" s="74"/>
      <c r="D153" s="59" t="s">
        <v>0</v>
      </c>
      <c r="E153" s="76">
        <v>1.36</v>
      </c>
      <c r="F153" s="63">
        <f>F151*E153</f>
        <v>1.36</v>
      </c>
      <c r="G153" s="59"/>
      <c r="H153" s="63"/>
      <c r="I153" s="59"/>
      <c r="J153" s="63"/>
      <c r="K153" s="59"/>
      <c r="L153" s="63"/>
      <c r="M153" s="324"/>
    </row>
    <row r="154" spans="1:13" s="89" customFormat="1" ht="15.75">
      <c r="A154" s="59"/>
      <c r="B154" s="59" t="s">
        <v>192</v>
      </c>
      <c r="C154" s="74"/>
      <c r="D154" s="59"/>
      <c r="E154" s="76"/>
      <c r="F154" s="63"/>
      <c r="G154" s="59"/>
      <c r="H154" s="63"/>
      <c r="I154" s="59"/>
      <c r="J154" s="63"/>
      <c r="K154" s="59"/>
      <c r="L154" s="63"/>
      <c r="M154" s="324"/>
    </row>
    <row r="155" spans="1:13" s="89" customFormat="1" ht="15.75">
      <c r="A155" s="59"/>
      <c r="B155" s="65" t="s">
        <v>244</v>
      </c>
      <c r="C155" s="74"/>
      <c r="D155" s="59" t="s">
        <v>350</v>
      </c>
      <c r="E155" s="76">
        <v>1</v>
      </c>
      <c r="F155" s="77">
        <f>E155*F151</f>
        <v>1</v>
      </c>
      <c r="G155" s="63"/>
      <c r="H155" s="63"/>
      <c r="I155" s="59"/>
      <c r="J155" s="63"/>
      <c r="K155" s="59"/>
      <c r="L155" s="63"/>
      <c r="M155" s="324"/>
    </row>
    <row r="156" spans="1:13" s="89" customFormat="1" ht="15.75">
      <c r="A156" s="59"/>
      <c r="B156" s="65" t="s">
        <v>352</v>
      </c>
      <c r="C156" s="74"/>
      <c r="D156" s="59" t="s">
        <v>247</v>
      </c>
      <c r="E156" s="76">
        <v>2</v>
      </c>
      <c r="F156" s="77">
        <f>E156*F151</f>
        <v>2</v>
      </c>
      <c r="G156" s="63"/>
      <c r="H156" s="63"/>
      <c r="I156" s="59"/>
      <c r="J156" s="63"/>
      <c r="K156" s="59"/>
      <c r="L156" s="63"/>
      <c r="M156" s="324"/>
    </row>
    <row r="157" spans="1:13" s="89" customFormat="1" ht="15.75">
      <c r="A157" s="59"/>
      <c r="B157" s="65" t="s">
        <v>249</v>
      </c>
      <c r="C157" s="74"/>
      <c r="D157" s="59" t="s">
        <v>247</v>
      </c>
      <c r="E157" s="76">
        <v>1</v>
      </c>
      <c r="F157" s="77">
        <f>E157*F151</f>
        <v>1</v>
      </c>
      <c r="G157" s="63"/>
      <c r="H157" s="63"/>
      <c r="I157" s="59"/>
      <c r="J157" s="63"/>
      <c r="K157" s="59"/>
      <c r="L157" s="63"/>
      <c r="M157" s="324"/>
    </row>
    <row r="158" spans="1:13" s="89" customFormat="1" ht="15.75">
      <c r="A158" s="59"/>
      <c r="B158" s="65" t="s">
        <v>250</v>
      </c>
      <c r="C158" s="74"/>
      <c r="D158" s="59" t="s">
        <v>247</v>
      </c>
      <c r="E158" s="76">
        <v>2</v>
      </c>
      <c r="F158" s="77">
        <f>E158*F151</f>
        <v>2</v>
      </c>
      <c r="G158" s="63"/>
      <c r="H158" s="63"/>
      <c r="I158" s="59"/>
      <c r="J158" s="63"/>
      <c r="K158" s="59"/>
      <c r="L158" s="63"/>
      <c r="M158" s="324"/>
    </row>
    <row r="159" spans="1:13" s="89" customFormat="1" ht="15.75">
      <c r="A159" s="59"/>
      <c r="B159" s="65" t="s">
        <v>18</v>
      </c>
      <c r="C159" s="74"/>
      <c r="D159" s="59" t="s">
        <v>0</v>
      </c>
      <c r="E159" s="324">
        <v>1.92</v>
      </c>
      <c r="F159" s="87">
        <f>E159*F151</f>
        <v>1.92</v>
      </c>
      <c r="G159" s="59"/>
      <c r="H159" s="63"/>
      <c r="I159" s="59"/>
      <c r="J159" s="63"/>
      <c r="K159" s="59"/>
      <c r="L159" s="63"/>
      <c r="M159" s="324"/>
    </row>
    <row r="160" spans="1:13" s="89" customFormat="1" ht="42.75">
      <c r="A160" s="59">
        <v>13</v>
      </c>
      <c r="B160" s="226" t="s">
        <v>351</v>
      </c>
      <c r="C160" s="325" t="s">
        <v>196</v>
      </c>
      <c r="D160" s="228" t="s">
        <v>20</v>
      </c>
      <c r="E160" s="228"/>
      <c r="F160" s="238">
        <v>10</v>
      </c>
      <c r="G160" s="239"/>
      <c r="H160" s="269"/>
      <c r="I160" s="228"/>
      <c r="J160" s="230"/>
      <c r="K160" s="228"/>
      <c r="L160" s="230"/>
      <c r="M160" s="230"/>
    </row>
    <row r="161" spans="1:13" s="89" customFormat="1" ht="15.75">
      <c r="A161" s="59"/>
      <c r="B161" s="65" t="s">
        <v>12</v>
      </c>
      <c r="C161" s="76"/>
      <c r="D161" s="62" t="s">
        <v>15</v>
      </c>
      <c r="E161" s="62">
        <v>0.345</v>
      </c>
      <c r="F161" s="66">
        <f>F160*E161</f>
        <v>3.4499999999999997</v>
      </c>
      <c r="G161" s="62"/>
      <c r="H161" s="66"/>
      <c r="I161" s="62"/>
      <c r="J161" s="66"/>
      <c r="K161" s="62"/>
      <c r="L161" s="66"/>
      <c r="M161" s="66"/>
    </row>
    <row r="162" spans="1:13" s="89" customFormat="1" ht="15.75">
      <c r="A162" s="59"/>
      <c r="B162" s="65" t="s">
        <v>14</v>
      </c>
      <c r="C162" s="76"/>
      <c r="D162" s="59" t="s">
        <v>0</v>
      </c>
      <c r="E162" s="62">
        <v>0.0267</v>
      </c>
      <c r="F162" s="84">
        <f>E162*F160</f>
        <v>0.267</v>
      </c>
      <c r="G162" s="62"/>
      <c r="H162" s="66"/>
      <c r="I162" s="62"/>
      <c r="J162" s="66"/>
      <c r="K162" s="62"/>
      <c r="L162" s="66"/>
      <c r="M162" s="66"/>
    </row>
    <row r="163" spans="1:13" s="89" customFormat="1" ht="15.75">
      <c r="A163" s="59"/>
      <c r="B163" s="59" t="s">
        <v>192</v>
      </c>
      <c r="C163" s="85"/>
      <c r="D163" s="59"/>
      <c r="E163" s="59"/>
      <c r="F163" s="63"/>
      <c r="G163" s="59"/>
      <c r="H163" s="63"/>
      <c r="I163" s="62"/>
      <c r="J163" s="63"/>
      <c r="K163" s="59"/>
      <c r="L163" s="63"/>
      <c r="M163" s="63"/>
    </row>
    <row r="164" spans="1:13" s="89" customFormat="1" ht="15.75">
      <c r="A164" s="59"/>
      <c r="B164" s="86" t="s">
        <v>306</v>
      </c>
      <c r="C164" s="85"/>
      <c r="D164" s="59" t="s">
        <v>20</v>
      </c>
      <c r="E164" s="59">
        <v>1.01</v>
      </c>
      <c r="F164" s="63">
        <f>E164*F160</f>
        <v>10.1</v>
      </c>
      <c r="G164" s="63"/>
      <c r="H164" s="63"/>
      <c r="I164" s="62"/>
      <c r="J164" s="63"/>
      <c r="K164" s="59"/>
      <c r="L164" s="63"/>
      <c r="M164" s="63"/>
    </row>
    <row r="165" spans="1:13" s="89" customFormat="1" ht="15.75">
      <c r="A165" s="59"/>
      <c r="B165" s="65" t="s">
        <v>18</v>
      </c>
      <c r="C165" s="85"/>
      <c r="D165" s="59" t="s">
        <v>0</v>
      </c>
      <c r="E165" s="59">
        <v>0.0006</v>
      </c>
      <c r="F165" s="87">
        <f>E165*F160</f>
        <v>0.005999999999999999</v>
      </c>
      <c r="G165" s="59"/>
      <c r="H165" s="87"/>
      <c r="I165" s="62"/>
      <c r="J165" s="63"/>
      <c r="K165" s="59"/>
      <c r="L165" s="63"/>
      <c r="M165" s="87"/>
    </row>
    <row r="166" spans="1:13" s="89" customFormat="1" ht="28.5">
      <c r="A166" s="59">
        <v>14</v>
      </c>
      <c r="B166" s="242" t="s">
        <v>438</v>
      </c>
      <c r="C166" s="76" t="s">
        <v>314</v>
      </c>
      <c r="D166" s="138" t="s">
        <v>241</v>
      </c>
      <c r="E166" s="321"/>
      <c r="F166" s="322">
        <v>1</v>
      </c>
      <c r="G166" s="138"/>
      <c r="H166" s="63"/>
      <c r="I166" s="138"/>
      <c r="J166" s="244"/>
      <c r="K166" s="138"/>
      <c r="L166" s="244"/>
      <c r="M166" s="323"/>
    </row>
    <row r="167" spans="1:13" s="89" customFormat="1" ht="15.75">
      <c r="A167" s="59"/>
      <c r="B167" s="60" t="s">
        <v>242</v>
      </c>
      <c r="C167" s="74"/>
      <c r="D167" s="59" t="s">
        <v>15</v>
      </c>
      <c r="E167" s="76">
        <v>15.8</v>
      </c>
      <c r="F167" s="63">
        <f>F166*E167</f>
        <v>15.8</v>
      </c>
      <c r="G167" s="63"/>
      <c r="H167" s="63"/>
      <c r="I167" s="59"/>
      <c r="J167" s="63"/>
      <c r="K167" s="59"/>
      <c r="L167" s="63"/>
      <c r="M167" s="324"/>
    </row>
    <row r="168" spans="1:13" s="89" customFormat="1" ht="15.75">
      <c r="A168" s="59"/>
      <c r="B168" s="65" t="s">
        <v>243</v>
      </c>
      <c r="C168" s="74"/>
      <c r="D168" s="59" t="s">
        <v>0</v>
      </c>
      <c r="E168" s="76">
        <v>1.36</v>
      </c>
      <c r="F168" s="63">
        <f>F166*E168</f>
        <v>1.36</v>
      </c>
      <c r="G168" s="59"/>
      <c r="H168" s="63"/>
      <c r="I168" s="59"/>
      <c r="J168" s="63"/>
      <c r="K168" s="59"/>
      <c r="L168" s="63"/>
      <c r="M168" s="324"/>
    </row>
    <row r="169" spans="1:13" s="89" customFormat="1" ht="15.75">
      <c r="A169" s="59"/>
      <c r="B169" s="59" t="s">
        <v>192</v>
      </c>
      <c r="C169" s="74"/>
      <c r="D169" s="59"/>
      <c r="E169" s="76"/>
      <c r="F169" s="63"/>
      <c r="G169" s="59"/>
      <c r="H169" s="63"/>
      <c r="I169" s="59"/>
      <c r="J169" s="63"/>
      <c r="K169" s="59"/>
      <c r="L169" s="63"/>
      <c r="M169" s="324"/>
    </row>
    <row r="170" spans="1:13" s="89" customFormat="1" ht="15.75">
      <c r="A170" s="59"/>
      <c r="B170" s="65" t="s">
        <v>352</v>
      </c>
      <c r="C170" s="74"/>
      <c r="D170" s="59" t="s">
        <v>247</v>
      </c>
      <c r="E170" s="76">
        <v>2</v>
      </c>
      <c r="F170" s="77">
        <f>E170*F166</f>
        <v>2</v>
      </c>
      <c r="G170" s="63"/>
      <c r="H170" s="63"/>
      <c r="I170" s="59"/>
      <c r="J170" s="63"/>
      <c r="K170" s="59"/>
      <c r="L170" s="63"/>
      <c r="M170" s="324"/>
    </row>
    <row r="171" spans="1:13" s="89" customFormat="1" ht="15.75">
      <c r="A171" s="59"/>
      <c r="B171" s="65" t="s">
        <v>18</v>
      </c>
      <c r="C171" s="74"/>
      <c r="D171" s="59" t="s">
        <v>0</v>
      </c>
      <c r="E171" s="324">
        <v>1.92</v>
      </c>
      <c r="F171" s="87">
        <f>E171*F166</f>
        <v>1.92</v>
      </c>
      <c r="G171" s="59"/>
      <c r="H171" s="63"/>
      <c r="I171" s="59"/>
      <c r="J171" s="63"/>
      <c r="K171" s="59"/>
      <c r="L171" s="63"/>
      <c r="M171" s="324"/>
    </row>
    <row r="172" spans="1:13" s="89" customFormat="1" ht="15.75">
      <c r="A172" s="59">
        <v>15</v>
      </c>
      <c r="B172" s="226" t="s">
        <v>315</v>
      </c>
      <c r="C172" s="309" t="s">
        <v>439</v>
      </c>
      <c r="D172" s="138" t="s">
        <v>24</v>
      </c>
      <c r="E172" s="138"/>
      <c r="F172" s="322">
        <v>1</v>
      </c>
      <c r="G172" s="240"/>
      <c r="H172" s="326"/>
      <c r="I172" s="326"/>
      <c r="J172" s="326"/>
      <c r="K172" s="326"/>
      <c r="L172" s="326"/>
      <c r="M172" s="326"/>
    </row>
    <row r="173" spans="1:13" s="89" customFormat="1" ht="15.75">
      <c r="A173" s="59"/>
      <c r="B173" s="105" t="s">
        <v>108</v>
      </c>
      <c r="C173" s="74"/>
      <c r="D173" s="59" t="s">
        <v>15</v>
      </c>
      <c r="E173" s="59">
        <v>1.58</v>
      </c>
      <c r="F173" s="153">
        <f>F172*E173</f>
        <v>1.58</v>
      </c>
      <c r="G173" s="327"/>
      <c r="H173" s="328"/>
      <c r="I173" s="329"/>
      <c r="J173" s="329"/>
      <c r="K173" s="329"/>
      <c r="L173" s="329"/>
      <c r="M173" s="329"/>
    </row>
    <row r="174" spans="1:13" s="89" customFormat="1" ht="15.75">
      <c r="A174" s="59"/>
      <c r="B174" s="105" t="s">
        <v>109</v>
      </c>
      <c r="C174" s="74"/>
      <c r="D174" s="101" t="s">
        <v>0</v>
      </c>
      <c r="E174" s="59">
        <v>0.06</v>
      </c>
      <c r="F174" s="153">
        <f>F172*E174</f>
        <v>0.06</v>
      </c>
      <c r="G174" s="329"/>
      <c r="H174" s="329"/>
      <c r="I174" s="329"/>
      <c r="J174" s="329"/>
      <c r="K174" s="329"/>
      <c r="L174" s="329"/>
      <c r="M174" s="329"/>
    </row>
    <row r="175" spans="1:13" s="89" customFormat="1" ht="15.75">
      <c r="A175" s="59"/>
      <c r="B175" s="59" t="s">
        <v>192</v>
      </c>
      <c r="C175" s="74"/>
      <c r="D175" s="101"/>
      <c r="E175" s="59"/>
      <c r="F175" s="101"/>
      <c r="G175" s="329"/>
      <c r="H175" s="329"/>
      <c r="I175" s="329"/>
      <c r="J175" s="329"/>
      <c r="K175" s="329"/>
      <c r="L175" s="329"/>
      <c r="M175" s="329"/>
    </row>
    <row r="176" spans="1:13" s="89" customFormat="1" ht="15.75">
      <c r="A176" s="59"/>
      <c r="B176" s="105" t="s">
        <v>316</v>
      </c>
      <c r="C176" s="3"/>
      <c r="D176" s="101" t="s">
        <v>24</v>
      </c>
      <c r="E176" s="59">
        <v>1</v>
      </c>
      <c r="F176" s="101">
        <f>F172*E176</f>
        <v>1</v>
      </c>
      <c r="G176" s="329"/>
      <c r="H176" s="329"/>
      <c r="I176" s="329"/>
      <c r="J176" s="329"/>
      <c r="K176" s="329"/>
      <c r="L176" s="329"/>
      <c r="M176" s="329"/>
    </row>
    <row r="177" spans="1:13" s="89" customFormat="1" ht="15.75">
      <c r="A177" s="59"/>
      <c r="B177" s="105" t="s">
        <v>18</v>
      </c>
      <c r="C177" s="74"/>
      <c r="D177" s="101" t="s">
        <v>0</v>
      </c>
      <c r="E177" s="59">
        <v>0.4</v>
      </c>
      <c r="F177" s="101">
        <f>F172*E177</f>
        <v>0.4</v>
      </c>
      <c r="G177" s="329"/>
      <c r="H177" s="329"/>
      <c r="I177" s="329"/>
      <c r="J177" s="329"/>
      <c r="K177" s="329"/>
      <c r="L177" s="329"/>
      <c r="M177" s="329"/>
    </row>
    <row r="178" spans="1:13" s="89" customFormat="1" ht="15.75">
      <c r="A178" s="59">
        <v>16</v>
      </c>
      <c r="B178" s="226" t="s">
        <v>317</v>
      </c>
      <c r="C178" s="235" t="s">
        <v>440</v>
      </c>
      <c r="D178" s="138" t="s">
        <v>24</v>
      </c>
      <c r="E178" s="138"/>
      <c r="F178" s="322">
        <v>1</v>
      </c>
      <c r="G178" s="240"/>
      <c r="H178" s="326"/>
      <c r="I178" s="326"/>
      <c r="J178" s="326"/>
      <c r="K178" s="326"/>
      <c r="L178" s="326"/>
      <c r="M178" s="326"/>
    </row>
    <row r="179" spans="1:13" s="89" customFormat="1" ht="15.75">
      <c r="A179" s="59"/>
      <c r="B179" s="105" t="s">
        <v>108</v>
      </c>
      <c r="C179" s="59"/>
      <c r="D179" s="59" t="s">
        <v>15</v>
      </c>
      <c r="E179" s="62">
        <v>0.22</v>
      </c>
      <c r="F179" s="153">
        <f>F178*E179</f>
        <v>0.22</v>
      </c>
      <c r="G179" s="327"/>
      <c r="H179" s="328"/>
      <c r="I179" s="329"/>
      <c r="J179" s="329"/>
      <c r="K179" s="329"/>
      <c r="L179" s="329"/>
      <c r="M179" s="329"/>
    </row>
    <row r="180" spans="1:13" s="89" customFormat="1" ht="15.75">
      <c r="A180" s="59"/>
      <c r="B180" s="105" t="s">
        <v>109</v>
      </c>
      <c r="C180" s="59"/>
      <c r="D180" s="101" t="s">
        <v>0</v>
      </c>
      <c r="E180" s="59">
        <v>0.01</v>
      </c>
      <c r="F180" s="153">
        <f>F178*E180</f>
        <v>0.01</v>
      </c>
      <c r="G180" s="329"/>
      <c r="H180" s="329"/>
      <c r="I180" s="329"/>
      <c r="J180" s="329"/>
      <c r="K180" s="329"/>
      <c r="L180" s="329"/>
      <c r="M180" s="329"/>
    </row>
    <row r="181" spans="1:13" s="89" customFormat="1" ht="15.75">
      <c r="A181" s="59"/>
      <c r="B181" s="59" t="s">
        <v>192</v>
      </c>
      <c r="C181" s="59"/>
      <c r="D181" s="101"/>
      <c r="E181" s="59"/>
      <c r="F181" s="101"/>
      <c r="G181" s="329"/>
      <c r="H181" s="329"/>
      <c r="I181" s="329"/>
      <c r="J181" s="329"/>
      <c r="K181" s="329"/>
      <c r="L181" s="329"/>
      <c r="M181" s="329"/>
    </row>
    <row r="182" spans="1:13" s="89" customFormat="1" ht="27">
      <c r="A182" s="59"/>
      <c r="B182" s="105" t="s">
        <v>441</v>
      </c>
      <c r="C182" s="3"/>
      <c r="D182" s="101" t="s">
        <v>24</v>
      </c>
      <c r="E182" s="59">
        <v>1</v>
      </c>
      <c r="F182" s="101">
        <f>F178*E182</f>
        <v>1</v>
      </c>
      <c r="G182" s="329"/>
      <c r="H182" s="329"/>
      <c r="I182" s="329"/>
      <c r="J182" s="329"/>
      <c r="K182" s="329"/>
      <c r="L182" s="329"/>
      <c r="M182" s="329"/>
    </row>
    <row r="183" spans="1:13" s="89" customFormat="1" ht="15.75">
      <c r="A183" s="59"/>
      <c r="B183" s="105" t="s">
        <v>442</v>
      </c>
      <c r="C183" s="111"/>
      <c r="D183" s="101" t="s">
        <v>24</v>
      </c>
      <c r="E183" s="59">
        <v>1</v>
      </c>
      <c r="F183" s="101">
        <f>F178*E183</f>
        <v>1</v>
      </c>
      <c r="G183" s="329"/>
      <c r="H183" s="329"/>
      <c r="I183" s="329"/>
      <c r="J183" s="329"/>
      <c r="K183" s="329"/>
      <c r="L183" s="329"/>
      <c r="M183" s="329"/>
    </row>
    <row r="184" spans="1:13" s="89" customFormat="1" ht="15.75">
      <c r="A184" s="59"/>
      <c r="B184" s="105" t="s">
        <v>18</v>
      </c>
      <c r="C184" s="59"/>
      <c r="D184" s="101" t="s">
        <v>0</v>
      </c>
      <c r="E184" s="59">
        <v>0.02</v>
      </c>
      <c r="F184" s="101">
        <f>F178*E184</f>
        <v>0.02</v>
      </c>
      <c r="G184" s="329"/>
      <c r="H184" s="329"/>
      <c r="I184" s="329"/>
      <c r="J184" s="329"/>
      <c r="K184" s="329"/>
      <c r="L184" s="329"/>
      <c r="M184" s="329"/>
    </row>
    <row r="185" spans="1:13" s="89" customFormat="1" ht="42.75">
      <c r="A185" s="59">
        <v>17</v>
      </c>
      <c r="B185" s="242" t="s">
        <v>443</v>
      </c>
      <c r="C185" s="330" t="s">
        <v>444</v>
      </c>
      <c r="D185" s="138" t="s">
        <v>24</v>
      </c>
      <c r="E185" s="321"/>
      <c r="F185" s="322">
        <v>1</v>
      </c>
      <c r="G185" s="277"/>
      <c r="H185" s="241"/>
      <c r="I185" s="277"/>
      <c r="J185" s="277"/>
      <c r="K185" s="277"/>
      <c r="L185" s="277"/>
      <c r="M185" s="278"/>
    </row>
    <row r="186" spans="1:13" s="89" customFormat="1" ht="15.75">
      <c r="A186" s="59"/>
      <c r="B186" s="60" t="s">
        <v>242</v>
      </c>
      <c r="C186" s="74"/>
      <c r="D186" s="59" t="s">
        <v>15</v>
      </c>
      <c r="E186" s="76">
        <v>2.67</v>
      </c>
      <c r="F186" s="63">
        <f>F185*E186</f>
        <v>2.67</v>
      </c>
      <c r="G186" s="241"/>
      <c r="H186" s="241"/>
      <c r="I186" s="241"/>
      <c r="J186" s="241"/>
      <c r="K186" s="241"/>
      <c r="L186" s="241"/>
      <c r="M186" s="331"/>
    </row>
    <row r="187" spans="1:13" s="89" customFormat="1" ht="15.75">
      <c r="A187" s="59"/>
      <c r="B187" s="65" t="s">
        <v>243</v>
      </c>
      <c r="C187" s="74"/>
      <c r="D187" s="59" t="s">
        <v>0</v>
      </c>
      <c r="E187" s="76">
        <v>0.29</v>
      </c>
      <c r="F187" s="63">
        <f>F185*E187</f>
        <v>0.29</v>
      </c>
      <c r="G187" s="241"/>
      <c r="H187" s="241"/>
      <c r="I187" s="241"/>
      <c r="J187" s="241"/>
      <c r="K187" s="241"/>
      <c r="L187" s="241"/>
      <c r="M187" s="331"/>
    </row>
    <row r="188" spans="1:13" s="89" customFormat="1" ht="15.75">
      <c r="A188" s="59"/>
      <c r="B188" s="59" t="s">
        <v>192</v>
      </c>
      <c r="C188" s="74"/>
      <c r="D188" s="59"/>
      <c r="E188" s="76"/>
      <c r="F188" s="63"/>
      <c r="G188" s="241"/>
      <c r="H188" s="241"/>
      <c r="I188" s="241"/>
      <c r="J188" s="241"/>
      <c r="K188" s="241"/>
      <c r="L188" s="241"/>
      <c r="M188" s="331"/>
    </row>
    <row r="189" spans="1:13" s="89" customFormat="1" ht="15.75">
      <c r="A189" s="59"/>
      <c r="B189" s="65" t="s">
        <v>445</v>
      </c>
      <c r="C189" s="61"/>
      <c r="D189" s="59" t="s">
        <v>247</v>
      </c>
      <c r="E189" s="76">
        <v>1</v>
      </c>
      <c r="F189" s="77">
        <f>E189*F185</f>
        <v>1</v>
      </c>
      <c r="G189" s="241"/>
      <c r="H189" s="241"/>
      <c r="I189" s="241"/>
      <c r="J189" s="241"/>
      <c r="K189" s="241"/>
      <c r="L189" s="241"/>
      <c r="M189" s="331"/>
    </row>
    <row r="190" spans="1:13" s="89" customFormat="1" ht="15.75">
      <c r="A190" s="59"/>
      <c r="B190" s="65" t="s">
        <v>18</v>
      </c>
      <c r="C190" s="74"/>
      <c r="D190" s="59" t="s">
        <v>0</v>
      </c>
      <c r="E190" s="324">
        <v>0.2</v>
      </c>
      <c r="F190" s="87">
        <f>E190*F185</f>
        <v>0.2</v>
      </c>
      <c r="G190" s="241"/>
      <c r="H190" s="241"/>
      <c r="I190" s="241"/>
      <c r="J190" s="241"/>
      <c r="K190" s="241"/>
      <c r="L190" s="241"/>
      <c r="M190" s="331"/>
    </row>
    <row r="191" spans="1:13" s="89" customFormat="1" ht="57">
      <c r="A191" s="138">
        <v>18</v>
      </c>
      <c r="B191" s="226" t="s">
        <v>318</v>
      </c>
      <c r="C191" s="231" t="s">
        <v>319</v>
      </c>
      <c r="D191" s="228" t="s">
        <v>305</v>
      </c>
      <c r="E191" s="243"/>
      <c r="F191" s="244">
        <v>2</v>
      </c>
      <c r="G191" s="228"/>
      <c r="H191" s="230"/>
      <c r="I191" s="228"/>
      <c r="J191" s="230"/>
      <c r="K191" s="228"/>
      <c r="L191" s="230"/>
      <c r="M191" s="230"/>
    </row>
    <row r="192" spans="1:13" s="89" customFormat="1" ht="15.75">
      <c r="A192" s="138"/>
      <c r="B192" s="65" t="s">
        <v>12</v>
      </c>
      <c r="C192" s="76"/>
      <c r="D192" s="62" t="s">
        <v>15</v>
      </c>
      <c r="E192" s="332">
        <f>83.5/100</f>
        <v>0.835</v>
      </c>
      <c r="F192" s="66">
        <f>F191*E192</f>
        <v>1.67</v>
      </c>
      <c r="G192" s="62"/>
      <c r="H192" s="66"/>
      <c r="I192" s="62"/>
      <c r="J192" s="66"/>
      <c r="K192" s="62"/>
      <c r="L192" s="66"/>
      <c r="M192" s="66"/>
    </row>
    <row r="193" spans="1:13" s="89" customFormat="1" ht="15.75">
      <c r="A193" s="62"/>
      <c r="B193" s="65" t="s">
        <v>14</v>
      </c>
      <c r="C193" s="76"/>
      <c r="D193" s="59" t="s">
        <v>0</v>
      </c>
      <c r="E193" s="62">
        <f>0.95/100</f>
        <v>0.0095</v>
      </c>
      <c r="F193" s="84">
        <f>E193*F191</f>
        <v>0.019</v>
      </c>
      <c r="G193" s="62"/>
      <c r="H193" s="66"/>
      <c r="I193" s="62"/>
      <c r="J193" s="66"/>
      <c r="K193" s="62"/>
      <c r="L193" s="66"/>
      <c r="M193" s="66"/>
    </row>
    <row r="194" spans="1:13" s="89" customFormat="1" ht="15.75">
      <c r="A194" s="62"/>
      <c r="B194" s="86" t="s">
        <v>320</v>
      </c>
      <c r="C194" s="85"/>
      <c r="D194" s="59" t="s">
        <v>305</v>
      </c>
      <c r="E194" s="59">
        <v>1.01</v>
      </c>
      <c r="F194" s="63">
        <f>E194*F191</f>
        <v>2.02</v>
      </c>
      <c r="G194" s="241"/>
      <c r="H194" s="63"/>
      <c r="I194" s="62"/>
      <c r="J194" s="63"/>
      <c r="K194" s="59"/>
      <c r="L194" s="63"/>
      <c r="M194" s="63"/>
    </row>
    <row r="195" spans="1:13" s="89" customFormat="1" ht="27">
      <c r="A195" s="62"/>
      <c r="B195" s="60" t="s">
        <v>321</v>
      </c>
      <c r="C195" s="85"/>
      <c r="D195" s="59" t="s">
        <v>305</v>
      </c>
      <c r="E195" s="59">
        <v>1.89</v>
      </c>
      <c r="F195" s="63">
        <f>E195*F191</f>
        <v>3.78</v>
      </c>
      <c r="G195" s="63"/>
      <c r="H195" s="63"/>
      <c r="I195" s="62"/>
      <c r="J195" s="63"/>
      <c r="K195" s="59"/>
      <c r="L195" s="63"/>
      <c r="M195" s="63"/>
    </row>
    <row r="196" spans="1:15" s="44" customFormat="1" ht="13.5">
      <c r="A196" s="62"/>
      <c r="B196" s="65" t="s">
        <v>18</v>
      </c>
      <c r="C196" s="85"/>
      <c r="D196" s="59" t="s">
        <v>0</v>
      </c>
      <c r="E196" s="59">
        <f>1.16/100</f>
        <v>0.0116</v>
      </c>
      <c r="F196" s="87">
        <f>E196*F191</f>
        <v>0.0232</v>
      </c>
      <c r="G196" s="59"/>
      <c r="H196" s="63"/>
      <c r="I196" s="66"/>
      <c r="J196" s="63"/>
      <c r="K196" s="63"/>
      <c r="L196" s="63"/>
      <c r="M196" s="63"/>
      <c r="N196" s="332"/>
      <c r="O196" s="332"/>
    </row>
    <row r="197" spans="1:15" s="44" customFormat="1" ht="14.25">
      <c r="A197" s="59"/>
      <c r="B197" s="242" t="s">
        <v>8</v>
      </c>
      <c r="C197" s="138"/>
      <c r="D197" s="62"/>
      <c r="E197" s="253"/>
      <c r="F197" s="252"/>
      <c r="G197" s="252"/>
      <c r="H197" s="306"/>
      <c r="I197" s="306"/>
      <c r="J197" s="306"/>
      <c r="K197" s="306"/>
      <c r="L197" s="306"/>
      <c r="M197" s="306"/>
      <c r="N197" s="332"/>
      <c r="O197" s="332"/>
    </row>
    <row r="198" spans="1:15" s="44" customFormat="1" ht="13.5">
      <c r="A198" s="59"/>
      <c r="B198" s="65" t="s">
        <v>294</v>
      </c>
      <c r="C198" s="311"/>
      <c r="D198" s="271">
        <v>0.04</v>
      </c>
      <c r="E198" s="312"/>
      <c r="F198" s="313"/>
      <c r="G198" s="313"/>
      <c r="H198" s="314"/>
      <c r="I198" s="313"/>
      <c r="J198" s="314"/>
      <c r="K198" s="313"/>
      <c r="L198" s="314"/>
      <c r="M198" s="314"/>
      <c r="N198" s="332"/>
      <c r="O198" s="332"/>
    </row>
    <row r="199" spans="1:15" s="44" customFormat="1" ht="14.25">
      <c r="A199" s="59"/>
      <c r="B199" s="242" t="s">
        <v>8</v>
      </c>
      <c r="C199" s="138"/>
      <c r="D199" s="62"/>
      <c r="E199" s="253"/>
      <c r="F199" s="252"/>
      <c r="G199" s="252"/>
      <c r="H199" s="306"/>
      <c r="I199" s="305"/>
      <c r="J199" s="306"/>
      <c r="K199" s="305"/>
      <c r="L199" s="306"/>
      <c r="M199" s="306"/>
      <c r="N199" s="332"/>
      <c r="O199" s="332"/>
    </row>
    <row r="200" spans="1:15" s="44" customFormat="1" ht="13.5">
      <c r="A200" s="59"/>
      <c r="B200" s="60" t="s">
        <v>29</v>
      </c>
      <c r="C200" s="315"/>
      <c r="D200" s="315">
        <v>0.1</v>
      </c>
      <c r="E200" s="312"/>
      <c r="F200" s="313"/>
      <c r="G200" s="313"/>
      <c r="H200" s="317"/>
      <c r="I200" s="317"/>
      <c r="J200" s="317"/>
      <c r="K200" s="317"/>
      <c r="L200" s="317"/>
      <c r="M200" s="314"/>
      <c r="N200" s="332"/>
      <c r="O200" s="332"/>
    </row>
    <row r="201" spans="1:15" s="44" customFormat="1" ht="14.25">
      <c r="A201" s="59"/>
      <c r="B201" s="242" t="s">
        <v>8</v>
      </c>
      <c r="C201" s="138"/>
      <c r="D201" s="62"/>
      <c r="E201" s="253"/>
      <c r="F201" s="252"/>
      <c r="G201" s="252"/>
      <c r="H201" s="305"/>
      <c r="I201" s="305"/>
      <c r="J201" s="305"/>
      <c r="K201" s="305"/>
      <c r="L201" s="305"/>
      <c r="M201" s="306"/>
      <c r="N201" s="332"/>
      <c r="O201" s="332"/>
    </row>
    <row r="202" spans="1:14" s="214" customFormat="1" ht="13.5">
      <c r="A202" s="59"/>
      <c r="B202" s="60" t="s">
        <v>19</v>
      </c>
      <c r="C202" s="315"/>
      <c r="D202" s="271">
        <v>0.08</v>
      </c>
      <c r="E202" s="312"/>
      <c r="F202" s="313"/>
      <c r="G202" s="313"/>
      <c r="H202" s="317"/>
      <c r="I202" s="317"/>
      <c r="J202" s="317"/>
      <c r="K202" s="317"/>
      <c r="L202" s="317"/>
      <c r="M202" s="314"/>
      <c r="N202" s="310"/>
    </row>
    <row r="203" spans="1:13" s="214" customFormat="1" ht="14.25">
      <c r="A203" s="59"/>
      <c r="B203" s="242" t="s">
        <v>322</v>
      </c>
      <c r="C203" s="138"/>
      <c r="D203" s="252"/>
      <c r="E203" s="253"/>
      <c r="F203" s="252"/>
      <c r="G203" s="252"/>
      <c r="H203" s="305"/>
      <c r="I203" s="305"/>
      <c r="J203" s="305"/>
      <c r="K203" s="305"/>
      <c r="L203" s="305"/>
      <c r="M203" s="306"/>
    </row>
    <row r="204" spans="1:15" s="214" customFormat="1" ht="14.25">
      <c r="A204" s="59"/>
      <c r="B204" s="138" t="s">
        <v>323</v>
      </c>
      <c r="C204" s="138"/>
      <c r="D204" s="252"/>
      <c r="E204" s="253"/>
      <c r="F204" s="252"/>
      <c r="G204" s="252"/>
      <c r="H204" s="305"/>
      <c r="I204" s="305"/>
      <c r="J204" s="305"/>
      <c r="K204" s="305"/>
      <c r="L204" s="305"/>
      <c r="M204" s="306"/>
      <c r="O204" s="310"/>
    </row>
    <row r="205" spans="1:13" s="214" customFormat="1" ht="71.25">
      <c r="A205" s="138">
        <v>1</v>
      </c>
      <c r="B205" s="226" t="s">
        <v>446</v>
      </c>
      <c r="C205" s="251" t="s">
        <v>447</v>
      </c>
      <c r="D205" s="309" t="s">
        <v>51</v>
      </c>
      <c r="E205" s="228"/>
      <c r="F205" s="229">
        <f>1</f>
        <v>1</v>
      </c>
      <c r="G205" s="62"/>
      <c r="H205" s="66"/>
      <c r="I205" s="62"/>
      <c r="J205" s="66"/>
      <c r="K205" s="62"/>
      <c r="L205" s="66"/>
      <c r="M205" s="66"/>
    </row>
    <row r="206" spans="1:13" s="214" customFormat="1" ht="14.25">
      <c r="A206" s="138"/>
      <c r="B206" s="65" t="s">
        <v>12</v>
      </c>
      <c r="C206" s="231"/>
      <c r="D206" s="59" t="s">
        <v>15</v>
      </c>
      <c r="E206" s="59">
        <v>13.3</v>
      </c>
      <c r="F206" s="66">
        <f>F205*E206</f>
        <v>13.3</v>
      </c>
      <c r="G206" s="203"/>
      <c r="H206" s="203"/>
      <c r="I206" s="203"/>
      <c r="J206" s="203"/>
      <c r="K206" s="203"/>
      <c r="L206" s="203"/>
      <c r="M206" s="203"/>
    </row>
    <row r="207" spans="1:13" s="214" customFormat="1" ht="14.25">
      <c r="A207" s="138"/>
      <c r="B207" s="59" t="s">
        <v>23</v>
      </c>
      <c r="C207" s="231"/>
      <c r="D207" s="62"/>
      <c r="E207" s="62"/>
      <c r="F207" s="66"/>
      <c r="G207" s="62"/>
      <c r="H207" s="66"/>
      <c r="I207" s="62"/>
      <c r="J207" s="66"/>
      <c r="K207" s="62"/>
      <c r="L207" s="66"/>
      <c r="M207" s="66"/>
    </row>
    <row r="208" spans="1:13" s="214" customFormat="1" ht="14.25">
      <c r="A208" s="234"/>
      <c r="B208" s="65" t="s">
        <v>324</v>
      </c>
      <c r="C208" s="231"/>
      <c r="D208" s="59" t="s">
        <v>24</v>
      </c>
      <c r="E208" s="91">
        <v>1</v>
      </c>
      <c r="F208" s="63">
        <f>E208*F205</f>
        <v>1</v>
      </c>
      <c r="G208" s="59"/>
      <c r="H208" s="63"/>
      <c r="I208" s="62"/>
      <c r="J208" s="63"/>
      <c r="K208" s="59"/>
      <c r="L208" s="63"/>
      <c r="M208" s="63"/>
    </row>
    <row r="209" spans="1:13" s="214" customFormat="1" ht="14.25">
      <c r="A209" s="59"/>
      <c r="B209" s="242" t="s">
        <v>8</v>
      </c>
      <c r="C209" s="138"/>
      <c r="D209" s="62"/>
      <c r="E209" s="253"/>
      <c r="F209" s="252"/>
      <c r="G209" s="252"/>
      <c r="H209" s="306"/>
      <c r="I209" s="306"/>
      <c r="J209" s="306"/>
      <c r="K209" s="306"/>
      <c r="L209" s="306"/>
      <c r="M209" s="306"/>
    </row>
    <row r="210" spans="1:13" s="307" customFormat="1" ht="14.25">
      <c r="A210" s="59"/>
      <c r="B210" s="65" t="s">
        <v>294</v>
      </c>
      <c r="C210" s="311"/>
      <c r="D210" s="271">
        <v>0.04</v>
      </c>
      <c r="E210" s="312"/>
      <c r="F210" s="313"/>
      <c r="G210" s="313"/>
      <c r="H210" s="314"/>
      <c r="I210" s="313"/>
      <c r="J210" s="314"/>
      <c r="K210" s="313"/>
      <c r="L210" s="314"/>
      <c r="M210" s="314"/>
    </row>
    <row r="211" spans="1:13" s="307" customFormat="1" ht="14.25">
      <c r="A211" s="59"/>
      <c r="B211" s="242" t="s">
        <v>8</v>
      </c>
      <c r="C211" s="138"/>
      <c r="D211" s="62"/>
      <c r="E211" s="253"/>
      <c r="F211" s="252"/>
      <c r="G211" s="252"/>
      <c r="H211" s="306"/>
      <c r="I211" s="305"/>
      <c r="J211" s="306"/>
      <c r="K211" s="305"/>
      <c r="L211" s="306"/>
      <c r="M211" s="306"/>
    </row>
    <row r="212" spans="1:13" s="307" customFormat="1" ht="27">
      <c r="A212" s="59"/>
      <c r="B212" s="60" t="s">
        <v>325</v>
      </c>
      <c r="C212" s="315"/>
      <c r="D212" s="315">
        <v>0.68</v>
      </c>
      <c r="E212" s="312"/>
      <c r="F212" s="313"/>
      <c r="G212" s="313"/>
      <c r="H212" s="317"/>
      <c r="I212" s="317"/>
      <c r="J212" s="317"/>
      <c r="K212" s="317"/>
      <c r="L212" s="317"/>
      <c r="M212" s="314"/>
    </row>
    <row r="213" spans="1:13" s="89" customFormat="1" ht="15.75">
      <c r="A213" s="59"/>
      <c r="B213" s="242" t="s">
        <v>8</v>
      </c>
      <c r="C213" s="138"/>
      <c r="D213" s="62"/>
      <c r="E213" s="253"/>
      <c r="F213" s="252"/>
      <c r="G213" s="252"/>
      <c r="H213" s="305"/>
      <c r="I213" s="305"/>
      <c r="J213" s="305"/>
      <c r="K213" s="305"/>
      <c r="L213" s="305"/>
      <c r="M213" s="306"/>
    </row>
    <row r="214" spans="1:13" s="44" customFormat="1" ht="27">
      <c r="A214" s="59"/>
      <c r="B214" s="60" t="s">
        <v>326</v>
      </c>
      <c r="C214" s="315"/>
      <c r="D214" s="271">
        <v>0.08</v>
      </c>
      <c r="E214" s="312"/>
      <c r="F214" s="313"/>
      <c r="G214" s="313"/>
      <c r="H214" s="317"/>
      <c r="I214" s="317"/>
      <c r="J214" s="317"/>
      <c r="K214" s="317"/>
      <c r="L214" s="317"/>
      <c r="M214" s="314"/>
    </row>
    <row r="215" spans="1:13" s="44" customFormat="1" ht="14.25">
      <c r="A215" s="59"/>
      <c r="B215" s="242" t="s">
        <v>327</v>
      </c>
      <c r="C215" s="138"/>
      <c r="D215" s="62"/>
      <c r="E215" s="253"/>
      <c r="F215" s="252"/>
      <c r="G215" s="252"/>
      <c r="H215" s="305"/>
      <c r="I215" s="305"/>
      <c r="J215" s="305"/>
      <c r="K215" s="305"/>
      <c r="L215" s="305"/>
      <c r="M215" s="306"/>
    </row>
    <row r="216" spans="1:14" s="214" customFormat="1" ht="28.5">
      <c r="A216" s="59"/>
      <c r="B216" s="138" t="s">
        <v>448</v>
      </c>
      <c r="C216" s="138"/>
      <c r="D216" s="252"/>
      <c r="E216" s="253"/>
      <c r="F216" s="252"/>
      <c r="G216" s="254"/>
      <c r="H216" s="254"/>
      <c r="I216" s="254"/>
      <c r="J216" s="254"/>
      <c r="K216" s="254"/>
      <c r="L216" s="254"/>
      <c r="M216" s="254"/>
      <c r="N216" s="310"/>
    </row>
    <row r="217" spans="1:13" s="214" customFormat="1" ht="14.25">
      <c r="A217" s="59"/>
      <c r="B217" s="138" t="s">
        <v>449</v>
      </c>
      <c r="C217" s="138"/>
      <c r="D217" s="252"/>
      <c r="E217" s="253"/>
      <c r="F217" s="252"/>
      <c r="G217" s="254"/>
      <c r="H217" s="254"/>
      <c r="I217" s="254"/>
      <c r="J217" s="254"/>
      <c r="K217" s="254"/>
      <c r="L217" s="254"/>
      <c r="M217" s="254"/>
    </row>
    <row r="218" spans="1:15" s="214" customFormat="1" ht="28.5">
      <c r="A218" s="62">
        <v>1</v>
      </c>
      <c r="B218" s="255" t="s">
        <v>450</v>
      </c>
      <c r="C218" s="138" t="s">
        <v>298</v>
      </c>
      <c r="D218" s="66" t="s">
        <v>194</v>
      </c>
      <c r="E218" s="84"/>
      <c r="F218" s="256">
        <v>0.44</v>
      </c>
      <c r="G218" s="203"/>
      <c r="H218" s="203"/>
      <c r="I218" s="203"/>
      <c r="J218" s="203"/>
      <c r="K218" s="203"/>
      <c r="L218" s="203"/>
      <c r="M218" s="203"/>
      <c r="O218" s="310"/>
    </row>
    <row r="219" spans="1:13" s="214" customFormat="1" ht="13.5">
      <c r="A219" s="62"/>
      <c r="B219" s="257" t="s">
        <v>451</v>
      </c>
      <c r="C219" s="59"/>
      <c r="D219" s="258" t="s">
        <v>15</v>
      </c>
      <c r="E219" s="66">
        <v>3.88</v>
      </c>
      <c r="F219" s="66">
        <f>E219*F218</f>
        <v>1.7072</v>
      </c>
      <c r="G219" s="203"/>
      <c r="H219" s="203"/>
      <c r="I219" s="203"/>
      <c r="J219" s="203"/>
      <c r="K219" s="203"/>
      <c r="L219" s="203"/>
      <c r="M219" s="203"/>
    </row>
    <row r="220" spans="1:13" s="214" customFormat="1" ht="42.75">
      <c r="A220" s="62">
        <v>2</v>
      </c>
      <c r="B220" s="255" t="s">
        <v>452</v>
      </c>
      <c r="C220" s="235" t="s">
        <v>219</v>
      </c>
      <c r="D220" s="66" t="s">
        <v>194</v>
      </c>
      <c r="E220" s="66"/>
      <c r="F220" s="256">
        <v>0.2</v>
      </c>
      <c r="G220" s="203"/>
      <c r="H220" s="203"/>
      <c r="I220" s="203"/>
      <c r="J220" s="203"/>
      <c r="K220" s="203"/>
      <c r="L220" s="203"/>
      <c r="M220" s="203"/>
    </row>
    <row r="221" spans="1:13" s="214" customFormat="1" ht="13.5">
      <c r="A221" s="62"/>
      <c r="B221" s="257" t="s">
        <v>451</v>
      </c>
      <c r="C221" s="75"/>
      <c r="D221" s="66" t="s">
        <v>15</v>
      </c>
      <c r="E221" s="66">
        <v>1.21</v>
      </c>
      <c r="F221" s="66">
        <f>E221*F220</f>
        <v>0.242</v>
      </c>
      <c r="G221" s="203"/>
      <c r="H221" s="203"/>
      <c r="I221" s="203"/>
      <c r="J221" s="203"/>
      <c r="K221" s="203"/>
      <c r="L221" s="203"/>
      <c r="M221" s="203"/>
    </row>
    <row r="222" spans="1:13" s="214" customFormat="1" ht="29.25" customHeight="1">
      <c r="A222" s="62">
        <v>3</v>
      </c>
      <c r="B222" s="255" t="s">
        <v>453</v>
      </c>
      <c r="C222" s="235" t="s">
        <v>454</v>
      </c>
      <c r="D222" s="66" t="s">
        <v>455</v>
      </c>
      <c r="E222" s="66">
        <v>0.11</v>
      </c>
      <c r="F222" s="256">
        <v>0.08</v>
      </c>
      <c r="G222" s="203"/>
      <c r="H222" s="203"/>
      <c r="I222" s="203"/>
      <c r="J222" s="203"/>
      <c r="K222" s="203"/>
      <c r="L222" s="203"/>
      <c r="M222" s="203"/>
    </row>
    <row r="223" spans="1:13" s="307" customFormat="1" ht="24.75" customHeight="1">
      <c r="A223" s="62"/>
      <c r="B223" s="257" t="s">
        <v>451</v>
      </c>
      <c r="C223" s="75"/>
      <c r="D223" s="66" t="s">
        <v>15</v>
      </c>
      <c r="E223" s="66">
        <v>23.1</v>
      </c>
      <c r="F223" s="66">
        <f>E223*F222</f>
        <v>1.848</v>
      </c>
      <c r="G223" s="203"/>
      <c r="H223" s="203"/>
      <c r="I223" s="203"/>
      <c r="J223" s="203"/>
      <c r="K223" s="203"/>
      <c r="L223" s="203"/>
      <c r="M223" s="203"/>
    </row>
    <row r="224" spans="1:13" s="307" customFormat="1" ht="14.25">
      <c r="A224" s="62"/>
      <c r="B224" s="257" t="s">
        <v>456</v>
      </c>
      <c r="C224" s="75"/>
      <c r="D224" s="66" t="s">
        <v>457</v>
      </c>
      <c r="E224" s="66">
        <v>3.98</v>
      </c>
      <c r="F224" s="66">
        <f>E224*F222</f>
        <v>0.3184</v>
      </c>
      <c r="G224" s="203"/>
      <c r="H224" s="203"/>
      <c r="I224" s="203"/>
      <c r="J224" s="203"/>
      <c r="K224" s="203"/>
      <c r="L224" s="203"/>
      <c r="M224" s="203"/>
    </row>
    <row r="225" spans="1:13" ht="13.5">
      <c r="A225" s="62"/>
      <c r="B225" s="257" t="s">
        <v>458</v>
      </c>
      <c r="C225" s="75"/>
      <c r="D225" s="66" t="s">
        <v>457</v>
      </c>
      <c r="E225" s="66">
        <v>0.76</v>
      </c>
      <c r="F225" s="66">
        <f>E225*F222</f>
        <v>0.0608</v>
      </c>
      <c r="G225" s="203"/>
      <c r="H225" s="203"/>
      <c r="I225" s="203"/>
      <c r="J225" s="203"/>
      <c r="K225" s="203"/>
      <c r="L225" s="203"/>
      <c r="M225" s="203"/>
    </row>
    <row r="226" spans="1:13" ht="13.5">
      <c r="A226" s="62"/>
      <c r="B226" s="60" t="s">
        <v>243</v>
      </c>
      <c r="C226" s="75"/>
      <c r="D226" s="66" t="s">
        <v>0</v>
      </c>
      <c r="E226" s="66">
        <v>2.16</v>
      </c>
      <c r="F226" s="66">
        <f>E226*F222</f>
        <v>0.1728</v>
      </c>
      <c r="G226" s="203"/>
      <c r="H226" s="203"/>
      <c r="I226" s="203"/>
      <c r="J226" s="203"/>
      <c r="K226" s="203"/>
      <c r="L226" s="203"/>
      <c r="M226" s="203"/>
    </row>
    <row r="227" spans="1:13" ht="13.5">
      <c r="A227" s="62"/>
      <c r="B227" s="60" t="s">
        <v>459</v>
      </c>
      <c r="C227" s="75"/>
      <c r="D227" s="66" t="s">
        <v>13</v>
      </c>
      <c r="E227" s="84">
        <v>1</v>
      </c>
      <c r="F227" s="84">
        <f>E227*F222</f>
        <v>0.08</v>
      </c>
      <c r="G227" s="203"/>
      <c r="H227" s="203"/>
      <c r="I227" s="203"/>
      <c r="J227" s="203"/>
      <c r="K227" s="203"/>
      <c r="L227" s="203"/>
      <c r="M227" s="203"/>
    </row>
    <row r="228" spans="1:13" ht="13.5">
      <c r="A228" s="62"/>
      <c r="B228" s="60" t="s">
        <v>18</v>
      </c>
      <c r="C228" s="75"/>
      <c r="D228" s="66" t="s">
        <v>0</v>
      </c>
      <c r="E228" s="66">
        <v>0.26</v>
      </c>
      <c r="F228" s="66">
        <f>E228*F222</f>
        <v>0.020800000000000003</v>
      </c>
      <c r="G228" s="203"/>
      <c r="H228" s="203"/>
      <c r="I228" s="203"/>
      <c r="J228" s="203"/>
      <c r="K228" s="203"/>
      <c r="L228" s="203"/>
      <c r="M228" s="203"/>
    </row>
    <row r="229" spans="1:13" ht="15.75">
      <c r="A229" s="62">
        <v>4</v>
      </c>
      <c r="B229" s="242" t="s">
        <v>460</v>
      </c>
      <c r="C229" s="259" t="s">
        <v>303</v>
      </c>
      <c r="D229" s="66" t="s">
        <v>194</v>
      </c>
      <c r="E229" s="260">
        <v>0.24</v>
      </c>
      <c r="F229" s="256">
        <v>0.13</v>
      </c>
      <c r="G229" s="203"/>
      <c r="H229" s="203"/>
      <c r="I229" s="203"/>
      <c r="J229" s="203"/>
      <c r="K229" s="203"/>
      <c r="L229" s="203"/>
      <c r="M229" s="203"/>
    </row>
    <row r="230" spans="1:13" ht="13.5">
      <c r="A230" s="62"/>
      <c r="B230" s="60" t="s">
        <v>461</v>
      </c>
      <c r="C230" s="261"/>
      <c r="D230" s="262" t="s">
        <v>15</v>
      </c>
      <c r="E230" s="66">
        <v>4.5</v>
      </c>
      <c r="F230" s="66">
        <f>E230*F229</f>
        <v>0.585</v>
      </c>
      <c r="G230" s="203"/>
      <c r="H230" s="203"/>
      <c r="I230" s="203"/>
      <c r="J230" s="203"/>
      <c r="K230" s="203"/>
      <c r="L230" s="203"/>
      <c r="M230" s="203"/>
    </row>
    <row r="231" spans="1:13" ht="13.5">
      <c r="A231" s="62"/>
      <c r="B231" s="60" t="s">
        <v>462</v>
      </c>
      <c r="C231" s="261"/>
      <c r="D231" s="263" t="s">
        <v>0</v>
      </c>
      <c r="E231" s="62">
        <v>0.37</v>
      </c>
      <c r="F231" s="66">
        <f>E231*F229</f>
        <v>0.048100000000000004</v>
      </c>
      <c r="G231" s="203"/>
      <c r="H231" s="203"/>
      <c r="I231" s="203"/>
      <c r="J231" s="203"/>
      <c r="K231" s="203"/>
      <c r="L231" s="203"/>
      <c r="M231" s="203"/>
    </row>
    <row r="232" spans="1:13" ht="15.75">
      <c r="A232" s="62"/>
      <c r="B232" s="60" t="s">
        <v>463</v>
      </c>
      <c r="C232" s="75"/>
      <c r="D232" s="62" t="s">
        <v>194</v>
      </c>
      <c r="E232" s="62">
        <v>1.02</v>
      </c>
      <c r="F232" s="66">
        <f>E232*F229</f>
        <v>0.1326</v>
      </c>
      <c r="G232" s="203"/>
      <c r="H232" s="203"/>
      <c r="I232" s="203"/>
      <c r="J232" s="203"/>
      <c r="K232" s="203"/>
      <c r="L232" s="203"/>
      <c r="M232" s="203"/>
    </row>
    <row r="233" spans="1:13" ht="13.5">
      <c r="A233" s="62"/>
      <c r="B233" s="60" t="s">
        <v>464</v>
      </c>
      <c r="C233" s="75"/>
      <c r="D233" s="62" t="s">
        <v>305</v>
      </c>
      <c r="E233" s="62">
        <v>1.61</v>
      </c>
      <c r="F233" s="66">
        <f>E233*F229</f>
        <v>0.2093</v>
      </c>
      <c r="G233" s="203"/>
      <c r="H233" s="203"/>
      <c r="I233" s="203"/>
      <c r="J233" s="203"/>
      <c r="K233" s="203"/>
      <c r="L233" s="203"/>
      <c r="M233" s="203"/>
    </row>
    <row r="234" spans="1:13" ht="27">
      <c r="A234" s="62"/>
      <c r="B234" s="60" t="s">
        <v>465</v>
      </c>
      <c r="C234" s="75"/>
      <c r="D234" s="62" t="s">
        <v>42</v>
      </c>
      <c r="E234" s="62">
        <v>0.0172</v>
      </c>
      <c r="F234" s="66">
        <f>E234*F229</f>
        <v>0.002236</v>
      </c>
      <c r="G234" s="203"/>
      <c r="H234" s="203"/>
      <c r="I234" s="203"/>
      <c r="J234" s="203"/>
      <c r="K234" s="203"/>
      <c r="L234" s="203"/>
      <c r="M234" s="203"/>
    </row>
    <row r="235" spans="1:13" ht="13.5">
      <c r="A235" s="62"/>
      <c r="B235" s="60" t="s">
        <v>466</v>
      </c>
      <c r="C235" s="261"/>
      <c r="D235" s="62" t="s">
        <v>0</v>
      </c>
      <c r="E235" s="62">
        <v>0.28</v>
      </c>
      <c r="F235" s="66">
        <f>E235*F229</f>
        <v>0.0364</v>
      </c>
      <c r="G235" s="203"/>
      <c r="H235" s="203"/>
      <c r="I235" s="203"/>
      <c r="J235" s="203"/>
      <c r="K235" s="203"/>
      <c r="L235" s="203"/>
      <c r="M235" s="203"/>
    </row>
    <row r="236" spans="1:13" ht="36">
      <c r="A236" s="62">
        <v>5</v>
      </c>
      <c r="B236" s="242" t="s">
        <v>467</v>
      </c>
      <c r="C236" s="264" t="s">
        <v>468</v>
      </c>
      <c r="D236" s="62" t="s">
        <v>455</v>
      </c>
      <c r="E236" s="62"/>
      <c r="F236" s="256">
        <v>0.13</v>
      </c>
      <c r="G236" s="203"/>
      <c r="H236" s="203"/>
      <c r="I236" s="203"/>
      <c r="J236" s="203"/>
      <c r="K236" s="203"/>
      <c r="L236" s="203"/>
      <c r="M236" s="203"/>
    </row>
    <row r="237" spans="1:13" ht="13.5">
      <c r="A237" s="62"/>
      <c r="B237" s="257" t="s">
        <v>451</v>
      </c>
      <c r="C237" s="261"/>
      <c r="D237" s="66" t="s">
        <v>15</v>
      </c>
      <c r="E237" s="66">
        <v>23.7</v>
      </c>
      <c r="F237" s="66">
        <f>E237*F236</f>
        <v>3.081</v>
      </c>
      <c r="G237" s="203"/>
      <c r="H237" s="203"/>
      <c r="I237" s="203"/>
      <c r="J237" s="203"/>
      <c r="K237" s="203"/>
      <c r="L237" s="203"/>
      <c r="M237" s="203"/>
    </row>
    <row r="238" spans="1:13" ht="13.5">
      <c r="A238" s="62"/>
      <c r="B238" s="60" t="s">
        <v>462</v>
      </c>
      <c r="C238" s="261"/>
      <c r="D238" s="263" t="s">
        <v>0</v>
      </c>
      <c r="E238" s="62">
        <v>6.31</v>
      </c>
      <c r="F238" s="66">
        <f>E238*F236</f>
        <v>0.8203</v>
      </c>
      <c r="G238" s="203"/>
      <c r="H238" s="203"/>
      <c r="I238" s="203"/>
      <c r="J238" s="203"/>
      <c r="K238" s="203"/>
      <c r="L238" s="203"/>
      <c r="M238" s="203"/>
    </row>
    <row r="239" spans="1:13" ht="13.5">
      <c r="A239" s="62"/>
      <c r="B239" s="60" t="s">
        <v>117</v>
      </c>
      <c r="C239" s="75"/>
      <c r="D239" s="66" t="s">
        <v>57</v>
      </c>
      <c r="E239" s="66">
        <v>1.1</v>
      </c>
      <c r="F239" s="66">
        <f>E239*F236</f>
        <v>0.14300000000000002</v>
      </c>
      <c r="G239" s="203"/>
      <c r="H239" s="203"/>
      <c r="I239" s="203"/>
      <c r="J239" s="203"/>
      <c r="K239" s="203"/>
      <c r="L239" s="203"/>
      <c r="M239" s="203"/>
    </row>
    <row r="240" spans="1:13" ht="13.5">
      <c r="A240" s="62"/>
      <c r="B240" s="60" t="s">
        <v>469</v>
      </c>
      <c r="C240" s="75"/>
      <c r="D240" s="66" t="s">
        <v>57</v>
      </c>
      <c r="E240" s="66">
        <v>3</v>
      </c>
      <c r="F240" s="66">
        <f>E240*F236</f>
        <v>0.39</v>
      </c>
      <c r="G240" s="203"/>
      <c r="H240" s="203"/>
      <c r="I240" s="203"/>
      <c r="J240" s="203"/>
      <c r="K240" s="203"/>
      <c r="L240" s="203"/>
      <c r="M240" s="203"/>
    </row>
    <row r="241" spans="1:13" ht="13.5">
      <c r="A241" s="62"/>
      <c r="B241" s="60" t="s">
        <v>466</v>
      </c>
      <c r="C241" s="261"/>
      <c r="D241" s="62" t="s">
        <v>0</v>
      </c>
      <c r="E241" s="62">
        <v>0.02</v>
      </c>
      <c r="F241" s="66">
        <f>E241*F236</f>
        <v>0.0026000000000000003</v>
      </c>
      <c r="G241" s="203"/>
      <c r="H241" s="203"/>
      <c r="I241" s="203"/>
      <c r="J241" s="203"/>
      <c r="K241" s="203"/>
      <c r="L241" s="203"/>
      <c r="M241" s="203"/>
    </row>
    <row r="242" spans="1:13" ht="14.25">
      <c r="A242" s="59"/>
      <c r="B242" s="138" t="s">
        <v>470</v>
      </c>
      <c r="C242" s="138"/>
      <c r="D242" s="252"/>
      <c r="E242" s="253"/>
      <c r="F242" s="252"/>
      <c r="G242" s="254"/>
      <c r="H242" s="254"/>
      <c r="I242" s="254"/>
      <c r="J242" s="254"/>
      <c r="K242" s="254"/>
      <c r="L242" s="254"/>
      <c r="M242" s="254"/>
    </row>
    <row r="243" spans="1:13" ht="14.25">
      <c r="A243" s="59"/>
      <c r="B243" s="138" t="s">
        <v>471</v>
      </c>
      <c r="C243" s="138"/>
      <c r="D243" s="228" t="s">
        <v>0</v>
      </c>
      <c r="E243" s="288" t="s">
        <v>671</v>
      </c>
      <c r="F243" s="230"/>
      <c r="G243" s="240"/>
      <c r="H243" s="240"/>
      <c r="I243" s="240"/>
      <c r="J243" s="240"/>
      <c r="K243" s="240"/>
      <c r="L243" s="240"/>
      <c r="M243" s="290"/>
    </row>
    <row r="244" spans="1:13" ht="14.25">
      <c r="A244" s="59"/>
      <c r="B244" s="138" t="s">
        <v>472</v>
      </c>
      <c r="C244" s="138"/>
      <c r="D244" s="228" t="s">
        <v>0</v>
      </c>
      <c r="E244" s="5"/>
      <c r="F244" s="230"/>
      <c r="G244" s="240"/>
      <c r="H244" s="240"/>
      <c r="I244" s="240"/>
      <c r="J244" s="240"/>
      <c r="K244" s="240"/>
      <c r="L244" s="240"/>
      <c r="M244" s="29"/>
    </row>
    <row r="245" spans="1:13" ht="14.25">
      <c r="A245" s="59"/>
      <c r="B245" s="138" t="s">
        <v>473</v>
      </c>
      <c r="C245" s="138"/>
      <c r="D245" s="228" t="s">
        <v>0</v>
      </c>
      <c r="E245" s="27" t="s">
        <v>671</v>
      </c>
      <c r="F245" s="230"/>
      <c r="G245" s="240"/>
      <c r="H245" s="240"/>
      <c r="I245" s="240"/>
      <c r="J245" s="240"/>
      <c r="K245" s="240"/>
      <c r="L245" s="240"/>
      <c r="M245" s="33"/>
    </row>
    <row r="246" spans="1:13" ht="14.25">
      <c r="A246" s="59"/>
      <c r="B246" s="138" t="s">
        <v>470</v>
      </c>
      <c r="C246" s="138"/>
      <c r="D246" s="228" t="s">
        <v>0</v>
      </c>
      <c r="E246" s="5"/>
      <c r="F246" s="230"/>
      <c r="G246" s="240"/>
      <c r="H246" s="240"/>
      <c r="I246" s="240"/>
      <c r="J246" s="240"/>
      <c r="K246" s="240"/>
      <c r="L246" s="240"/>
      <c r="M246" s="29"/>
    </row>
    <row r="247" spans="1:13" ht="14.25">
      <c r="A247" s="59"/>
      <c r="B247" s="138" t="s">
        <v>474</v>
      </c>
      <c r="C247" s="138"/>
      <c r="D247" s="228" t="s">
        <v>0</v>
      </c>
      <c r="E247" s="27" t="s">
        <v>671</v>
      </c>
      <c r="F247" s="230"/>
      <c r="G247" s="240"/>
      <c r="H247" s="240"/>
      <c r="I247" s="240"/>
      <c r="J247" s="240"/>
      <c r="K247" s="240"/>
      <c r="L247" s="240"/>
      <c r="M247" s="33"/>
    </row>
    <row r="248" spans="1:13" ht="14.25">
      <c r="A248" s="59"/>
      <c r="B248" s="138" t="s">
        <v>472</v>
      </c>
      <c r="C248" s="138"/>
      <c r="D248" s="228" t="s">
        <v>0</v>
      </c>
      <c r="E248" s="5"/>
      <c r="F248" s="230"/>
      <c r="G248" s="240"/>
      <c r="H248" s="240"/>
      <c r="I248" s="240"/>
      <c r="J248" s="240"/>
      <c r="K248" s="240"/>
      <c r="L248" s="240"/>
      <c r="M248" s="29"/>
    </row>
    <row r="249" spans="1:13" ht="14.25">
      <c r="A249" s="59"/>
      <c r="B249" s="138" t="s">
        <v>475</v>
      </c>
      <c r="C249" s="138"/>
      <c r="D249" s="252"/>
      <c r="E249" s="253"/>
      <c r="F249" s="252"/>
      <c r="G249" s="254"/>
      <c r="H249" s="254"/>
      <c r="I249" s="254"/>
      <c r="J249" s="254"/>
      <c r="K249" s="254"/>
      <c r="L249" s="254"/>
      <c r="M249" s="254"/>
    </row>
    <row r="250" spans="1:13" ht="28.5">
      <c r="A250" s="62">
        <v>1</v>
      </c>
      <c r="B250" s="255" t="s">
        <v>476</v>
      </c>
      <c r="C250" s="235" t="s">
        <v>477</v>
      </c>
      <c r="D250" s="66" t="s">
        <v>24</v>
      </c>
      <c r="E250" s="66"/>
      <c r="F250" s="256">
        <v>1</v>
      </c>
      <c r="G250" s="203"/>
      <c r="H250" s="203"/>
      <c r="I250" s="203"/>
      <c r="J250" s="203"/>
      <c r="K250" s="203"/>
      <c r="L250" s="203"/>
      <c r="M250" s="203"/>
    </row>
    <row r="251" spans="1:13" ht="13.5">
      <c r="A251" s="62"/>
      <c r="B251" s="257" t="s">
        <v>451</v>
      </c>
      <c r="C251" s="75"/>
      <c r="D251" s="66" t="s">
        <v>15</v>
      </c>
      <c r="E251" s="66">
        <v>1</v>
      </c>
      <c r="F251" s="66">
        <f>E251*F250</f>
        <v>1</v>
      </c>
      <c r="G251" s="203"/>
      <c r="H251" s="203"/>
      <c r="I251" s="203"/>
      <c r="J251" s="203"/>
      <c r="K251" s="203"/>
      <c r="L251" s="203"/>
      <c r="M251" s="203"/>
    </row>
    <row r="252" spans="1:13" ht="13.5">
      <c r="A252" s="62"/>
      <c r="B252" s="257" t="s">
        <v>374</v>
      </c>
      <c r="C252" s="75"/>
      <c r="D252" s="66" t="s">
        <v>0</v>
      </c>
      <c r="E252" s="66">
        <v>1.1</v>
      </c>
      <c r="F252" s="66">
        <f>E252*F250</f>
        <v>1.1</v>
      </c>
      <c r="G252" s="203"/>
      <c r="H252" s="203"/>
      <c r="I252" s="203"/>
      <c r="J252" s="203"/>
      <c r="K252" s="203"/>
      <c r="L252" s="203"/>
      <c r="M252" s="203"/>
    </row>
    <row r="253" spans="1:13" ht="15">
      <c r="A253" s="62">
        <v>2</v>
      </c>
      <c r="B253" s="255" t="s">
        <v>478</v>
      </c>
      <c r="C253" s="235" t="s">
        <v>479</v>
      </c>
      <c r="D253" s="66" t="s">
        <v>480</v>
      </c>
      <c r="E253" s="66"/>
      <c r="F253" s="256">
        <v>100</v>
      </c>
      <c r="G253" s="203"/>
      <c r="H253" s="203"/>
      <c r="I253" s="203"/>
      <c r="J253" s="203"/>
      <c r="K253" s="203"/>
      <c r="L253" s="203"/>
      <c r="M253" s="203"/>
    </row>
    <row r="254" spans="1:13" ht="13.5">
      <c r="A254" s="62"/>
      <c r="B254" s="257" t="s">
        <v>451</v>
      </c>
      <c r="C254" s="75"/>
      <c r="D254" s="66" t="s">
        <v>15</v>
      </c>
      <c r="E254" s="66">
        <v>0.14</v>
      </c>
      <c r="F254" s="66">
        <f>E254*F253</f>
        <v>14.000000000000002</v>
      </c>
      <c r="G254" s="203"/>
      <c r="H254" s="203"/>
      <c r="I254" s="203"/>
      <c r="J254" s="203"/>
      <c r="K254" s="203"/>
      <c r="L254" s="203"/>
      <c r="M254" s="203"/>
    </row>
    <row r="255" spans="1:13" ht="13.5">
      <c r="A255" s="62"/>
      <c r="B255" s="257" t="s">
        <v>374</v>
      </c>
      <c r="C255" s="75"/>
      <c r="D255" s="66" t="s">
        <v>0</v>
      </c>
      <c r="E255" s="233">
        <f>3.28/100</f>
        <v>0.032799999999999996</v>
      </c>
      <c r="F255" s="66">
        <f>E255*F253</f>
        <v>3.2799999999999994</v>
      </c>
      <c r="G255" s="203"/>
      <c r="H255" s="203"/>
      <c r="I255" s="203"/>
      <c r="J255" s="203"/>
      <c r="K255" s="203"/>
      <c r="L255" s="203"/>
      <c r="M255" s="203"/>
    </row>
    <row r="256" spans="1:13" ht="13.5">
      <c r="A256" s="62"/>
      <c r="B256" s="257" t="s">
        <v>14</v>
      </c>
      <c r="C256" s="75"/>
      <c r="D256" s="66" t="s">
        <v>0</v>
      </c>
      <c r="E256" s="233">
        <f>5.15/100</f>
        <v>0.051500000000000004</v>
      </c>
      <c r="F256" s="66">
        <f>E256*F253</f>
        <v>5.15</v>
      </c>
      <c r="G256" s="203"/>
      <c r="H256" s="203"/>
      <c r="I256" s="203"/>
      <c r="J256" s="203"/>
      <c r="K256" s="203"/>
      <c r="L256" s="203"/>
      <c r="M256" s="203"/>
    </row>
    <row r="257" spans="1:13" ht="14.25">
      <c r="A257" s="62">
        <v>3</v>
      </c>
      <c r="B257" s="255" t="s">
        <v>481</v>
      </c>
      <c r="C257" s="235" t="s">
        <v>482</v>
      </c>
      <c r="D257" s="66" t="s">
        <v>480</v>
      </c>
      <c r="E257" s="66"/>
      <c r="F257" s="256">
        <v>30</v>
      </c>
      <c r="G257" s="203"/>
      <c r="H257" s="203"/>
      <c r="I257" s="203"/>
      <c r="J257" s="203"/>
      <c r="K257" s="203"/>
      <c r="L257" s="203"/>
      <c r="M257" s="203"/>
    </row>
    <row r="258" spans="1:13" ht="14.25">
      <c r="A258" s="59"/>
      <c r="B258" s="257" t="s">
        <v>451</v>
      </c>
      <c r="C258" s="138"/>
      <c r="D258" s="66" t="s">
        <v>15</v>
      </c>
      <c r="E258" s="66">
        <f>13/100</f>
        <v>0.13</v>
      </c>
      <c r="F258" s="66">
        <f>E258*F257</f>
        <v>3.9000000000000004</v>
      </c>
      <c r="G258" s="203"/>
      <c r="H258" s="203"/>
      <c r="I258" s="203"/>
      <c r="J258" s="203"/>
      <c r="K258" s="203"/>
      <c r="L258" s="203"/>
      <c r="M258" s="203"/>
    </row>
    <row r="259" spans="1:13" ht="14.25">
      <c r="A259" s="59"/>
      <c r="B259" s="257" t="s">
        <v>374</v>
      </c>
      <c r="C259" s="138"/>
      <c r="D259" s="66" t="s">
        <v>0</v>
      </c>
      <c r="E259" s="233">
        <f>5.14/100</f>
        <v>0.051399999999999994</v>
      </c>
      <c r="F259" s="66">
        <f>E259*F257</f>
        <v>1.5419999999999998</v>
      </c>
      <c r="G259" s="203"/>
      <c r="H259" s="203"/>
      <c r="I259" s="203"/>
      <c r="J259" s="203"/>
      <c r="K259" s="203"/>
      <c r="L259" s="203"/>
      <c r="M259" s="203"/>
    </row>
    <row r="260" spans="1:13" ht="14.25">
      <c r="A260" s="59"/>
      <c r="B260" s="257" t="s">
        <v>14</v>
      </c>
      <c r="C260" s="138"/>
      <c r="D260" s="66" t="s">
        <v>0</v>
      </c>
      <c r="E260" s="233">
        <f>0.43/100</f>
        <v>0.0043</v>
      </c>
      <c r="F260" s="66">
        <f>E260*F257</f>
        <v>0.129</v>
      </c>
      <c r="G260" s="203"/>
      <c r="H260" s="203"/>
      <c r="I260" s="203"/>
      <c r="J260" s="203"/>
      <c r="K260" s="203"/>
      <c r="L260" s="203"/>
      <c r="M260" s="203"/>
    </row>
    <row r="261" spans="1:13" ht="14.25">
      <c r="A261" s="59">
        <v>4</v>
      </c>
      <c r="B261" s="265" t="s">
        <v>483</v>
      </c>
      <c r="C261" s="266" t="s">
        <v>484</v>
      </c>
      <c r="D261" s="66"/>
      <c r="E261" s="84"/>
      <c r="F261" s="230">
        <v>1</v>
      </c>
      <c r="G261" s="203"/>
      <c r="H261" s="203"/>
      <c r="I261" s="203"/>
      <c r="J261" s="203"/>
      <c r="K261" s="203"/>
      <c r="L261" s="203"/>
      <c r="M261" s="203"/>
    </row>
    <row r="262" spans="1:13" ht="14.25">
      <c r="A262" s="59"/>
      <c r="B262" s="267" t="s">
        <v>99</v>
      </c>
      <c r="C262" s="138"/>
      <c r="D262" s="66" t="s">
        <v>15</v>
      </c>
      <c r="E262" s="268">
        <v>7.24</v>
      </c>
      <c r="F262" s="66">
        <f>E262*F261</f>
        <v>7.24</v>
      </c>
      <c r="G262" s="203"/>
      <c r="H262" s="203"/>
      <c r="I262" s="203"/>
      <c r="J262" s="203"/>
      <c r="K262" s="203"/>
      <c r="L262" s="203"/>
      <c r="M262" s="203"/>
    </row>
    <row r="263" spans="1:13" ht="14.25">
      <c r="A263" s="59"/>
      <c r="B263" s="257" t="s">
        <v>374</v>
      </c>
      <c r="C263" s="138"/>
      <c r="D263" s="66" t="s">
        <v>0</v>
      </c>
      <c r="E263" s="84">
        <v>4.42</v>
      </c>
      <c r="F263" s="66">
        <f>E263*F261</f>
        <v>4.42</v>
      </c>
      <c r="G263" s="203"/>
      <c r="H263" s="203"/>
      <c r="I263" s="203"/>
      <c r="J263" s="203"/>
      <c r="K263" s="203"/>
      <c r="L263" s="203"/>
      <c r="M263" s="203"/>
    </row>
    <row r="264" spans="1:13" ht="14.25">
      <c r="A264" s="59"/>
      <c r="B264" s="138" t="s">
        <v>470</v>
      </c>
      <c r="C264" s="138"/>
      <c r="D264" s="228" t="s">
        <v>0</v>
      </c>
      <c r="E264" s="269"/>
      <c r="F264" s="230"/>
      <c r="G264" s="240"/>
      <c r="H264" s="240"/>
      <c r="I264" s="240"/>
      <c r="J264" s="240"/>
      <c r="K264" s="240"/>
      <c r="L264" s="240"/>
      <c r="M264" s="240"/>
    </row>
    <row r="265" spans="1:13" ht="14.25">
      <c r="A265" s="59"/>
      <c r="B265" s="138" t="s">
        <v>672</v>
      </c>
      <c r="C265" s="138"/>
      <c r="D265" s="228" t="s">
        <v>0</v>
      </c>
      <c r="E265" s="269"/>
      <c r="F265" s="230"/>
      <c r="G265" s="240"/>
      <c r="H265" s="240"/>
      <c r="I265" s="240"/>
      <c r="J265" s="240"/>
      <c r="K265" s="240"/>
      <c r="L265" s="240"/>
      <c r="M265" s="240"/>
    </row>
    <row r="266" spans="1:13" ht="14.25">
      <c r="A266" s="59"/>
      <c r="B266" s="138" t="s">
        <v>472</v>
      </c>
      <c r="C266" s="138"/>
      <c r="D266" s="228" t="s">
        <v>0</v>
      </c>
      <c r="E266" s="269"/>
      <c r="F266" s="230"/>
      <c r="G266" s="240"/>
      <c r="H266" s="240"/>
      <c r="I266" s="240"/>
      <c r="J266" s="240"/>
      <c r="K266" s="240"/>
      <c r="L266" s="240"/>
      <c r="M266" s="240"/>
    </row>
    <row r="267" spans="1:13" ht="14.25">
      <c r="A267" s="59"/>
      <c r="B267" s="138" t="s">
        <v>673</v>
      </c>
      <c r="C267" s="138"/>
      <c r="D267" s="228" t="s">
        <v>0</v>
      </c>
      <c r="E267" s="269"/>
      <c r="F267" s="230"/>
      <c r="G267" s="240"/>
      <c r="H267" s="240"/>
      <c r="I267" s="240"/>
      <c r="J267" s="240"/>
      <c r="K267" s="240"/>
      <c r="L267" s="240"/>
      <c r="M267" s="240"/>
    </row>
    <row r="268" spans="1:13" ht="14.25">
      <c r="A268" s="138">
        <v>1</v>
      </c>
      <c r="B268" s="138" t="s">
        <v>470</v>
      </c>
      <c r="C268" s="231"/>
      <c r="D268" s="228" t="s">
        <v>0</v>
      </c>
      <c r="E268" s="269"/>
      <c r="F268" s="230"/>
      <c r="G268" s="240"/>
      <c r="H268" s="240"/>
      <c r="I268" s="240"/>
      <c r="J268" s="240"/>
      <c r="K268" s="240"/>
      <c r="L268" s="240"/>
      <c r="M268" s="240"/>
    </row>
    <row r="269" spans="1:13" ht="14.25">
      <c r="A269" s="138"/>
      <c r="B269" s="138" t="s">
        <v>674</v>
      </c>
      <c r="C269" s="231"/>
      <c r="D269" s="228" t="s">
        <v>0</v>
      </c>
      <c r="E269" s="269"/>
      <c r="F269" s="230"/>
      <c r="G269" s="240"/>
      <c r="H269" s="240"/>
      <c r="I269" s="240"/>
      <c r="J269" s="240"/>
      <c r="K269" s="240"/>
      <c r="L269" s="240"/>
      <c r="M269" s="240"/>
    </row>
    <row r="270" spans="1:13" ht="14.25">
      <c r="A270" s="138"/>
      <c r="B270" s="138" t="s">
        <v>472</v>
      </c>
      <c r="C270" s="231"/>
      <c r="D270" s="228"/>
      <c r="E270" s="269"/>
      <c r="F270" s="230"/>
      <c r="G270" s="240"/>
      <c r="H270" s="240"/>
      <c r="I270" s="240"/>
      <c r="J270" s="240"/>
      <c r="K270" s="240"/>
      <c r="L270" s="240"/>
      <c r="M270" s="240"/>
    </row>
    <row r="271" spans="1:14" ht="17.25">
      <c r="A271" s="138"/>
      <c r="B271" s="270" t="s">
        <v>17</v>
      </c>
      <c r="C271" s="231"/>
      <c r="D271" s="228"/>
      <c r="E271" s="269"/>
      <c r="F271" s="230"/>
      <c r="G271" s="240"/>
      <c r="H271" s="240"/>
      <c r="I271" s="240"/>
      <c r="J271" s="240"/>
      <c r="K271" s="240"/>
      <c r="L271" s="240"/>
      <c r="M271" s="240"/>
      <c r="N271" s="307"/>
    </row>
    <row r="272" spans="1:13" ht="14.25">
      <c r="A272" s="62">
        <v>2</v>
      </c>
      <c r="B272" s="255" t="s">
        <v>481</v>
      </c>
      <c r="C272" s="59"/>
      <c r="D272" s="62" t="s">
        <v>480</v>
      </c>
      <c r="E272" s="269"/>
      <c r="F272" s="256"/>
      <c r="G272" s="203"/>
      <c r="H272" s="203"/>
      <c r="I272" s="203"/>
      <c r="J272" s="203"/>
      <c r="K272" s="203"/>
      <c r="L272" s="203"/>
      <c r="M272" s="203"/>
    </row>
    <row r="273" spans="1:13" ht="15">
      <c r="A273" s="62">
        <v>3</v>
      </c>
      <c r="B273" s="255" t="s">
        <v>486</v>
      </c>
      <c r="C273" s="59"/>
      <c r="D273" s="62" t="s">
        <v>480</v>
      </c>
      <c r="E273" s="269"/>
      <c r="F273" s="256"/>
      <c r="G273" s="203"/>
      <c r="H273" s="203"/>
      <c r="I273" s="203"/>
      <c r="J273" s="203"/>
      <c r="K273" s="203"/>
      <c r="L273" s="203"/>
      <c r="M273" s="203"/>
    </row>
    <row r="274" spans="1:13" ht="28.5">
      <c r="A274" s="62">
        <v>4</v>
      </c>
      <c r="B274" s="255" t="s">
        <v>487</v>
      </c>
      <c r="C274" s="3"/>
      <c r="D274" s="62" t="s">
        <v>24</v>
      </c>
      <c r="E274" s="269"/>
      <c r="F274" s="256"/>
      <c r="G274" s="203"/>
      <c r="H274" s="203"/>
      <c r="I274" s="203"/>
      <c r="J274" s="203"/>
      <c r="K274" s="203"/>
      <c r="L274" s="203"/>
      <c r="M274" s="203"/>
    </row>
    <row r="275" spans="1:13" ht="14.25">
      <c r="A275" s="62"/>
      <c r="B275" s="242" t="s">
        <v>483</v>
      </c>
      <c r="C275" s="3"/>
      <c r="D275" s="62" t="s">
        <v>24</v>
      </c>
      <c r="E275" s="269"/>
      <c r="F275" s="66"/>
      <c r="G275" s="203"/>
      <c r="H275" s="203"/>
      <c r="I275" s="203"/>
      <c r="J275" s="203"/>
      <c r="K275" s="203"/>
      <c r="L275" s="203"/>
      <c r="M275" s="203"/>
    </row>
    <row r="276" spans="1:13" ht="14.25">
      <c r="A276" s="138"/>
      <c r="B276" s="138" t="s">
        <v>470</v>
      </c>
      <c r="C276" s="231"/>
      <c r="D276" s="228" t="s">
        <v>0</v>
      </c>
      <c r="E276" s="269"/>
      <c r="F276" s="230"/>
      <c r="G276" s="240"/>
      <c r="H276" s="240"/>
      <c r="I276" s="240"/>
      <c r="J276" s="240"/>
      <c r="K276" s="240"/>
      <c r="L276" s="240"/>
      <c r="M276" s="240"/>
    </row>
    <row r="277" spans="1:13" ht="14.25">
      <c r="A277" s="138"/>
      <c r="B277" s="59" t="s">
        <v>471</v>
      </c>
      <c r="C277" s="231"/>
      <c r="D277" s="62" t="s">
        <v>0</v>
      </c>
      <c r="E277" s="271" t="s">
        <v>671</v>
      </c>
      <c r="F277" s="66"/>
      <c r="G277" s="203"/>
      <c r="H277" s="203"/>
      <c r="I277" s="203"/>
      <c r="J277" s="203"/>
      <c r="K277" s="203"/>
      <c r="L277" s="203"/>
      <c r="M277" s="203"/>
    </row>
    <row r="278" spans="1:13" ht="14.25">
      <c r="A278" s="138"/>
      <c r="B278" s="59" t="s">
        <v>472</v>
      </c>
      <c r="C278" s="231"/>
      <c r="D278" s="62" t="s">
        <v>0</v>
      </c>
      <c r="E278" s="62"/>
      <c r="F278" s="66"/>
      <c r="G278" s="203"/>
      <c r="H278" s="203"/>
      <c r="I278" s="203"/>
      <c r="J278" s="203"/>
      <c r="K278" s="203"/>
      <c r="L278" s="203"/>
      <c r="M278" s="240"/>
    </row>
    <row r="279" spans="1:13" ht="14.25">
      <c r="A279" s="138"/>
      <c r="B279" s="59" t="s">
        <v>485</v>
      </c>
      <c r="C279" s="231"/>
      <c r="D279" s="62" t="s">
        <v>0</v>
      </c>
      <c r="E279" s="271" t="s">
        <v>671</v>
      </c>
      <c r="F279" s="66"/>
      <c r="G279" s="203"/>
      <c r="H279" s="203"/>
      <c r="I279" s="203"/>
      <c r="J279" s="203"/>
      <c r="K279" s="203"/>
      <c r="L279" s="203"/>
      <c r="M279" s="203"/>
    </row>
    <row r="280" spans="1:13" ht="14.25">
      <c r="A280" s="138"/>
      <c r="B280" s="59" t="s">
        <v>472</v>
      </c>
      <c r="C280" s="231"/>
      <c r="D280" s="62" t="s">
        <v>0</v>
      </c>
      <c r="E280" s="62"/>
      <c r="F280" s="66"/>
      <c r="G280" s="203"/>
      <c r="H280" s="203"/>
      <c r="I280" s="203"/>
      <c r="J280" s="203"/>
      <c r="K280" s="203"/>
      <c r="L280" s="203"/>
      <c r="M280" s="240"/>
    </row>
    <row r="281" spans="1:13" ht="14.25">
      <c r="A281" s="138"/>
      <c r="B281" s="138" t="s">
        <v>488</v>
      </c>
      <c r="C281" s="231"/>
      <c r="D281" s="62"/>
      <c r="E281" s="62"/>
      <c r="F281" s="66"/>
      <c r="G281" s="203"/>
      <c r="H281" s="203"/>
      <c r="I281" s="203"/>
      <c r="J281" s="203"/>
      <c r="K281" s="203"/>
      <c r="L281" s="203"/>
      <c r="M281" s="240"/>
    </row>
    <row r="282" spans="1:13" ht="14.25">
      <c r="A282" s="232"/>
      <c r="B282" s="232" t="s">
        <v>353</v>
      </c>
      <c r="C282" s="333"/>
      <c r="D282" s="232"/>
      <c r="E282" s="232"/>
      <c r="F282" s="232"/>
      <c r="G282" s="232"/>
      <c r="H282" s="334"/>
      <c r="I282" s="232"/>
      <c r="J282" s="232"/>
      <c r="K282" s="232"/>
      <c r="L282" s="232"/>
      <c r="M282" s="335"/>
    </row>
    <row r="283" spans="1:13" ht="14.25">
      <c r="A283" s="187"/>
      <c r="B283" s="60" t="s">
        <v>34</v>
      </c>
      <c r="C283" s="5"/>
      <c r="D283" s="27">
        <v>0.03</v>
      </c>
      <c r="E283" s="5"/>
      <c r="F283" s="5"/>
      <c r="G283" s="21"/>
      <c r="H283" s="28"/>
      <c r="I283" s="21"/>
      <c r="J283" s="28"/>
      <c r="K283" s="21"/>
      <c r="L283" s="29"/>
      <c r="M283" s="335"/>
    </row>
    <row r="284" spans="1:13" ht="14.25">
      <c r="A284" s="187"/>
      <c r="B284" s="242" t="s">
        <v>8</v>
      </c>
      <c r="C284" s="5"/>
      <c r="D284" s="5"/>
      <c r="E284" s="5"/>
      <c r="F284" s="5"/>
      <c r="G284" s="21"/>
      <c r="H284" s="28"/>
      <c r="I284" s="21"/>
      <c r="J284" s="28"/>
      <c r="K284" s="21"/>
      <c r="L284" s="29"/>
      <c r="M284" s="336"/>
    </row>
    <row r="285" spans="1:13" ht="13.5">
      <c r="A285" s="31"/>
      <c r="B285" s="263" t="s">
        <v>27</v>
      </c>
      <c r="C285" s="31"/>
      <c r="D285" s="32">
        <v>0.18</v>
      </c>
      <c r="E285" s="31"/>
      <c r="F285" s="31"/>
      <c r="G285" s="31"/>
      <c r="H285" s="31"/>
      <c r="I285" s="31"/>
      <c r="J285" s="31"/>
      <c r="K285" s="31"/>
      <c r="L285" s="33"/>
      <c r="M285" s="263"/>
    </row>
    <row r="286" spans="1:13" ht="14.25">
      <c r="A286" s="31"/>
      <c r="B286" s="232" t="s">
        <v>8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29"/>
      <c r="M286" s="336"/>
    </row>
    <row r="287" spans="1:13" ht="27">
      <c r="A287" s="263"/>
      <c r="B287" s="337" t="s">
        <v>354</v>
      </c>
      <c r="C287" s="338"/>
      <c r="D287" s="263"/>
      <c r="E287" s="263"/>
      <c r="F287" s="263">
        <v>1</v>
      </c>
      <c r="G287" s="263">
        <v>1200</v>
      </c>
      <c r="H287" s="263"/>
      <c r="I287" s="263"/>
      <c r="J287" s="263"/>
      <c r="K287" s="263"/>
      <c r="L287" s="263"/>
      <c r="M287" s="263">
        <f>G287</f>
        <v>1200</v>
      </c>
    </row>
    <row r="288" spans="1:13" ht="27">
      <c r="A288" s="263"/>
      <c r="B288" s="337" t="s">
        <v>489</v>
      </c>
      <c r="C288" s="338"/>
      <c r="D288" s="263"/>
      <c r="E288" s="263"/>
      <c r="F288" s="263">
        <v>1</v>
      </c>
      <c r="G288" s="263">
        <v>400</v>
      </c>
      <c r="H288" s="263"/>
      <c r="I288" s="263"/>
      <c r="J288" s="263"/>
      <c r="K288" s="263"/>
      <c r="L288" s="263"/>
      <c r="M288" s="263">
        <f>G288</f>
        <v>400</v>
      </c>
    </row>
    <row r="289" spans="1:13" ht="14.25">
      <c r="A289" s="31"/>
      <c r="B289" s="232" t="s">
        <v>8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29"/>
      <c r="M289" s="336"/>
    </row>
    <row r="290" spans="1:13" ht="13.5">
      <c r="A290" s="263"/>
      <c r="B290" s="263" t="s">
        <v>643</v>
      </c>
      <c r="C290" s="338"/>
      <c r="D290" s="263"/>
      <c r="E290" s="263"/>
      <c r="F290" s="263">
        <v>2</v>
      </c>
      <c r="G290" s="263"/>
      <c r="H290" s="263"/>
      <c r="I290" s="263"/>
      <c r="J290" s="263"/>
      <c r="K290" s="263"/>
      <c r="L290" s="263"/>
      <c r="M290" s="263"/>
    </row>
    <row r="291" spans="2:11" ht="16.5">
      <c r="B291" s="285"/>
      <c r="C291" s="540"/>
      <c r="D291" s="540"/>
      <c r="E291" s="285"/>
      <c r="F291" s="285"/>
      <c r="G291" s="285"/>
      <c r="H291" s="285"/>
      <c r="I291" s="540"/>
      <c r="J291" s="540"/>
      <c r="K291" s="285"/>
    </row>
    <row r="292" spans="2:11" ht="13.5">
      <c r="B292" s="284" t="s">
        <v>617</v>
      </c>
      <c r="C292" s="222"/>
      <c r="D292" s="506" t="s">
        <v>618</v>
      </c>
      <c r="E292" s="506"/>
      <c r="F292" s="222"/>
      <c r="G292" s="222"/>
      <c r="H292" s="222"/>
      <c r="I292" s="222"/>
      <c r="J292" s="222"/>
      <c r="K292" s="222"/>
    </row>
    <row r="293" spans="2:11" ht="13.5"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</row>
    <row r="294" spans="2:11" ht="13.5">
      <c r="B294" s="292"/>
      <c r="C294" s="292"/>
      <c r="D294" s="222"/>
      <c r="E294" s="222"/>
      <c r="F294" s="222"/>
      <c r="G294" s="222"/>
      <c r="H294" s="222"/>
      <c r="I294" s="222"/>
      <c r="J294" s="222"/>
      <c r="K294" s="222"/>
    </row>
    <row r="295" spans="2:11" ht="13.5">
      <c r="B295" s="292"/>
      <c r="C295" s="222"/>
      <c r="D295" s="222"/>
      <c r="E295" s="222"/>
      <c r="F295" s="222"/>
      <c r="G295" s="222"/>
      <c r="H295" s="222"/>
      <c r="I295" s="222"/>
      <c r="J295" s="222"/>
      <c r="K295" s="222"/>
    </row>
    <row r="296" spans="2:11" ht="13.5">
      <c r="B296" s="293"/>
      <c r="C296" s="222"/>
      <c r="D296" s="222"/>
      <c r="E296" s="222"/>
      <c r="F296" s="222"/>
      <c r="G296" s="222"/>
      <c r="H296" s="222"/>
      <c r="I296" s="529"/>
      <c r="J296" s="529"/>
      <c r="K296" s="222"/>
    </row>
    <row r="297" spans="2:11" ht="13.5">
      <c r="B297" s="530"/>
      <c r="C297" s="530"/>
      <c r="D297" s="222"/>
      <c r="E297" s="222"/>
      <c r="F297" s="222"/>
      <c r="G297" s="222"/>
      <c r="H297" s="222"/>
      <c r="I297" s="222"/>
      <c r="J297" s="222"/>
      <c r="K297" s="222"/>
    </row>
    <row r="298" spans="2:11" ht="13.5"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</row>
    <row r="299" spans="2:11" ht="13.5"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</row>
    <row r="300" spans="2:11" ht="13.5"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</row>
    <row r="301" spans="2:11" ht="13.5"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</row>
    <row r="302" spans="2:11" ht="13.5"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</row>
    <row r="303" spans="2:11" ht="13.5"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</row>
    <row r="304" spans="2:11" ht="13.5">
      <c r="B304" s="159"/>
      <c r="C304" s="222"/>
      <c r="D304" s="222"/>
      <c r="E304" s="222"/>
      <c r="F304" s="222"/>
      <c r="G304" s="222"/>
      <c r="H304" s="222"/>
      <c r="I304" s="222"/>
      <c r="J304" s="222"/>
      <c r="K304" s="222"/>
    </row>
  </sheetData>
  <sheetProtection/>
  <mergeCells count="18">
    <mergeCell ref="C291:D291"/>
    <mergeCell ref="I291:J291"/>
    <mergeCell ref="I296:J296"/>
    <mergeCell ref="B297:C297"/>
    <mergeCell ref="A5:A6"/>
    <mergeCell ref="B5:B6"/>
    <mergeCell ref="C5:C6"/>
    <mergeCell ref="D5:D6"/>
    <mergeCell ref="E5:E6"/>
    <mergeCell ref="D292:E292"/>
    <mergeCell ref="B1:M1"/>
    <mergeCell ref="F5:F6"/>
    <mergeCell ref="G5:H5"/>
    <mergeCell ref="I5:J5"/>
    <mergeCell ref="K5:L5"/>
    <mergeCell ref="A2:M2"/>
    <mergeCell ref="A3:M3"/>
    <mergeCell ref="B4:K4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Tariel Metreveli</cp:lastModifiedBy>
  <cp:lastPrinted>2019-07-01T18:27:43Z</cp:lastPrinted>
  <dcterms:created xsi:type="dcterms:W3CDTF">1996-10-14T23:33:28Z</dcterms:created>
  <dcterms:modified xsi:type="dcterms:W3CDTF">2021-01-18T15:25:51Z</dcterms:modified>
  <cp:category/>
  <cp:version/>
  <cp:contentType/>
  <cp:contentStatus/>
</cp:coreProperties>
</file>