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riel.sakhelashvili\Desktop\"/>
    </mc:Choice>
  </mc:AlternateContent>
  <bookViews>
    <workbookView xWindow="0" yWindow="0" windowWidth="28800" windowHeight="12300"/>
  </bookViews>
  <sheets>
    <sheet name="pirveli sviri" sheetId="5" r:id="rId1"/>
  </sheets>
  <definedNames>
    <definedName name="_xlnm._FilterDatabase" localSheetId="0" hidden="1">'pirveli sviri'!$A$7:$H$441</definedName>
    <definedName name="_xlnm.Print_Area" localSheetId="0">'pirveli sviri'!$A$2:$H$458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4" i="5" l="1"/>
  <c r="F75" i="5"/>
  <c r="F65" i="5"/>
  <c r="F61" i="5"/>
  <c r="F62" i="5" s="1"/>
  <c r="F56" i="5"/>
  <c r="F63" i="5" l="1"/>
  <c r="F64" i="5" s="1"/>
  <c r="F263" i="5" l="1"/>
  <c r="F98" i="5" l="1"/>
  <c r="F102" i="5" s="1"/>
  <c r="E107" i="5"/>
  <c r="F113" i="5"/>
  <c r="F118" i="5" s="1"/>
  <c r="F108" i="5"/>
  <c r="F110" i="5" s="1"/>
  <c r="F116" i="5" l="1"/>
  <c r="F114" i="5"/>
  <c r="F111" i="5"/>
  <c r="F104" i="5"/>
  <c r="F103" i="5"/>
  <c r="F109" i="5"/>
  <c r="F112" i="5"/>
  <c r="F115" i="5"/>
  <c r="F106" i="5"/>
  <c r="F99" i="5"/>
  <c r="F107" i="5"/>
  <c r="F101" i="5"/>
  <c r="F105" i="5"/>
  <c r="F100" i="5"/>
  <c r="F184" i="5" l="1"/>
  <c r="F186" i="5" l="1"/>
  <c r="F185" i="5"/>
  <c r="F182" i="5" l="1"/>
  <c r="F181" i="5"/>
  <c r="F180" i="5"/>
  <c r="F179" i="5"/>
  <c r="F178" i="5"/>
  <c r="F177" i="5"/>
  <c r="F175" i="5"/>
  <c r="F174" i="5"/>
  <c r="F173" i="5"/>
  <c r="F172" i="5"/>
  <c r="F171" i="5"/>
  <c r="F166" i="5"/>
  <c r="F156" i="5"/>
  <c r="F148" i="5"/>
  <c r="F154" i="5" s="1"/>
  <c r="F135" i="5"/>
  <c r="F134" i="5"/>
  <c r="F133" i="5"/>
  <c r="F132" i="5"/>
  <c r="F131" i="5"/>
  <c r="F121" i="5"/>
  <c r="F125" i="5"/>
  <c r="F165" i="5"/>
  <c r="F164" i="5"/>
  <c r="F163" i="5"/>
  <c r="F162" i="5"/>
  <c r="F153" i="5"/>
  <c r="F151" i="5" l="1"/>
  <c r="F157" i="5"/>
  <c r="F142" i="5"/>
  <c r="F159" i="5"/>
  <c r="F146" i="5"/>
  <c r="F158" i="5"/>
  <c r="F160" i="5"/>
  <c r="F167" i="5"/>
  <c r="F168" i="5"/>
  <c r="F169" i="5"/>
  <c r="F138" i="5"/>
  <c r="F136" i="5"/>
  <c r="F140" i="5"/>
  <c r="F144" i="5"/>
  <c r="F149" i="5"/>
  <c r="F139" i="5"/>
  <c r="F143" i="5"/>
  <c r="F147" i="5"/>
  <c r="F152" i="5"/>
  <c r="F137" i="5"/>
  <c r="F141" i="5"/>
  <c r="F145" i="5"/>
  <c r="F150" i="5"/>
  <c r="F123" i="5"/>
  <c r="F122" i="5"/>
  <c r="F124" i="5" l="1"/>
  <c r="F127" i="5" l="1"/>
  <c r="F350" i="5"/>
  <c r="F349" i="5"/>
  <c r="F348" i="5"/>
  <c r="F128" i="5" l="1"/>
  <c r="F129" i="5"/>
  <c r="F126" i="5"/>
  <c r="F276" i="5" l="1"/>
  <c r="F278" i="5" l="1"/>
  <c r="F277" i="5"/>
  <c r="E299" i="5" l="1"/>
  <c r="F295" i="5"/>
  <c r="F220" i="5"/>
  <c r="F214" i="5"/>
  <c r="F191" i="5"/>
  <c r="F195" i="5"/>
  <c r="F90" i="5"/>
  <c r="F57" i="5" l="1"/>
  <c r="F294" i="5"/>
  <c r="F293" i="5"/>
  <c r="F58" i="5"/>
  <c r="F60" i="5"/>
  <c r="F59" i="5"/>
  <c r="F399" i="5"/>
  <c r="F395" i="5"/>
  <c r="F402" i="5" l="1"/>
  <c r="F397" i="5"/>
  <c r="F403" i="5" s="1"/>
  <c r="F396" i="5"/>
  <c r="F400" i="5"/>
  <c r="F401" i="5"/>
  <c r="F392" i="5"/>
  <c r="F391" i="5"/>
  <c r="F390" i="5"/>
  <c r="F389" i="5"/>
  <c r="F388" i="5"/>
  <c r="F387" i="5"/>
  <c r="F385" i="5"/>
  <c r="F384" i="5"/>
  <c r="F383" i="5"/>
  <c r="F382" i="5"/>
  <c r="F381" i="5"/>
  <c r="F380" i="5"/>
  <c r="F379" i="5"/>
  <c r="F378" i="5"/>
  <c r="F377" i="5"/>
  <c r="F374" i="5"/>
  <c r="F372" i="5"/>
  <c r="F369" i="5"/>
  <c r="F368" i="5"/>
  <c r="F367" i="5"/>
  <c r="F365" i="5"/>
  <c r="F364" i="5"/>
  <c r="E363" i="5"/>
  <c r="F363" i="5" s="1"/>
  <c r="E362" i="5"/>
  <c r="E361" i="5"/>
  <c r="F361" i="5" s="1"/>
  <c r="E360" i="5"/>
  <c r="F360" i="5" s="1"/>
  <c r="F359" i="5"/>
  <c r="F357" i="5"/>
  <c r="F356" i="5"/>
  <c r="F355" i="5"/>
  <c r="F354" i="5"/>
  <c r="F353" i="5"/>
  <c r="F352" i="5"/>
  <c r="F67" i="5"/>
  <c r="F49" i="5"/>
  <c r="F45" i="5"/>
  <c r="F40" i="5"/>
  <c r="F35" i="5"/>
  <c r="F31" i="5"/>
  <c r="F25" i="5"/>
  <c r="F11" i="5"/>
  <c r="F42" i="5" l="1"/>
  <c r="F47" i="5"/>
  <c r="F398" i="5"/>
  <c r="F371" i="5"/>
  <c r="F15" i="5"/>
  <c r="F370" i="5"/>
  <c r="F373" i="5"/>
  <c r="F362" i="5"/>
  <c r="F50" i="5"/>
  <c r="F249" i="5"/>
  <c r="F288" i="5"/>
  <c r="F284" i="5"/>
  <c r="F274" i="5"/>
  <c r="F259" i="5"/>
  <c r="F223" i="5"/>
  <c r="F196" i="5"/>
  <c r="F88" i="5"/>
  <c r="F81" i="5"/>
  <c r="F70" i="5"/>
  <c r="F46" i="5"/>
  <c r="F431" i="5"/>
  <c r="F430" i="5"/>
  <c r="F429" i="5"/>
  <c r="F428" i="5"/>
  <c r="F427" i="5"/>
  <c r="F426" i="5"/>
  <c r="F425" i="5"/>
  <c r="F424" i="5"/>
  <c r="F423" i="5"/>
  <c r="F420" i="5"/>
  <c r="F418" i="5"/>
  <c r="F415" i="5"/>
  <c r="F414" i="5"/>
  <c r="F413" i="5"/>
  <c r="F411" i="5"/>
  <c r="F410" i="5"/>
  <c r="E409" i="5"/>
  <c r="F409" i="5" s="1"/>
  <c r="E408" i="5"/>
  <c r="E407" i="5"/>
  <c r="F407" i="5" s="1"/>
  <c r="E406" i="5"/>
  <c r="F406" i="5" s="1"/>
  <c r="F405" i="5"/>
  <c r="F344" i="5"/>
  <c r="F343" i="5"/>
  <c r="F342" i="5"/>
  <c r="F341" i="5"/>
  <c r="F340" i="5"/>
  <c r="F339" i="5"/>
  <c r="F337" i="5"/>
  <c r="F336" i="5"/>
  <c r="F335" i="5"/>
  <c r="F334" i="5"/>
  <c r="F333" i="5"/>
  <c r="F332" i="5"/>
  <c r="F331" i="5"/>
  <c r="F330" i="5"/>
  <c r="F329" i="5"/>
  <c r="F326" i="5"/>
  <c r="F324" i="5"/>
  <c r="F321" i="5"/>
  <c r="F320" i="5"/>
  <c r="F319" i="5"/>
  <c r="F317" i="5"/>
  <c r="F316" i="5"/>
  <c r="E315" i="5"/>
  <c r="E314" i="5"/>
  <c r="E313" i="5"/>
  <c r="F313" i="5" s="1"/>
  <c r="E312" i="5"/>
  <c r="F312" i="5" s="1"/>
  <c r="F311" i="5"/>
  <c r="F309" i="5"/>
  <c r="F308" i="5"/>
  <c r="F307" i="5"/>
  <c r="F306" i="5"/>
  <c r="F305" i="5"/>
  <c r="F304" i="5"/>
  <c r="F289" i="5"/>
  <c r="E282" i="5"/>
  <c r="E281" i="5"/>
  <c r="F275" i="5"/>
  <c r="F271" i="5"/>
  <c r="F268" i="5"/>
  <c r="F267" i="5"/>
  <c r="F266" i="5"/>
  <c r="F265" i="5"/>
  <c r="F264" i="5"/>
  <c r="F258" i="5"/>
  <c r="F257" i="5"/>
  <c r="F255" i="5"/>
  <c r="F254" i="5"/>
  <c r="F253" i="5"/>
  <c r="F252" i="5"/>
  <c r="E240" i="5"/>
  <c r="E234" i="5"/>
  <c r="F241" i="5"/>
  <c r="F228" i="5"/>
  <c r="F229" i="5"/>
  <c r="F224" i="5"/>
  <c r="F219" i="5"/>
  <c r="F218" i="5"/>
  <c r="F217" i="5"/>
  <c r="F216" i="5"/>
  <c r="F215" i="5"/>
  <c r="F213" i="5"/>
  <c r="E211" i="5"/>
  <c r="F211" i="5" s="1"/>
  <c r="F210" i="5"/>
  <c r="F208" i="5"/>
  <c r="F207" i="5"/>
  <c r="F206" i="5"/>
  <c r="F205" i="5"/>
  <c r="E202" i="5"/>
  <c r="F198" i="5"/>
  <c r="F197" i="5"/>
  <c r="F95" i="5"/>
  <c r="F94" i="5"/>
  <c r="F93" i="5"/>
  <c r="E92" i="5"/>
  <c r="F92" i="5" s="1"/>
  <c r="F91" i="5"/>
  <c r="E86" i="5"/>
  <c r="F83" i="5"/>
  <c r="F82" i="5"/>
  <c r="E81" i="5"/>
  <c r="F80" i="5"/>
  <c r="F79" i="5"/>
  <c r="F78" i="5"/>
  <c r="E77" i="5"/>
  <c r="F77" i="5" s="1"/>
  <c r="F76" i="5"/>
  <c r="E74" i="5"/>
  <c r="F71" i="5"/>
  <c r="F41" i="5"/>
  <c r="E39" i="5"/>
  <c r="F39" i="5" s="1"/>
  <c r="E38" i="5"/>
  <c r="F38" i="5" s="1"/>
  <c r="E37" i="5"/>
  <c r="F37" i="5" s="1"/>
  <c r="E36" i="5"/>
  <c r="F36" i="5" s="1"/>
  <c r="F34" i="5"/>
  <c r="E32" i="5"/>
  <c r="F32" i="5" s="1"/>
  <c r="F30" i="5"/>
  <c r="F29" i="5"/>
  <c r="F28" i="5"/>
  <c r="E26" i="5"/>
  <c r="F24" i="5"/>
  <c r="E23" i="5"/>
  <c r="F23" i="5" s="1"/>
  <c r="F21" i="5"/>
  <c r="E17" i="5"/>
  <c r="E14" i="5"/>
  <c r="E10" i="5"/>
  <c r="F10" i="5" s="1"/>
  <c r="F17" i="5" l="1"/>
  <c r="F48" i="5"/>
  <c r="F19" i="5"/>
  <c r="F419" i="5"/>
  <c r="F322" i="5"/>
  <c r="F297" i="5"/>
  <c r="F221" i="5"/>
  <c r="F225" i="5"/>
  <c r="F272" i="5"/>
  <c r="F222" i="5"/>
  <c r="F273" i="5"/>
  <c r="F270" i="5"/>
  <c r="F53" i="5"/>
  <c r="F200" i="5"/>
  <c r="F52" i="5"/>
  <c r="F51" i="5"/>
  <c r="F192" i="5"/>
  <c r="F26" i="5"/>
  <c r="F283" i="5"/>
  <c r="F14" i="5"/>
  <c r="F68" i="5"/>
  <c r="F72" i="5"/>
  <c r="F193" i="5"/>
  <c r="F69" i="5"/>
  <c r="F73" i="5"/>
  <c r="F66" i="5"/>
  <c r="F74" i="5"/>
  <c r="F291" i="5"/>
  <c r="F287" i="5"/>
  <c r="F280" i="5"/>
  <c r="F281" i="5"/>
  <c r="F285" i="5"/>
  <c r="F282" i="5"/>
  <c r="F417" i="5"/>
  <c r="F261" i="5"/>
  <c r="F262" i="5"/>
  <c r="F245" i="5"/>
  <c r="F246" i="5"/>
  <c r="F260" i="5"/>
  <c r="F408" i="5"/>
  <c r="F12" i="5"/>
  <c r="F13" i="5"/>
  <c r="F16" i="5"/>
  <c r="F18" i="5"/>
  <c r="F315" i="5"/>
  <c r="F314" i="5"/>
  <c r="F86" i="5"/>
  <c r="F85" i="5"/>
  <c r="F87" i="5"/>
  <c r="F236" i="5"/>
  <c r="F89" i="5"/>
  <c r="F243" i="5"/>
  <c r="F238" i="5"/>
  <c r="F234" i="5"/>
  <c r="F233" i="5"/>
  <c r="F240" i="5"/>
  <c r="F239" i="5"/>
  <c r="F235" i="5"/>
  <c r="F237" i="5"/>
  <c r="F242" i="5"/>
  <c r="F230" i="5"/>
  <c r="F231" i="5"/>
  <c r="F247" i="5"/>
  <c r="F248" i="5"/>
  <c r="F323" i="5"/>
  <c r="F325" i="5"/>
  <c r="F416" i="5"/>
  <c r="F290" i="5" l="1"/>
  <c r="F203" i="5"/>
  <c r="F194" i="5"/>
  <c r="F299" i="5"/>
  <c r="F298" i="5"/>
  <c r="F300" i="5"/>
  <c r="F202" i="5"/>
  <c r="F201" i="5"/>
  <c r="F199" i="5"/>
  <c r="F296" i="5" l="1"/>
</calcChain>
</file>

<file path=xl/sharedStrings.xml><?xml version="1.0" encoding="utf-8"?>
<sst xmlns="http://schemas.openxmlformats.org/spreadsheetml/2006/main" count="1154" uniqueCount="322">
  <si>
    <t>N</t>
  </si>
  <si>
    <t>ნორმა</t>
  </si>
  <si>
    <t>სამუშაოებისა და მასალების დასახელება</t>
  </si>
  <si>
    <t>განზ. ერთ.</t>
  </si>
  <si>
    <t>ნორმატიული</t>
  </si>
  <si>
    <t xml:space="preserve">სულ </t>
  </si>
  <si>
    <t>რაოდენობა</t>
  </si>
  <si>
    <t>მოსამზადებელი სამუშაოები</t>
  </si>
  <si>
    <t>კვლევა-ძიების კრებული ცხრ-114-2/5 კ=0.85</t>
  </si>
  <si>
    <t>ტრასის აღდგენა და გამაგრება</t>
  </si>
  <si>
    <t>კმ</t>
  </si>
  <si>
    <t>შრომითი დანახარჯები</t>
  </si>
  <si>
    <t>კაც/სთ</t>
  </si>
  <si>
    <t>1-84.5 მის.</t>
  </si>
  <si>
    <t>100 მ³</t>
  </si>
  <si>
    <t>მ.ც.</t>
  </si>
  <si>
    <t>კოდი 3410</t>
  </si>
  <si>
    <t>სანგრევი ჩაქუჩი მომუშავე მოძრავ კომპრესორზე</t>
  </si>
  <si>
    <t>მანქ/სთ</t>
  </si>
  <si>
    <t>კოდი 0803</t>
  </si>
  <si>
    <t>კომპრესორი მოძრავი შიდაწვის ძრავით 7 ატმ, 9 კუბ.მ./წთ (დიზელზე)</t>
  </si>
  <si>
    <t xml:space="preserve">მანქ/სთ </t>
  </si>
  <si>
    <t>1.22-6</t>
  </si>
  <si>
    <t xml:space="preserve">მოხსნილი არსებული დაზიანებული ბეტონის საფარის  დატვირთვა ავტო თვითმცლელზე </t>
  </si>
  <si>
    <t>1000 მ³</t>
  </si>
  <si>
    <t>კოდი..0920</t>
  </si>
  <si>
    <t>ექსკავატორი 1 მ³ მუხლუხა სვლაზე სხვა სახის მშენებლობაზე</t>
  </si>
  <si>
    <t>ს.რ.ფ.</t>
  </si>
  <si>
    <t>სხვა მანქანები</t>
  </si>
  <si>
    <t>ლარი</t>
  </si>
  <si>
    <t>14-2.15</t>
  </si>
  <si>
    <t>ტ</t>
  </si>
  <si>
    <t>საბაზრო</t>
  </si>
  <si>
    <t>არსებული გარე განათების ბოძზე სანათის და სადენის დემონტაჟი</t>
  </si>
  <si>
    <t>ც</t>
  </si>
  <si>
    <t>33-252-2-3 მის.</t>
  </si>
  <si>
    <t>არსებული ელ.ბოძის დემონტაჟი</t>
  </si>
  <si>
    <t>1 ბოძი</t>
  </si>
  <si>
    <t>ამწე საავტომობილო სვლაზე ელ გადამცემი ხაზების მშ.</t>
  </si>
  <si>
    <t>1-80-1                     კ=1.2</t>
  </si>
  <si>
    <t>1-ლი კატეგორიის გრუნტის ფენის დამუშავება ხელით საყრდენებისათვის</t>
  </si>
  <si>
    <t>33-254-1</t>
  </si>
  <si>
    <t xml:space="preserve"> ბოძების ხელახალი მონტაჟი</t>
  </si>
  <si>
    <t>მ3</t>
  </si>
  <si>
    <t>კოდი 1413</t>
  </si>
  <si>
    <t>ვიბრატორი</t>
  </si>
  <si>
    <t>4.1-338-4.1-354</t>
  </si>
  <si>
    <t>სასაქონლო ბეტონი მძიმე  F200, W6, B-22.5</t>
  </si>
  <si>
    <t>მ³</t>
  </si>
  <si>
    <t>გრუნტის უკუჩაყრა</t>
  </si>
  <si>
    <t>სანათის და სადენების მონტაჟი ბოძზე</t>
  </si>
  <si>
    <t>100 მ</t>
  </si>
  <si>
    <t>კოდი 1814</t>
  </si>
  <si>
    <t>ამწე მილჩამწყობი d=250-500 მმ-მდე</t>
  </si>
  <si>
    <t>ს.რ.ფ</t>
  </si>
  <si>
    <t>სხვა მასალები</t>
  </si>
  <si>
    <t>Енир 1-22-2</t>
  </si>
  <si>
    <t xml:space="preserve">დემონტაჟირებული მასალის დატვირთვა ავტოთვითმცლელზე ხელით </t>
  </si>
  <si>
    <t>14.2-15</t>
  </si>
  <si>
    <t>ჯამი</t>
  </si>
  <si>
    <t>მიწის სამუშაოები</t>
  </si>
  <si>
    <t>1-80-3</t>
  </si>
  <si>
    <t>3 კატეგორიის გრუნტის დამუშავება ხელით</t>
  </si>
  <si>
    <t xml:space="preserve">შრომითი დანახარჯები  </t>
  </si>
  <si>
    <t>Енир 1-22-1</t>
  </si>
  <si>
    <t xml:space="preserve">გრუნტის  დატვირთვა ავტოთვითმცლელზე ხელით </t>
  </si>
  <si>
    <t>1.22-15</t>
  </si>
  <si>
    <t xml:space="preserve">3 კატეგორიის გრუნტის დამუშავება და დატვირთვა ექსკავატორით ავტოთვითმცლელზე </t>
  </si>
  <si>
    <t>კოდი 0918</t>
  </si>
  <si>
    <t>ექსკავატორი 0.5 მ³ მუხლუხა სვლაზე სხვა სახის მშენებლობაზე</t>
  </si>
  <si>
    <t>კოდი  3410</t>
  </si>
  <si>
    <t>მანქ-სთ</t>
  </si>
  <si>
    <t>კოდი 1010</t>
  </si>
  <si>
    <t>ბულდოზერი სხვა სახის მშენებლობაზე 79 კვტ (108 ცხ.ძ)</t>
  </si>
  <si>
    <t>.1-25.2</t>
  </si>
  <si>
    <t>2-3კატეგორიის გრუნტის დამუშავება ნაყარში</t>
  </si>
  <si>
    <t>მონოლითური რკინა/ბეტონის კიუვეტის მოწყობა</t>
  </si>
  <si>
    <t>ქვესაგები ფენა ფრაქციული ღორღით (0-40მმ) სისქით 10 სმ.</t>
  </si>
  <si>
    <t>კოდი 1504</t>
  </si>
  <si>
    <t>ავტოგრეიდერი საშუალო ტიპის 79 კვტ (108 ცხ.ძ)</t>
  </si>
  <si>
    <t>ბულდოზერი  სხვა სახის მშენებლობისთვის 79 კვტ (108 ცხ.ძ)</t>
  </si>
  <si>
    <t>კოდი 1521</t>
  </si>
  <si>
    <t>სატკეპნი საგზაო თვითმავალი გლუვი 5 ტ</t>
  </si>
  <si>
    <t>კოდი 1522</t>
  </si>
  <si>
    <t>სატკეპნი საგზაო თვითმავალი გლუვი 10 ტ (დიზელზე)</t>
  </si>
  <si>
    <t>კოდი 1554</t>
  </si>
  <si>
    <t>მოსარწყავ-მოსარეცხი მანქანა 6000 ლ</t>
  </si>
  <si>
    <t>კოდი 1559</t>
  </si>
  <si>
    <t>ქვის ნამტრევების მანაწილებელი</t>
  </si>
  <si>
    <t>საბ</t>
  </si>
  <si>
    <t>წყალი</t>
  </si>
  <si>
    <t>4.1-249</t>
  </si>
  <si>
    <t xml:space="preserve">ღორღი  ფრაქციით 0-40 მმ სისქით 10 სმ </t>
  </si>
  <si>
    <t xml:space="preserve">37-64-6            </t>
  </si>
  <si>
    <t>რ/ბ კიუვეტის მოწყობა</t>
  </si>
  <si>
    <t>13-56</t>
  </si>
  <si>
    <t>ამწე მუხლუხა სვლაზე ჰიდროენერგეტიკულ მშენებლობაზე 10 ტ</t>
  </si>
  <si>
    <t>4.1-339-4.1-354</t>
  </si>
  <si>
    <t>ბეტონი B25 F200 W6</t>
  </si>
  <si>
    <t>4,1-378</t>
  </si>
  <si>
    <t>ცემენტის ხსნარი M200</t>
  </si>
  <si>
    <t>5.1-22</t>
  </si>
  <si>
    <t>ფიცარი ჩამოგანილი წიწვოვანი, სისქით 40-60 მმ, III ხარისხის</t>
  </si>
  <si>
    <t>1.10-17</t>
  </si>
  <si>
    <t>ჭანჭიკი</t>
  </si>
  <si>
    <t>კგ</t>
  </si>
  <si>
    <t>37-66.2</t>
  </si>
  <si>
    <t>არმატურის კარკასის მოწყობა</t>
  </si>
  <si>
    <t>შრომის დანახარჯი</t>
  </si>
  <si>
    <t>კ/სთ</t>
  </si>
  <si>
    <t>კოდი 0481</t>
  </si>
  <si>
    <t>ამწე მუხლუხა სვლაზე 25ტ</t>
  </si>
  <si>
    <t>სრფ</t>
  </si>
  <si>
    <t>1,1-25</t>
  </si>
  <si>
    <t>საპრ.</t>
  </si>
  <si>
    <t>37-66.2 მის.</t>
  </si>
  <si>
    <t>ლითონის ცხაურების მოწყობა</t>
  </si>
  <si>
    <t>1.4-34</t>
  </si>
  <si>
    <t>კუთხოვანა 70*70*5</t>
  </si>
  <si>
    <t>რკინაბეტონის   მილების დ 1 მ მოწყობის სამუშაოები</t>
  </si>
  <si>
    <t>8-3-2</t>
  </si>
  <si>
    <t xml:space="preserve">− მილის  ქვეშ ქვიშა-ხრეშოვანი საგების  მოწყობა h=30 სმ  </t>
  </si>
  <si>
    <t>4.1-229</t>
  </si>
  <si>
    <t>ქვიშა-ხრეშოვანი ნარევი საგზაო სამუშაოებისათვის</t>
  </si>
  <si>
    <t>30-39-3</t>
  </si>
  <si>
    <t>რკინაბეტონის ანაკრები მილის მონტაჟი d-1000 mm</t>
  </si>
  <si>
    <t>საბ.</t>
  </si>
  <si>
    <t>რკინაბეტონის მილი d-1000 მმ ტრანსპორტირებით</t>
  </si>
  <si>
    <t>მ</t>
  </si>
  <si>
    <t>30-51-3</t>
  </si>
  <si>
    <t>ბიტუმის წასაცხები ჰიდროიზოლაციის მოწყობა, 2 ფენა</t>
  </si>
  <si>
    <t>4,1-545</t>
  </si>
  <si>
    <t>ბიტუმი ნავთობის</t>
  </si>
  <si>
    <t>30-51-2მის.</t>
  </si>
  <si>
    <t>ასაკრავი ჰიდროიზოლაციის მოწყობა ქაფპლასტის ფილების მოწყობით</t>
  </si>
  <si>
    <t>4,1-543</t>
  </si>
  <si>
    <t>4,1-374</t>
  </si>
  <si>
    <t>ქვიშა-ხრეშოვანი საგების  მოწყობა, სისქით 10 სმ</t>
  </si>
  <si>
    <t>4.1-242</t>
  </si>
  <si>
    <t>37-64-4</t>
  </si>
  <si>
    <t>შრომითი დანახარჯი</t>
  </si>
  <si>
    <t>კც-სთ</t>
  </si>
  <si>
    <t>კოდი 0470</t>
  </si>
  <si>
    <t>ამწე საავტომობილო სვლაზე 10ტ</t>
  </si>
  <si>
    <t>4.1-340-4.1-354</t>
  </si>
  <si>
    <t>სასაქონლო ბეტონი მძიმე (ღორღის) F200, W6, B-30</t>
  </si>
  <si>
    <t>4.1-367</t>
  </si>
  <si>
    <t>5-85</t>
  </si>
  <si>
    <t>ყალიბის ფარი 25 მმ</t>
  </si>
  <si>
    <t>მ2</t>
  </si>
  <si>
    <t>5-7</t>
  </si>
  <si>
    <t>ხე მასალა მრგვალი</t>
  </si>
  <si>
    <t>5-22</t>
  </si>
  <si>
    <t>ფიცარი 40-60მმ IIIხ</t>
  </si>
  <si>
    <t>1-10-28.</t>
  </si>
  <si>
    <t>სამშენებლო ქანჩი</t>
  </si>
  <si>
    <t>1-9-72</t>
  </si>
  <si>
    <t>ნაჭედი</t>
  </si>
  <si>
    <t>ლ</t>
  </si>
  <si>
    <t>4,1-520</t>
  </si>
  <si>
    <t>1-81-3 მის.</t>
  </si>
  <si>
    <t xml:space="preserve"> ქვის რისბერმის მოწყობა</t>
  </si>
  <si>
    <t>4.1-257</t>
  </si>
  <si>
    <t>კლდოვანი ქანების ბალასტი საგზაო სამუშაოებისათვის</t>
  </si>
  <si>
    <t>23-17 მის.</t>
  </si>
  <si>
    <t>ბეტონის წყალმიმღები ჭის მოწყობა</t>
  </si>
  <si>
    <t>სასაქონლო ბეტონი მძიმე (ღორღის) F200, W6, B-22,5</t>
  </si>
  <si>
    <t>5.1-19</t>
  </si>
  <si>
    <t>ფიცარი ჩამოგანილი წიწვოვანი, სისქით 25-32 მმ, III ხარისხის</t>
  </si>
  <si>
    <t xml:space="preserve">27-7-2 მის.  </t>
  </si>
  <si>
    <t>თხრილის და კედლისუკანა სივრცის შევსება ქვიშა-ხერეშოვანი ნარევით</t>
  </si>
  <si>
    <t>k/sT</t>
  </si>
  <si>
    <t>კოდი 1525</t>
  </si>
  <si>
    <t>42-14-2</t>
  </si>
  <si>
    <t>სპეც პროფილის ბეტონის პარაპეტის მოწყობა</t>
  </si>
  <si>
    <t>100 მ3</t>
  </si>
  <si>
    <t>13-332 მის.</t>
  </si>
  <si>
    <t>პნევმოსაბურღი საკომპრესორო სადგრზე</t>
  </si>
  <si>
    <t>კოდი 0480</t>
  </si>
  <si>
    <t>ამწე მუხლუხა სვლაზე სვლაზე სხვა სახის მშენებლობის 15-16 ტ</t>
  </si>
  <si>
    <t>რ/ბეტონის პარაპეტი</t>
  </si>
  <si>
    <t>15-156-4</t>
  </si>
  <si>
    <t>სპეცპროფილის პარაპეტის შეღებვა პერქლორვინილიანი საღებავით</t>
  </si>
  <si>
    <t xml:space="preserve">100 მ² </t>
  </si>
  <si>
    <t xml:space="preserve">შრომითი დანახარჯები </t>
  </si>
  <si>
    <t>4.2-66</t>
  </si>
  <si>
    <t>საღებავი საგზაო ნიშნებისათვის</t>
  </si>
  <si>
    <t>4.2-78</t>
  </si>
  <si>
    <t>სინტეტიკური გამხსნელი</t>
  </si>
  <si>
    <t>27-7--2</t>
  </si>
  <si>
    <t>საფუძვლის ქვედა ფენის  მოწყობა ქვიშა-ხრეშოვანი ნარევით, ადგილ-ადგილ ( ფრაქციით 0-70 მმ-მდე),შემდგომში მისი სატკეპნით შემკვრივება</t>
  </si>
  <si>
    <t>კაც-სთ</t>
  </si>
  <si>
    <t>ქვიშა-ხრეშოვანი ნარევი</t>
  </si>
  <si>
    <t>ავტოგრეიდერი საშუალო ტიპის 79 კვტ (108 ცხძ)</t>
  </si>
  <si>
    <t>სატკეპნი საგზაო თვითმავალი პნევმოსვლაზე 18 ტ</t>
  </si>
  <si>
    <t>მოსარწყავ -მოსარეცხი მანქანა 6000 ლ</t>
  </si>
  <si>
    <t>27-11-1.</t>
  </si>
  <si>
    <t>კოდი  1504</t>
  </si>
  <si>
    <t>ავტოგრეიდერი საშუალო ტიპის 79 კვტ. (108 ცხ.ძ)</t>
  </si>
  <si>
    <t>სატკეპნი საგზაო თვითმავალი გლუვი 10 ტ</t>
  </si>
  <si>
    <t>მოსარწყავ-მოსარეცხი მანქანა 6000ლ</t>
  </si>
  <si>
    <t xml:space="preserve"> სრფ თ4  </t>
  </si>
  <si>
    <t>ფრაქციული  ღორღი  0-40მმ</t>
  </si>
  <si>
    <t>27-24--1</t>
  </si>
  <si>
    <t xml:space="preserve"> ბეტონის საფარის მოწყობა ბეტონით   B 30   W-6, სისქით 16 სმ, არმირებით</t>
  </si>
  <si>
    <t>კოდი 0209</t>
  </si>
  <si>
    <t>ტრაქტორი მუხლუხა სვლაზე 79 კვტ  (108 ცხძ)</t>
  </si>
  <si>
    <t>ამწე საავტიმობილო სვლაზე  6,5 ტ</t>
  </si>
  <si>
    <t>კოდი 1561</t>
  </si>
  <si>
    <t>ცემენტ-ბეტონის მანაწილებელი</t>
  </si>
  <si>
    <t>კოდი  0945</t>
  </si>
  <si>
    <t>ექსკავატორი მოშანდაკების (მაპროფილებელი)</t>
  </si>
  <si>
    <t>ზედაპირის დამუშავება დისპერსიული მასალით ( პარაფინი)  ორჯერ (0,4 კგ/მ2)</t>
  </si>
  <si>
    <t>მანქანები</t>
  </si>
  <si>
    <t>სრფ თ4</t>
  </si>
  <si>
    <t>ბეტონი  B-30</t>
  </si>
  <si>
    <t xml:space="preserve">არმატურის ბადე 20*20 სმ </t>
  </si>
  <si>
    <t>.4.</t>
  </si>
  <si>
    <t>27--28-1</t>
  </si>
  <si>
    <t xml:space="preserve">განივი ტემპერატურული ნაკერების მოწყობა და შევსება ბიტუმის ემულსიით </t>
  </si>
  <si>
    <t>გრძ.მ</t>
  </si>
  <si>
    <t>წიბოების მჭრელი</t>
  </si>
  <si>
    <t>ნაკერების ჩამსხმელი</t>
  </si>
  <si>
    <t>ბიტუმის ემულსია</t>
  </si>
  <si>
    <t>სხვა მასალა</t>
  </si>
  <si>
    <t>27-7-2</t>
  </si>
  <si>
    <t>მისაყრელი გვერდულების მოწყობა ქვიშა- ხრეშოვანი მასალით (0-70- მდე)</t>
  </si>
  <si>
    <t xml:space="preserve"> სრფ თ4  #524</t>
  </si>
  <si>
    <t>კოდი  1525</t>
  </si>
  <si>
    <t>სატკეპნი საგზაო თვითმავალი პნევმოსვლაზე 18ტ</t>
  </si>
  <si>
    <t>კოდი  1554</t>
  </si>
  <si>
    <t>არმატურის ბადე 20*20 სმ   Ф 8</t>
  </si>
  <si>
    <t>კოდი  0209</t>
  </si>
  <si>
    <t>ზედნადები ხარჯები</t>
  </si>
  <si>
    <t>გეგმიური დაგროვება</t>
  </si>
  <si>
    <t>სულ ჯამი</t>
  </si>
  <si>
    <t>დ.ღ.გ</t>
  </si>
  <si>
    <t>გაუთვალისწინებელი ხარჯი</t>
  </si>
  <si>
    <t xml:space="preserve">არსებული დაზიანებული ბეტონის საფარის  მოხსნა სანგრევი ჩაქუჩებით </t>
  </si>
  <si>
    <t>არმატურა A-I</t>
  </si>
  <si>
    <t>ტვირთის ტრანსპორტირება ნაყარში 5 კმ მანძილზე</t>
  </si>
  <si>
    <t xml:space="preserve"> სულ ჯამი </t>
  </si>
  <si>
    <t>მონოლითური ბეტონის ფრთიანი სათავისი მოწყობა (კბილის, ღარის, ფრთის მოწყობა მონოლითური ბეტონით )</t>
  </si>
  <si>
    <t>1000 მ²</t>
  </si>
  <si>
    <r>
      <t>მ</t>
    </r>
    <r>
      <rPr>
        <b/>
        <sz val="12"/>
        <rFont val="Calibri"/>
        <family val="2"/>
        <charset val="204"/>
      </rPr>
      <t>³</t>
    </r>
  </si>
  <si>
    <r>
      <t>მ</t>
    </r>
    <r>
      <rPr>
        <sz val="12"/>
        <rFont val="Calibri"/>
        <family val="2"/>
        <charset val="204"/>
      </rPr>
      <t>³</t>
    </r>
  </si>
  <si>
    <r>
      <t>100 m</t>
    </r>
    <r>
      <rPr>
        <b/>
        <vertAlign val="superscript"/>
        <sz val="12"/>
        <rFont val="AcadNusx"/>
      </rPr>
      <t>3</t>
    </r>
  </si>
  <si>
    <r>
      <t>m</t>
    </r>
    <r>
      <rPr>
        <vertAlign val="superscript"/>
        <sz val="12"/>
        <rFont val="AcadNusx"/>
      </rPr>
      <t>3</t>
    </r>
  </si>
  <si>
    <r>
      <t>მ</t>
    </r>
    <r>
      <rPr>
        <b/>
        <vertAlign val="superscript"/>
        <sz val="12"/>
        <rFont val="Sylfaen"/>
        <family val="1"/>
      </rPr>
      <t>2</t>
    </r>
  </si>
  <si>
    <r>
      <t>მ</t>
    </r>
    <r>
      <rPr>
        <vertAlign val="superscript"/>
        <sz val="12"/>
        <rFont val="Sylfaen"/>
        <family val="1"/>
        <charset val="204"/>
      </rPr>
      <t>3</t>
    </r>
  </si>
  <si>
    <t xml:space="preserve"> 1-141-7 
კ=0.8</t>
  </si>
  <si>
    <t xml:space="preserve">საფუძვლის ზედა ფენის მოწყობა ფრაქციული  ღორღით 0-40 მმ  სისქე 15 სმ   </t>
  </si>
  <si>
    <t>ზესტაფონის მუნიციპალიტეტის სოფელ პირველ სვირში ცენტრალური გზიდან ჭულუხაძეები-ჭურაძეები-გეწაძეების საავტომობილო გზის რეაბილიტაციის სამუშაოების ხარჯთაღრიცხვა</t>
  </si>
  <si>
    <t>1-80-1 კ=1.2</t>
  </si>
  <si>
    <t>ბეტონის კონსტრუქციების დემონტაჟი</t>
  </si>
  <si>
    <t>საგზაო სამოსის მოწყობა (ტიპი 1)</t>
  </si>
  <si>
    <t>საგზაო სამოსის მოწყობა (სავალი ნაწილის გაფართოება)</t>
  </si>
  <si>
    <t>მიერთებებისა და ეზოს შესასვლელბის მოწყობა</t>
  </si>
  <si>
    <r>
      <t>100 მ</t>
    </r>
    <r>
      <rPr>
        <b/>
        <sz val="16"/>
        <color theme="1"/>
        <rFont val="Sylfaen"/>
        <family val="1"/>
      </rPr>
      <t>³</t>
    </r>
  </si>
  <si>
    <r>
      <t>მ</t>
    </r>
    <r>
      <rPr>
        <sz val="16"/>
        <color theme="1"/>
        <rFont val="Sylfaen"/>
        <family val="1"/>
      </rPr>
      <t>³</t>
    </r>
  </si>
  <si>
    <t>6-9-1</t>
  </si>
  <si>
    <t>t</t>
  </si>
  <si>
    <t>kac/sT</t>
  </si>
  <si>
    <t>l</t>
  </si>
  <si>
    <t xml:space="preserve"> ბეტონის საყრდენი კედელი. პკ10+33 პკ 10+96 (L-58მ)</t>
  </si>
  <si>
    <t>37-64-3</t>
  </si>
  <si>
    <t>m/sT</t>
  </si>
  <si>
    <t>kg</t>
  </si>
  <si>
    <t>lari</t>
  </si>
  <si>
    <t>22-8-3</t>
  </si>
  <si>
    <t>km</t>
  </si>
  <si>
    <t>m</t>
  </si>
  <si>
    <t>8-4-8</t>
  </si>
  <si>
    <t>m3</t>
  </si>
  <si>
    <t>1-123-8</t>
  </si>
  <si>
    <t>100 m3</t>
  </si>
  <si>
    <r>
      <t>m</t>
    </r>
    <r>
      <rPr>
        <vertAlign val="superscript"/>
        <sz val="12"/>
        <rFont val="AcadNusx"/>
      </rPr>
      <t>2</t>
    </r>
  </si>
  <si>
    <r>
      <t>100 m</t>
    </r>
    <r>
      <rPr>
        <b/>
        <vertAlign val="superscript"/>
        <sz val="12"/>
        <rFont val="AcadNusx"/>
      </rPr>
      <t>2</t>
    </r>
  </si>
  <si>
    <t xml:space="preserve">საყრდენი კედლის მონოლითური ბეტონი B25, F200, ჭ6 </t>
  </si>
  <si>
    <t>ამწე მუხლუხა სვლით 10 ტ</t>
  </si>
  <si>
    <t xml:space="preserve">ბეტონი B25, F200, ჭ6 </t>
  </si>
  <si>
    <t>ცემენტის ხსნარი მ-150</t>
  </si>
  <si>
    <t>ფარი ყალიბის</t>
  </si>
  <si>
    <t>მორები</t>
  </si>
  <si>
    <t>ძელები III ხარ. 70 მმ</t>
  </si>
  <si>
    <t>დახერხ. Mმას. III ხარ. 40-60 მმ</t>
  </si>
  <si>
    <t>სამშენებლო ჭანჭიკები</t>
  </si>
  <si>
    <t>დახერხ. Mმას. III ხარ. 25-32 მმ</t>
  </si>
  <si>
    <t>წასაცხები ჰიდროიზოლაცია ცხელი ბიტუმით (2 ფენა)</t>
  </si>
  <si>
    <t>აზბესტი</t>
  </si>
  <si>
    <t>ბიტუმი</t>
  </si>
  <si>
    <t>დრენაჟის მოწყობა</t>
  </si>
  <si>
    <t>სადრენაჟე პლასტმასის მილის მოწყობა, დიამ. 10 სმ</t>
  </si>
  <si>
    <t>მილები</t>
  </si>
  <si>
    <t>პოხიერი თიხის ეკრანი</t>
  </si>
  <si>
    <t>თიხა</t>
  </si>
  <si>
    <t>სადრენაჟო ქვა-ყრილი</t>
  </si>
  <si>
    <t>ქვა</t>
  </si>
  <si>
    <t>7-50-1</t>
  </si>
  <si>
    <t>ვერტიკალური სადეფორმაციო ნაკერის მოწყობა პენოპოლისტეროლით</t>
  </si>
  <si>
    <t>4-1-502</t>
  </si>
  <si>
    <t>პენოპოლისტეროლის ფილა სისქით 2 სმ</t>
  </si>
  <si>
    <t>პროექტი</t>
  </si>
  <si>
    <t>6-1-1</t>
  </si>
  <si>
    <t xml:space="preserve">37-65-3         </t>
  </si>
  <si>
    <t>14-56</t>
  </si>
  <si>
    <t>4.1-163</t>
  </si>
  <si>
    <t>ანაკრები მონოლითური რკინა/ბეტონის ღარი</t>
  </si>
  <si>
    <t>პრ.</t>
  </si>
  <si>
    <t>მონოლითური ბეტონის  საგების  მოწყობა   B22.5F200W6  სისქით 10 სმ</t>
  </si>
  <si>
    <t>ანაკრები რკინა/ბეტონის ღარის მოწყობა</t>
  </si>
  <si>
    <r>
      <t>მ</t>
    </r>
    <r>
      <rPr>
        <b/>
        <vertAlign val="superscript"/>
        <sz val="12"/>
        <rFont val="Sylfaen"/>
        <family val="1"/>
        <charset val="204"/>
      </rPr>
      <t>3</t>
    </r>
  </si>
  <si>
    <t>ავტოგრეიდერი 108 ცხ. ძ.</t>
  </si>
  <si>
    <t>სარწყავი მანქანა</t>
  </si>
  <si>
    <t xml:space="preserve">სატკეპნი საგზაო, თვითმავალი, პნევმოსვლით, 18 ტ </t>
  </si>
  <si>
    <t>ქვიშა-ხრეში</t>
  </si>
  <si>
    <t>სათავისების მოწყობა</t>
  </si>
  <si>
    <t>ბეტონის წყალმიმგები ჭა</t>
  </si>
  <si>
    <t xml:space="preserve">კალაპოტის გაცჰრა 3 კატეგორიის გრუნტის დამუშავება და დატვირთვა ექსკავატორით ავტოთვითმცლელზე </t>
  </si>
  <si>
    <t>არმატურის ანკერების მოწყობა ბურღილებში ჩაჭედვით არმატურა Ǿ18A-III L-540მმ</t>
  </si>
  <si>
    <t>არმატურა ა_III</t>
  </si>
  <si>
    <t>ერთ. ფასი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</si>
</sst>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0.00;\-0.00;;@"/>
    <numFmt numFmtId="165" formatCode="0;\-0;;@"/>
    <numFmt numFmtId="166" formatCode="0.000"/>
    <numFmt numFmtId="167" formatCode="_(* #,##0.00_);_(* \(#,##0.00\);_(* &quot;-&quot;???_);_(@_)"/>
    <numFmt numFmtId="168" formatCode="0.0000"/>
    <numFmt numFmtId="169" formatCode="0.00000"/>
    <numFmt numFmtId="170" formatCode="#,##0.0000_ ;[Red]\-#,##0.0000\ 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Sylfaen"/>
      <family val="1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b/>
      <sz val="14"/>
      <name val="Sylfaen"/>
      <family val="1"/>
    </font>
    <font>
      <b/>
      <sz val="14"/>
      <name val="Calibri"/>
      <family val="2"/>
      <scheme val="minor"/>
    </font>
    <font>
      <sz val="10"/>
      <name val="Arial"/>
      <family val="2"/>
    </font>
    <font>
      <sz val="14"/>
      <name val="Sylfaen"/>
      <family val="1"/>
    </font>
    <font>
      <sz val="14"/>
      <color theme="1"/>
      <name val="AcadNusx"/>
    </font>
    <font>
      <sz val="10"/>
      <name val="Arial Cyr"/>
      <family val="2"/>
      <charset val="204"/>
    </font>
    <font>
      <sz val="14"/>
      <color theme="0"/>
      <name val="Sylfaen"/>
      <family val="1"/>
    </font>
    <font>
      <sz val="14"/>
      <name val="Sylfaen"/>
      <family val="1"/>
      <charset val="204"/>
    </font>
    <font>
      <sz val="14"/>
      <color theme="1"/>
      <name val="Sylfaen"/>
      <family val="1"/>
      <charset val="204"/>
    </font>
    <font>
      <sz val="12"/>
      <name val="Sylfaen"/>
      <family val="1"/>
      <charset val="204"/>
    </font>
    <font>
      <b/>
      <sz val="14"/>
      <name val="AcadNusx"/>
    </font>
    <font>
      <b/>
      <sz val="14"/>
      <name val="Sylfaen"/>
      <family val="1"/>
      <charset val="1"/>
    </font>
    <font>
      <sz val="14"/>
      <name val="Sylfaen"/>
      <family val="1"/>
      <charset val="1"/>
    </font>
    <font>
      <sz val="14"/>
      <name val="AcadNusx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theme="1"/>
      <name val="AcadNusx"/>
    </font>
    <font>
      <sz val="12"/>
      <name val="Arial"/>
      <family val="2"/>
    </font>
    <font>
      <sz val="14"/>
      <name val="Calibri Light"/>
      <family val="1"/>
      <charset val="1"/>
      <scheme val="major"/>
    </font>
    <font>
      <b/>
      <sz val="14"/>
      <name val="Sylfaen"/>
      <family val="1"/>
      <charset val="204"/>
    </font>
    <font>
      <b/>
      <sz val="12"/>
      <color theme="0"/>
      <name val="Sylfaen"/>
      <family val="1"/>
    </font>
    <font>
      <b/>
      <sz val="12"/>
      <color theme="1"/>
      <name val="Sylfaen"/>
      <family val="1"/>
    </font>
    <font>
      <sz val="12"/>
      <color theme="0"/>
      <name val="Sylfaen"/>
      <family val="1"/>
    </font>
    <font>
      <sz val="12"/>
      <color theme="1"/>
      <name val="Sylfaen"/>
      <family val="1"/>
    </font>
    <font>
      <b/>
      <sz val="12"/>
      <name val="Sylfae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cadNusx"/>
    </font>
    <font>
      <b/>
      <sz val="12"/>
      <name val="Sylfaen"/>
      <family val="1"/>
      <charset val="1"/>
    </font>
    <font>
      <sz val="12"/>
      <name val="AcadNusx"/>
    </font>
    <font>
      <sz val="12"/>
      <name val="Sylfaen"/>
      <family val="1"/>
      <charset val="1"/>
    </font>
    <font>
      <b/>
      <sz val="12"/>
      <name val="Cambria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mbria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Times New Roman"/>
      <family val="1"/>
    </font>
    <font>
      <sz val="12"/>
      <color theme="1"/>
      <name val="AcadNusx"/>
    </font>
    <font>
      <b/>
      <vertAlign val="superscript"/>
      <sz val="12"/>
      <name val="AcadNusx"/>
    </font>
    <font>
      <vertAlign val="superscript"/>
      <sz val="12"/>
      <name val="AcadNusx"/>
    </font>
    <font>
      <b/>
      <sz val="12"/>
      <name val="Sylfaen"/>
      <family val="1"/>
      <charset val="204"/>
    </font>
    <font>
      <b/>
      <vertAlign val="superscript"/>
      <sz val="12"/>
      <name val="Sylfaen"/>
      <family val="1"/>
    </font>
    <font>
      <vertAlign val="superscript"/>
      <sz val="12"/>
      <name val="Sylfaen"/>
      <family val="1"/>
      <charset val="204"/>
    </font>
    <font>
      <sz val="12"/>
      <color theme="1"/>
      <name val="Sylfaen"/>
      <family val="1"/>
      <charset val="204"/>
    </font>
    <font>
      <sz val="16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name val="AcadNusx"/>
    </font>
    <font>
      <b/>
      <sz val="10"/>
      <name val="AcadNusx"/>
    </font>
    <font>
      <sz val="11"/>
      <name val="Calibri"/>
      <family val="2"/>
      <scheme val="minor"/>
    </font>
    <font>
      <sz val="12"/>
      <name val="Sylfaen"/>
      <family val="1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12"/>
      <name val="Sylfaen"/>
      <family val="1"/>
      <charset val="204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14" fillId="0" borderId="0"/>
    <xf numFmtId="0" fontId="19" fillId="0" borderId="0"/>
    <xf numFmtId="0" fontId="20" fillId="0" borderId="0"/>
    <xf numFmtId="0" fontId="22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7" fillId="0" borderId="0"/>
    <xf numFmtId="0" fontId="20" fillId="0" borderId="0"/>
  </cellStyleXfs>
  <cellXfs count="303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8" fillId="2" borderId="1" xfId="4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7" fillId="0" borderId="1" xfId="7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15" fillId="3" borderId="1" xfId="11" applyNumberFormat="1" applyFont="1" applyFill="1" applyBorder="1" applyAlignment="1">
      <alignment horizontal="center" vertical="center"/>
    </xf>
    <xf numFmtId="4" fontId="18" fillId="0" borderId="1" xfId="11" applyNumberFormat="1" applyFont="1" applyFill="1" applyBorder="1" applyAlignment="1">
      <alignment horizontal="center" vertical="center"/>
    </xf>
    <xf numFmtId="2" fontId="24" fillId="3" borderId="1" xfId="13" applyNumberFormat="1" applyFont="1" applyFill="1" applyBorder="1" applyAlignment="1">
      <alignment horizontal="center" vertical="center"/>
    </xf>
    <xf numFmtId="166" fontId="12" fillId="2" borderId="1" xfId="13" applyNumberFormat="1" applyFont="1" applyFill="1" applyBorder="1" applyAlignment="1">
      <alignment horizontal="center" vertical="center"/>
    </xf>
    <xf numFmtId="168" fontId="12" fillId="2" borderId="1" xfId="13" applyNumberFormat="1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169" fontId="12" fillId="2" borderId="1" xfId="0" applyNumberFormat="1" applyFont="1" applyFill="1" applyBorder="1" applyAlignment="1">
      <alignment horizontal="center" vertical="center"/>
    </xf>
    <xf numFmtId="168" fontId="12" fillId="2" borderId="1" xfId="0" applyNumberFormat="1" applyFont="1" applyFill="1" applyBorder="1" applyAlignment="1">
      <alignment horizontal="center" vertical="center"/>
    </xf>
    <xf numFmtId="166" fontId="12" fillId="2" borderId="1" xfId="3" applyNumberFormat="1" applyFont="1" applyFill="1" applyBorder="1" applyAlignment="1">
      <alignment horizontal="center" vertical="center"/>
    </xf>
    <xf numFmtId="170" fontId="12" fillId="2" borderId="1" xfId="0" applyNumberFormat="1" applyFont="1" applyFill="1" applyBorder="1" applyAlignment="1">
      <alignment horizontal="center" vertical="center"/>
    </xf>
    <xf numFmtId="168" fontId="12" fillId="2" borderId="1" xfId="3" applyNumberFormat="1" applyFont="1" applyFill="1" applyBorder="1" applyAlignment="1">
      <alignment horizontal="center" vertical="center" wrapText="1"/>
    </xf>
    <xf numFmtId="168" fontId="12" fillId="2" borderId="1" xfId="3" applyNumberFormat="1" applyFont="1" applyFill="1" applyBorder="1" applyAlignment="1">
      <alignment horizontal="center" vertical="center"/>
    </xf>
    <xf numFmtId="169" fontId="12" fillId="2" borderId="1" xfId="3" applyNumberFormat="1" applyFont="1" applyFill="1" applyBorder="1" applyAlignment="1">
      <alignment horizontal="center" vertical="center"/>
    </xf>
    <xf numFmtId="168" fontId="13" fillId="2" borderId="1" xfId="3" applyNumberFormat="1" applyFont="1" applyFill="1" applyBorder="1" applyAlignment="1">
      <alignment horizontal="center" vertical="center" wrapText="1"/>
    </xf>
    <xf numFmtId="2" fontId="13" fillId="2" borderId="1" xfId="3" applyNumberFormat="1" applyFont="1" applyFill="1" applyBorder="1" applyAlignment="1">
      <alignment horizontal="center" vertical="center" wrapText="1"/>
    </xf>
    <xf numFmtId="169" fontId="24" fillId="3" borderId="1" xfId="3" applyNumberFormat="1" applyFont="1" applyFill="1" applyBorder="1" applyAlignment="1">
      <alignment horizontal="center" vertical="center" wrapText="1"/>
    </xf>
    <xf numFmtId="166" fontId="13" fillId="2" borderId="1" xfId="3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4" fontId="3" fillId="0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165" fontId="28" fillId="0" borderId="1" xfId="0" applyNumberFormat="1" applyFont="1" applyBorder="1" applyAlignment="1">
      <alignment vertical="center"/>
    </xf>
    <xf numFmtId="49" fontId="26" fillId="3" borderId="1" xfId="0" applyNumberFormat="1" applyFont="1" applyFill="1" applyBorder="1" applyAlignment="1">
      <alignment vertical="center" wrapText="1"/>
    </xf>
    <xf numFmtId="0" fontId="31" fillId="0" borderId="1" xfId="0" applyFont="1" applyBorder="1" applyAlignment="1"/>
    <xf numFmtId="0" fontId="29" fillId="3" borderId="1" xfId="0" applyFont="1" applyFill="1" applyBorder="1" applyAlignment="1">
      <alignment vertical="center" wrapText="1"/>
    </xf>
    <xf numFmtId="49" fontId="28" fillId="0" borderId="1" xfId="0" applyNumberFormat="1" applyFont="1" applyBorder="1" applyAlignment="1">
      <alignment horizontal="center" vertical="center"/>
    </xf>
    <xf numFmtId="49" fontId="26" fillId="3" borderId="1" xfId="0" applyNumberFormat="1" applyFont="1" applyFill="1" applyBorder="1" applyAlignment="1">
      <alignment vertical="center"/>
    </xf>
    <xf numFmtId="49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14" fontId="26" fillId="3" borderId="1" xfId="0" applyNumberFormat="1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wrapText="1"/>
    </xf>
    <xf numFmtId="0" fontId="36" fillId="0" borderId="1" xfId="7" applyFont="1" applyBorder="1" applyAlignment="1">
      <alignment horizontal="center" vertical="center"/>
    </xf>
    <xf numFmtId="2" fontId="36" fillId="0" borderId="1" xfId="7" applyNumberFormat="1" applyFont="1" applyBorder="1" applyAlignment="1">
      <alignment horizontal="center" vertical="center"/>
    </xf>
    <xf numFmtId="2" fontId="36" fillId="0" borderId="1" xfId="8" applyNumberFormat="1" applyFont="1" applyBorder="1" applyAlignment="1">
      <alignment horizontal="center" vertical="center"/>
    </xf>
    <xf numFmtId="0" fontId="32" fillId="3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41" fillId="2" borderId="1" xfId="10" applyFont="1" applyFill="1" applyBorder="1" applyAlignment="1">
      <alignment horizontal="center" vertical="center" wrapText="1"/>
    </xf>
    <xf numFmtId="0" fontId="14" fillId="2" borderId="1" xfId="6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top" wrapText="1"/>
    </xf>
    <xf numFmtId="167" fontId="35" fillId="2" borderId="1" xfId="0" applyNumberFormat="1" applyFont="1" applyFill="1" applyBorder="1" applyAlignment="1">
      <alignment horizontal="center" vertical="center" wrapText="1"/>
    </xf>
    <xf numFmtId="2" fontId="33" fillId="3" borderId="1" xfId="0" applyNumberFormat="1" applyFont="1" applyFill="1" applyBorder="1" applyAlignment="1">
      <alignment horizontal="center" vertical="center"/>
    </xf>
    <xf numFmtId="2" fontId="35" fillId="0" borderId="1" xfId="0" applyNumberFormat="1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/>
    </xf>
    <xf numFmtId="2" fontId="35" fillId="0" borderId="1" xfId="11" applyNumberFormat="1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165" fontId="28" fillId="2" borderId="1" xfId="0" applyNumberFormat="1" applyFont="1" applyFill="1" applyBorder="1" applyAlignment="1">
      <alignment horizontal="center" vertical="center"/>
    </xf>
    <xf numFmtId="0" fontId="48" fillId="3" borderId="1" xfId="13" applyFont="1" applyFill="1" applyBorder="1" applyAlignment="1">
      <alignment horizontal="center" vertical="center"/>
    </xf>
    <xf numFmtId="0" fontId="14" fillId="2" borderId="1" xfId="12" applyFont="1" applyFill="1" applyBorder="1" applyAlignment="1">
      <alignment horizontal="center" vertical="center" wrapText="1"/>
    </xf>
    <xf numFmtId="0" fontId="14" fillId="2" borderId="1" xfId="13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6" applyFont="1" applyFill="1" applyBorder="1" applyAlignment="1">
      <alignment horizontal="center" vertical="center"/>
    </xf>
    <xf numFmtId="2" fontId="14" fillId="2" borderId="1" xfId="15" applyNumberFormat="1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horizontal="center" vertical="center"/>
    </xf>
    <xf numFmtId="0" fontId="48" fillId="3" borderId="1" xfId="3" applyFont="1" applyFill="1" applyBorder="1" applyAlignment="1">
      <alignment horizontal="center" vertical="center"/>
    </xf>
    <xf numFmtId="0" fontId="51" fillId="2" borderId="1" xfId="3" applyFont="1" applyFill="1" applyBorder="1" applyAlignment="1">
      <alignment horizontal="center" vertical="center" wrapText="1"/>
    </xf>
    <xf numFmtId="0" fontId="48" fillId="3" borderId="1" xfId="3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/>
    </xf>
    <xf numFmtId="9" fontId="26" fillId="2" borderId="1" xfId="0" applyNumberFormat="1" applyFont="1" applyFill="1" applyBorder="1" applyAlignment="1">
      <alignment horizontal="center" vertical="center"/>
    </xf>
    <xf numFmtId="49" fontId="28" fillId="7" borderId="1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9" fontId="26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9" fontId="26" fillId="0" borderId="1" xfId="2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0" xfId="0" applyFont="1"/>
    <xf numFmtId="0" fontId="31" fillId="0" borderId="0" xfId="0" applyFont="1" applyFill="1" applyAlignment="1">
      <alignment wrapText="1"/>
    </xf>
    <xf numFmtId="0" fontId="31" fillId="0" borderId="0" xfId="0" applyFont="1" applyAlignment="1">
      <alignment wrapText="1"/>
    </xf>
    <xf numFmtId="0" fontId="32" fillId="3" borderId="1" xfId="0" applyFont="1" applyFill="1" applyBorder="1" applyAlignment="1"/>
    <xf numFmtId="49" fontId="28" fillId="0" borderId="1" xfId="0" applyNumberFormat="1" applyFont="1" applyBorder="1" applyAlignment="1">
      <alignment vertical="center"/>
    </xf>
    <xf numFmtId="49" fontId="22" fillId="2" borderId="1" xfId="3" applyNumberFormat="1" applyFont="1" applyFill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49" fontId="34" fillId="3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49" fontId="37" fillId="3" borderId="1" xfId="0" applyNumberFormat="1" applyFont="1" applyFill="1" applyBorder="1" applyAlignment="1">
      <alignment horizontal="center" vertical="center"/>
    </xf>
    <xf numFmtId="49" fontId="40" fillId="2" borderId="1" xfId="0" applyNumberFormat="1" applyFont="1" applyFill="1" applyBorder="1" applyAlignment="1">
      <alignment horizontal="center" vertical="center"/>
    </xf>
    <xf numFmtId="49" fontId="40" fillId="2" borderId="1" xfId="9" applyNumberFormat="1" applyFont="1" applyFill="1" applyBorder="1" applyAlignment="1">
      <alignment horizontal="center" vertical="center"/>
    </xf>
    <xf numFmtId="49" fontId="40" fillId="2" borderId="1" xfId="10" applyNumberFormat="1" applyFont="1" applyFill="1" applyBorder="1" applyAlignment="1">
      <alignment horizontal="center" vertical="center"/>
    </xf>
    <xf numFmtId="0" fontId="44" fillId="2" borderId="1" xfId="0" quotePrefix="1" applyFont="1" applyFill="1" applyBorder="1" applyAlignment="1">
      <alignment horizontal="center" vertical="top"/>
    </xf>
    <xf numFmtId="49" fontId="33" fillId="3" borderId="1" xfId="0" applyNumberFormat="1" applyFont="1" applyFill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0" fontId="48" fillId="3" borderId="1" xfId="12" applyFont="1" applyFill="1" applyBorder="1" applyAlignment="1">
      <alignment horizontal="center" vertical="center"/>
    </xf>
    <xf numFmtId="0" fontId="14" fillId="2" borderId="1" xfId="12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14" fontId="14" fillId="2" borderId="1" xfId="3" applyNumberFormat="1" applyFont="1" applyFill="1" applyBorder="1" applyAlignment="1">
      <alignment horizontal="center" vertical="center"/>
    </xf>
    <xf numFmtId="0" fontId="31" fillId="0" borderId="0" xfId="0" applyFont="1" applyFill="1" applyAlignment="1"/>
    <xf numFmtId="0" fontId="31" fillId="0" borderId="0" xfId="0" applyFont="1" applyAlignment="1"/>
    <xf numFmtId="164" fontId="27" fillId="5" borderId="1" xfId="0" applyNumberFormat="1" applyFont="1" applyFill="1" applyBorder="1" applyAlignment="1">
      <alignment horizontal="center" vertical="center"/>
    </xf>
    <xf numFmtId="43" fontId="14" fillId="2" borderId="1" xfId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165" fontId="26" fillId="8" borderId="1" xfId="0" applyNumberFormat="1" applyFont="1" applyFill="1" applyBorder="1" applyAlignment="1">
      <alignment horizontal="center" vertical="center"/>
    </xf>
    <xf numFmtId="43" fontId="26" fillId="3" borderId="1" xfId="1" applyFont="1" applyFill="1" applyBorder="1" applyAlignment="1">
      <alignment horizontal="center" vertical="center"/>
    </xf>
    <xf numFmtId="43" fontId="28" fillId="0" borderId="1" xfId="1" applyFont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4" fontId="53" fillId="3" borderId="1" xfId="0" applyNumberFormat="1" applyFont="1" applyFill="1" applyBorder="1" applyAlignment="1">
      <alignment horizontal="center" vertical="center"/>
    </xf>
    <xf numFmtId="4" fontId="54" fillId="0" borderId="1" xfId="0" applyNumberFormat="1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49" fontId="55" fillId="0" borderId="1" xfId="0" applyNumberFormat="1" applyFont="1" applyFill="1" applyBorder="1" applyAlignment="1">
      <alignment vertical="center" wrapText="1"/>
    </xf>
    <xf numFmtId="49" fontId="55" fillId="0" borderId="1" xfId="0" applyNumberFormat="1" applyFont="1" applyFill="1" applyBorder="1" applyAlignment="1">
      <alignment vertical="center"/>
    </xf>
    <xf numFmtId="0" fontId="55" fillId="0" borderId="1" xfId="0" applyFont="1" applyBorder="1"/>
    <xf numFmtId="0" fontId="55" fillId="0" borderId="1" xfId="0" applyFont="1" applyBorder="1" applyAlignment="1">
      <alignment horizontal="center"/>
    </xf>
    <xf numFmtId="0" fontId="55" fillId="0" borderId="0" xfId="0" applyFont="1" applyFill="1"/>
    <xf numFmtId="0" fontId="20" fillId="0" borderId="0" xfId="0" applyFont="1" applyFill="1"/>
    <xf numFmtId="0" fontId="57" fillId="0" borderId="0" xfId="0" applyFont="1" applyFill="1"/>
    <xf numFmtId="0" fontId="56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2" fontId="35" fillId="0" borderId="1" xfId="7" applyNumberFormat="1" applyFont="1" applyFill="1" applyBorder="1" applyAlignment="1">
      <alignment horizontal="center" vertical="center"/>
    </xf>
    <xf numFmtId="0" fontId="35" fillId="0" borderId="1" xfId="0" applyFont="1" applyFill="1" applyBorder="1"/>
    <xf numFmtId="49" fontId="35" fillId="0" borderId="1" xfId="0" applyNumberFormat="1" applyFont="1" applyFill="1" applyBorder="1" applyAlignment="1">
      <alignment horizontal="center" vertical="center" wrapText="1"/>
    </xf>
    <xf numFmtId="0" fontId="35" fillId="0" borderId="1" xfId="7" applyFont="1" applyFill="1" applyBorder="1" applyAlignment="1">
      <alignment horizontal="center" vertical="center"/>
    </xf>
    <xf numFmtId="43" fontId="3" fillId="3" borderId="1" xfId="1" applyFont="1" applyFill="1" applyBorder="1" applyAlignment="1">
      <alignment horizontal="center" vertical="center"/>
    </xf>
    <xf numFmtId="43" fontId="58" fillId="0" borderId="1" xfId="1" applyFont="1" applyFill="1" applyBorder="1" applyAlignment="1">
      <alignment horizontal="center" vertical="center" wrapText="1"/>
    </xf>
    <xf numFmtId="43" fontId="58" fillId="0" borderId="1" xfId="1" applyFont="1" applyFill="1" applyBorder="1" applyAlignment="1">
      <alignment horizontal="center" vertical="center"/>
    </xf>
    <xf numFmtId="43" fontId="58" fillId="0" borderId="1" xfId="1" applyFont="1" applyFill="1" applyBorder="1" applyAlignment="1">
      <alignment horizontal="center"/>
    </xf>
    <xf numFmtId="0" fontId="59" fillId="0" borderId="1" xfId="0" applyFont="1" applyFill="1" applyBorder="1" applyAlignment="1">
      <alignment horizontal="center" vertical="center"/>
    </xf>
    <xf numFmtId="49" fontId="59" fillId="0" borderId="1" xfId="0" applyNumberFormat="1" applyFont="1" applyFill="1" applyBorder="1" applyAlignment="1">
      <alignment horizontal="center" vertical="center"/>
    </xf>
    <xf numFmtId="2" fontId="59" fillId="0" borderId="1" xfId="7" applyNumberFormat="1" applyFont="1" applyFill="1" applyBorder="1" applyAlignment="1">
      <alignment horizontal="center" vertical="center"/>
    </xf>
    <xf numFmtId="4" fontId="59" fillId="0" borderId="1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60" fillId="0" borderId="1" xfId="0" applyFont="1" applyFill="1" applyBorder="1" applyAlignment="1">
      <alignment horizontal="center" vertical="center"/>
    </xf>
    <xf numFmtId="49" fontId="60" fillId="0" borderId="1" xfId="0" applyNumberFormat="1" applyFont="1" applyFill="1" applyBorder="1" applyAlignment="1">
      <alignment horizontal="center" vertical="center"/>
    </xf>
    <xf numFmtId="2" fontId="60" fillId="0" borderId="1" xfId="0" applyNumberFormat="1" applyFont="1" applyFill="1" applyBorder="1" applyAlignment="1">
      <alignment horizontal="center" vertical="center"/>
    </xf>
    <xf numFmtId="4" fontId="60" fillId="0" borderId="1" xfId="1" applyNumberFormat="1" applyFont="1" applyFill="1" applyBorder="1" applyAlignment="1">
      <alignment horizontal="center" vertical="center"/>
    </xf>
    <xf numFmtId="4" fontId="60" fillId="0" borderId="1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2" fontId="60" fillId="0" borderId="1" xfId="7" applyNumberFormat="1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/>
    </xf>
    <xf numFmtId="165" fontId="54" fillId="0" borderId="1" xfId="0" applyNumberFormat="1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/>
    </xf>
    <xf numFmtId="4" fontId="54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right" vertical="center" wrapText="1"/>
    </xf>
    <xf numFmtId="2" fontId="54" fillId="0" borderId="1" xfId="0" applyNumberFormat="1" applyFont="1" applyFill="1" applyBorder="1" applyAlignment="1">
      <alignment horizontal="right" vertical="center" wrapText="1"/>
    </xf>
    <xf numFmtId="2" fontId="5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54" fillId="0" borderId="1" xfId="0" applyNumberFormat="1" applyFont="1" applyFill="1" applyBorder="1" applyAlignment="1">
      <alignment horizontal="right" vertical="center" wrapText="1"/>
    </xf>
    <xf numFmtId="1" fontId="26" fillId="8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2" fontId="27" fillId="5" borderId="1" xfId="0" applyNumberFormat="1" applyFont="1" applyFill="1" applyBorder="1" applyAlignment="1">
      <alignment horizontal="center" vertical="center"/>
    </xf>
    <xf numFmtId="1" fontId="26" fillId="3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5" fontId="28" fillId="2" borderId="1" xfId="0" applyNumberFormat="1" applyFont="1" applyFill="1" applyBorder="1" applyAlignment="1">
      <alignment vertical="center"/>
    </xf>
    <xf numFmtId="2" fontId="30" fillId="3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top"/>
    </xf>
    <xf numFmtId="0" fontId="35" fillId="0" borderId="1" xfId="0" applyFont="1" applyBorder="1" applyAlignment="1">
      <alignment horizontal="center" vertical="top"/>
    </xf>
    <xf numFmtId="1" fontId="26" fillId="0" borderId="1" xfId="0" applyNumberFormat="1" applyFont="1" applyBorder="1" applyAlignment="1">
      <alignment horizontal="center" vertical="center"/>
    </xf>
    <xf numFmtId="0" fontId="32" fillId="3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17" fontId="26" fillId="3" borderId="1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/>
    </xf>
    <xf numFmtId="0" fontId="48" fillId="2" borderId="1" xfId="12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 vertical="center"/>
    </xf>
    <xf numFmtId="16" fontId="48" fillId="3" borderId="1" xfId="3" applyNumberFormat="1" applyFont="1" applyFill="1" applyBorder="1" applyAlignment="1">
      <alignment horizontal="center" vertical="center"/>
    </xf>
    <xf numFmtId="1" fontId="48" fillId="3" borderId="1" xfId="3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vertical="center"/>
    </xf>
    <xf numFmtId="49" fontId="26" fillId="7" borderId="1" xfId="0" applyNumberFormat="1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165" fontId="26" fillId="3" borderId="1" xfId="0" applyNumberFormat="1" applyFont="1" applyFill="1" applyBorder="1" applyAlignment="1">
      <alignment horizontal="center" vertical="center"/>
    </xf>
    <xf numFmtId="14" fontId="48" fillId="3" borderId="1" xfId="0" applyNumberFormat="1" applyFont="1" applyFill="1" applyBorder="1" applyAlignment="1">
      <alignment horizontal="center" vertical="center"/>
    </xf>
    <xf numFmtId="166" fontId="24" fillId="3" borderId="1" xfId="0" applyNumberFormat="1" applyFont="1" applyFill="1" applyBorder="1" applyAlignment="1">
      <alignment horizontal="center" vertical="center" wrapText="1"/>
    </xf>
    <xf numFmtId="166" fontId="24" fillId="3" borderId="1" xfId="3" applyNumberFormat="1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left" vertical="center"/>
    </xf>
    <xf numFmtId="49" fontId="48" fillId="3" borderId="1" xfId="3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vertical="center" wrapText="1"/>
    </xf>
    <xf numFmtId="0" fontId="64" fillId="3" borderId="1" xfId="0" applyFont="1" applyFill="1" applyBorder="1" applyAlignment="1">
      <alignment horizontal="left" vertical="center" wrapText="1"/>
    </xf>
    <xf numFmtId="4" fontId="32" fillId="3" borderId="1" xfId="0" applyNumberFormat="1" applyFont="1" applyFill="1" applyBorder="1" applyAlignment="1">
      <alignment horizontal="left" vertical="center" wrapText="1"/>
    </xf>
    <xf numFmtId="2" fontId="30" fillId="3" borderId="1" xfId="0" applyNumberFormat="1" applyFont="1" applyFill="1" applyBorder="1" applyAlignment="1">
      <alignment vertical="center" wrapText="1"/>
    </xf>
    <xf numFmtId="49" fontId="32" fillId="3" borderId="1" xfId="0" applyNumberFormat="1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1" xfId="14" applyFont="1" applyFill="1" applyBorder="1" applyAlignment="1">
      <alignment vertical="center" wrapText="1"/>
    </xf>
    <xf numFmtId="0" fontId="30" fillId="3" borderId="1" xfId="3" applyFont="1" applyFill="1" applyBorder="1" applyAlignment="1">
      <alignment horizontal="center" vertical="center" wrapText="1"/>
    </xf>
    <xf numFmtId="49" fontId="30" fillId="3" borderId="1" xfId="0" applyNumberFormat="1" applyFont="1" applyFill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65" fillId="5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61" fillId="2" borderId="1" xfId="0" applyFont="1" applyFill="1" applyBorder="1" applyAlignment="1">
      <alignment horizontal="center" vertical="center" wrapText="1"/>
    </xf>
    <xf numFmtId="2" fontId="61" fillId="2" borderId="1" xfId="0" applyNumberFormat="1" applyFont="1" applyFill="1" applyBorder="1" applyAlignment="1">
      <alignment horizontal="center" vertical="center" wrapText="1"/>
    </xf>
    <xf numFmtId="2" fontId="61" fillId="2" borderId="1" xfId="7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2" fontId="61" fillId="0" borderId="1" xfId="0" applyNumberFormat="1" applyFont="1" applyFill="1" applyBorder="1" applyAlignment="1"/>
    <xf numFmtId="2" fontId="61" fillId="0" borderId="1" xfId="0" applyNumberFormat="1" applyFont="1" applyFill="1" applyBorder="1" applyAlignment="1">
      <alignment wrapText="1"/>
    </xf>
    <xf numFmtId="2" fontId="61" fillId="0" borderId="1" xfId="0" applyNumberFormat="1" applyFont="1" applyFill="1" applyBorder="1" applyAlignment="1">
      <alignment vertical="center" wrapText="1"/>
    </xf>
    <xf numFmtId="0" fontId="61" fillId="0" borderId="1" xfId="0" applyFont="1" applyFill="1" applyBorder="1" applyAlignment="1">
      <alignment horizontal="center" vertical="center" wrapText="1"/>
    </xf>
    <xf numFmtId="2" fontId="61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vertical="center"/>
    </xf>
    <xf numFmtId="2" fontId="62" fillId="0" borderId="1" xfId="0" applyNumberFormat="1" applyFont="1" applyFill="1" applyBorder="1" applyAlignment="1">
      <alignment vertical="center"/>
    </xf>
    <xf numFmtId="2" fontId="62" fillId="0" borderId="1" xfId="0" applyNumberFormat="1" applyFont="1" applyFill="1" applyBorder="1" applyAlignment="1">
      <alignment horizontal="left" vertical="center"/>
    </xf>
    <xf numFmtId="2" fontId="62" fillId="0" borderId="1" xfId="7" applyNumberFormat="1" applyFont="1" applyFill="1" applyBorder="1" applyAlignment="1">
      <alignment horizontal="left" vertical="center"/>
    </xf>
    <xf numFmtId="0" fontId="62" fillId="0" borderId="1" xfId="0" applyFont="1" applyFill="1" applyBorder="1" applyAlignment="1">
      <alignment horizontal="left" vertical="center"/>
    </xf>
    <xf numFmtId="0" fontId="61" fillId="2" borderId="1" xfId="9" applyFont="1" applyFill="1" applyBorder="1" applyAlignment="1">
      <alignment horizontal="left" vertical="center" wrapText="1"/>
    </xf>
    <xf numFmtId="0" fontId="61" fillId="2" borderId="1" xfId="9" applyFont="1" applyFill="1" applyBorder="1" applyAlignment="1">
      <alignment horizontal="center" wrapText="1"/>
    </xf>
    <xf numFmtId="0" fontId="61" fillId="2" borderId="1" xfId="9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top" wrapText="1"/>
    </xf>
    <xf numFmtId="0" fontId="66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/>
    </xf>
    <xf numFmtId="0" fontId="31" fillId="2" borderId="1" xfId="0" applyFont="1" applyFill="1" applyBorder="1" applyAlignment="1">
      <alignment horizontal="center" wrapText="1"/>
    </xf>
    <xf numFmtId="0" fontId="61" fillId="2" borderId="1" xfId="14" applyFont="1" applyFill="1" applyBorder="1" applyAlignment="1">
      <alignment horizontal="center" vertical="center" wrapText="1"/>
    </xf>
    <xf numFmtId="0" fontId="61" fillId="2" borderId="1" xfId="12" applyFont="1" applyFill="1" applyBorder="1" applyAlignment="1">
      <alignment horizontal="center" vertical="center" wrapText="1"/>
    </xf>
    <xf numFmtId="0" fontId="61" fillId="2" borderId="1" xfId="3" applyFont="1" applyFill="1" applyBorder="1" applyAlignment="1">
      <alignment horizontal="center" vertical="center" wrapText="1"/>
    </xf>
    <xf numFmtId="0" fontId="31" fillId="2" borderId="1" xfId="3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vertical="center" wrapText="1"/>
    </xf>
    <xf numFmtId="0" fontId="67" fillId="0" borderId="1" xfId="0" applyFont="1" applyBorder="1"/>
    <xf numFmtId="0" fontId="3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vertical="center"/>
    </xf>
    <xf numFmtId="2" fontId="61" fillId="0" borderId="1" xfId="0" applyNumberFormat="1" applyFont="1" applyFill="1" applyBorder="1" applyAlignment="1">
      <alignment horizontal="left" vertical="center" wrapText="1"/>
    </xf>
    <xf numFmtId="2" fontId="61" fillId="0" borderId="1" xfId="0" applyNumberFormat="1" applyFont="1" applyFill="1" applyBorder="1" applyAlignment="1">
      <alignment horizontal="left" wrapText="1"/>
    </xf>
    <xf numFmtId="43" fontId="6" fillId="0" borderId="1" xfId="1" applyFont="1" applyFill="1" applyBorder="1" applyAlignment="1">
      <alignment horizontal="right" vertical="center"/>
    </xf>
    <xf numFmtId="43" fontId="62" fillId="0" borderId="1" xfId="1" applyFont="1" applyFill="1" applyBorder="1" applyAlignment="1">
      <alignment horizontal="right" vertical="center"/>
    </xf>
    <xf numFmtId="43" fontId="64" fillId="3" borderId="1" xfId="1" applyFont="1" applyFill="1" applyBorder="1" applyAlignment="1">
      <alignment horizontal="right" vertical="center" wrapText="1"/>
    </xf>
    <xf numFmtId="43" fontId="66" fillId="0" borderId="1" xfId="1" applyFont="1" applyBorder="1" applyAlignment="1">
      <alignment horizontal="right" vertical="center" wrapText="1"/>
    </xf>
    <xf numFmtId="43" fontId="66" fillId="2" borderId="1" xfId="1" applyFont="1" applyFill="1" applyBorder="1" applyAlignment="1">
      <alignment horizontal="right" vertical="center" wrapText="1"/>
    </xf>
    <xf numFmtId="43" fontId="66" fillId="0" borderId="1" xfId="1" applyFont="1" applyFill="1" applyBorder="1" applyAlignment="1">
      <alignment horizontal="right" vertical="center" wrapText="1"/>
    </xf>
    <xf numFmtId="43" fontId="62" fillId="2" borderId="1" xfId="1" applyFont="1" applyFill="1" applyBorder="1" applyAlignment="1">
      <alignment horizontal="right" vertical="center" wrapText="1"/>
    </xf>
    <xf numFmtId="43" fontId="6" fillId="3" borderId="1" xfId="1" applyFont="1" applyFill="1" applyBorder="1" applyAlignment="1">
      <alignment horizontal="right" vertical="center" wrapText="1"/>
    </xf>
    <xf numFmtId="43" fontId="64" fillId="4" borderId="1" xfId="1" applyFont="1" applyFill="1" applyBorder="1" applyAlignment="1">
      <alignment horizontal="right" vertical="center" wrapText="1"/>
    </xf>
    <xf numFmtId="43" fontId="69" fillId="5" borderId="1" xfId="1" applyFont="1" applyFill="1" applyBorder="1" applyAlignment="1">
      <alignment horizontal="right" vertical="center" wrapText="1"/>
    </xf>
    <xf numFmtId="43" fontId="64" fillId="3" borderId="1" xfId="1" applyFont="1" applyFill="1" applyBorder="1" applyAlignment="1">
      <alignment horizontal="right" vertical="center" wrapText="1" indent="3"/>
    </xf>
    <xf numFmtId="43" fontId="64" fillId="3" borderId="1" xfId="1" applyFont="1" applyFill="1" applyBorder="1" applyAlignment="1">
      <alignment horizontal="right" vertical="center"/>
    </xf>
    <xf numFmtId="43" fontId="62" fillId="0" borderId="1" xfId="1" applyFont="1" applyBorder="1" applyAlignment="1">
      <alignment horizontal="right" vertical="center" wrapText="1"/>
    </xf>
    <xf numFmtId="43" fontId="62" fillId="0" borderId="1" xfId="1" applyFont="1" applyFill="1" applyBorder="1" applyAlignment="1">
      <alignment horizontal="right" vertical="center" wrapText="1"/>
    </xf>
    <xf numFmtId="43" fontId="66" fillId="6" borderId="1" xfId="1" applyFont="1" applyFill="1" applyBorder="1" applyAlignment="1">
      <alignment horizontal="right" vertical="center" wrapText="1"/>
    </xf>
    <xf numFmtId="43" fontId="66" fillId="0" borderId="1" xfId="1" applyFont="1" applyBorder="1" applyAlignment="1">
      <alignment horizontal="right" vertical="center"/>
    </xf>
    <xf numFmtId="43" fontId="66" fillId="2" borderId="1" xfId="1" applyFont="1" applyFill="1" applyBorder="1" applyAlignment="1">
      <alignment horizontal="right" vertical="center"/>
    </xf>
    <xf numFmtId="43" fontId="6" fillId="2" borderId="1" xfId="1" applyFont="1" applyFill="1" applyBorder="1" applyAlignment="1">
      <alignment horizontal="right" vertical="center" wrapText="1"/>
    </xf>
    <xf numFmtId="43" fontId="62" fillId="6" borderId="1" xfId="1" applyFont="1" applyFill="1" applyBorder="1" applyAlignment="1">
      <alignment horizontal="right" vertical="center" wrapText="1"/>
    </xf>
    <xf numFmtId="43" fontId="64" fillId="7" borderId="1" xfId="1" applyFont="1" applyFill="1" applyBorder="1" applyAlignment="1">
      <alignment horizontal="right" vertical="center" wrapText="1"/>
    </xf>
    <xf numFmtId="43" fontId="64" fillId="2" borderId="1" xfId="1" applyFont="1" applyFill="1" applyBorder="1" applyAlignment="1">
      <alignment horizontal="right" vertical="center" wrapText="1"/>
    </xf>
    <xf numFmtId="43" fontId="66" fillId="7" borderId="1" xfId="1" applyFont="1" applyFill="1" applyBorder="1" applyAlignment="1">
      <alignment horizontal="right" vertical="center" wrapText="1"/>
    </xf>
    <xf numFmtId="43" fontId="64" fillId="0" borderId="1" xfId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3" fillId="8" borderId="1" xfId="0" applyFont="1" applyFill="1" applyBorder="1" applyAlignment="1">
      <alignment horizontal="center" vertical="center"/>
    </xf>
    <xf numFmtId="0" fontId="68" fillId="8" borderId="1" xfId="0" applyFont="1" applyFill="1" applyBorder="1" applyAlignment="1">
      <alignment horizontal="center" vertical="center" wrapText="1"/>
    </xf>
    <xf numFmtId="0" fontId="53" fillId="8" borderId="1" xfId="0" applyFont="1" applyFill="1" applyBorder="1" applyAlignment="1">
      <alignment horizontal="center" vertical="center" wrapText="1"/>
    </xf>
    <xf numFmtId="2" fontId="53" fillId="8" borderId="1" xfId="0" applyNumberFormat="1" applyFont="1" applyFill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center" vertical="center"/>
    </xf>
    <xf numFmtId="164" fontId="53" fillId="8" borderId="3" xfId="0" applyNumberFormat="1" applyFont="1" applyFill="1" applyBorder="1" applyAlignment="1">
      <alignment horizontal="center" vertical="center"/>
    </xf>
    <xf numFmtId="164" fontId="53" fillId="8" borderId="4" xfId="0" applyNumberFormat="1" applyFont="1" applyFill="1" applyBorder="1" applyAlignment="1">
      <alignment horizontal="center" vertical="center"/>
    </xf>
    <xf numFmtId="164" fontId="53" fillId="8" borderId="5" xfId="0" applyNumberFormat="1" applyFont="1" applyFill="1" applyBorder="1" applyAlignment="1">
      <alignment horizontal="center" vertical="center"/>
    </xf>
    <xf numFmtId="0" fontId="53" fillId="8" borderId="3" xfId="0" applyFont="1" applyFill="1" applyBorder="1" applyAlignment="1">
      <alignment horizontal="center" vertical="center" wrapText="1"/>
    </xf>
    <xf numFmtId="0" fontId="53" fillId="8" borderId="4" xfId="0" applyFont="1" applyFill="1" applyBorder="1" applyAlignment="1">
      <alignment horizontal="center" vertical="center" wrapText="1"/>
    </xf>
    <xf numFmtId="0" fontId="53" fillId="8" borderId="5" xfId="0" applyFont="1" applyFill="1" applyBorder="1" applyAlignment="1">
      <alignment horizontal="center" vertical="center" wrapText="1"/>
    </xf>
  </cellXfs>
  <cellStyles count="16">
    <cellStyle name="Comma" xfId="1" builtinId="3"/>
    <cellStyle name="Normal" xfId="0" builtinId="0"/>
    <cellStyle name="Normal 10" xfId="3"/>
    <cellStyle name="Normal 11 2" xfId="8"/>
    <cellStyle name="Normal 11 2 2" xfId="12"/>
    <cellStyle name="Normal 2 2" xfId="5"/>
    <cellStyle name="Normal 2 3" xfId="10"/>
    <cellStyle name="Normal 3" xfId="4"/>
    <cellStyle name="Normal 4" xfId="14"/>
    <cellStyle name="Normal 46" xfId="15"/>
    <cellStyle name="Normal_Direct Cost &amp; Revenue as of May 22 2003" xfId="9"/>
    <cellStyle name="Percent" xfId="2" builtinId="5"/>
    <cellStyle name="silfain" xfId="6"/>
    <cellStyle name="Обычный 2 2" xfId="13"/>
    <cellStyle name="Обычный_Лист1" xfId="7"/>
    <cellStyle name="Обычный_Лист1 2" xfId="11"/>
  </cellStyles>
  <dxfs count="10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I442"/>
  <sheetViews>
    <sheetView tabSelected="1" zoomScale="70" zoomScaleNormal="70" zoomScaleSheetLayoutView="70" workbookViewId="0">
      <pane ySplit="7" topLeftCell="A389" activePane="bottomLeft" state="frozen"/>
      <selection pane="bottomLeft" activeCell="L442" sqref="L442"/>
    </sheetView>
  </sheetViews>
  <sheetFormatPr defaultRowHeight="15.75" x14ac:dyDescent="0.25"/>
  <cols>
    <col min="1" max="1" width="4.85546875" style="117" customWidth="1"/>
    <col min="2" max="2" width="15.42578125" style="117" customWidth="1"/>
    <col min="3" max="3" width="72.7109375" style="98" customWidth="1"/>
    <col min="4" max="4" width="12.7109375" style="96" customWidth="1"/>
    <col min="5" max="5" width="11.85546875" bestFit="1" customWidth="1"/>
    <col min="6" max="6" width="18" style="98" customWidth="1"/>
    <col min="7" max="7" width="15.7109375" style="96" customWidth="1"/>
    <col min="8" max="8" width="22.42578125" style="96" customWidth="1"/>
  </cols>
  <sheetData>
    <row r="2" spans="1:8" s="37" customFormat="1" ht="65.25" customHeight="1" x14ac:dyDescent="0.25">
      <c r="A2" s="290" t="s">
        <v>252</v>
      </c>
      <c r="B2" s="291"/>
      <c r="C2" s="291"/>
      <c r="D2" s="291"/>
      <c r="E2" s="291"/>
      <c r="F2" s="291"/>
      <c r="G2" s="291"/>
      <c r="H2" s="291"/>
    </row>
    <row r="3" spans="1:8" s="37" customFormat="1" ht="21" x14ac:dyDescent="0.25">
      <c r="A3" s="287"/>
      <c r="B3" s="288"/>
      <c r="C3" s="288"/>
      <c r="D3" s="288"/>
      <c r="E3" s="288"/>
      <c r="F3" s="288"/>
      <c r="G3" s="288"/>
      <c r="H3" s="288"/>
    </row>
    <row r="4" spans="1:8" s="37" customFormat="1" ht="15" customHeight="1" x14ac:dyDescent="0.25">
      <c r="A4" s="292" t="s">
        <v>0</v>
      </c>
      <c r="B4" s="292" t="s">
        <v>1</v>
      </c>
      <c r="C4" s="293" t="s">
        <v>2</v>
      </c>
      <c r="D4" s="294" t="s">
        <v>3</v>
      </c>
      <c r="E4" s="300" t="s">
        <v>4</v>
      </c>
      <c r="F4" s="300" t="s">
        <v>6</v>
      </c>
      <c r="G4" s="297" t="s">
        <v>321</v>
      </c>
      <c r="H4" s="295" t="s">
        <v>5</v>
      </c>
    </row>
    <row r="5" spans="1:8" s="37" customFormat="1" ht="15" x14ac:dyDescent="0.25">
      <c r="A5" s="292"/>
      <c r="B5" s="292"/>
      <c r="C5" s="293"/>
      <c r="D5" s="294"/>
      <c r="E5" s="301"/>
      <c r="F5" s="301"/>
      <c r="G5" s="298"/>
      <c r="H5" s="295"/>
    </row>
    <row r="6" spans="1:8" s="37" customFormat="1" ht="15" x14ac:dyDescent="0.25">
      <c r="A6" s="292"/>
      <c r="B6" s="292"/>
      <c r="C6" s="293"/>
      <c r="D6" s="294"/>
      <c r="E6" s="302"/>
      <c r="F6" s="302"/>
      <c r="G6" s="299"/>
      <c r="H6" s="295"/>
    </row>
    <row r="7" spans="1:8" s="37" customFormat="1" ht="19.5" x14ac:dyDescent="0.25">
      <c r="A7" s="164">
        <v>1</v>
      </c>
      <c r="B7" s="164">
        <v>2</v>
      </c>
      <c r="C7" s="257">
        <v>3</v>
      </c>
      <c r="D7" s="164">
        <v>4</v>
      </c>
      <c r="E7" s="120">
        <v>5</v>
      </c>
      <c r="F7" s="165">
        <v>6</v>
      </c>
      <c r="G7" s="121">
        <v>12</v>
      </c>
      <c r="H7" s="177">
        <v>13</v>
      </c>
    </row>
    <row r="8" spans="1:8" s="37" customFormat="1" ht="19.5" x14ac:dyDescent="0.25">
      <c r="A8" s="178"/>
      <c r="B8" s="41"/>
      <c r="C8" s="225" t="s">
        <v>7</v>
      </c>
      <c r="D8" s="41"/>
      <c r="E8" s="10"/>
      <c r="F8" s="124"/>
      <c r="G8" s="118"/>
      <c r="H8" s="179"/>
    </row>
    <row r="9" spans="1:8" s="37" customFormat="1" ht="19.5" x14ac:dyDescent="0.25">
      <c r="A9" s="42">
        <v>1</v>
      </c>
      <c r="B9" s="289" t="s">
        <v>8</v>
      </c>
      <c r="C9" s="61" t="s">
        <v>9</v>
      </c>
      <c r="D9" s="42" t="s">
        <v>10</v>
      </c>
      <c r="E9" s="1"/>
      <c r="F9" s="266">
        <v>4.2119999999999997</v>
      </c>
      <c r="G9" s="266"/>
      <c r="H9" s="266"/>
    </row>
    <row r="10" spans="1:8" s="37" customFormat="1" ht="19.5" x14ac:dyDescent="0.25">
      <c r="A10" s="44"/>
      <c r="B10" s="289"/>
      <c r="C10" s="222" t="s">
        <v>11</v>
      </c>
      <c r="D10" s="44" t="s">
        <v>12</v>
      </c>
      <c r="E10" s="3">
        <f>110*0.85</f>
        <v>93.5</v>
      </c>
      <c r="F10" s="267">
        <f>E10*F9</f>
        <v>393.822</v>
      </c>
      <c r="G10" s="267"/>
      <c r="H10" s="267"/>
    </row>
    <row r="11" spans="1:8" s="37" customFormat="1" ht="31.5" x14ac:dyDescent="0.25">
      <c r="A11" s="180">
        <v>2</v>
      </c>
      <c r="B11" s="166" t="s">
        <v>13</v>
      </c>
      <c r="C11" s="211" t="s">
        <v>238</v>
      </c>
      <c r="D11" s="42" t="s">
        <v>14</v>
      </c>
      <c r="E11" s="2"/>
      <c r="F11" s="266">
        <f>69.44/100</f>
        <v>0.69440000000000002</v>
      </c>
      <c r="G11" s="266"/>
      <c r="H11" s="266"/>
    </row>
    <row r="12" spans="1:8" s="37" customFormat="1" ht="19.5" x14ac:dyDescent="0.25">
      <c r="A12" s="181"/>
      <c r="B12" s="73" t="s">
        <v>15</v>
      </c>
      <c r="C12" s="223" t="s">
        <v>11</v>
      </c>
      <c r="D12" s="46" t="s">
        <v>12</v>
      </c>
      <c r="E12" s="5">
        <v>860</v>
      </c>
      <c r="F12" s="268">
        <f>E12*F11</f>
        <v>597.18399999999997</v>
      </c>
      <c r="G12" s="268"/>
      <c r="H12" s="268"/>
    </row>
    <row r="13" spans="1:8" s="37" customFormat="1" ht="19.5" x14ac:dyDescent="0.25">
      <c r="A13" s="181"/>
      <c r="B13" s="182" t="s">
        <v>16</v>
      </c>
      <c r="C13" s="223" t="s">
        <v>17</v>
      </c>
      <c r="D13" s="45" t="s">
        <v>18</v>
      </c>
      <c r="E13" s="5">
        <v>670</v>
      </c>
      <c r="F13" s="268">
        <f>E13*F11</f>
        <v>465.24799999999999</v>
      </c>
      <c r="G13" s="268"/>
      <c r="H13" s="268"/>
    </row>
    <row r="14" spans="1:8" s="37" customFormat="1" ht="31.5" x14ac:dyDescent="0.25">
      <c r="A14" s="181"/>
      <c r="B14" s="182" t="s">
        <v>19</v>
      </c>
      <c r="C14" s="223" t="s">
        <v>20</v>
      </c>
      <c r="D14" s="45" t="s">
        <v>21</v>
      </c>
      <c r="E14" s="5">
        <f>E13/4</f>
        <v>167.5</v>
      </c>
      <c r="F14" s="268">
        <f>E14*F11</f>
        <v>116.312</v>
      </c>
      <c r="G14" s="268"/>
      <c r="H14" s="268"/>
    </row>
    <row r="15" spans="1:8" s="37" customFormat="1" ht="31.5" x14ac:dyDescent="0.25">
      <c r="A15" s="180">
        <v>3</v>
      </c>
      <c r="B15" s="42" t="s">
        <v>22</v>
      </c>
      <c r="C15" s="211" t="s">
        <v>23</v>
      </c>
      <c r="D15" s="42" t="s">
        <v>24</v>
      </c>
      <c r="E15" s="2"/>
      <c r="F15" s="266">
        <f>F11*100*1.95/1000</f>
        <v>0.135408</v>
      </c>
      <c r="G15" s="266"/>
      <c r="H15" s="266"/>
    </row>
    <row r="16" spans="1:8" s="37" customFormat="1" ht="19.5" x14ac:dyDescent="0.25">
      <c r="A16" s="181"/>
      <c r="B16" s="55" t="s">
        <v>15</v>
      </c>
      <c r="C16" s="222" t="s">
        <v>11</v>
      </c>
      <c r="D16" s="44" t="s">
        <v>12</v>
      </c>
      <c r="E16" s="4">
        <v>18.8</v>
      </c>
      <c r="F16" s="267">
        <f>E16*F15</f>
        <v>2.5456704000000001</v>
      </c>
      <c r="G16" s="267"/>
      <c r="H16" s="267"/>
    </row>
    <row r="17" spans="1:8" s="37" customFormat="1" ht="19.5" x14ac:dyDescent="0.25">
      <c r="A17" s="181"/>
      <c r="B17" s="47" t="s">
        <v>25</v>
      </c>
      <c r="C17" s="222" t="s">
        <v>26</v>
      </c>
      <c r="D17" s="43" t="s">
        <v>21</v>
      </c>
      <c r="E17" s="4">
        <f>42*1.15</f>
        <v>48.3</v>
      </c>
      <c r="F17" s="267">
        <f>E17*F15</f>
        <v>6.5402063999999998</v>
      </c>
      <c r="G17" s="267"/>
      <c r="H17" s="267"/>
    </row>
    <row r="18" spans="1:8" s="37" customFormat="1" ht="19.5" x14ac:dyDescent="0.25">
      <c r="A18" s="181"/>
      <c r="B18" s="55" t="s">
        <v>27</v>
      </c>
      <c r="C18" s="222" t="s">
        <v>28</v>
      </c>
      <c r="D18" s="44" t="s">
        <v>29</v>
      </c>
      <c r="E18" s="4">
        <v>2.74</v>
      </c>
      <c r="F18" s="267">
        <f>E18*F15</f>
        <v>0.37101792000000006</v>
      </c>
      <c r="G18" s="267"/>
      <c r="H18" s="267"/>
    </row>
    <row r="19" spans="1:8" s="37" customFormat="1" ht="19.5" x14ac:dyDescent="0.25">
      <c r="A19" s="180">
        <v>4</v>
      </c>
      <c r="B19" s="183" t="s">
        <v>30</v>
      </c>
      <c r="C19" s="61" t="s">
        <v>240</v>
      </c>
      <c r="D19" s="42" t="s">
        <v>31</v>
      </c>
      <c r="E19" s="2"/>
      <c r="F19" s="266">
        <f>F15*1000</f>
        <v>135.40799999999999</v>
      </c>
      <c r="G19" s="266"/>
      <c r="H19" s="266"/>
    </row>
    <row r="20" spans="1:8" s="37" customFormat="1" ht="31.5" x14ac:dyDescent="0.25">
      <c r="A20" s="180">
        <v>5</v>
      </c>
      <c r="B20" s="52" t="s">
        <v>32</v>
      </c>
      <c r="C20" s="61" t="s">
        <v>33</v>
      </c>
      <c r="D20" s="42" t="s">
        <v>34</v>
      </c>
      <c r="E20" s="1"/>
      <c r="F20" s="266">
        <v>39</v>
      </c>
      <c r="G20" s="266"/>
      <c r="H20" s="266"/>
    </row>
    <row r="21" spans="1:8" s="37" customFormat="1" ht="19.5" x14ac:dyDescent="0.25">
      <c r="A21" s="184"/>
      <c r="B21" s="261"/>
      <c r="C21" s="255" t="s">
        <v>11</v>
      </c>
      <c r="D21" s="184" t="s">
        <v>34</v>
      </c>
      <c r="E21" s="256">
        <v>1</v>
      </c>
      <c r="F21" s="269">
        <f>E21*F20</f>
        <v>39</v>
      </c>
      <c r="G21" s="269"/>
      <c r="H21" s="269"/>
    </row>
    <row r="22" spans="1:8" s="37" customFormat="1" ht="36" x14ac:dyDescent="0.25">
      <c r="A22" s="180">
        <v>6</v>
      </c>
      <c r="B22" s="48" t="s">
        <v>35</v>
      </c>
      <c r="C22" s="61" t="s">
        <v>36</v>
      </c>
      <c r="D22" s="42" t="s">
        <v>37</v>
      </c>
      <c r="E22" s="1"/>
      <c r="F22" s="266">
        <v>39</v>
      </c>
      <c r="G22" s="266"/>
      <c r="H22" s="266"/>
    </row>
    <row r="23" spans="1:8" s="37" customFormat="1" ht="19.5" x14ac:dyDescent="0.25">
      <c r="A23" s="184"/>
      <c r="B23" s="51" t="s">
        <v>15</v>
      </c>
      <c r="C23" s="222" t="s">
        <v>11</v>
      </c>
      <c r="D23" s="44" t="s">
        <v>12</v>
      </c>
      <c r="E23" s="3">
        <f>1.24+0.22</f>
        <v>1.46</v>
      </c>
      <c r="F23" s="267">
        <f>E23*F22</f>
        <v>56.94</v>
      </c>
      <c r="G23" s="267"/>
      <c r="H23" s="268"/>
    </row>
    <row r="24" spans="1:8" s="37" customFormat="1" ht="19.5" x14ac:dyDescent="0.25">
      <c r="A24" s="184"/>
      <c r="B24" s="49"/>
      <c r="C24" s="222" t="s">
        <v>38</v>
      </c>
      <c r="D24" s="44" t="s">
        <v>18</v>
      </c>
      <c r="E24" s="3">
        <v>0.72</v>
      </c>
      <c r="F24" s="267">
        <f>E24*F22</f>
        <v>28.08</v>
      </c>
      <c r="G24" s="267"/>
      <c r="H24" s="268"/>
    </row>
    <row r="25" spans="1:8" s="37" customFormat="1" ht="31.5" x14ac:dyDescent="0.25">
      <c r="A25" s="180">
        <v>7</v>
      </c>
      <c r="B25" s="52" t="s">
        <v>39</v>
      </c>
      <c r="C25" s="61" t="s">
        <v>40</v>
      </c>
      <c r="D25" s="42" t="s">
        <v>14</v>
      </c>
      <c r="E25" s="1"/>
      <c r="F25" s="266">
        <f>39*0.5/100</f>
        <v>0.19500000000000001</v>
      </c>
      <c r="G25" s="266"/>
      <c r="H25" s="266"/>
    </row>
    <row r="26" spans="1:8" s="37" customFormat="1" ht="19.5" x14ac:dyDescent="0.25">
      <c r="A26" s="184"/>
      <c r="B26" s="51" t="s">
        <v>15</v>
      </c>
      <c r="C26" s="222" t="s">
        <v>11</v>
      </c>
      <c r="D26" s="44" t="s">
        <v>12</v>
      </c>
      <c r="E26" s="3">
        <f>131*1.2</f>
        <v>157.19999999999999</v>
      </c>
      <c r="F26" s="267">
        <f>E26*F25</f>
        <v>30.654</v>
      </c>
      <c r="G26" s="267"/>
      <c r="H26" s="268"/>
    </row>
    <row r="27" spans="1:8" s="37" customFormat="1" ht="19.5" x14ac:dyDescent="0.25">
      <c r="A27" s="180">
        <v>8</v>
      </c>
      <c r="B27" s="99" t="s">
        <v>41</v>
      </c>
      <c r="C27" s="61" t="s">
        <v>42</v>
      </c>
      <c r="D27" s="42" t="s">
        <v>34</v>
      </c>
      <c r="E27" s="1"/>
      <c r="F27" s="266">
        <v>39</v>
      </c>
      <c r="G27" s="266"/>
      <c r="H27" s="266"/>
    </row>
    <row r="28" spans="1:8" s="37" customFormat="1" ht="19.5" x14ac:dyDescent="0.25">
      <c r="A28" s="185"/>
      <c r="B28" s="51" t="s">
        <v>15</v>
      </c>
      <c r="C28" s="222" t="s">
        <v>11</v>
      </c>
      <c r="D28" s="44" t="s">
        <v>12</v>
      </c>
      <c r="E28" s="3">
        <v>1.39</v>
      </c>
      <c r="F28" s="267">
        <f>E28*F27</f>
        <v>54.209999999999994</v>
      </c>
      <c r="G28" s="267"/>
      <c r="H28" s="268"/>
    </row>
    <row r="29" spans="1:8" s="37" customFormat="1" ht="19.5" x14ac:dyDescent="0.25">
      <c r="A29" s="185"/>
      <c r="B29" s="100" t="s">
        <v>44</v>
      </c>
      <c r="C29" s="222" t="s">
        <v>45</v>
      </c>
      <c r="D29" s="44" t="s">
        <v>18</v>
      </c>
      <c r="E29" s="3">
        <v>0.68</v>
      </c>
      <c r="F29" s="267">
        <f>E29*F27</f>
        <v>26.520000000000003</v>
      </c>
      <c r="G29" s="267"/>
      <c r="H29" s="268"/>
    </row>
    <row r="30" spans="1:8" s="37" customFormat="1" ht="19.5" x14ac:dyDescent="0.25">
      <c r="A30" s="185"/>
      <c r="B30" s="101" t="s">
        <v>46</v>
      </c>
      <c r="C30" s="223" t="s">
        <v>47</v>
      </c>
      <c r="D30" s="46" t="s">
        <v>48</v>
      </c>
      <c r="E30" s="7">
        <v>1.0149999999999999</v>
      </c>
      <c r="F30" s="268">
        <f>E30*F27</f>
        <v>39.584999999999994</v>
      </c>
      <c r="G30" s="270"/>
      <c r="H30" s="270"/>
    </row>
    <row r="31" spans="1:8" s="37" customFormat="1" ht="19.5" x14ac:dyDescent="0.25">
      <c r="A31" s="180">
        <v>9</v>
      </c>
      <c r="B31" s="52" t="s">
        <v>253</v>
      </c>
      <c r="C31" s="61" t="s">
        <v>49</v>
      </c>
      <c r="D31" s="42" t="s">
        <v>14</v>
      </c>
      <c r="E31" s="1"/>
      <c r="F31" s="266">
        <f>39*0.2/100</f>
        <v>7.8000000000000014E-2</v>
      </c>
      <c r="G31" s="266"/>
      <c r="H31" s="266"/>
    </row>
    <row r="32" spans="1:8" s="37" customFormat="1" ht="19.5" x14ac:dyDescent="0.25">
      <c r="A32" s="184"/>
      <c r="B32" s="51" t="s">
        <v>15</v>
      </c>
      <c r="C32" s="222" t="s">
        <v>11</v>
      </c>
      <c r="D32" s="44" t="s">
        <v>12</v>
      </c>
      <c r="E32" s="3">
        <f>131*1.2</f>
        <v>157.19999999999999</v>
      </c>
      <c r="F32" s="267">
        <f>E32*F31</f>
        <v>12.261600000000001</v>
      </c>
      <c r="G32" s="267"/>
      <c r="H32" s="268"/>
    </row>
    <row r="33" spans="1:8" s="37" customFormat="1" ht="19.5" x14ac:dyDescent="0.25">
      <c r="A33" s="42">
        <v>10</v>
      </c>
      <c r="B33" s="296" t="s">
        <v>32</v>
      </c>
      <c r="C33" s="61" t="s">
        <v>50</v>
      </c>
      <c r="D33" s="42" t="s">
        <v>34</v>
      </c>
      <c r="E33" s="1"/>
      <c r="F33" s="266">
        <v>39</v>
      </c>
      <c r="G33" s="266"/>
      <c r="H33" s="266"/>
    </row>
    <row r="34" spans="1:8" s="37" customFormat="1" ht="19.5" x14ac:dyDescent="0.25">
      <c r="A34" s="184"/>
      <c r="B34" s="296"/>
      <c r="C34" s="255" t="s">
        <v>11</v>
      </c>
      <c r="D34" s="184" t="s">
        <v>34</v>
      </c>
      <c r="E34" s="256">
        <v>1</v>
      </c>
      <c r="F34" s="269">
        <f>E34*F33</f>
        <v>39</v>
      </c>
      <c r="G34" s="269"/>
      <c r="H34" s="269"/>
    </row>
    <row r="35" spans="1:8" s="37" customFormat="1" ht="36" x14ac:dyDescent="0.25">
      <c r="A35" s="42">
        <v>11</v>
      </c>
      <c r="B35" s="48" t="s">
        <v>250</v>
      </c>
      <c r="C35" s="212" t="s">
        <v>254</v>
      </c>
      <c r="D35" s="50" t="s">
        <v>51</v>
      </c>
      <c r="E35" s="8"/>
      <c r="F35" s="271">
        <f>130/100</f>
        <v>1.3</v>
      </c>
      <c r="G35" s="266"/>
      <c r="H35" s="266"/>
    </row>
    <row r="36" spans="1:8" s="37" customFormat="1" ht="19.5" x14ac:dyDescent="0.25">
      <c r="A36" s="184"/>
      <c r="B36" s="51" t="s">
        <v>15</v>
      </c>
      <c r="C36" s="222" t="s">
        <v>11</v>
      </c>
      <c r="D36" s="44" t="s">
        <v>12</v>
      </c>
      <c r="E36" s="3">
        <f>129*0.8</f>
        <v>103.2</v>
      </c>
      <c r="F36" s="267">
        <f>E36*F35</f>
        <v>134.16</v>
      </c>
      <c r="G36" s="267"/>
      <c r="H36" s="268"/>
    </row>
    <row r="37" spans="1:8" s="37" customFormat="1" ht="19.5" x14ac:dyDescent="0.25">
      <c r="A37" s="184"/>
      <c r="B37" s="100" t="s">
        <v>52</v>
      </c>
      <c r="C37" s="222" t="s">
        <v>53</v>
      </c>
      <c r="D37" s="44" t="s">
        <v>18</v>
      </c>
      <c r="E37" s="3">
        <f>4.3*0.8</f>
        <v>3.44</v>
      </c>
      <c r="F37" s="267">
        <f>E37*F35</f>
        <v>4.4720000000000004</v>
      </c>
      <c r="G37" s="267"/>
      <c r="H37" s="268"/>
    </row>
    <row r="38" spans="1:8" s="37" customFormat="1" ht="19.5" x14ac:dyDescent="0.25">
      <c r="A38" s="184"/>
      <c r="B38" s="51" t="s">
        <v>54</v>
      </c>
      <c r="C38" s="222" t="s">
        <v>28</v>
      </c>
      <c r="D38" s="44" t="s">
        <v>29</v>
      </c>
      <c r="E38" s="3">
        <f>24.1*0.8</f>
        <v>19.28</v>
      </c>
      <c r="F38" s="267">
        <f>E38*F35</f>
        <v>25.064000000000004</v>
      </c>
      <c r="G38" s="267"/>
      <c r="H38" s="268"/>
    </row>
    <row r="39" spans="1:8" s="37" customFormat="1" ht="19.5" x14ac:dyDescent="0.25">
      <c r="A39" s="184"/>
      <c r="B39" s="51" t="s">
        <v>54</v>
      </c>
      <c r="C39" s="222" t="s">
        <v>55</v>
      </c>
      <c r="D39" s="44" t="s">
        <v>29</v>
      </c>
      <c r="E39" s="3">
        <f>7.78*0.8</f>
        <v>6.2240000000000002</v>
      </c>
      <c r="F39" s="267">
        <f>E39*F35</f>
        <v>8.0912000000000006</v>
      </c>
      <c r="G39" s="267"/>
      <c r="H39" s="268"/>
    </row>
    <row r="40" spans="1:8" s="37" customFormat="1" ht="31.5" x14ac:dyDescent="0.25">
      <c r="A40" s="42">
        <v>12</v>
      </c>
      <c r="B40" s="52" t="s">
        <v>56</v>
      </c>
      <c r="C40" s="61" t="s">
        <v>57</v>
      </c>
      <c r="D40" s="42" t="s">
        <v>31</v>
      </c>
      <c r="E40" s="1"/>
      <c r="F40" s="266">
        <f>234</f>
        <v>234</v>
      </c>
      <c r="G40" s="266"/>
      <c r="H40" s="266"/>
    </row>
    <row r="41" spans="1:8" s="37" customFormat="1" ht="19.5" x14ac:dyDescent="0.25">
      <c r="A41" s="184"/>
      <c r="B41" s="51" t="s">
        <v>15</v>
      </c>
      <c r="C41" s="222" t="s">
        <v>11</v>
      </c>
      <c r="D41" s="44" t="s">
        <v>12</v>
      </c>
      <c r="E41" s="3">
        <v>0.67</v>
      </c>
      <c r="F41" s="267">
        <f>E41*F40</f>
        <v>156.78</v>
      </c>
      <c r="G41" s="267"/>
      <c r="H41" s="268"/>
    </row>
    <row r="42" spans="1:8" s="37" customFormat="1" ht="19.5" x14ac:dyDescent="0.25">
      <c r="A42" s="180">
        <v>13</v>
      </c>
      <c r="B42" s="166" t="s">
        <v>58</v>
      </c>
      <c r="C42" s="61" t="s">
        <v>240</v>
      </c>
      <c r="D42" s="42" t="s">
        <v>31</v>
      </c>
      <c r="E42" s="1"/>
      <c r="F42" s="266">
        <f>F40*1.95</f>
        <v>456.3</v>
      </c>
      <c r="G42" s="266"/>
      <c r="H42" s="266"/>
    </row>
    <row r="43" spans="1:8" s="37" customFormat="1" ht="19.5" x14ac:dyDescent="0.25">
      <c r="A43" s="186"/>
      <c r="B43" s="53"/>
      <c r="C43" s="224" t="s">
        <v>59</v>
      </c>
      <c r="D43" s="54"/>
      <c r="E43" s="9"/>
      <c r="F43" s="272"/>
      <c r="G43" s="272"/>
      <c r="H43" s="272"/>
    </row>
    <row r="44" spans="1:8" s="37" customFormat="1" ht="19.5" x14ac:dyDescent="0.25">
      <c r="A44" s="178"/>
      <c r="B44" s="41"/>
      <c r="C44" s="225" t="s">
        <v>60</v>
      </c>
      <c r="D44" s="41"/>
      <c r="E44" s="10"/>
      <c r="F44" s="273"/>
      <c r="G44" s="273"/>
      <c r="H44" s="273"/>
    </row>
    <row r="45" spans="1:8" s="37" customFormat="1" ht="19.5" x14ac:dyDescent="0.25">
      <c r="A45" s="42">
        <v>1</v>
      </c>
      <c r="B45" s="42" t="s">
        <v>61</v>
      </c>
      <c r="C45" s="61" t="s">
        <v>62</v>
      </c>
      <c r="D45" s="42" t="s">
        <v>14</v>
      </c>
      <c r="E45" s="1"/>
      <c r="F45" s="266">
        <f>1263/100</f>
        <v>12.63</v>
      </c>
      <c r="G45" s="266"/>
      <c r="H45" s="266"/>
    </row>
    <row r="46" spans="1:8" s="37" customFormat="1" ht="19.5" x14ac:dyDescent="0.25">
      <c r="A46" s="181"/>
      <c r="B46" s="55" t="s">
        <v>15</v>
      </c>
      <c r="C46" s="222" t="s">
        <v>63</v>
      </c>
      <c r="D46" s="44" t="s">
        <v>12</v>
      </c>
      <c r="E46" s="3">
        <v>206</v>
      </c>
      <c r="F46" s="267">
        <f>F45*E46</f>
        <v>2601.7800000000002</v>
      </c>
      <c r="G46" s="267"/>
      <c r="H46" s="267"/>
    </row>
    <row r="47" spans="1:8" s="37" customFormat="1" ht="19.5" x14ac:dyDescent="0.25">
      <c r="A47" s="42">
        <v>2</v>
      </c>
      <c r="B47" s="52" t="s">
        <v>64</v>
      </c>
      <c r="C47" s="61" t="s">
        <v>65</v>
      </c>
      <c r="D47" s="42" t="s">
        <v>31</v>
      </c>
      <c r="E47" s="1"/>
      <c r="F47" s="274">
        <f>F45*100*1.9</f>
        <v>2399.6999999999998</v>
      </c>
      <c r="G47" s="266"/>
      <c r="H47" s="266"/>
    </row>
    <row r="48" spans="1:8" s="37" customFormat="1" ht="19.5" x14ac:dyDescent="0.25">
      <c r="A48" s="181"/>
      <c r="B48" s="187"/>
      <c r="C48" s="222" t="s">
        <v>11</v>
      </c>
      <c r="D48" s="44" t="s">
        <v>12</v>
      </c>
      <c r="E48" s="3">
        <v>0.53</v>
      </c>
      <c r="F48" s="267">
        <f>F47*E48</f>
        <v>1271.8409999999999</v>
      </c>
      <c r="G48" s="267"/>
      <c r="H48" s="267"/>
    </row>
    <row r="49" spans="1:8" s="37" customFormat="1" ht="31.5" x14ac:dyDescent="0.25">
      <c r="A49" s="180">
        <v>3</v>
      </c>
      <c r="B49" s="42" t="s">
        <v>66</v>
      </c>
      <c r="C49" s="61" t="s">
        <v>67</v>
      </c>
      <c r="D49" s="42" t="s">
        <v>24</v>
      </c>
      <c r="E49" s="122"/>
      <c r="F49" s="266">
        <f>11368/1000</f>
        <v>11.368</v>
      </c>
      <c r="G49" s="266"/>
      <c r="H49" s="266"/>
    </row>
    <row r="50" spans="1:8" s="37" customFormat="1" ht="18.75" x14ac:dyDescent="0.25">
      <c r="A50" s="181"/>
      <c r="B50" s="55" t="s">
        <v>15</v>
      </c>
      <c r="C50" s="222" t="s">
        <v>11</v>
      </c>
      <c r="D50" s="44" t="s">
        <v>12</v>
      </c>
      <c r="E50" s="123">
        <v>20</v>
      </c>
      <c r="F50" s="267">
        <f>F49*E50</f>
        <v>227.36</v>
      </c>
      <c r="G50" s="267"/>
      <c r="H50" s="267"/>
    </row>
    <row r="51" spans="1:8" s="37" customFormat="1" ht="18.75" x14ac:dyDescent="0.25">
      <c r="A51" s="181"/>
      <c r="B51" s="55" t="s">
        <v>68</v>
      </c>
      <c r="C51" s="226" t="s">
        <v>69</v>
      </c>
      <c r="D51" s="43" t="s">
        <v>21</v>
      </c>
      <c r="E51" s="123">
        <v>44.8</v>
      </c>
      <c r="F51" s="267">
        <f>F49*E51</f>
        <v>509.28639999999996</v>
      </c>
      <c r="G51" s="267"/>
      <c r="H51" s="267"/>
    </row>
    <row r="52" spans="1:8" s="37" customFormat="1" ht="18.75" x14ac:dyDescent="0.25">
      <c r="A52" s="181"/>
      <c r="B52" s="55" t="s">
        <v>27</v>
      </c>
      <c r="C52" s="222" t="s">
        <v>28</v>
      </c>
      <c r="D52" s="44" t="s">
        <v>29</v>
      </c>
      <c r="E52" s="123">
        <v>2.1</v>
      </c>
      <c r="F52" s="267">
        <f>F49*E52</f>
        <v>23.872800000000002</v>
      </c>
      <c r="G52" s="267"/>
      <c r="H52" s="267"/>
    </row>
    <row r="53" spans="1:8" s="37" customFormat="1" ht="37.5" x14ac:dyDescent="0.25">
      <c r="A53" s="125">
        <v>4</v>
      </c>
      <c r="B53" s="188" t="s">
        <v>30</v>
      </c>
      <c r="C53" s="213" t="s">
        <v>240</v>
      </c>
      <c r="D53" s="42" t="s">
        <v>31</v>
      </c>
      <c r="E53" s="122"/>
      <c r="F53" s="266">
        <f>(F49*1000)+F47</f>
        <v>13767.7</v>
      </c>
      <c r="G53" s="275"/>
      <c r="H53" s="275"/>
    </row>
    <row r="54" spans="1:8" s="37" customFormat="1" ht="19.5" x14ac:dyDescent="0.25">
      <c r="A54" s="186"/>
      <c r="B54" s="53"/>
      <c r="C54" s="224" t="s">
        <v>59</v>
      </c>
      <c r="D54" s="54"/>
      <c r="E54" s="9"/>
      <c r="F54" s="272"/>
      <c r="G54" s="272"/>
      <c r="H54" s="272"/>
    </row>
    <row r="55" spans="1:8" s="37" customFormat="1" ht="19.5" x14ac:dyDescent="0.25">
      <c r="A55" s="178"/>
      <c r="B55" s="41"/>
      <c r="C55" s="225" t="s">
        <v>76</v>
      </c>
      <c r="D55" s="41"/>
      <c r="E55" s="10"/>
      <c r="F55" s="273"/>
      <c r="G55" s="273"/>
      <c r="H55" s="273"/>
    </row>
    <row r="56" spans="1:8" s="37" customFormat="1" ht="31.5" x14ac:dyDescent="0.25">
      <c r="A56" s="180"/>
      <c r="B56" s="42" t="s">
        <v>66</v>
      </c>
      <c r="C56" s="61" t="s">
        <v>67</v>
      </c>
      <c r="D56" s="42" t="s">
        <v>24</v>
      </c>
      <c r="E56" s="122"/>
      <c r="F56" s="266">
        <f>1075.1/1000</f>
        <v>1.0750999999999999</v>
      </c>
      <c r="G56" s="266"/>
      <c r="H56" s="266"/>
    </row>
    <row r="57" spans="1:8" s="37" customFormat="1" ht="18.75" x14ac:dyDescent="0.25">
      <c r="A57" s="181"/>
      <c r="B57" s="55" t="s">
        <v>15</v>
      </c>
      <c r="C57" s="222" t="s">
        <v>11</v>
      </c>
      <c r="D57" s="44" t="s">
        <v>12</v>
      </c>
      <c r="E57" s="123">
        <v>20</v>
      </c>
      <c r="F57" s="267">
        <f>F56*E57</f>
        <v>21.501999999999999</v>
      </c>
      <c r="G57" s="267"/>
      <c r="H57" s="267"/>
    </row>
    <row r="58" spans="1:8" s="37" customFormat="1" ht="18.75" x14ac:dyDescent="0.25">
      <c r="A58" s="181"/>
      <c r="B58" s="55" t="s">
        <v>68</v>
      </c>
      <c r="C58" s="226" t="s">
        <v>69</v>
      </c>
      <c r="D58" s="43" t="s">
        <v>21</v>
      </c>
      <c r="E58" s="123">
        <v>44.8</v>
      </c>
      <c r="F58" s="267">
        <f>F56*E58</f>
        <v>48.164479999999998</v>
      </c>
      <c r="G58" s="267"/>
      <c r="H58" s="267"/>
    </row>
    <row r="59" spans="1:8" s="37" customFormat="1" ht="18.75" x14ac:dyDescent="0.25">
      <c r="A59" s="181"/>
      <c r="B59" s="55" t="s">
        <v>27</v>
      </c>
      <c r="C59" s="222" t="s">
        <v>28</v>
      </c>
      <c r="D59" s="44" t="s">
        <v>29</v>
      </c>
      <c r="E59" s="123">
        <v>2.1</v>
      </c>
      <c r="F59" s="267">
        <f>F56*E59</f>
        <v>2.2577099999999999</v>
      </c>
      <c r="G59" s="267"/>
      <c r="H59" s="267"/>
    </row>
    <row r="60" spans="1:8" s="37" customFormat="1" ht="37.5" x14ac:dyDescent="0.25">
      <c r="A60" s="125"/>
      <c r="B60" s="188" t="s">
        <v>30</v>
      </c>
      <c r="C60" s="213" t="s">
        <v>240</v>
      </c>
      <c r="D60" s="42" t="s">
        <v>31</v>
      </c>
      <c r="E60" s="122"/>
      <c r="F60" s="266">
        <f>(F56*1000)+F54</f>
        <v>1075.0999999999999</v>
      </c>
      <c r="G60" s="275"/>
      <c r="H60" s="275"/>
    </row>
    <row r="61" spans="1:8" s="37" customFormat="1" ht="19.5" x14ac:dyDescent="0.25">
      <c r="A61" s="42">
        <v>1</v>
      </c>
      <c r="B61" s="42" t="s">
        <v>61</v>
      </c>
      <c r="C61" s="61" t="s">
        <v>62</v>
      </c>
      <c r="D61" s="42" t="s">
        <v>14</v>
      </c>
      <c r="E61" s="1"/>
      <c r="F61" s="266">
        <f>268.8/100</f>
        <v>2.6880000000000002</v>
      </c>
      <c r="G61" s="266"/>
      <c r="H61" s="266"/>
    </row>
    <row r="62" spans="1:8" s="37" customFormat="1" ht="19.5" x14ac:dyDescent="0.25">
      <c r="A62" s="181"/>
      <c r="B62" s="55" t="s">
        <v>15</v>
      </c>
      <c r="C62" s="222" t="s">
        <v>63</v>
      </c>
      <c r="D62" s="44" t="s">
        <v>12</v>
      </c>
      <c r="E62" s="3">
        <v>206</v>
      </c>
      <c r="F62" s="267">
        <f>F61*E62</f>
        <v>553.72800000000007</v>
      </c>
      <c r="G62" s="267"/>
      <c r="H62" s="267"/>
    </row>
    <row r="63" spans="1:8" s="37" customFormat="1" ht="19.5" x14ac:dyDescent="0.25">
      <c r="A63" s="42">
        <v>2</v>
      </c>
      <c r="B63" s="52" t="s">
        <v>64</v>
      </c>
      <c r="C63" s="61" t="s">
        <v>65</v>
      </c>
      <c r="D63" s="42" t="s">
        <v>31</v>
      </c>
      <c r="E63" s="1"/>
      <c r="F63" s="274">
        <f>F61*100*1.9</f>
        <v>510.71999999999997</v>
      </c>
      <c r="G63" s="266"/>
      <c r="H63" s="266"/>
    </row>
    <row r="64" spans="1:8" s="37" customFormat="1" ht="19.5" x14ac:dyDescent="0.25">
      <c r="A64" s="181"/>
      <c r="B64" s="187"/>
      <c r="C64" s="222" t="s">
        <v>11</v>
      </c>
      <c r="D64" s="44" t="s">
        <v>12</v>
      </c>
      <c r="E64" s="3">
        <v>0.53</v>
      </c>
      <c r="F64" s="267">
        <f>F63*E64</f>
        <v>270.6816</v>
      </c>
      <c r="G64" s="267"/>
      <c r="H64" s="267"/>
    </row>
    <row r="65" spans="1:8" s="37" customFormat="1" ht="34.5" customHeight="1" x14ac:dyDescent="0.25">
      <c r="A65" s="42">
        <v>1</v>
      </c>
      <c r="B65" s="56">
        <v>37222</v>
      </c>
      <c r="C65" s="211" t="s">
        <v>77</v>
      </c>
      <c r="D65" s="42" t="s">
        <v>243</v>
      </c>
      <c r="E65" s="2"/>
      <c r="F65" s="266">
        <f>142.9/1000</f>
        <v>0.1429</v>
      </c>
      <c r="G65" s="266"/>
      <c r="H65" s="266"/>
    </row>
    <row r="66" spans="1:8" s="37" customFormat="1" ht="19.5" x14ac:dyDescent="0.25">
      <c r="A66" s="44"/>
      <c r="B66" s="55" t="s">
        <v>15</v>
      </c>
      <c r="C66" s="222" t="s">
        <v>11</v>
      </c>
      <c r="D66" s="44" t="s">
        <v>12</v>
      </c>
      <c r="E66" s="4">
        <v>33</v>
      </c>
      <c r="F66" s="267">
        <f>E66*F65</f>
        <v>4.7157</v>
      </c>
      <c r="G66" s="267"/>
      <c r="H66" s="267"/>
    </row>
    <row r="67" spans="1:8" s="37" customFormat="1" ht="19.5" x14ac:dyDescent="0.25">
      <c r="A67" s="44"/>
      <c r="B67" s="55" t="s">
        <v>78</v>
      </c>
      <c r="C67" s="222" t="s">
        <v>79</v>
      </c>
      <c r="D67" s="43" t="s">
        <v>21</v>
      </c>
      <c r="E67" s="4">
        <v>0.42</v>
      </c>
      <c r="F67" s="267">
        <f>E67*F65</f>
        <v>6.0017999999999995E-2</v>
      </c>
      <c r="G67" s="267"/>
      <c r="H67" s="267"/>
    </row>
    <row r="68" spans="1:8" s="37" customFormat="1" ht="19.5" x14ac:dyDescent="0.25">
      <c r="A68" s="44"/>
      <c r="B68" s="55" t="s">
        <v>72</v>
      </c>
      <c r="C68" s="222" t="s">
        <v>80</v>
      </c>
      <c r="D68" s="43" t="s">
        <v>21</v>
      </c>
      <c r="E68" s="4">
        <v>2.58</v>
      </c>
      <c r="F68" s="267">
        <f>E68*F65</f>
        <v>0.36868200000000001</v>
      </c>
      <c r="G68" s="267"/>
      <c r="H68" s="267"/>
    </row>
    <row r="69" spans="1:8" s="37" customFormat="1" ht="19.5" x14ac:dyDescent="0.25">
      <c r="A69" s="44"/>
      <c r="B69" s="55" t="s">
        <v>81</v>
      </c>
      <c r="C69" s="222" t="s">
        <v>82</v>
      </c>
      <c r="D69" s="43" t="s">
        <v>21</v>
      </c>
      <c r="E69" s="4">
        <v>11.2</v>
      </c>
      <c r="F69" s="267">
        <f>E69*F65</f>
        <v>1.6004799999999999</v>
      </c>
      <c r="G69" s="267"/>
      <c r="H69" s="267"/>
    </row>
    <row r="70" spans="1:8" s="37" customFormat="1" ht="19.5" x14ac:dyDescent="0.25">
      <c r="A70" s="44"/>
      <c r="B70" s="55" t="s">
        <v>83</v>
      </c>
      <c r="C70" s="222" t="s">
        <v>84</v>
      </c>
      <c r="D70" s="43" t="s">
        <v>21</v>
      </c>
      <c r="E70" s="4">
        <v>24.8</v>
      </c>
      <c r="F70" s="267">
        <f>E70*F65</f>
        <v>3.54392</v>
      </c>
      <c r="G70" s="267"/>
      <c r="H70" s="267"/>
    </row>
    <row r="71" spans="1:8" s="37" customFormat="1" ht="19.5" x14ac:dyDescent="0.25">
      <c r="A71" s="44"/>
      <c r="B71" s="55" t="s">
        <v>85</v>
      </c>
      <c r="C71" s="222" t="s">
        <v>86</v>
      </c>
      <c r="D71" s="43" t="s">
        <v>21</v>
      </c>
      <c r="E71" s="4">
        <v>4.1399999999999997</v>
      </c>
      <c r="F71" s="267">
        <f>E71*F65</f>
        <v>0.59160599999999997</v>
      </c>
      <c r="G71" s="267"/>
      <c r="H71" s="267"/>
    </row>
    <row r="72" spans="1:8" s="37" customFormat="1" ht="19.5" x14ac:dyDescent="0.25">
      <c r="A72" s="44"/>
      <c r="B72" s="55" t="s">
        <v>87</v>
      </c>
      <c r="C72" s="222" t="s">
        <v>88</v>
      </c>
      <c r="D72" s="43" t="s">
        <v>18</v>
      </c>
      <c r="E72" s="4">
        <v>0.53</v>
      </c>
      <c r="F72" s="267">
        <f>E72*F65</f>
        <v>7.5736999999999999E-2</v>
      </c>
      <c r="G72" s="267"/>
      <c r="H72" s="267"/>
    </row>
    <row r="73" spans="1:8" s="37" customFormat="1" ht="19.5" x14ac:dyDescent="0.25">
      <c r="A73" s="44"/>
      <c r="B73" s="55" t="s">
        <v>89</v>
      </c>
      <c r="C73" s="222" t="s">
        <v>90</v>
      </c>
      <c r="D73" s="44" t="s">
        <v>48</v>
      </c>
      <c r="E73" s="4">
        <v>30</v>
      </c>
      <c r="F73" s="267">
        <f>E73*F65</f>
        <v>4.2869999999999999</v>
      </c>
      <c r="G73" s="267"/>
      <c r="H73" s="267"/>
    </row>
    <row r="74" spans="1:8" s="37" customFormat="1" ht="19.5" x14ac:dyDescent="0.25">
      <c r="A74" s="44"/>
      <c r="B74" s="55" t="s">
        <v>91</v>
      </c>
      <c r="C74" s="222" t="s">
        <v>92</v>
      </c>
      <c r="D74" s="44" t="s">
        <v>48</v>
      </c>
      <c r="E74" s="4">
        <f>189-12.6*5</f>
        <v>126</v>
      </c>
      <c r="F74" s="267">
        <f>E74*F65</f>
        <v>18.005400000000002</v>
      </c>
      <c r="G74" s="267"/>
      <c r="H74" s="267"/>
    </row>
    <row r="75" spans="1:8" s="37" customFormat="1" ht="19.5" x14ac:dyDescent="0.25">
      <c r="A75" s="180">
        <v>2</v>
      </c>
      <c r="B75" s="166" t="s">
        <v>93</v>
      </c>
      <c r="C75" s="214" t="s">
        <v>94</v>
      </c>
      <c r="D75" s="42" t="s">
        <v>14</v>
      </c>
      <c r="E75" s="1"/>
      <c r="F75" s="266">
        <f>355.7/100</f>
        <v>3.5569999999999999</v>
      </c>
      <c r="G75" s="266"/>
      <c r="H75" s="266"/>
    </row>
    <row r="76" spans="1:8" s="37" customFormat="1" ht="19.5" x14ac:dyDescent="0.25">
      <c r="A76" s="189"/>
      <c r="B76" s="55" t="s">
        <v>15</v>
      </c>
      <c r="C76" s="222" t="s">
        <v>11</v>
      </c>
      <c r="D76" s="44" t="s">
        <v>12</v>
      </c>
      <c r="E76" s="11">
        <v>484</v>
      </c>
      <c r="F76" s="267">
        <f>E76*F75</f>
        <v>1721.588</v>
      </c>
      <c r="G76" s="267"/>
      <c r="H76" s="267"/>
    </row>
    <row r="77" spans="1:8" s="37" customFormat="1" ht="19.5" x14ac:dyDescent="0.25">
      <c r="A77" s="189"/>
      <c r="B77" s="55" t="s">
        <v>95</v>
      </c>
      <c r="C77" s="222" t="s">
        <v>96</v>
      </c>
      <c r="D77" s="43" t="s">
        <v>18</v>
      </c>
      <c r="E77" s="3">
        <f>9.6</f>
        <v>9.6</v>
      </c>
      <c r="F77" s="267">
        <f>E77*F75</f>
        <v>34.147199999999998</v>
      </c>
      <c r="G77" s="267"/>
      <c r="H77" s="267"/>
    </row>
    <row r="78" spans="1:8" s="37" customFormat="1" ht="19.5" x14ac:dyDescent="0.25">
      <c r="A78" s="189"/>
      <c r="B78" s="55" t="s">
        <v>27</v>
      </c>
      <c r="C78" s="222" t="s">
        <v>28</v>
      </c>
      <c r="D78" s="44" t="s">
        <v>29</v>
      </c>
      <c r="E78" s="6">
        <v>21.8</v>
      </c>
      <c r="F78" s="267">
        <f>E78*F75</f>
        <v>77.542600000000007</v>
      </c>
      <c r="G78" s="267"/>
      <c r="H78" s="267"/>
    </row>
    <row r="79" spans="1:8" s="37" customFormat="1" ht="19.5" x14ac:dyDescent="0.25">
      <c r="A79" s="189"/>
      <c r="B79" s="102" t="s">
        <v>97</v>
      </c>
      <c r="C79" s="222" t="s">
        <v>98</v>
      </c>
      <c r="D79" s="44" t="s">
        <v>48</v>
      </c>
      <c r="E79" s="3">
        <v>101.5</v>
      </c>
      <c r="F79" s="267">
        <f>E79*F75</f>
        <v>361.03550000000001</v>
      </c>
      <c r="G79" s="267"/>
      <c r="H79" s="267"/>
    </row>
    <row r="80" spans="1:8" s="37" customFormat="1" ht="19.5" x14ac:dyDescent="0.25">
      <c r="A80" s="189"/>
      <c r="B80" s="55" t="s">
        <v>99</v>
      </c>
      <c r="C80" s="222" t="s">
        <v>100</v>
      </c>
      <c r="D80" s="44" t="s">
        <v>48</v>
      </c>
      <c r="E80" s="3">
        <v>3.67</v>
      </c>
      <c r="F80" s="267">
        <f>E80*F75</f>
        <v>13.05419</v>
      </c>
      <c r="G80" s="267"/>
      <c r="H80" s="267"/>
    </row>
    <row r="81" spans="1:8" s="37" customFormat="1" ht="19.5" x14ac:dyDescent="0.25">
      <c r="A81" s="189"/>
      <c r="B81" s="55" t="s">
        <v>101</v>
      </c>
      <c r="C81" s="222" t="s">
        <v>102</v>
      </c>
      <c r="D81" s="44" t="s">
        <v>48</v>
      </c>
      <c r="E81" s="3">
        <f>1.67+21.2</f>
        <v>22.869999999999997</v>
      </c>
      <c r="F81" s="267">
        <f>F75*2.29</f>
        <v>8.1455300000000008</v>
      </c>
      <c r="G81" s="267"/>
      <c r="H81" s="267"/>
    </row>
    <row r="82" spans="1:8" s="37" customFormat="1" ht="19.5" x14ac:dyDescent="0.25">
      <c r="A82" s="189"/>
      <c r="B82" s="55" t="s">
        <v>103</v>
      </c>
      <c r="C82" s="222" t="s">
        <v>104</v>
      </c>
      <c r="D82" s="44" t="s">
        <v>105</v>
      </c>
      <c r="E82" s="3">
        <v>36</v>
      </c>
      <c r="F82" s="267">
        <f>E82*F75</f>
        <v>128.05199999999999</v>
      </c>
      <c r="G82" s="267"/>
      <c r="H82" s="267"/>
    </row>
    <row r="83" spans="1:8" s="37" customFormat="1" ht="19.5" x14ac:dyDescent="0.25">
      <c r="A83" s="189"/>
      <c r="B83" s="55" t="s">
        <v>27</v>
      </c>
      <c r="C83" s="222" t="s">
        <v>55</v>
      </c>
      <c r="D83" s="44" t="s">
        <v>29</v>
      </c>
      <c r="E83" s="3">
        <v>121</v>
      </c>
      <c r="F83" s="267">
        <f>E83*F75</f>
        <v>430.39699999999999</v>
      </c>
      <c r="G83" s="267"/>
      <c r="H83" s="267"/>
    </row>
    <row r="84" spans="1:8" s="37" customFormat="1" ht="19.5" x14ac:dyDescent="0.25">
      <c r="A84" s="190">
        <v>3</v>
      </c>
      <c r="B84" s="103" t="s">
        <v>106</v>
      </c>
      <c r="C84" s="211" t="s">
        <v>107</v>
      </c>
      <c r="D84" s="57" t="s">
        <v>31</v>
      </c>
      <c r="E84" s="12"/>
      <c r="F84" s="271">
        <f>12221.1/1000</f>
        <v>12.2211</v>
      </c>
      <c r="G84" s="271"/>
      <c r="H84" s="266"/>
    </row>
    <row r="85" spans="1:8" s="37" customFormat="1" ht="19.5" x14ac:dyDescent="0.25">
      <c r="A85" s="191"/>
      <c r="B85" s="104" t="s">
        <v>15</v>
      </c>
      <c r="C85" s="227" t="s">
        <v>108</v>
      </c>
      <c r="D85" s="58" t="s">
        <v>109</v>
      </c>
      <c r="E85" s="13">
        <v>27.66</v>
      </c>
      <c r="F85" s="276">
        <f>ROUND(F84*E85,2)</f>
        <v>338.04</v>
      </c>
      <c r="G85" s="276"/>
      <c r="H85" s="276"/>
    </row>
    <row r="86" spans="1:8" s="37" customFormat="1" ht="19.5" x14ac:dyDescent="0.25">
      <c r="A86" s="191"/>
      <c r="B86" s="55" t="s">
        <v>110</v>
      </c>
      <c r="C86" s="228" t="s">
        <v>111</v>
      </c>
      <c r="D86" s="43" t="s">
        <v>18</v>
      </c>
      <c r="E86" s="13">
        <f>4.74</f>
        <v>4.74</v>
      </c>
      <c r="F86" s="276">
        <f>F84*E86</f>
        <v>57.928014000000005</v>
      </c>
      <c r="G86" s="276"/>
      <c r="H86" s="276"/>
    </row>
    <row r="87" spans="1:8" s="37" customFormat="1" ht="19.5" x14ac:dyDescent="0.25">
      <c r="A87" s="191"/>
      <c r="B87" s="104" t="s">
        <v>112</v>
      </c>
      <c r="C87" s="229" t="s">
        <v>28</v>
      </c>
      <c r="D87" s="59" t="s">
        <v>29</v>
      </c>
      <c r="E87" s="14">
        <v>12.2</v>
      </c>
      <c r="F87" s="276">
        <f>F84*E87</f>
        <v>149.09742</v>
      </c>
      <c r="G87" s="276"/>
      <c r="H87" s="276"/>
    </row>
    <row r="88" spans="1:8" s="37" customFormat="1" ht="19.5" x14ac:dyDescent="0.25">
      <c r="A88" s="191"/>
      <c r="B88" s="104" t="s">
        <v>113</v>
      </c>
      <c r="C88" s="227" t="s">
        <v>239</v>
      </c>
      <c r="D88" s="58" t="s">
        <v>31</v>
      </c>
      <c r="E88" s="13" t="s">
        <v>114</v>
      </c>
      <c r="F88" s="276">
        <f>F84</f>
        <v>12.2211</v>
      </c>
      <c r="G88" s="276"/>
      <c r="H88" s="276"/>
    </row>
    <row r="89" spans="1:8" s="37" customFormat="1" ht="19.5" x14ac:dyDescent="0.25">
      <c r="A89" s="191"/>
      <c r="B89" s="104" t="s">
        <v>112</v>
      </c>
      <c r="C89" s="229" t="s">
        <v>55</v>
      </c>
      <c r="D89" s="60" t="s">
        <v>29</v>
      </c>
      <c r="E89" s="13">
        <v>12.2</v>
      </c>
      <c r="F89" s="276">
        <f>F84*E89</f>
        <v>149.09742</v>
      </c>
      <c r="G89" s="276"/>
      <c r="H89" s="276"/>
    </row>
    <row r="90" spans="1:8" s="37" customFormat="1" ht="19.5" x14ac:dyDescent="0.25">
      <c r="A90" s="190">
        <v>4</v>
      </c>
      <c r="B90" s="103" t="s">
        <v>115</v>
      </c>
      <c r="C90" s="211" t="s">
        <v>116</v>
      </c>
      <c r="D90" s="57" t="s">
        <v>31</v>
      </c>
      <c r="E90" s="12"/>
      <c r="F90" s="271">
        <f>13168.9/1000</f>
        <v>13.168899999999999</v>
      </c>
      <c r="G90" s="271"/>
      <c r="H90" s="266"/>
    </row>
    <row r="91" spans="1:8" s="37" customFormat="1" ht="19.5" x14ac:dyDescent="0.25">
      <c r="A91" s="191"/>
      <c r="B91" s="104" t="s">
        <v>15</v>
      </c>
      <c r="C91" s="227" t="s">
        <v>108</v>
      </c>
      <c r="D91" s="58" t="s">
        <v>109</v>
      </c>
      <c r="E91" s="13">
        <v>27.66</v>
      </c>
      <c r="F91" s="276">
        <f>ROUND(F90*E91,2)</f>
        <v>364.25</v>
      </c>
      <c r="G91" s="276"/>
      <c r="H91" s="276"/>
    </row>
    <row r="92" spans="1:8" s="37" customFormat="1" ht="19.5" x14ac:dyDescent="0.25">
      <c r="A92" s="191"/>
      <c r="B92" s="55" t="s">
        <v>110</v>
      </c>
      <c r="C92" s="228" t="s">
        <v>111</v>
      </c>
      <c r="D92" s="43" t="s">
        <v>18</v>
      </c>
      <c r="E92" s="13">
        <f>4.74</f>
        <v>4.74</v>
      </c>
      <c r="F92" s="276">
        <f>F90*E92</f>
        <v>62.420586</v>
      </c>
      <c r="G92" s="276"/>
      <c r="H92" s="276"/>
    </row>
    <row r="93" spans="1:8" s="37" customFormat="1" ht="19.5" x14ac:dyDescent="0.25">
      <c r="A93" s="191"/>
      <c r="B93" s="104" t="s">
        <v>112</v>
      </c>
      <c r="C93" s="229" t="s">
        <v>28</v>
      </c>
      <c r="D93" s="59" t="s">
        <v>29</v>
      </c>
      <c r="E93" s="14">
        <v>12.2</v>
      </c>
      <c r="F93" s="276">
        <f>F90*E93</f>
        <v>160.66057999999998</v>
      </c>
      <c r="G93" s="276"/>
      <c r="H93" s="276"/>
    </row>
    <row r="94" spans="1:8" s="37" customFormat="1" ht="19.5" x14ac:dyDescent="0.25">
      <c r="A94" s="191"/>
      <c r="B94" s="104" t="s">
        <v>117</v>
      </c>
      <c r="C94" s="227" t="s">
        <v>118</v>
      </c>
      <c r="D94" s="58" t="s">
        <v>31</v>
      </c>
      <c r="E94" s="13" t="s">
        <v>114</v>
      </c>
      <c r="F94" s="276">
        <f>F90</f>
        <v>13.168899999999999</v>
      </c>
      <c r="G94" s="276"/>
      <c r="H94" s="276"/>
    </row>
    <row r="95" spans="1:8" s="37" customFormat="1" ht="19.5" x14ac:dyDescent="0.25">
      <c r="A95" s="191"/>
      <c r="B95" s="104" t="s">
        <v>112</v>
      </c>
      <c r="C95" s="229" t="s">
        <v>55</v>
      </c>
      <c r="D95" s="60" t="s">
        <v>29</v>
      </c>
      <c r="E95" s="13">
        <v>12.2</v>
      </c>
      <c r="F95" s="276">
        <f>F90*E95</f>
        <v>160.66057999999998</v>
      </c>
      <c r="G95" s="276"/>
      <c r="H95" s="276"/>
    </row>
    <row r="96" spans="1:8" s="37" customFormat="1" ht="19.5" x14ac:dyDescent="0.25">
      <c r="A96" s="186"/>
      <c r="B96" s="53"/>
      <c r="C96" s="224" t="s">
        <v>59</v>
      </c>
      <c r="D96" s="54"/>
      <c r="E96" s="9"/>
      <c r="F96" s="272"/>
      <c r="G96" s="272"/>
      <c r="H96" s="272"/>
    </row>
    <row r="97" spans="1:8" s="37" customFormat="1" ht="19.5" x14ac:dyDescent="0.25">
      <c r="A97" s="178"/>
      <c r="B97" s="41"/>
      <c r="C97" s="225" t="s">
        <v>310</v>
      </c>
      <c r="D97" s="41"/>
      <c r="E97" s="10"/>
      <c r="F97" s="273"/>
      <c r="G97" s="273"/>
      <c r="H97" s="273"/>
    </row>
    <row r="98" spans="1:8" s="37" customFormat="1" ht="39" customHeight="1" x14ac:dyDescent="0.25">
      <c r="A98" s="190">
        <v>1</v>
      </c>
      <c r="B98" s="103">
        <v>37222</v>
      </c>
      <c r="C98" s="211" t="s">
        <v>77</v>
      </c>
      <c r="D98" s="57" t="s">
        <v>243</v>
      </c>
      <c r="E98" s="12"/>
      <c r="F98" s="271">
        <f>32.6/1000</f>
        <v>3.2600000000000004E-2</v>
      </c>
      <c r="G98" s="271"/>
      <c r="H98" s="266"/>
    </row>
    <row r="99" spans="1:8" s="37" customFormat="1" ht="18.75" x14ac:dyDescent="0.25">
      <c r="A99" s="184"/>
      <c r="B99" s="167" t="s">
        <v>15</v>
      </c>
      <c r="C99" s="230" t="s">
        <v>11</v>
      </c>
      <c r="D99" s="169" t="s">
        <v>12</v>
      </c>
      <c r="E99" s="170">
        <v>33</v>
      </c>
      <c r="F99" s="269">
        <f>E99*F98</f>
        <v>1.0758000000000001</v>
      </c>
      <c r="G99" s="269"/>
      <c r="H99" s="269"/>
    </row>
    <row r="100" spans="1:8" s="37" customFormat="1" ht="18.75" x14ac:dyDescent="0.25">
      <c r="A100" s="184"/>
      <c r="B100" s="167" t="s">
        <v>78</v>
      </c>
      <c r="C100" s="230" t="s">
        <v>79</v>
      </c>
      <c r="D100" s="168" t="s">
        <v>21</v>
      </c>
      <c r="E100" s="170">
        <v>0.42</v>
      </c>
      <c r="F100" s="269">
        <f>E100*F98</f>
        <v>1.3692000000000001E-2</v>
      </c>
      <c r="G100" s="269"/>
      <c r="H100" s="269"/>
    </row>
    <row r="101" spans="1:8" s="37" customFormat="1" ht="18.75" x14ac:dyDescent="0.25">
      <c r="A101" s="184"/>
      <c r="B101" s="167" t="s">
        <v>72</v>
      </c>
      <c r="C101" s="230" t="s">
        <v>80</v>
      </c>
      <c r="D101" s="168" t="s">
        <v>21</v>
      </c>
      <c r="E101" s="170">
        <v>2.58</v>
      </c>
      <c r="F101" s="269">
        <f>E101*F98</f>
        <v>8.4108000000000016E-2</v>
      </c>
      <c r="G101" s="269"/>
      <c r="H101" s="269"/>
    </row>
    <row r="102" spans="1:8" s="37" customFormat="1" ht="18.75" x14ac:dyDescent="0.25">
      <c r="A102" s="184"/>
      <c r="B102" s="167" t="s">
        <v>81</v>
      </c>
      <c r="C102" s="230" t="s">
        <v>82</v>
      </c>
      <c r="D102" s="168" t="s">
        <v>21</v>
      </c>
      <c r="E102" s="170">
        <v>11.2</v>
      </c>
      <c r="F102" s="269">
        <f>E102*F98</f>
        <v>0.36512</v>
      </c>
      <c r="G102" s="269"/>
      <c r="H102" s="269"/>
    </row>
    <row r="103" spans="1:8" s="37" customFormat="1" ht="18.75" x14ac:dyDescent="0.25">
      <c r="A103" s="184"/>
      <c r="B103" s="167" t="s">
        <v>83</v>
      </c>
      <c r="C103" s="230" t="s">
        <v>84</v>
      </c>
      <c r="D103" s="168" t="s">
        <v>21</v>
      </c>
      <c r="E103" s="170">
        <v>24.8</v>
      </c>
      <c r="F103" s="269">
        <f>E103*F98</f>
        <v>0.80848000000000009</v>
      </c>
      <c r="G103" s="269"/>
      <c r="H103" s="269"/>
    </row>
    <row r="104" spans="1:8" s="37" customFormat="1" ht="18.75" x14ac:dyDescent="0.25">
      <c r="A104" s="184"/>
      <c r="B104" s="167" t="s">
        <v>85</v>
      </c>
      <c r="C104" s="230" t="s">
        <v>86</v>
      </c>
      <c r="D104" s="168" t="s">
        <v>21</v>
      </c>
      <c r="E104" s="170">
        <v>4.1399999999999997</v>
      </c>
      <c r="F104" s="269">
        <f>E104*F98</f>
        <v>0.134964</v>
      </c>
      <c r="G104" s="269"/>
      <c r="H104" s="269"/>
    </row>
    <row r="105" spans="1:8" s="37" customFormat="1" ht="18.75" x14ac:dyDescent="0.25">
      <c r="A105" s="184"/>
      <c r="B105" s="167" t="s">
        <v>87</v>
      </c>
      <c r="C105" s="230" t="s">
        <v>88</v>
      </c>
      <c r="D105" s="168" t="s">
        <v>18</v>
      </c>
      <c r="E105" s="170">
        <v>0.53</v>
      </c>
      <c r="F105" s="269">
        <f>E105*F98</f>
        <v>1.7278000000000002E-2</v>
      </c>
      <c r="G105" s="269"/>
      <c r="H105" s="269"/>
    </row>
    <row r="106" spans="1:8" s="37" customFormat="1" ht="18.75" x14ac:dyDescent="0.25">
      <c r="A106" s="184"/>
      <c r="B106" s="167" t="s">
        <v>89</v>
      </c>
      <c r="C106" s="230" t="s">
        <v>90</v>
      </c>
      <c r="D106" s="169" t="s">
        <v>48</v>
      </c>
      <c r="E106" s="170">
        <v>30</v>
      </c>
      <c r="F106" s="269">
        <f>E106*F98</f>
        <v>0.97800000000000009</v>
      </c>
      <c r="G106" s="269"/>
      <c r="H106" s="269"/>
    </row>
    <row r="107" spans="1:8" s="37" customFormat="1" ht="18.75" x14ac:dyDescent="0.25">
      <c r="A107" s="184"/>
      <c r="B107" s="167" t="s">
        <v>91</v>
      </c>
      <c r="C107" s="230" t="s">
        <v>92</v>
      </c>
      <c r="D107" s="169" t="s">
        <v>48</v>
      </c>
      <c r="E107" s="170">
        <f>189-12.6*5</f>
        <v>126</v>
      </c>
      <c r="F107" s="269">
        <f>E107*F98</f>
        <v>4.1076000000000006</v>
      </c>
      <c r="G107" s="269"/>
      <c r="H107" s="269"/>
    </row>
    <row r="108" spans="1:8" s="37" customFormat="1" ht="31.5" x14ac:dyDescent="0.25">
      <c r="A108" s="190">
        <v>2</v>
      </c>
      <c r="B108" s="103" t="s">
        <v>303</v>
      </c>
      <c r="C108" s="211" t="s">
        <v>309</v>
      </c>
      <c r="D108" s="57" t="s">
        <v>14</v>
      </c>
      <c r="E108" s="12"/>
      <c r="F108" s="271">
        <f>47.6/100</f>
        <v>0.47600000000000003</v>
      </c>
      <c r="G108" s="271"/>
      <c r="H108" s="266"/>
    </row>
    <row r="109" spans="1:8" s="37" customFormat="1" ht="19.5" x14ac:dyDescent="0.25">
      <c r="A109" s="171"/>
      <c r="B109" s="167" t="s">
        <v>15</v>
      </c>
      <c r="C109" s="230" t="s">
        <v>11</v>
      </c>
      <c r="D109" s="169" t="s">
        <v>12</v>
      </c>
      <c r="E109" s="172">
        <v>137</v>
      </c>
      <c r="F109" s="269">
        <f>E109*F108</f>
        <v>65.212000000000003</v>
      </c>
      <c r="G109" s="269"/>
      <c r="H109" s="269"/>
    </row>
    <row r="110" spans="1:8" s="37" customFormat="1" ht="19.5" x14ac:dyDescent="0.25">
      <c r="A110" s="171"/>
      <c r="B110" s="167" t="s">
        <v>27</v>
      </c>
      <c r="C110" s="230" t="s">
        <v>28</v>
      </c>
      <c r="D110" s="169" t="s">
        <v>29</v>
      </c>
      <c r="E110" s="172">
        <v>28.3</v>
      </c>
      <c r="F110" s="269">
        <f>E110*F108</f>
        <v>13.470800000000001</v>
      </c>
      <c r="G110" s="269"/>
      <c r="H110" s="269"/>
    </row>
    <row r="111" spans="1:8" s="37" customFormat="1" ht="30" x14ac:dyDescent="0.25">
      <c r="A111" s="171"/>
      <c r="B111" s="174" t="s">
        <v>46</v>
      </c>
      <c r="C111" s="230" t="s">
        <v>166</v>
      </c>
      <c r="D111" s="169" t="s">
        <v>48</v>
      </c>
      <c r="E111" s="172">
        <v>101</v>
      </c>
      <c r="F111" s="269">
        <f>E111*F108</f>
        <v>48.076000000000001</v>
      </c>
      <c r="G111" s="269"/>
      <c r="H111" s="269"/>
    </row>
    <row r="112" spans="1:8" s="37" customFormat="1" ht="19.5" x14ac:dyDescent="0.25">
      <c r="A112" s="171"/>
      <c r="B112" s="167" t="s">
        <v>27</v>
      </c>
      <c r="C112" s="230" t="s">
        <v>55</v>
      </c>
      <c r="D112" s="169" t="s">
        <v>29</v>
      </c>
      <c r="E112" s="172">
        <v>62</v>
      </c>
      <c r="F112" s="269">
        <f>E112*F108</f>
        <v>29.512</v>
      </c>
      <c r="G112" s="269"/>
      <c r="H112" s="269"/>
    </row>
    <row r="113" spans="1:8" s="37" customFormat="1" ht="19.5" x14ac:dyDescent="0.25">
      <c r="A113" s="190">
        <v>3</v>
      </c>
      <c r="B113" s="103" t="s">
        <v>304</v>
      </c>
      <c r="C113" s="211" t="s">
        <v>310</v>
      </c>
      <c r="D113" s="57" t="s">
        <v>14</v>
      </c>
      <c r="E113" s="12"/>
      <c r="F113" s="271">
        <f>69.4/100</f>
        <v>0.69400000000000006</v>
      </c>
      <c r="G113" s="271"/>
      <c r="H113" s="266"/>
    </row>
    <row r="114" spans="1:8" s="37" customFormat="1" ht="19.5" x14ac:dyDescent="0.25">
      <c r="A114" s="175"/>
      <c r="B114" s="167" t="s">
        <v>15</v>
      </c>
      <c r="C114" s="230" t="s">
        <v>11</v>
      </c>
      <c r="D114" s="169" t="s">
        <v>12</v>
      </c>
      <c r="E114" s="176">
        <v>565</v>
      </c>
      <c r="F114" s="269">
        <f>E114*F113</f>
        <v>392.11</v>
      </c>
      <c r="G114" s="269"/>
      <c r="H114" s="269"/>
    </row>
    <row r="115" spans="1:8" s="37" customFormat="1" ht="19.5" x14ac:dyDescent="0.25">
      <c r="A115" s="175"/>
      <c r="B115" s="167" t="s">
        <v>305</v>
      </c>
      <c r="C115" s="230" t="s">
        <v>96</v>
      </c>
      <c r="D115" s="168" t="s">
        <v>21</v>
      </c>
      <c r="E115" s="172">
        <v>82</v>
      </c>
      <c r="F115" s="269">
        <f>E115*F113</f>
        <v>56.908000000000008</v>
      </c>
      <c r="G115" s="269"/>
      <c r="H115" s="269"/>
    </row>
    <row r="116" spans="1:8" s="37" customFormat="1" ht="19.5" x14ac:dyDescent="0.25">
      <c r="A116" s="175"/>
      <c r="B116" s="167" t="s">
        <v>27</v>
      </c>
      <c r="C116" s="230" t="s">
        <v>28</v>
      </c>
      <c r="D116" s="169" t="s">
        <v>29</v>
      </c>
      <c r="E116" s="173">
        <v>73</v>
      </c>
      <c r="F116" s="269">
        <f>E116*F113</f>
        <v>50.662000000000006</v>
      </c>
      <c r="G116" s="269"/>
      <c r="H116" s="269"/>
    </row>
    <row r="117" spans="1:8" s="37" customFormat="1" ht="19.5" x14ac:dyDescent="0.25">
      <c r="A117" s="175"/>
      <c r="B117" s="174" t="s">
        <v>306</v>
      </c>
      <c r="C117" s="231" t="s">
        <v>307</v>
      </c>
      <c r="D117" s="169" t="s">
        <v>128</v>
      </c>
      <c r="E117" s="172" t="s">
        <v>308</v>
      </c>
      <c r="F117" s="269">
        <v>560</v>
      </c>
      <c r="G117" s="269"/>
      <c r="H117" s="269"/>
    </row>
    <row r="118" spans="1:8" s="37" customFormat="1" ht="19.5" x14ac:dyDescent="0.25">
      <c r="A118" s="175"/>
      <c r="B118" s="167" t="s">
        <v>99</v>
      </c>
      <c r="C118" s="230" t="s">
        <v>100</v>
      </c>
      <c r="D118" s="169" t="s">
        <v>48</v>
      </c>
      <c r="E118" s="172">
        <v>2.09</v>
      </c>
      <c r="F118" s="269">
        <f>E118*F113</f>
        <v>1.4504600000000001</v>
      </c>
      <c r="G118" s="269"/>
      <c r="H118" s="269"/>
    </row>
    <row r="119" spans="1:8" s="37" customFormat="1" ht="19.5" x14ac:dyDescent="0.25">
      <c r="A119" s="186"/>
      <c r="B119" s="53"/>
      <c r="C119" s="224" t="s">
        <v>59</v>
      </c>
      <c r="D119" s="54"/>
      <c r="E119" s="9"/>
      <c r="F119" s="272"/>
      <c r="G119" s="272"/>
      <c r="H119" s="272"/>
    </row>
    <row r="120" spans="1:8" s="37" customFormat="1" ht="19.5" x14ac:dyDescent="0.25">
      <c r="A120" s="178"/>
      <c r="B120" s="41"/>
      <c r="C120" s="225" t="s">
        <v>264</v>
      </c>
      <c r="D120" s="41"/>
      <c r="E120" s="10"/>
      <c r="F120" s="273"/>
      <c r="G120" s="273"/>
      <c r="H120" s="273"/>
    </row>
    <row r="121" spans="1:8" s="37" customFormat="1" ht="19.5" x14ac:dyDescent="0.25">
      <c r="A121" s="42">
        <v>1</v>
      </c>
      <c r="B121" s="42" t="s">
        <v>61</v>
      </c>
      <c r="C121" s="61" t="s">
        <v>62</v>
      </c>
      <c r="D121" s="42" t="s">
        <v>14</v>
      </c>
      <c r="E121" s="1"/>
      <c r="F121" s="266">
        <f>9.5/100</f>
        <v>9.5000000000000001E-2</v>
      </c>
      <c r="G121" s="266"/>
      <c r="H121" s="266"/>
    </row>
    <row r="122" spans="1:8" s="37" customFormat="1" ht="19.5" x14ac:dyDescent="0.25">
      <c r="A122" s="181"/>
      <c r="B122" s="55" t="s">
        <v>15</v>
      </c>
      <c r="C122" s="222" t="s">
        <v>63</v>
      </c>
      <c r="D122" s="44" t="s">
        <v>12</v>
      </c>
      <c r="E122" s="3">
        <v>206</v>
      </c>
      <c r="F122" s="267">
        <f>F121*E122</f>
        <v>19.57</v>
      </c>
      <c r="G122" s="267"/>
      <c r="H122" s="267"/>
    </row>
    <row r="123" spans="1:8" s="37" customFormat="1" ht="19.5" x14ac:dyDescent="0.25">
      <c r="A123" s="42">
        <v>2</v>
      </c>
      <c r="B123" s="52" t="s">
        <v>64</v>
      </c>
      <c r="C123" s="61" t="s">
        <v>65</v>
      </c>
      <c r="D123" s="42" t="s">
        <v>31</v>
      </c>
      <c r="E123" s="1"/>
      <c r="F123" s="274">
        <f>F121*100*1.9</f>
        <v>18.05</v>
      </c>
      <c r="G123" s="266"/>
      <c r="H123" s="266"/>
    </row>
    <row r="124" spans="1:8" s="37" customFormat="1" ht="19.5" x14ac:dyDescent="0.25">
      <c r="A124" s="181"/>
      <c r="B124" s="187"/>
      <c r="C124" s="222" t="s">
        <v>11</v>
      </c>
      <c r="D124" s="44" t="s">
        <v>12</v>
      </c>
      <c r="E124" s="3">
        <v>0.53</v>
      </c>
      <c r="F124" s="267">
        <f>F123*E124</f>
        <v>9.5665000000000013</v>
      </c>
      <c r="G124" s="267"/>
      <c r="H124" s="267"/>
    </row>
    <row r="125" spans="1:8" s="37" customFormat="1" ht="31.5" x14ac:dyDescent="0.25">
      <c r="A125" s="180"/>
      <c r="B125" s="42" t="s">
        <v>66</v>
      </c>
      <c r="C125" s="61" t="s">
        <v>67</v>
      </c>
      <c r="D125" s="42" t="s">
        <v>24</v>
      </c>
      <c r="E125" s="122"/>
      <c r="F125" s="266">
        <f>85/1000</f>
        <v>8.5000000000000006E-2</v>
      </c>
      <c r="G125" s="266"/>
      <c r="H125" s="266"/>
    </row>
    <row r="126" spans="1:8" s="37" customFormat="1" ht="18.75" x14ac:dyDescent="0.25">
      <c r="A126" s="181"/>
      <c r="B126" s="55" t="s">
        <v>15</v>
      </c>
      <c r="C126" s="222" t="s">
        <v>11</v>
      </c>
      <c r="D126" s="44" t="s">
        <v>12</v>
      </c>
      <c r="E126" s="123">
        <v>20</v>
      </c>
      <c r="F126" s="267">
        <f>F125*E126</f>
        <v>1.7000000000000002</v>
      </c>
      <c r="G126" s="267"/>
      <c r="H126" s="267"/>
    </row>
    <row r="127" spans="1:8" s="37" customFormat="1" ht="18.75" x14ac:dyDescent="0.25">
      <c r="A127" s="181"/>
      <c r="B127" s="55" t="s">
        <v>68</v>
      </c>
      <c r="C127" s="226" t="s">
        <v>69</v>
      </c>
      <c r="D127" s="43" t="s">
        <v>21</v>
      </c>
      <c r="E127" s="123">
        <v>44.8</v>
      </c>
      <c r="F127" s="267">
        <f>F125*E127</f>
        <v>3.8079999999999998</v>
      </c>
      <c r="G127" s="267"/>
      <c r="H127" s="267"/>
    </row>
    <row r="128" spans="1:8" s="37" customFormat="1" ht="18.75" x14ac:dyDescent="0.25">
      <c r="A128" s="181"/>
      <c r="B128" s="55" t="s">
        <v>27</v>
      </c>
      <c r="C128" s="222" t="s">
        <v>28</v>
      </c>
      <c r="D128" s="44" t="s">
        <v>29</v>
      </c>
      <c r="E128" s="123">
        <v>2.1</v>
      </c>
      <c r="F128" s="267">
        <f>F125*E128</f>
        <v>0.17850000000000002</v>
      </c>
      <c r="G128" s="267"/>
      <c r="H128" s="267"/>
    </row>
    <row r="129" spans="1:191" s="37" customFormat="1" ht="37.5" x14ac:dyDescent="0.25">
      <c r="A129" s="125">
        <v>4</v>
      </c>
      <c r="B129" s="188" t="s">
        <v>30</v>
      </c>
      <c r="C129" s="213" t="s">
        <v>240</v>
      </c>
      <c r="D129" s="42" t="s">
        <v>31</v>
      </c>
      <c r="E129" s="122"/>
      <c r="F129" s="266">
        <f>(F125*1000)+F96</f>
        <v>85</v>
      </c>
      <c r="G129" s="275"/>
      <c r="H129" s="275"/>
    </row>
    <row r="130" spans="1:191" s="37" customFormat="1" ht="19.5" x14ac:dyDescent="0.25">
      <c r="A130" s="180">
        <v>10</v>
      </c>
      <c r="B130" s="166" t="s">
        <v>120</v>
      </c>
      <c r="C130" s="61" t="s">
        <v>137</v>
      </c>
      <c r="D130" s="42" t="s">
        <v>48</v>
      </c>
      <c r="E130" s="2"/>
      <c r="F130" s="266">
        <v>10.4</v>
      </c>
      <c r="G130" s="266"/>
      <c r="H130" s="266"/>
    </row>
    <row r="131" spans="1:191" s="136" customFormat="1" ht="19.5" x14ac:dyDescent="0.25">
      <c r="A131" s="192"/>
      <c r="B131" s="55" t="s">
        <v>15</v>
      </c>
      <c r="C131" s="222" t="s">
        <v>11</v>
      </c>
      <c r="D131" s="44" t="s">
        <v>12</v>
      </c>
      <c r="E131" s="4">
        <v>0.89</v>
      </c>
      <c r="F131" s="267">
        <f>E131*F130</f>
        <v>9.2560000000000002</v>
      </c>
      <c r="G131" s="267"/>
      <c r="H131" s="267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  <c r="BS131" s="135"/>
      <c r="BT131" s="135"/>
      <c r="BU131" s="135"/>
      <c r="BV131" s="135"/>
      <c r="BW131" s="135"/>
      <c r="BX131" s="135"/>
      <c r="BY131" s="135"/>
      <c r="BZ131" s="135"/>
      <c r="CA131" s="135"/>
      <c r="CB131" s="135"/>
      <c r="CC131" s="135"/>
      <c r="CD131" s="135"/>
      <c r="CE131" s="135"/>
      <c r="CF131" s="135"/>
      <c r="CG131" s="135"/>
      <c r="CH131" s="135"/>
      <c r="CI131" s="135"/>
      <c r="CJ131" s="135"/>
      <c r="CK131" s="135"/>
      <c r="CL131" s="135"/>
      <c r="CM131" s="135"/>
      <c r="CN131" s="135"/>
      <c r="CO131" s="135"/>
      <c r="CP131" s="135"/>
      <c r="CQ131" s="135"/>
      <c r="CR131" s="135"/>
      <c r="CS131" s="135"/>
      <c r="CT131" s="135"/>
      <c r="CU131" s="135"/>
      <c r="CV131" s="135"/>
      <c r="CW131" s="135"/>
      <c r="CX131" s="135"/>
      <c r="CY131" s="135"/>
      <c r="CZ131" s="135"/>
      <c r="DA131" s="135"/>
      <c r="DB131" s="135"/>
      <c r="DC131" s="135"/>
      <c r="DD131" s="135"/>
      <c r="DE131" s="135"/>
      <c r="DF131" s="135"/>
      <c r="DG131" s="135"/>
      <c r="DH131" s="135"/>
      <c r="DI131" s="135"/>
      <c r="DJ131" s="135"/>
      <c r="DK131" s="135"/>
      <c r="DL131" s="135"/>
      <c r="DM131" s="135"/>
      <c r="DN131" s="135"/>
      <c r="DO131" s="135"/>
      <c r="DP131" s="135"/>
      <c r="DQ131" s="135"/>
      <c r="DR131" s="135"/>
      <c r="DS131" s="135"/>
      <c r="DT131" s="135"/>
      <c r="DU131" s="135"/>
      <c r="DV131" s="135"/>
      <c r="DW131" s="135"/>
      <c r="DX131" s="135"/>
      <c r="DY131" s="135"/>
      <c r="DZ131" s="135"/>
      <c r="EA131" s="135"/>
      <c r="EB131" s="135"/>
      <c r="EC131" s="135"/>
      <c r="ED131" s="135"/>
      <c r="EE131" s="135"/>
      <c r="EF131" s="135"/>
      <c r="EG131" s="135"/>
      <c r="EH131" s="135"/>
      <c r="EI131" s="135"/>
      <c r="EJ131" s="135"/>
      <c r="EK131" s="135"/>
      <c r="EL131" s="135"/>
      <c r="EM131" s="135"/>
      <c r="EN131" s="135"/>
      <c r="EO131" s="135"/>
      <c r="EP131" s="135"/>
      <c r="EQ131" s="135"/>
      <c r="ER131" s="135"/>
      <c r="ES131" s="135"/>
      <c r="ET131" s="135"/>
      <c r="EU131" s="135"/>
      <c r="EV131" s="135"/>
      <c r="EW131" s="135"/>
      <c r="EX131" s="135"/>
      <c r="EY131" s="135"/>
      <c r="EZ131" s="135"/>
      <c r="FA131" s="135"/>
      <c r="FB131" s="135"/>
      <c r="FC131" s="135"/>
      <c r="FD131" s="135"/>
      <c r="FE131" s="135"/>
      <c r="FF131" s="135"/>
      <c r="FG131" s="135"/>
      <c r="FH131" s="135"/>
      <c r="FI131" s="135"/>
      <c r="FJ131" s="135"/>
      <c r="FK131" s="135"/>
      <c r="FL131" s="135"/>
      <c r="FM131" s="135"/>
      <c r="FN131" s="135"/>
      <c r="FO131" s="135"/>
      <c r="FP131" s="135"/>
      <c r="FQ131" s="135"/>
      <c r="FR131" s="135"/>
      <c r="FS131" s="135"/>
      <c r="FT131" s="135"/>
      <c r="FU131" s="135"/>
      <c r="FV131" s="135"/>
      <c r="FW131" s="135"/>
      <c r="FX131" s="135"/>
      <c r="FY131" s="135"/>
      <c r="FZ131" s="135"/>
      <c r="GA131" s="135"/>
      <c r="GB131" s="135"/>
      <c r="GC131" s="135"/>
      <c r="GD131" s="135"/>
      <c r="GE131" s="135"/>
      <c r="GF131" s="135"/>
      <c r="GG131" s="135"/>
      <c r="GH131" s="135"/>
      <c r="GI131" s="135"/>
    </row>
    <row r="132" spans="1:191" s="136" customFormat="1" ht="19.5" x14ac:dyDescent="0.25">
      <c r="A132" s="192"/>
      <c r="B132" s="55" t="s">
        <v>27</v>
      </c>
      <c r="C132" s="222" t="s">
        <v>28</v>
      </c>
      <c r="D132" s="44" t="s">
        <v>29</v>
      </c>
      <c r="E132" s="4">
        <v>0.37</v>
      </c>
      <c r="F132" s="267">
        <f>E132*F130</f>
        <v>3.8479999999999999</v>
      </c>
      <c r="G132" s="267"/>
      <c r="H132" s="267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  <c r="BU132" s="135"/>
      <c r="BV132" s="135"/>
      <c r="BW132" s="135"/>
      <c r="BX132" s="135"/>
      <c r="BY132" s="135"/>
      <c r="BZ132" s="135"/>
      <c r="CA132" s="135"/>
      <c r="CB132" s="135"/>
      <c r="CC132" s="135"/>
      <c r="CD132" s="135"/>
      <c r="CE132" s="135"/>
      <c r="CF132" s="135"/>
      <c r="CG132" s="135"/>
      <c r="CH132" s="135"/>
      <c r="CI132" s="135"/>
      <c r="CJ132" s="135"/>
      <c r="CK132" s="135"/>
      <c r="CL132" s="135"/>
      <c r="CM132" s="135"/>
      <c r="CN132" s="135"/>
      <c r="CO132" s="135"/>
      <c r="CP132" s="135"/>
      <c r="CQ132" s="135"/>
      <c r="CR132" s="135"/>
      <c r="CS132" s="135"/>
      <c r="CT132" s="135"/>
      <c r="CU132" s="135"/>
      <c r="CV132" s="135"/>
      <c r="CW132" s="135"/>
      <c r="CX132" s="135"/>
      <c r="CY132" s="135"/>
      <c r="CZ132" s="135"/>
      <c r="DA132" s="135"/>
      <c r="DB132" s="135"/>
      <c r="DC132" s="135"/>
      <c r="DD132" s="135"/>
      <c r="DE132" s="135"/>
      <c r="DF132" s="135"/>
      <c r="DG132" s="135"/>
      <c r="DH132" s="135"/>
      <c r="DI132" s="135"/>
      <c r="DJ132" s="135"/>
      <c r="DK132" s="135"/>
      <c r="DL132" s="135"/>
      <c r="DM132" s="135"/>
      <c r="DN132" s="135"/>
      <c r="DO132" s="135"/>
      <c r="DP132" s="135"/>
      <c r="DQ132" s="135"/>
      <c r="DR132" s="135"/>
      <c r="DS132" s="135"/>
      <c r="DT132" s="135"/>
      <c r="DU132" s="135"/>
      <c r="DV132" s="135"/>
      <c r="DW132" s="135"/>
      <c r="DX132" s="135"/>
      <c r="DY132" s="135"/>
      <c r="DZ132" s="135"/>
      <c r="EA132" s="135"/>
      <c r="EB132" s="135"/>
      <c r="EC132" s="135"/>
      <c r="ED132" s="135"/>
      <c r="EE132" s="135"/>
      <c r="EF132" s="135"/>
      <c r="EG132" s="135"/>
      <c r="EH132" s="135"/>
      <c r="EI132" s="135"/>
      <c r="EJ132" s="135"/>
      <c r="EK132" s="135"/>
      <c r="EL132" s="135"/>
      <c r="EM132" s="135"/>
      <c r="EN132" s="135"/>
      <c r="EO132" s="135"/>
      <c r="EP132" s="135"/>
      <c r="EQ132" s="135"/>
      <c r="ER132" s="135"/>
      <c r="ES132" s="135"/>
      <c r="ET132" s="135"/>
      <c r="EU132" s="135"/>
      <c r="EV132" s="135"/>
      <c r="EW132" s="135"/>
      <c r="EX132" s="135"/>
      <c r="EY132" s="135"/>
      <c r="EZ132" s="135"/>
      <c r="FA132" s="135"/>
      <c r="FB132" s="135"/>
      <c r="FC132" s="135"/>
      <c r="FD132" s="135"/>
      <c r="FE132" s="135"/>
      <c r="FF132" s="135"/>
      <c r="FG132" s="135"/>
      <c r="FH132" s="135"/>
      <c r="FI132" s="135"/>
      <c r="FJ132" s="135"/>
      <c r="FK132" s="135"/>
      <c r="FL132" s="135"/>
      <c r="FM132" s="135"/>
      <c r="FN132" s="135"/>
      <c r="FO132" s="135"/>
      <c r="FP132" s="135"/>
      <c r="FQ132" s="135"/>
      <c r="FR132" s="135"/>
      <c r="FS132" s="135"/>
      <c r="FT132" s="135"/>
      <c r="FU132" s="135"/>
      <c r="FV132" s="135"/>
      <c r="FW132" s="135"/>
      <c r="FX132" s="135"/>
      <c r="FY132" s="135"/>
      <c r="FZ132" s="135"/>
      <c r="GA132" s="135"/>
      <c r="GB132" s="135"/>
      <c r="GC132" s="135"/>
      <c r="GD132" s="135"/>
      <c r="GE132" s="135"/>
      <c r="GF132" s="135"/>
      <c r="GG132" s="135"/>
      <c r="GH132" s="135"/>
      <c r="GI132" s="135"/>
    </row>
    <row r="133" spans="1:191" s="136" customFormat="1" ht="19.5" x14ac:dyDescent="0.25">
      <c r="A133" s="192"/>
      <c r="B133" s="55" t="s">
        <v>138</v>
      </c>
      <c r="C133" s="222" t="s">
        <v>123</v>
      </c>
      <c r="D133" s="44" t="s">
        <v>48</v>
      </c>
      <c r="E133" s="4">
        <v>1.1499999999999999</v>
      </c>
      <c r="F133" s="267">
        <f>E133*F130</f>
        <v>11.959999999999999</v>
      </c>
      <c r="G133" s="267"/>
      <c r="H133" s="26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  <c r="BT133" s="137"/>
      <c r="BU133" s="137"/>
      <c r="BV133" s="137"/>
      <c r="BW133" s="137"/>
      <c r="BX133" s="137"/>
      <c r="BY133" s="137"/>
      <c r="BZ133" s="137"/>
      <c r="CA133" s="137"/>
      <c r="CB133" s="137"/>
      <c r="CC133" s="137"/>
      <c r="CD133" s="137"/>
      <c r="CE133" s="137"/>
      <c r="CF133" s="137"/>
      <c r="CG133" s="137"/>
      <c r="CH133" s="137"/>
      <c r="CI133" s="137"/>
      <c r="CJ133" s="137"/>
      <c r="CK133" s="137"/>
      <c r="CL133" s="137"/>
      <c r="CM133" s="137"/>
      <c r="CN133" s="137"/>
      <c r="CO133" s="137"/>
      <c r="CP133" s="137"/>
      <c r="CQ133" s="137"/>
      <c r="CR133" s="137"/>
      <c r="CS133" s="137"/>
      <c r="CT133" s="137"/>
      <c r="CU133" s="137"/>
      <c r="CV133" s="137"/>
      <c r="CW133" s="137"/>
      <c r="CX133" s="137"/>
      <c r="CY133" s="137"/>
      <c r="CZ133" s="137"/>
      <c r="DA133" s="137"/>
      <c r="DB133" s="137"/>
      <c r="DC133" s="137"/>
      <c r="DD133" s="137"/>
      <c r="DE133" s="137"/>
      <c r="DF133" s="137"/>
      <c r="DG133" s="137"/>
      <c r="DH133" s="137"/>
      <c r="DI133" s="137"/>
      <c r="DJ133" s="137"/>
      <c r="DK133" s="137"/>
      <c r="DL133" s="137"/>
      <c r="DM133" s="137"/>
      <c r="DN133" s="137"/>
      <c r="DO133" s="137"/>
      <c r="DP133" s="137"/>
      <c r="DQ133" s="137"/>
      <c r="DR133" s="137"/>
      <c r="DS133" s="137"/>
      <c r="DT133" s="137"/>
      <c r="DU133" s="137"/>
      <c r="DV133" s="137"/>
      <c r="DW133" s="137"/>
      <c r="DX133" s="137"/>
      <c r="DY133" s="137"/>
      <c r="DZ133" s="137"/>
      <c r="EA133" s="137"/>
      <c r="EB133" s="137"/>
      <c r="EC133" s="137"/>
      <c r="ED133" s="137"/>
      <c r="EE133" s="137"/>
      <c r="EF133" s="137"/>
      <c r="EG133" s="137"/>
      <c r="EH133" s="137"/>
      <c r="EI133" s="137"/>
      <c r="EJ133" s="137"/>
      <c r="EK133" s="137"/>
      <c r="EL133" s="137"/>
      <c r="EM133" s="137"/>
      <c r="EN133" s="137"/>
      <c r="EO133" s="137"/>
      <c r="EP133" s="137"/>
      <c r="EQ133" s="137"/>
      <c r="ER133" s="137"/>
      <c r="ES133" s="137"/>
      <c r="ET133" s="137"/>
      <c r="EU133" s="137"/>
      <c r="EV133" s="137"/>
      <c r="EW133" s="137"/>
      <c r="EX133" s="137"/>
      <c r="EY133" s="137"/>
      <c r="EZ133" s="137"/>
      <c r="FA133" s="137"/>
      <c r="FB133" s="137"/>
      <c r="FC133" s="137"/>
      <c r="FD133" s="137"/>
      <c r="FE133" s="137"/>
      <c r="FF133" s="137"/>
      <c r="FG133" s="137"/>
      <c r="FH133" s="137"/>
      <c r="FI133" s="137"/>
      <c r="FJ133" s="137"/>
      <c r="FK133" s="137"/>
      <c r="FL133" s="137"/>
      <c r="FM133" s="137"/>
      <c r="FN133" s="137"/>
      <c r="FO133" s="137"/>
      <c r="FP133" s="137"/>
      <c r="FQ133" s="137"/>
      <c r="FR133" s="137"/>
      <c r="FS133" s="137"/>
      <c r="FT133" s="137"/>
      <c r="FU133" s="137"/>
      <c r="FV133" s="137"/>
      <c r="FW133" s="137"/>
      <c r="FX133" s="137"/>
      <c r="FY133" s="137"/>
      <c r="FZ133" s="137"/>
      <c r="GA133" s="137"/>
      <c r="GB133" s="137"/>
      <c r="GC133" s="137"/>
      <c r="GD133" s="137"/>
      <c r="GE133" s="137"/>
      <c r="GF133" s="137"/>
      <c r="GG133" s="137"/>
      <c r="GH133" s="137"/>
      <c r="GI133" s="137"/>
    </row>
    <row r="134" spans="1:191" s="136" customFormat="1" ht="19.5" x14ac:dyDescent="0.25">
      <c r="A134" s="192"/>
      <c r="B134" s="55" t="s">
        <v>27</v>
      </c>
      <c r="C134" s="222" t="s">
        <v>55</v>
      </c>
      <c r="D134" s="44" t="s">
        <v>29</v>
      </c>
      <c r="E134" s="4">
        <v>0.02</v>
      </c>
      <c r="F134" s="267">
        <f>E134*F130</f>
        <v>0.20800000000000002</v>
      </c>
      <c r="G134" s="267"/>
      <c r="H134" s="26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  <c r="BT134" s="137"/>
      <c r="BU134" s="137"/>
      <c r="BV134" s="137"/>
      <c r="BW134" s="137"/>
      <c r="BX134" s="137"/>
      <c r="BY134" s="137"/>
      <c r="BZ134" s="137"/>
      <c r="CA134" s="137"/>
      <c r="CB134" s="137"/>
      <c r="CC134" s="137"/>
      <c r="CD134" s="137"/>
      <c r="CE134" s="137"/>
      <c r="CF134" s="137"/>
      <c r="CG134" s="137"/>
      <c r="CH134" s="137"/>
      <c r="CI134" s="137"/>
      <c r="CJ134" s="137"/>
      <c r="CK134" s="137"/>
      <c r="CL134" s="137"/>
      <c r="CM134" s="137"/>
      <c r="CN134" s="137"/>
      <c r="CO134" s="137"/>
      <c r="CP134" s="137"/>
      <c r="CQ134" s="137"/>
      <c r="CR134" s="137"/>
      <c r="CS134" s="137"/>
      <c r="CT134" s="137"/>
      <c r="CU134" s="137"/>
      <c r="CV134" s="137"/>
      <c r="CW134" s="137"/>
      <c r="CX134" s="137"/>
      <c r="CY134" s="137"/>
      <c r="CZ134" s="137"/>
      <c r="DA134" s="137"/>
      <c r="DB134" s="137"/>
      <c r="DC134" s="137"/>
      <c r="DD134" s="137"/>
      <c r="DE134" s="137"/>
      <c r="DF134" s="137"/>
      <c r="DG134" s="137"/>
      <c r="DH134" s="137"/>
      <c r="DI134" s="137"/>
      <c r="DJ134" s="137"/>
      <c r="DK134" s="137"/>
      <c r="DL134" s="137"/>
      <c r="DM134" s="137"/>
      <c r="DN134" s="137"/>
      <c r="DO134" s="137"/>
      <c r="DP134" s="137"/>
      <c r="DQ134" s="137"/>
      <c r="DR134" s="137"/>
      <c r="DS134" s="137"/>
      <c r="DT134" s="137"/>
      <c r="DU134" s="137"/>
      <c r="DV134" s="137"/>
      <c r="DW134" s="137"/>
      <c r="DX134" s="137"/>
      <c r="DY134" s="137"/>
      <c r="DZ134" s="137"/>
      <c r="EA134" s="137"/>
      <c r="EB134" s="137"/>
      <c r="EC134" s="137"/>
      <c r="ED134" s="137"/>
      <c r="EE134" s="137"/>
      <c r="EF134" s="137"/>
      <c r="EG134" s="137"/>
      <c r="EH134" s="137"/>
      <c r="EI134" s="137"/>
      <c r="EJ134" s="137"/>
      <c r="EK134" s="137"/>
      <c r="EL134" s="137"/>
      <c r="EM134" s="137"/>
      <c r="EN134" s="137"/>
      <c r="EO134" s="137"/>
      <c r="EP134" s="137"/>
      <c r="EQ134" s="137"/>
      <c r="ER134" s="137"/>
      <c r="ES134" s="137"/>
      <c r="ET134" s="137"/>
      <c r="EU134" s="137"/>
      <c r="EV134" s="137"/>
      <c r="EW134" s="137"/>
      <c r="EX134" s="137"/>
      <c r="EY134" s="137"/>
      <c r="EZ134" s="137"/>
      <c r="FA134" s="137"/>
      <c r="FB134" s="137"/>
      <c r="FC134" s="137"/>
      <c r="FD134" s="137"/>
      <c r="FE134" s="137"/>
      <c r="FF134" s="137"/>
      <c r="FG134" s="137"/>
      <c r="FH134" s="137"/>
      <c r="FI134" s="137"/>
      <c r="FJ134" s="137"/>
      <c r="FK134" s="137"/>
      <c r="FL134" s="137"/>
      <c r="FM134" s="137"/>
      <c r="FN134" s="137"/>
      <c r="FO134" s="137"/>
      <c r="FP134" s="137"/>
      <c r="FQ134" s="137"/>
      <c r="FR134" s="137"/>
      <c r="FS134" s="137"/>
      <c r="FT134" s="137"/>
      <c r="FU134" s="137"/>
      <c r="FV134" s="137"/>
      <c r="FW134" s="137"/>
      <c r="FX134" s="137"/>
      <c r="FY134" s="137"/>
      <c r="FZ134" s="137"/>
      <c r="GA134" s="137"/>
      <c r="GB134" s="137"/>
      <c r="GC134" s="137"/>
      <c r="GD134" s="137"/>
      <c r="GE134" s="137"/>
      <c r="GF134" s="137"/>
      <c r="GG134" s="137"/>
      <c r="GH134" s="137"/>
      <c r="GI134" s="137"/>
    </row>
    <row r="135" spans="1:191" s="136" customFormat="1" ht="20.25" x14ac:dyDescent="0.25">
      <c r="A135" s="42"/>
      <c r="B135" s="56" t="s">
        <v>265</v>
      </c>
      <c r="C135" s="211" t="s">
        <v>278</v>
      </c>
      <c r="D135" s="42" t="s">
        <v>246</v>
      </c>
      <c r="E135" s="148"/>
      <c r="F135" s="266">
        <f>51.6/100</f>
        <v>0.51600000000000001</v>
      </c>
      <c r="G135" s="266"/>
      <c r="H135" s="266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5"/>
      <c r="BX135" s="135"/>
      <c r="BY135" s="135"/>
      <c r="BZ135" s="135"/>
      <c r="CA135" s="135"/>
      <c r="CB135" s="135"/>
      <c r="CC135" s="135"/>
      <c r="CD135" s="135"/>
      <c r="CE135" s="135"/>
      <c r="CF135" s="135"/>
      <c r="CG135" s="135"/>
      <c r="CH135" s="135"/>
      <c r="CI135" s="135"/>
      <c r="CJ135" s="135"/>
      <c r="CK135" s="135"/>
      <c r="CL135" s="135"/>
      <c r="CM135" s="135"/>
      <c r="CN135" s="135"/>
      <c r="CO135" s="135"/>
      <c r="CP135" s="135"/>
      <c r="CQ135" s="135"/>
      <c r="CR135" s="135"/>
      <c r="CS135" s="135"/>
      <c r="CT135" s="135"/>
      <c r="CU135" s="135"/>
      <c r="CV135" s="135"/>
      <c r="CW135" s="135"/>
      <c r="CX135" s="135"/>
      <c r="CY135" s="135"/>
      <c r="CZ135" s="135"/>
      <c r="DA135" s="135"/>
      <c r="DB135" s="135"/>
      <c r="DC135" s="135"/>
      <c r="DD135" s="135"/>
      <c r="DE135" s="135"/>
      <c r="DF135" s="135"/>
      <c r="DG135" s="135"/>
      <c r="DH135" s="135"/>
      <c r="DI135" s="135"/>
      <c r="DJ135" s="135"/>
      <c r="DK135" s="135"/>
      <c r="DL135" s="135"/>
      <c r="DM135" s="135"/>
      <c r="DN135" s="135"/>
      <c r="DO135" s="135"/>
      <c r="DP135" s="135"/>
      <c r="DQ135" s="135"/>
      <c r="DR135" s="135"/>
      <c r="DS135" s="135"/>
      <c r="DT135" s="135"/>
      <c r="DU135" s="135"/>
      <c r="DV135" s="135"/>
      <c r="DW135" s="135"/>
      <c r="DX135" s="135"/>
      <c r="DY135" s="135"/>
      <c r="DZ135" s="135"/>
      <c r="EA135" s="135"/>
      <c r="EB135" s="135"/>
      <c r="EC135" s="135"/>
      <c r="ED135" s="135"/>
      <c r="EE135" s="135"/>
      <c r="EF135" s="135"/>
      <c r="EG135" s="135"/>
      <c r="EH135" s="135"/>
      <c r="EI135" s="135"/>
      <c r="EJ135" s="135"/>
      <c r="EK135" s="135"/>
      <c r="EL135" s="135"/>
      <c r="EM135" s="135"/>
      <c r="EN135" s="135"/>
      <c r="EO135" s="135"/>
      <c r="EP135" s="135"/>
      <c r="EQ135" s="135"/>
      <c r="ER135" s="135"/>
      <c r="ES135" s="135"/>
      <c r="ET135" s="135"/>
      <c r="EU135" s="135"/>
      <c r="EV135" s="135"/>
      <c r="EW135" s="135"/>
      <c r="EX135" s="135"/>
      <c r="EY135" s="135"/>
      <c r="EZ135" s="135"/>
      <c r="FA135" s="135"/>
      <c r="FB135" s="135"/>
      <c r="FC135" s="135"/>
      <c r="FD135" s="135"/>
      <c r="FE135" s="135"/>
      <c r="FF135" s="135"/>
      <c r="FG135" s="135"/>
      <c r="FH135" s="135"/>
      <c r="FI135" s="135"/>
      <c r="FJ135" s="135"/>
      <c r="FK135" s="135"/>
      <c r="FL135" s="135"/>
      <c r="FM135" s="135"/>
      <c r="FN135" s="135"/>
      <c r="FO135" s="135"/>
      <c r="FP135" s="135"/>
      <c r="FQ135" s="135"/>
      <c r="FR135" s="135"/>
      <c r="FS135" s="135"/>
      <c r="FT135" s="135"/>
      <c r="FU135" s="135"/>
      <c r="FV135" s="135"/>
      <c r="FW135" s="135"/>
      <c r="FX135" s="135"/>
      <c r="FY135" s="135"/>
      <c r="FZ135" s="135"/>
      <c r="GA135" s="135"/>
      <c r="GB135" s="135"/>
      <c r="GC135" s="135"/>
      <c r="GD135" s="135"/>
      <c r="GE135" s="135"/>
      <c r="GF135" s="135"/>
      <c r="GG135" s="135"/>
      <c r="GH135" s="135"/>
      <c r="GI135" s="135"/>
    </row>
    <row r="136" spans="1:191" s="136" customFormat="1" ht="18.75" x14ac:dyDescent="0.25">
      <c r="A136" s="140"/>
      <c r="B136" s="140"/>
      <c r="C136" s="232" t="s">
        <v>108</v>
      </c>
      <c r="D136" s="141" t="s">
        <v>171</v>
      </c>
      <c r="E136" s="149">
        <v>518</v>
      </c>
      <c r="F136" s="265">
        <f>ROUND(F135*E136,2)</f>
        <v>267.29000000000002</v>
      </c>
      <c r="G136" s="265"/>
      <c r="H136" s="265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38"/>
      <c r="AW136" s="138"/>
      <c r="AX136" s="138"/>
      <c r="AY136" s="138"/>
      <c r="AZ136" s="138"/>
      <c r="BA136" s="138"/>
      <c r="BB136" s="138"/>
      <c r="BC136" s="138"/>
      <c r="BD136" s="138"/>
      <c r="BE136" s="138"/>
      <c r="BF136" s="138"/>
      <c r="BG136" s="138"/>
      <c r="BH136" s="138"/>
      <c r="BI136" s="138"/>
      <c r="BJ136" s="138"/>
      <c r="BK136" s="138"/>
      <c r="BL136" s="138"/>
      <c r="BM136" s="138"/>
      <c r="BN136" s="138"/>
      <c r="BO136" s="138"/>
      <c r="BP136" s="138"/>
      <c r="BQ136" s="138"/>
      <c r="BR136" s="138"/>
      <c r="BS136" s="138"/>
      <c r="BT136" s="138"/>
      <c r="BU136" s="138"/>
      <c r="BV136" s="138"/>
      <c r="BW136" s="138"/>
      <c r="BX136" s="138"/>
      <c r="BY136" s="138"/>
      <c r="BZ136" s="138"/>
      <c r="CA136" s="138"/>
      <c r="CB136" s="138"/>
      <c r="CC136" s="138"/>
      <c r="CD136" s="138"/>
      <c r="CE136" s="138"/>
      <c r="CF136" s="138"/>
      <c r="CG136" s="138"/>
      <c r="CH136" s="138"/>
      <c r="CI136" s="138"/>
      <c r="CJ136" s="138"/>
      <c r="CK136" s="138"/>
      <c r="CL136" s="138"/>
      <c r="CM136" s="138"/>
      <c r="CN136" s="138"/>
      <c r="CO136" s="138"/>
      <c r="CP136" s="138"/>
      <c r="CQ136" s="138"/>
      <c r="CR136" s="138"/>
      <c r="CS136" s="138"/>
      <c r="CT136" s="138"/>
      <c r="CU136" s="138"/>
      <c r="CV136" s="138"/>
      <c r="CW136" s="138"/>
      <c r="CX136" s="138"/>
      <c r="CY136" s="138"/>
      <c r="CZ136" s="138"/>
      <c r="DA136" s="138"/>
      <c r="DB136" s="138"/>
      <c r="DC136" s="138"/>
      <c r="DD136" s="138"/>
      <c r="DE136" s="138"/>
      <c r="DF136" s="138"/>
      <c r="DG136" s="138"/>
      <c r="DH136" s="138"/>
      <c r="DI136" s="138"/>
      <c r="DJ136" s="138"/>
      <c r="DK136" s="138"/>
      <c r="DL136" s="138"/>
      <c r="DM136" s="138"/>
      <c r="DN136" s="138"/>
      <c r="DO136" s="138"/>
      <c r="DP136" s="138"/>
      <c r="DQ136" s="138"/>
      <c r="DR136" s="138"/>
      <c r="DS136" s="138"/>
      <c r="DT136" s="138"/>
      <c r="DU136" s="138"/>
      <c r="DV136" s="138"/>
      <c r="DW136" s="138"/>
      <c r="DX136" s="138"/>
      <c r="DY136" s="138"/>
      <c r="DZ136" s="138"/>
      <c r="EA136" s="138"/>
      <c r="EB136" s="138"/>
      <c r="EC136" s="138"/>
      <c r="ED136" s="138"/>
      <c r="EE136" s="138"/>
      <c r="EF136" s="138"/>
      <c r="EG136" s="138"/>
      <c r="EH136" s="138"/>
      <c r="EI136" s="138"/>
      <c r="EJ136" s="138"/>
      <c r="EK136" s="138"/>
      <c r="EL136" s="138"/>
      <c r="EM136" s="138"/>
      <c r="EN136" s="138"/>
      <c r="EO136" s="138"/>
      <c r="EP136" s="138"/>
      <c r="EQ136" s="138"/>
      <c r="ER136" s="138"/>
      <c r="ES136" s="138"/>
      <c r="ET136" s="138"/>
      <c r="EU136" s="138"/>
      <c r="EV136" s="138"/>
      <c r="EW136" s="138"/>
      <c r="EX136" s="138"/>
      <c r="EY136" s="138"/>
      <c r="EZ136" s="138"/>
      <c r="FA136" s="138"/>
      <c r="FB136" s="138"/>
      <c r="FC136" s="138"/>
      <c r="FD136" s="138"/>
      <c r="FE136" s="138"/>
      <c r="FF136" s="138"/>
      <c r="FG136" s="138"/>
      <c r="FH136" s="138"/>
      <c r="FI136" s="138"/>
      <c r="FJ136" s="138"/>
      <c r="FK136" s="138"/>
      <c r="FL136" s="138"/>
      <c r="FM136" s="138"/>
      <c r="FN136" s="138"/>
      <c r="FO136" s="138"/>
      <c r="FP136" s="138"/>
      <c r="FQ136" s="138"/>
      <c r="FR136" s="138"/>
      <c r="FS136" s="138"/>
      <c r="FT136" s="138"/>
      <c r="FU136" s="138"/>
      <c r="FV136" s="138"/>
      <c r="FW136" s="138"/>
      <c r="FX136" s="138"/>
      <c r="FY136" s="138"/>
      <c r="FZ136" s="138"/>
      <c r="GA136" s="138"/>
      <c r="GB136" s="138"/>
      <c r="GC136" s="138"/>
      <c r="GD136" s="138"/>
      <c r="GE136" s="138"/>
      <c r="GF136" s="138"/>
      <c r="GG136" s="138"/>
      <c r="GH136" s="138"/>
      <c r="GI136" s="138"/>
    </row>
    <row r="137" spans="1:191" s="136" customFormat="1" ht="18.75" x14ac:dyDescent="0.25">
      <c r="A137" s="140"/>
      <c r="B137" s="140"/>
      <c r="C137" s="232" t="s">
        <v>279</v>
      </c>
      <c r="D137" s="141" t="s">
        <v>266</v>
      </c>
      <c r="E137" s="149">
        <v>9.6</v>
      </c>
      <c r="F137" s="265">
        <f>ROUND(F135*E137,2)</f>
        <v>4.95</v>
      </c>
      <c r="G137" s="265"/>
      <c r="H137" s="265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  <c r="BG137" s="138"/>
      <c r="BH137" s="138"/>
      <c r="BI137" s="138"/>
      <c r="BJ137" s="138"/>
      <c r="BK137" s="138"/>
      <c r="BL137" s="138"/>
      <c r="BM137" s="138"/>
      <c r="BN137" s="138"/>
      <c r="BO137" s="138"/>
      <c r="BP137" s="138"/>
      <c r="BQ137" s="138"/>
      <c r="BR137" s="138"/>
      <c r="BS137" s="138"/>
      <c r="BT137" s="138"/>
      <c r="BU137" s="138"/>
      <c r="BV137" s="138"/>
      <c r="BW137" s="138"/>
      <c r="BX137" s="138"/>
      <c r="BY137" s="138"/>
      <c r="BZ137" s="138"/>
      <c r="CA137" s="138"/>
      <c r="CB137" s="138"/>
      <c r="CC137" s="138"/>
      <c r="CD137" s="138"/>
      <c r="CE137" s="138"/>
      <c r="CF137" s="138"/>
      <c r="CG137" s="138"/>
      <c r="CH137" s="138"/>
      <c r="CI137" s="138"/>
      <c r="CJ137" s="138"/>
      <c r="CK137" s="138"/>
      <c r="CL137" s="138"/>
      <c r="CM137" s="138"/>
      <c r="CN137" s="138"/>
      <c r="CO137" s="138"/>
      <c r="CP137" s="138"/>
      <c r="CQ137" s="138"/>
      <c r="CR137" s="138"/>
      <c r="CS137" s="138"/>
      <c r="CT137" s="138"/>
      <c r="CU137" s="138"/>
      <c r="CV137" s="138"/>
      <c r="CW137" s="138"/>
      <c r="CX137" s="138"/>
      <c r="CY137" s="138"/>
      <c r="CZ137" s="138"/>
      <c r="DA137" s="138"/>
      <c r="DB137" s="138"/>
      <c r="DC137" s="138"/>
      <c r="DD137" s="138"/>
      <c r="DE137" s="138"/>
      <c r="DF137" s="138"/>
      <c r="DG137" s="138"/>
      <c r="DH137" s="138"/>
      <c r="DI137" s="138"/>
      <c r="DJ137" s="138"/>
      <c r="DK137" s="138"/>
      <c r="DL137" s="138"/>
      <c r="DM137" s="138"/>
      <c r="DN137" s="138"/>
      <c r="DO137" s="138"/>
      <c r="DP137" s="138"/>
      <c r="DQ137" s="138"/>
      <c r="DR137" s="138"/>
      <c r="DS137" s="138"/>
      <c r="DT137" s="138"/>
      <c r="DU137" s="138"/>
      <c r="DV137" s="138"/>
      <c r="DW137" s="138"/>
      <c r="DX137" s="138"/>
      <c r="DY137" s="138"/>
      <c r="DZ137" s="138"/>
      <c r="EA137" s="138"/>
      <c r="EB137" s="138"/>
      <c r="EC137" s="138"/>
      <c r="ED137" s="138"/>
      <c r="EE137" s="138"/>
      <c r="EF137" s="138"/>
      <c r="EG137" s="138"/>
      <c r="EH137" s="138"/>
      <c r="EI137" s="138"/>
      <c r="EJ137" s="138"/>
      <c r="EK137" s="138"/>
      <c r="EL137" s="138"/>
      <c r="EM137" s="138"/>
      <c r="EN137" s="138"/>
      <c r="EO137" s="138"/>
      <c r="EP137" s="138"/>
      <c r="EQ137" s="138"/>
      <c r="ER137" s="138"/>
      <c r="ES137" s="138"/>
      <c r="ET137" s="138"/>
      <c r="EU137" s="138"/>
      <c r="EV137" s="138"/>
      <c r="EW137" s="138"/>
      <c r="EX137" s="138"/>
      <c r="EY137" s="138"/>
      <c r="EZ137" s="138"/>
      <c r="FA137" s="138"/>
      <c r="FB137" s="138"/>
      <c r="FC137" s="138"/>
      <c r="FD137" s="138"/>
      <c r="FE137" s="138"/>
      <c r="FF137" s="138"/>
      <c r="FG137" s="138"/>
      <c r="FH137" s="138"/>
      <c r="FI137" s="138"/>
      <c r="FJ137" s="138"/>
      <c r="FK137" s="138"/>
      <c r="FL137" s="138"/>
      <c r="FM137" s="138"/>
      <c r="FN137" s="138"/>
      <c r="FO137" s="138"/>
      <c r="FP137" s="138"/>
      <c r="FQ137" s="138"/>
      <c r="FR137" s="138"/>
      <c r="FS137" s="138"/>
      <c r="FT137" s="138"/>
      <c r="FU137" s="138"/>
      <c r="FV137" s="138"/>
      <c r="FW137" s="138"/>
      <c r="FX137" s="138"/>
      <c r="FY137" s="138"/>
      <c r="FZ137" s="138"/>
      <c r="GA137" s="138"/>
      <c r="GB137" s="138"/>
      <c r="GC137" s="138"/>
      <c r="GD137" s="138"/>
      <c r="GE137" s="138"/>
      <c r="GF137" s="138"/>
      <c r="GG137" s="138"/>
      <c r="GH137" s="138"/>
      <c r="GI137" s="138"/>
    </row>
    <row r="138" spans="1:191" s="136" customFormat="1" ht="20.25" x14ac:dyDescent="0.3">
      <c r="A138" s="142"/>
      <c r="B138" s="143"/>
      <c r="C138" s="233" t="s">
        <v>280</v>
      </c>
      <c r="D138" s="144" t="s">
        <v>247</v>
      </c>
      <c r="E138" s="150">
        <v>101.5</v>
      </c>
      <c r="F138" s="265">
        <f>ROUND(F135*E138,2)</f>
        <v>52.37</v>
      </c>
      <c r="G138" s="265"/>
      <c r="H138" s="265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BY138" s="137"/>
      <c r="BZ138" s="137"/>
      <c r="CA138" s="137"/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7"/>
      <c r="CL138" s="137"/>
      <c r="CM138" s="137"/>
      <c r="CN138" s="137"/>
      <c r="CO138" s="137"/>
      <c r="CP138" s="137"/>
      <c r="CQ138" s="137"/>
      <c r="CR138" s="137"/>
      <c r="CS138" s="137"/>
      <c r="CT138" s="137"/>
      <c r="CU138" s="137"/>
      <c r="CV138" s="137"/>
      <c r="CW138" s="137"/>
      <c r="CX138" s="137"/>
      <c r="CY138" s="137"/>
      <c r="CZ138" s="137"/>
      <c r="DA138" s="137"/>
      <c r="DB138" s="137"/>
      <c r="DC138" s="137"/>
      <c r="DD138" s="137"/>
      <c r="DE138" s="137"/>
      <c r="DF138" s="137"/>
      <c r="DG138" s="137"/>
      <c r="DH138" s="137"/>
      <c r="DI138" s="137"/>
      <c r="DJ138" s="137"/>
      <c r="DK138" s="137"/>
      <c r="DL138" s="137"/>
      <c r="DM138" s="137"/>
      <c r="DN138" s="137"/>
      <c r="DO138" s="137"/>
      <c r="DP138" s="137"/>
      <c r="DQ138" s="137"/>
      <c r="DR138" s="137"/>
      <c r="DS138" s="137"/>
      <c r="DT138" s="137"/>
      <c r="DU138" s="137"/>
      <c r="DV138" s="137"/>
      <c r="DW138" s="137"/>
      <c r="DX138" s="137"/>
      <c r="DY138" s="137"/>
      <c r="DZ138" s="137"/>
      <c r="EA138" s="137"/>
      <c r="EB138" s="137"/>
      <c r="EC138" s="137"/>
      <c r="ED138" s="137"/>
      <c r="EE138" s="137"/>
      <c r="EF138" s="137"/>
      <c r="EG138" s="137"/>
      <c r="EH138" s="137"/>
      <c r="EI138" s="137"/>
      <c r="EJ138" s="137"/>
      <c r="EK138" s="137"/>
      <c r="EL138" s="137"/>
      <c r="EM138" s="137"/>
      <c r="EN138" s="137"/>
      <c r="EO138" s="137"/>
      <c r="EP138" s="137"/>
      <c r="EQ138" s="137"/>
      <c r="ER138" s="137"/>
      <c r="ES138" s="137"/>
      <c r="ET138" s="137"/>
      <c r="EU138" s="137"/>
      <c r="EV138" s="137"/>
      <c r="EW138" s="137"/>
      <c r="EX138" s="137"/>
      <c r="EY138" s="137"/>
      <c r="EZ138" s="137"/>
      <c r="FA138" s="137"/>
      <c r="FB138" s="137"/>
      <c r="FC138" s="137"/>
      <c r="FD138" s="137"/>
      <c r="FE138" s="137"/>
      <c r="FF138" s="137"/>
      <c r="FG138" s="137"/>
      <c r="FH138" s="137"/>
      <c r="FI138" s="137"/>
      <c r="FJ138" s="137"/>
      <c r="FK138" s="137"/>
      <c r="FL138" s="137"/>
      <c r="FM138" s="137"/>
      <c r="FN138" s="137"/>
      <c r="FO138" s="137"/>
      <c r="FP138" s="137"/>
      <c r="FQ138" s="137"/>
      <c r="FR138" s="137"/>
      <c r="FS138" s="137"/>
      <c r="FT138" s="137"/>
      <c r="FU138" s="137"/>
      <c r="FV138" s="137"/>
      <c r="FW138" s="137"/>
      <c r="FX138" s="137"/>
      <c r="FY138" s="137"/>
      <c r="FZ138" s="137"/>
      <c r="GA138" s="137"/>
      <c r="GB138" s="137"/>
      <c r="GC138" s="137"/>
      <c r="GD138" s="137"/>
      <c r="GE138" s="137"/>
      <c r="GF138" s="137"/>
      <c r="GG138" s="137"/>
      <c r="GH138" s="137"/>
      <c r="GI138" s="137"/>
    </row>
    <row r="139" spans="1:191" s="136" customFormat="1" ht="20.25" x14ac:dyDescent="0.3">
      <c r="A139" s="142"/>
      <c r="B139" s="143"/>
      <c r="C139" s="233" t="s">
        <v>281</v>
      </c>
      <c r="D139" s="144" t="s">
        <v>247</v>
      </c>
      <c r="E139" s="150">
        <v>2.66</v>
      </c>
      <c r="F139" s="265">
        <f>ROUND(F135*E139,2)</f>
        <v>1.37</v>
      </c>
      <c r="G139" s="265"/>
      <c r="H139" s="26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135"/>
      <c r="CR139" s="135"/>
      <c r="CS139" s="135"/>
      <c r="CT139" s="135"/>
      <c r="CU139" s="135"/>
      <c r="CV139" s="135"/>
      <c r="CW139" s="135"/>
      <c r="CX139" s="135"/>
      <c r="CY139" s="135"/>
      <c r="CZ139" s="135"/>
      <c r="DA139" s="135"/>
      <c r="DB139" s="135"/>
      <c r="DC139" s="135"/>
      <c r="DD139" s="135"/>
      <c r="DE139" s="135"/>
      <c r="DF139" s="135"/>
      <c r="DG139" s="135"/>
      <c r="DH139" s="135"/>
      <c r="DI139" s="135"/>
      <c r="DJ139" s="135"/>
      <c r="DK139" s="135"/>
      <c r="DL139" s="135"/>
      <c r="DM139" s="135"/>
      <c r="DN139" s="135"/>
      <c r="DO139" s="135"/>
      <c r="DP139" s="135"/>
      <c r="DQ139" s="135"/>
      <c r="DR139" s="135"/>
      <c r="DS139" s="135"/>
      <c r="DT139" s="135"/>
      <c r="DU139" s="135"/>
      <c r="DV139" s="135"/>
      <c r="DW139" s="135"/>
      <c r="DX139" s="135"/>
      <c r="DY139" s="135"/>
      <c r="DZ139" s="135"/>
      <c r="EA139" s="135"/>
      <c r="EB139" s="135"/>
      <c r="EC139" s="135"/>
      <c r="ED139" s="135"/>
      <c r="EE139" s="135"/>
      <c r="EF139" s="135"/>
      <c r="EG139" s="135"/>
      <c r="EH139" s="135"/>
      <c r="EI139" s="135"/>
      <c r="EJ139" s="135"/>
      <c r="EK139" s="135"/>
      <c r="EL139" s="135"/>
      <c r="EM139" s="135"/>
      <c r="EN139" s="135"/>
      <c r="EO139" s="135"/>
      <c r="EP139" s="135"/>
      <c r="EQ139" s="135"/>
      <c r="ER139" s="135"/>
      <c r="ES139" s="135"/>
      <c r="ET139" s="135"/>
      <c r="EU139" s="135"/>
      <c r="EV139" s="135"/>
      <c r="EW139" s="135"/>
      <c r="EX139" s="135"/>
      <c r="EY139" s="135"/>
      <c r="EZ139" s="135"/>
      <c r="FA139" s="135"/>
      <c r="FB139" s="135"/>
      <c r="FC139" s="135"/>
      <c r="FD139" s="135"/>
      <c r="FE139" s="135"/>
      <c r="FF139" s="135"/>
      <c r="FG139" s="135"/>
      <c r="FH139" s="135"/>
      <c r="FI139" s="135"/>
      <c r="FJ139" s="135"/>
      <c r="FK139" s="135"/>
      <c r="FL139" s="135"/>
      <c r="FM139" s="135"/>
      <c r="FN139" s="135"/>
      <c r="FO139" s="135"/>
      <c r="FP139" s="135"/>
      <c r="FQ139" s="135"/>
      <c r="FR139" s="135"/>
      <c r="FS139" s="135"/>
      <c r="FT139" s="135"/>
      <c r="FU139" s="135"/>
      <c r="FV139" s="135"/>
      <c r="FW139" s="135"/>
      <c r="FX139" s="135"/>
      <c r="FY139" s="135"/>
      <c r="FZ139" s="135"/>
      <c r="GA139" s="135"/>
      <c r="GB139" s="135"/>
      <c r="GC139" s="135"/>
      <c r="GD139" s="135"/>
      <c r="GE139" s="135"/>
      <c r="GF139" s="135"/>
      <c r="GG139" s="135"/>
      <c r="GH139" s="135"/>
      <c r="GI139" s="135"/>
    </row>
    <row r="140" spans="1:191" s="136" customFormat="1" ht="20.25" x14ac:dyDescent="0.25">
      <c r="A140" s="140"/>
      <c r="B140" s="140"/>
      <c r="C140" s="233" t="s">
        <v>282</v>
      </c>
      <c r="D140" s="144" t="s">
        <v>276</v>
      </c>
      <c r="E140" s="149">
        <v>82</v>
      </c>
      <c r="F140" s="265">
        <f>ROUND(F135*E140,2)</f>
        <v>42.31</v>
      </c>
      <c r="G140" s="265"/>
      <c r="H140" s="26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5"/>
      <c r="CN140" s="135"/>
      <c r="CO140" s="135"/>
      <c r="CP140" s="135"/>
      <c r="CQ140" s="135"/>
      <c r="CR140" s="135"/>
      <c r="CS140" s="135"/>
      <c r="CT140" s="135"/>
      <c r="CU140" s="135"/>
      <c r="CV140" s="135"/>
      <c r="CW140" s="135"/>
      <c r="CX140" s="135"/>
      <c r="CY140" s="135"/>
      <c r="CZ140" s="135"/>
      <c r="DA140" s="135"/>
      <c r="DB140" s="135"/>
      <c r="DC140" s="135"/>
      <c r="DD140" s="135"/>
      <c r="DE140" s="135"/>
      <c r="DF140" s="135"/>
      <c r="DG140" s="135"/>
      <c r="DH140" s="135"/>
      <c r="DI140" s="135"/>
      <c r="DJ140" s="135"/>
      <c r="DK140" s="135"/>
      <c r="DL140" s="135"/>
      <c r="DM140" s="135"/>
      <c r="DN140" s="135"/>
      <c r="DO140" s="135"/>
      <c r="DP140" s="135"/>
      <c r="DQ140" s="135"/>
      <c r="DR140" s="135"/>
      <c r="DS140" s="135"/>
      <c r="DT140" s="135"/>
      <c r="DU140" s="135"/>
      <c r="DV140" s="135"/>
      <c r="DW140" s="135"/>
      <c r="DX140" s="135"/>
      <c r="DY140" s="135"/>
      <c r="DZ140" s="135"/>
      <c r="EA140" s="135"/>
      <c r="EB140" s="135"/>
      <c r="EC140" s="135"/>
      <c r="ED140" s="135"/>
      <c r="EE140" s="135"/>
      <c r="EF140" s="135"/>
      <c r="EG140" s="135"/>
      <c r="EH140" s="135"/>
      <c r="EI140" s="135"/>
      <c r="EJ140" s="135"/>
      <c r="EK140" s="135"/>
      <c r="EL140" s="135"/>
      <c r="EM140" s="135"/>
      <c r="EN140" s="135"/>
      <c r="EO140" s="135"/>
      <c r="EP140" s="135"/>
      <c r="EQ140" s="135"/>
      <c r="ER140" s="135"/>
      <c r="ES140" s="135"/>
      <c r="ET140" s="135"/>
      <c r="EU140" s="135"/>
      <c r="EV140" s="135"/>
      <c r="EW140" s="135"/>
      <c r="EX140" s="135"/>
      <c r="EY140" s="135"/>
      <c r="EZ140" s="135"/>
      <c r="FA140" s="135"/>
      <c r="FB140" s="135"/>
      <c r="FC140" s="135"/>
      <c r="FD140" s="135"/>
      <c r="FE140" s="135"/>
      <c r="FF140" s="135"/>
      <c r="FG140" s="135"/>
      <c r="FH140" s="135"/>
      <c r="FI140" s="135"/>
      <c r="FJ140" s="135"/>
      <c r="FK140" s="135"/>
      <c r="FL140" s="135"/>
      <c r="FM140" s="135"/>
      <c r="FN140" s="135"/>
      <c r="FO140" s="135"/>
      <c r="FP140" s="135"/>
      <c r="FQ140" s="135"/>
      <c r="FR140" s="135"/>
      <c r="FS140" s="135"/>
      <c r="FT140" s="135"/>
      <c r="FU140" s="135"/>
      <c r="FV140" s="135"/>
      <c r="FW140" s="135"/>
      <c r="FX140" s="135"/>
      <c r="FY140" s="135"/>
      <c r="FZ140" s="135"/>
      <c r="GA140" s="135"/>
      <c r="GB140" s="135"/>
      <c r="GC140" s="135"/>
      <c r="GD140" s="135"/>
      <c r="GE140" s="135"/>
      <c r="GF140" s="135"/>
      <c r="GG140" s="135"/>
      <c r="GH140" s="135"/>
      <c r="GI140" s="135"/>
    </row>
    <row r="141" spans="1:191" s="136" customFormat="1" ht="20.25" x14ac:dyDescent="0.25">
      <c r="A141" s="143"/>
      <c r="B141" s="72"/>
      <c r="C141" s="233" t="s">
        <v>283</v>
      </c>
      <c r="D141" s="144" t="s">
        <v>247</v>
      </c>
      <c r="E141" s="150">
        <v>7.0000000000000007E-2</v>
      </c>
      <c r="F141" s="265">
        <f>ROUND(F135*E141,2)</f>
        <v>0.04</v>
      </c>
      <c r="G141" s="265"/>
      <c r="H141" s="26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135"/>
      <c r="CR141" s="135"/>
      <c r="CS141" s="135"/>
      <c r="CT141" s="135"/>
      <c r="CU141" s="135"/>
      <c r="CV141" s="135"/>
      <c r="CW141" s="135"/>
      <c r="CX141" s="135"/>
      <c r="CY141" s="135"/>
      <c r="CZ141" s="135"/>
      <c r="DA141" s="135"/>
      <c r="DB141" s="135"/>
      <c r="DC141" s="135"/>
      <c r="DD141" s="135"/>
      <c r="DE141" s="135"/>
      <c r="DF141" s="135"/>
      <c r="DG141" s="135"/>
      <c r="DH141" s="135"/>
      <c r="DI141" s="135"/>
      <c r="DJ141" s="135"/>
      <c r="DK141" s="135"/>
      <c r="DL141" s="135"/>
      <c r="DM141" s="135"/>
      <c r="DN141" s="135"/>
      <c r="DO141" s="135"/>
      <c r="DP141" s="135"/>
      <c r="DQ141" s="135"/>
      <c r="DR141" s="135"/>
      <c r="DS141" s="135"/>
      <c r="DT141" s="135"/>
      <c r="DU141" s="135"/>
      <c r="DV141" s="135"/>
      <c r="DW141" s="135"/>
      <c r="DX141" s="135"/>
      <c r="DY141" s="135"/>
      <c r="DZ141" s="135"/>
      <c r="EA141" s="135"/>
      <c r="EB141" s="135"/>
      <c r="EC141" s="135"/>
      <c r="ED141" s="135"/>
      <c r="EE141" s="135"/>
      <c r="EF141" s="135"/>
      <c r="EG141" s="135"/>
      <c r="EH141" s="135"/>
      <c r="EI141" s="135"/>
      <c r="EJ141" s="135"/>
      <c r="EK141" s="135"/>
      <c r="EL141" s="135"/>
      <c r="EM141" s="135"/>
      <c r="EN141" s="135"/>
      <c r="EO141" s="135"/>
      <c r="EP141" s="135"/>
      <c r="EQ141" s="135"/>
      <c r="ER141" s="135"/>
      <c r="ES141" s="135"/>
      <c r="ET141" s="135"/>
      <c r="EU141" s="135"/>
      <c r="EV141" s="135"/>
      <c r="EW141" s="135"/>
      <c r="EX141" s="135"/>
      <c r="EY141" s="135"/>
      <c r="EZ141" s="135"/>
      <c r="FA141" s="135"/>
      <c r="FB141" s="135"/>
      <c r="FC141" s="135"/>
      <c r="FD141" s="135"/>
      <c r="FE141" s="135"/>
      <c r="FF141" s="135"/>
      <c r="FG141" s="135"/>
      <c r="FH141" s="135"/>
      <c r="FI141" s="135"/>
      <c r="FJ141" s="135"/>
      <c r="FK141" s="135"/>
      <c r="FL141" s="135"/>
      <c r="FM141" s="135"/>
      <c r="FN141" s="135"/>
      <c r="FO141" s="135"/>
      <c r="FP141" s="135"/>
      <c r="FQ141" s="135"/>
      <c r="FR141" s="135"/>
      <c r="FS141" s="135"/>
      <c r="FT141" s="135"/>
      <c r="FU141" s="135"/>
      <c r="FV141" s="135"/>
      <c r="FW141" s="135"/>
      <c r="FX141" s="135"/>
      <c r="FY141" s="135"/>
      <c r="FZ141" s="135"/>
      <c r="GA141" s="135"/>
      <c r="GB141" s="135"/>
      <c r="GC141" s="135"/>
      <c r="GD141" s="135"/>
      <c r="GE141" s="135"/>
      <c r="GF141" s="135"/>
      <c r="GG141" s="135"/>
      <c r="GH141" s="135"/>
      <c r="GI141" s="135"/>
    </row>
    <row r="142" spans="1:191" s="136" customFormat="1" ht="20.25" x14ac:dyDescent="0.25">
      <c r="A142" s="143"/>
      <c r="B142" s="72"/>
      <c r="C142" s="233" t="s">
        <v>284</v>
      </c>
      <c r="D142" s="144" t="s">
        <v>247</v>
      </c>
      <c r="E142" s="150">
        <v>0.08</v>
      </c>
      <c r="F142" s="265">
        <f>ROUND(F135*E142,2)</f>
        <v>0.04</v>
      </c>
      <c r="G142" s="265"/>
      <c r="H142" s="26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  <c r="BH142" s="135"/>
      <c r="BI142" s="135"/>
      <c r="BJ142" s="135"/>
      <c r="BK142" s="135"/>
      <c r="BL142" s="135"/>
      <c r="BM142" s="135"/>
      <c r="BN142" s="135"/>
      <c r="BO142" s="135"/>
      <c r="BP142" s="135"/>
      <c r="BQ142" s="135"/>
      <c r="BR142" s="135"/>
      <c r="BS142" s="135"/>
      <c r="BT142" s="135"/>
      <c r="BU142" s="135"/>
      <c r="BV142" s="135"/>
      <c r="BW142" s="135"/>
      <c r="BX142" s="135"/>
      <c r="BY142" s="135"/>
      <c r="BZ142" s="135"/>
      <c r="CA142" s="135"/>
      <c r="CB142" s="135"/>
      <c r="CC142" s="135"/>
      <c r="CD142" s="135"/>
      <c r="CE142" s="135"/>
      <c r="CF142" s="135"/>
      <c r="CG142" s="135"/>
      <c r="CH142" s="135"/>
      <c r="CI142" s="135"/>
      <c r="CJ142" s="135"/>
      <c r="CK142" s="135"/>
      <c r="CL142" s="135"/>
      <c r="CM142" s="135"/>
      <c r="CN142" s="135"/>
      <c r="CO142" s="135"/>
      <c r="CP142" s="135"/>
      <c r="CQ142" s="135"/>
      <c r="CR142" s="135"/>
      <c r="CS142" s="135"/>
      <c r="CT142" s="135"/>
      <c r="CU142" s="135"/>
      <c r="CV142" s="135"/>
      <c r="CW142" s="135"/>
      <c r="CX142" s="135"/>
      <c r="CY142" s="135"/>
      <c r="CZ142" s="135"/>
      <c r="DA142" s="135"/>
      <c r="DB142" s="135"/>
      <c r="DC142" s="135"/>
      <c r="DD142" s="135"/>
      <c r="DE142" s="135"/>
      <c r="DF142" s="135"/>
      <c r="DG142" s="135"/>
      <c r="DH142" s="135"/>
      <c r="DI142" s="135"/>
      <c r="DJ142" s="135"/>
      <c r="DK142" s="135"/>
      <c r="DL142" s="135"/>
      <c r="DM142" s="135"/>
      <c r="DN142" s="135"/>
      <c r="DO142" s="135"/>
      <c r="DP142" s="135"/>
      <c r="DQ142" s="135"/>
      <c r="DR142" s="135"/>
      <c r="DS142" s="135"/>
      <c r="DT142" s="135"/>
      <c r="DU142" s="135"/>
      <c r="DV142" s="135"/>
      <c r="DW142" s="135"/>
      <c r="DX142" s="135"/>
      <c r="DY142" s="135"/>
      <c r="DZ142" s="135"/>
      <c r="EA142" s="135"/>
      <c r="EB142" s="135"/>
      <c r="EC142" s="135"/>
      <c r="ED142" s="135"/>
      <c r="EE142" s="135"/>
      <c r="EF142" s="135"/>
      <c r="EG142" s="135"/>
      <c r="EH142" s="135"/>
      <c r="EI142" s="135"/>
      <c r="EJ142" s="135"/>
      <c r="EK142" s="135"/>
      <c r="EL142" s="135"/>
      <c r="EM142" s="135"/>
      <c r="EN142" s="135"/>
      <c r="EO142" s="135"/>
      <c r="EP142" s="135"/>
      <c r="EQ142" s="135"/>
      <c r="ER142" s="135"/>
      <c r="ES142" s="135"/>
      <c r="ET142" s="135"/>
      <c r="EU142" s="135"/>
      <c r="EV142" s="135"/>
      <c r="EW142" s="135"/>
      <c r="EX142" s="135"/>
      <c r="EY142" s="135"/>
      <c r="EZ142" s="135"/>
      <c r="FA142" s="135"/>
      <c r="FB142" s="135"/>
      <c r="FC142" s="135"/>
      <c r="FD142" s="135"/>
      <c r="FE142" s="135"/>
      <c r="FF142" s="135"/>
      <c r="FG142" s="135"/>
      <c r="FH142" s="135"/>
      <c r="FI142" s="135"/>
      <c r="FJ142" s="135"/>
      <c r="FK142" s="135"/>
      <c r="FL142" s="135"/>
      <c r="FM142" s="135"/>
      <c r="FN142" s="135"/>
      <c r="FO142" s="135"/>
      <c r="FP142" s="135"/>
      <c r="FQ142" s="135"/>
      <c r="FR142" s="135"/>
      <c r="FS142" s="135"/>
      <c r="FT142" s="135"/>
      <c r="FU142" s="135"/>
      <c r="FV142" s="135"/>
      <c r="FW142" s="135"/>
      <c r="FX142" s="135"/>
      <c r="FY142" s="135"/>
      <c r="FZ142" s="135"/>
      <c r="GA142" s="135"/>
      <c r="GB142" s="135"/>
      <c r="GC142" s="135"/>
      <c r="GD142" s="135"/>
      <c r="GE142" s="135"/>
      <c r="GF142" s="135"/>
      <c r="GG142" s="135"/>
      <c r="GH142" s="135"/>
      <c r="GI142" s="135"/>
    </row>
    <row r="143" spans="1:191" s="37" customFormat="1" ht="20.25" x14ac:dyDescent="0.35">
      <c r="A143" s="145"/>
      <c r="B143" s="143"/>
      <c r="C143" s="232" t="s">
        <v>285</v>
      </c>
      <c r="D143" s="144" t="s">
        <v>247</v>
      </c>
      <c r="E143" s="151">
        <v>1.74</v>
      </c>
      <c r="F143" s="265">
        <f>ROUND(F135*E143,2)</f>
        <v>0.9</v>
      </c>
      <c r="G143" s="265"/>
      <c r="H143" s="265"/>
    </row>
    <row r="144" spans="1:191" s="136" customFormat="1" ht="18.75" x14ac:dyDescent="0.25">
      <c r="A144" s="140"/>
      <c r="B144" s="140"/>
      <c r="C144" s="233" t="s">
        <v>286</v>
      </c>
      <c r="D144" s="141" t="s">
        <v>267</v>
      </c>
      <c r="E144" s="149">
        <v>49</v>
      </c>
      <c r="F144" s="265">
        <f>ROUND(F135*E144,3)</f>
        <v>25.283999999999999</v>
      </c>
      <c r="G144" s="265"/>
      <c r="H144" s="265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  <c r="BJ144" s="138"/>
      <c r="BK144" s="138"/>
      <c r="BL144" s="138"/>
      <c r="BM144" s="138"/>
      <c r="BN144" s="138"/>
      <c r="BO144" s="138"/>
      <c r="BP144" s="138"/>
      <c r="BQ144" s="138"/>
      <c r="BR144" s="138"/>
      <c r="BS144" s="138"/>
      <c r="BT144" s="138"/>
      <c r="BU144" s="138"/>
      <c r="BV144" s="138"/>
      <c r="BW144" s="138"/>
      <c r="BX144" s="138"/>
      <c r="BY144" s="138"/>
      <c r="BZ144" s="138"/>
      <c r="CA144" s="138"/>
      <c r="CB144" s="138"/>
      <c r="CC144" s="138"/>
      <c r="CD144" s="138"/>
      <c r="CE144" s="138"/>
      <c r="CF144" s="138"/>
      <c r="CG144" s="138"/>
      <c r="CH144" s="138"/>
      <c r="CI144" s="138"/>
      <c r="CJ144" s="138"/>
      <c r="CK144" s="138"/>
      <c r="CL144" s="138"/>
      <c r="CM144" s="138"/>
      <c r="CN144" s="138"/>
      <c r="CO144" s="138"/>
      <c r="CP144" s="138"/>
      <c r="CQ144" s="138"/>
      <c r="CR144" s="138"/>
      <c r="CS144" s="138"/>
      <c r="CT144" s="138"/>
      <c r="CU144" s="138"/>
      <c r="CV144" s="138"/>
      <c r="CW144" s="138"/>
      <c r="CX144" s="138"/>
      <c r="CY144" s="138"/>
      <c r="CZ144" s="138"/>
      <c r="DA144" s="138"/>
      <c r="DB144" s="138"/>
      <c r="DC144" s="138"/>
      <c r="DD144" s="138"/>
      <c r="DE144" s="138"/>
      <c r="DF144" s="138"/>
      <c r="DG144" s="138"/>
      <c r="DH144" s="138"/>
      <c r="DI144" s="138"/>
      <c r="DJ144" s="138"/>
      <c r="DK144" s="138"/>
      <c r="DL144" s="138"/>
      <c r="DM144" s="138"/>
      <c r="DN144" s="138"/>
      <c r="DO144" s="138"/>
      <c r="DP144" s="138"/>
      <c r="DQ144" s="138"/>
      <c r="DR144" s="138"/>
      <c r="DS144" s="138"/>
      <c r="DT144" s="138"/>
      <c r="DU144" s="138"/>
      <c r="DV144" s="138"/>
      <c r="DW144" s="138"/>
      <c r="DX144" s="138"/>
      <c r="DY144" s="138"/>
      <c r="DZ144" s="138"/>
      <c r="EA144" s="138"/>
      <c r="EB144" s="138"/>
      <c r="EC144" s="138"/>
      <c r="ED144" s="138"/>
      <c r="EE144" s="138"/>
      <c r="EF144" s="138"/>
      <c r="EG144" s="138"/>
      <c r="EH144" s="138"/>
      <c r="EI144" s="138"/>
      <c r="EJ144" s="138"/>
      <c r="EK144" s="138"/>
      <c r="EL144" s="138"/>
      <c r="EM144" s="138"/>
      <c r="EN144" s="138"/>
      <c r="EO144" s="138"/>
      <c r="EP144" s="138"/>
      <c r="EQ144" s="138"/>
      <c r="ER144" s="138"/>
      <c r="ES144" s="138"/>
      <c r="ET144" s="138"/>
      <c r="EU144" s="138"/>
      <c r="EV144" s="138"/>
      <c r="EW144" s="138"/>
      <c r="EX144" s="138"/>
      <c r="EY144" s="138"/>
      <c r="EZ144" s="138"/>
      <c r="FA144" s="138"/>
      <c r="FB144" s="138"/>
      <c r="FC144" s="138"/>
      <c r="FD144" s="138"/>
      <c r="FE144" s="138"/>
      <c r="FF144" s="138"/>
      <c r="FG144" s="138"/>
      <c r="FH144" s="138"/>
      <c r="FI144" s="138"/>
      <c r="FJ144" s="138"/>
      <c r="FK144" s="138"/>
      <c r="FL144" s="138"/>
      <c r="FM144" s="138"/>
      <c r="FN144" s="138"/>
      <c r="FO144" s="138"/>
      <c r="FP144" s="138"/>
      <c r="FQ144" s="138"/>
      <c r="FR144" s="138"/>
      <c r="FS144" s="138"/>
      <c r="FT144" s="138"/>
      <c r="FU144" s="138"/>
      <c r="FV144" s="138"/>
      <c r="FW144" s="138"/>
      <c r="FX144" s="138"/>
      <c r="FY144" s="138"/>
      <c r="FZ144" s="138"/>
      <c r="GA144" s="138"/>
      <c r="GB144" s="138"/>
      <c r="GC144" s="138"/>
      <c r="GD144" s="138"/>
      <c r="GE144" s="138"/>
      <c r="GF144" s="138"/>
      <c r="GG144" s="138"/>
      <c r="GH144" s="138"/>
      <c r="GI144" s="138"/>
    </row>
    <row r="145" spans="1:191" s="136" customFormat="1" ht="20.25" x14ac:dyDescent="0.25">
      <c r="A145" s="140"/>
      <c r="B145" s="140"/>
      <c r="C145" s="232" t="s">
        <v>287</v>
      </c>
      <c r="D145" s="144" t="s">
        <v>247</v>
      </c>
      <c r="E145" s="149">
        <v>0.08</v>
      </c>
      <c r="F145" s="265">
        <f>ROUND(F135*E145,2)</f>
        <v>0.04</v>
      </c>
      <c r="G145" s="265"/>
      <c r="H145" s="265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138"/>
      <c r="BJ145" s="138"/>
      <c r="BK145" s="138"/>
      <c r="BL145" s="138"/>
      <c r="BM145" s="138"/>
      <c r="BN145" s="138"/>
      <c r="BO145" s="138"/>
      <c r="BP145" s="138"/>
      <c r="BQ145" s="138"/>
      <c r="BR145" s="138"/>
      <c r="BS145" s="138"/>
      <c r="BT145" s="138"/>
      <c r="BU145" s="138"/>
      <c r="BV145" s="138"/>
      <c r="BW145" s="138"/>
      <c r="BX145" s="138"/>
      <c r="BY145" s="138"/>
      <c r="BZ145" s="138"/>
      <c r="CA145" s="138"/>
      <c r="CB145" s="138"/>
      <c r="CC145" s="138"/>
      <c r="CD145" s="138"/>
      <c r="CE145" s="138"/>
      <c r="CF145" s="138"/>
      <c r="CG145" s="138"/>
      <c r="CH145" s="138"/>
      <c r="CI145" s="138"/>
      <c r="CJ145" s="138"/>
      <c r="CK145" s="138"/>
      <c r="CL145" s="138"/>
      <c r="CM145" s="138"/>
      <c r="CN145" s="138"/>
      <c r="CO145" s="138"/>
      <c r="CP145" s="138"/>
      <c r="CQ145" s="138"/>
      <c r="CR145" s="138"/>
      <c r="CS145" s="138"/>
      <c r="CT145" s="138"/>
      <c r="CU145" s="138"/>
      <c r="CV145" s="138"/>
      <c r="CW145" s="138"/>
      <c r="CX145" s="138"/>
      <c r="CY145" s="138"/>
      <c r="CZ145" s="138"/>
      <c r="DA145" s="138"/>
      <c r="DB145" s="138"/>
      <c r="DC145" s="138"/>
      <c r="DD145" s="138"/>
      <c r="DE145" s="138"/>
      <c r="DF145" s="138"/>
      <c r="DG145" s="138"/>
      <c r="DH145" s="138"/>
      <c r="DI145" s="138"/>
      <c r="DJ145" s="138"/>
      <c r="DK145" s="138"/>
      <c r="DL145" s="138"/>
      <c r="DM145" s="138"/>
      <c r="DN145" s="138"/>
      <c r="DO145" s="138"/>
      <c r="DP145" s="138"/>
      <c r="DQ145" s="138"/>
      <c r="DR145" s="138"/>
      <c r="DS145" s="138"/>
      <c r="DT145" s="138"/>
      <c r="DU145" s="138"/>
      <c r="DV145" s="138"/>
      <c r="DW145" s="138"/>
      <c r="DX145" s="138"/>
      <c r="DY145" s="138"/>
      <c r="DZ145" s="138"/>
      <c r="EA145" s="138"/>
      <c r="EB145" s="138"/>
      <c r="EC145" s="138"/>
      <c r="ED145" s="138"/>
      <c r="EE145" s="138"/>
      <c r="EF145" s="138"/>
      <c r="EG145" s="138"/>
      <c r="EH145" s="138"/>
      <c r="EI145" s="138"/>
      <c r="EJ145" s="138"/>
      <c r="EK145" s="138"/>
      <c r="EL145" s="138"/>
      <c r="EM145" s="138"/>
      <c r="EN145" s="138"/>
      <c r="EO145" s="138"/>
      <c r="EP145" s="138"/>
      <c r="EQ145" s="138"/>
      <c r="ER145" s="138"/>
      <c r="ES145" s="138"/>
      <c r="ET145" s="138"/>
      <c r="EU145" s="138"/>
      <c r="EV145" s="138"/>
      <c r="EW145" s="138"/>
      <c r="EX145" s="138"/>
      <c r="EY145" s="138"/>
      <c r="EZ145" s="138"/>
      <c r="FA145" s="138"/>
      <c r="FB145" s="138"/>
      <c r="FC145" s="138"/>
      <c r="FD145" s="138"/>
      <c r="FE145" s="138"/>
      <c r="FF145" s="138"/>
      <c r="FG145" s="138"/>
      <c r="FH145" s="138"/>
      <c r="FI145" s="138"/>
      <c r="FJ145" s="138"/>
      <c r="FK145" s="138"/>
      <c r="FL145" s="138"/>
      <c r="FM145" s="138"/>
      <c r="FN145" s="138"/>
      <c r="FO145" s="138"/>
      <c r="FP145" s="138"/>
      <c r="FQ145" s="138"/>
      <c r="FR145" s="138"/>
      <c r="FS145" s="138"/>
      <c r="FT145" s="138"/>
      <c r="FU145" s="138"/>
      <c r="FV145" s="138"/>
      <c r="FW145" s="138"/>
      <c r="FX145" s="138"/>
      <c r="FY145" s="138"/>
      <c r="FZ145" s="138"/>
      <c r="GA145" s="138"/>
      <c r="GB145" s="138"/>
      <c r="GC145" s="138"/>
      <c r="GD145" s="138"/>
      <c r="GE145" s="138"/>
      <c r="GF145" s="138"/>
      <c r="GG145" s="138"/>
      <c r="GH145" s="138"/>
      <c r="GI145" s="138"/>
    </row>
    <row r="146" spans="1:191" s="136" customFormat="1" ht="18.75" x14ac:dyDescent="0.25">
      <c r="A146" s="140"/>
      <c r="B146" s="140"/>
      <c r="C146" s="233" t="s">
        <v>28</v>
      </c>
      <c r="D146" s="141" t="s">
        <v>268</v>
      </c>
      <c r="E146" s="149">
        <v>23.1</v>
      </c>
      <c r="F146" s="265">
        <f>ROUND(F135*E146,2)</f>
        <v>11.92</v>
      </c>
      <c r="G146" s="265"/>
      <c r="H146" s="265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139"/>
      <c r="BZ146" s="139"/>
      <c r="CA146" s="139"/>
      <c r="CB146" s="139"/>
      <c r="CC146" s="139"/>
      <c r="CD146" s="139"/>
      <c r="CE146" s="139"/>
      <c r="CF146" s="139"/>
      <c r="CG146" s="139"/>
      <c r="CH146" s="139"/>
      <c r="CI146" s="139"/>
      <c r="CJ146" s="139"/>
      <c r="CK146" s="139"/>
      <c r="CL146" s="139"/>
      <c r="CM146" s="139"/>
      <c r="CN146" s="139"/>
      <c r="CO146" s="139"/>
      <c r="CP146" s="139"/>
      <c r="CQ146" s="139"/>
      <c r="CR146" s="139"/>
      <c r="CS146" s="139"/>
      <c r="CT146" s="139"/>
      <c r="CU146" s="139"/>
      <c r="CV146" s="139"/>
      <c r="CW146" s="139"/>
      <c r="CX146" s="139"/>
      <c r="CY146" s="139"/>
      <c r="CZ146" s="139"/>
      <c r="DA146" s="139"/>
      <c r="DB146" s="139"/>
      <c r="DC146" s="139"/>
      <c r="DD146" s="139"/>
      <c r="DE146" s="139"/>
      <c r="DF146" s="139"/>
      <c r="DG146" s="139"/>
      <c r="DH146" s="139"/>
      <c r="DI146" s="139"/>
      <c r="DJ146" s="139"/>
      <c r="DK146" s="139"/>
      <c r="DL146" s="139"/>
      <c r="DM146" s="139"/>
      <c r="DN146" s="139"/>
      <c r="DO146" s="139"/>
      <c r="DP146" s="139"/>
      <c r="DQ146" s="139"/>
      <c r="DR146" s="139"/>
      <c r="DS146" s="139"/>
      <c r="DT146" s="139"/>
      <c r="DU146" s="139"/>
      <c r="DV146" s="139"/>
      <c r="DW146" s="139"/>
      <c r="DX146" s="139"/>
      <c r="DY146" s="139"/>
      <c r="DZ146" s="139"/>
      <c r="EA146" s="139"/>
      <c r="EB146" s="139"/>
      <c r="EC146" s="139"/>
      <c r="ED146" s="139"/>
      <c r="EE146" s="139"/>
      <c r="EF146" s="139"/>
      <c r="EG146" s="139"/>
      <c r="EH146" s="139"/>
      <c r="EI146" s="139"/>
      <c r="EJ146" s="139"/>
      <c r="EK146" s="139"/>
      <c r="EL146" s="139"/>
      <c r="EM146" s="139"/>
      <c r="EN146" s="139"/>
      <c r="EO146" s="139"/>
      <c r="EP146" s="139"/>
      <c r="EQ146" s="139"/>
      <c r="ER146" s="139"/>
      <c r="ES146" s="139"/>
      <c r="ET146" s="139"/>
      <c r="EU146" s="139"/>
      <c r="EV146" s="139"/>
      <c r="EW146" s="139"/>
      <c r="EX146" s="139"/>
      <c r="EY146" s="139"/>
      <c r="EZ146" s="139"/>
      <c r="FA146" s="139"/>
      <c r="FB146" s="139"/>
      <c r="FC146" s="139"/>
      <c r="FD146" s="139"/>
      <c r="FE146" s="139"/>
      <c r="FF146" s="139"/>
      <c r="FG146" s="139"/>
      <c r="FH146" s="139"/>
      <c r="FI146" s="139"/>
      <c r="FJ146" s="139"/>
      <c r="FK146" s="139"/>
      <c r="FL146" s="139"/>
      <c r="FM146" s="139"/>
      <c r="FN146" s="139"/>
      <c r="FO146" s="139"/>
      <c r="FP146" s="139"/>
      <c r="FQ146" s="139"/>
      <c r="FR146" s="139"/>
      <c r="FS146" s="139"/>
      <c r="FT146" s="139"/>
      <c r="FU146" s="139"/>
      <c r="FV146" s="139"/>
      <c r="FW146" s="139"/>
      <c r="FX146" s="139"/>
      <c r="FY146" s="139"/>
      <c r="FZ146" s="139"/>
      <c r="GA146" s="139"/>
      <c r="GB146" s="139"/>
      <c r="GC146" s="139"/>
      <c r="GD146" s="139"/>
      <c r="GE146" s="139"/>
      <c r="GF146" s="139"/>
      <c r="GG146" s="139"/>
      <c r="GH146" s="139"/>
      <c r="GI146" s="139"/>
    </row>
    <row r="147" spans="1:191" s="136" customFormat="1" ht="18.75" x14ac:dyDescent="0.25">
      <c r="A147" s="140"/>
      <c r="B147" s="140"/>
      <c r="C147" s="233" t="s">
        <v>55</v>
      </c>
      <c r="D147" s="141" t="s">
        <v>268</v>
      </c>
      <c r="E147" s="149">
        <v>61.2</v>
      </c>
      <c r="F147" s="265">
        <f>ROUND(F135*E147,2)</f>
        <v>31.58</v>
      </c>
      <c r="G147" s="265"/>
      <c r="H147" s="265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BO147" s="139"/>
      <c r="BP147" s="139"/>
      <c r="BQ147" s="139"/>
      <c r="BR147" s="139"/>
      <c r="BS147" s="139"/>
      <c r="BT147" s="139"/>
      <c r="BU147" s="139"/>
      <c r="BV147" s="139"/>
      <c r="BW147" s="139"/>
      <c r="BX147" s="139"/>
      <c r="BY147" s="139"/>
      <c r="BZ147" s="139"/>
      <c r="CA147" s="139"/>
      <c r="CB147" s="139"/>
      <c r="CC147" s="139"/>
      <c r="CD147" s="139"/>
      <c r="CE147" s="139"/>
      <c r="CF147" s="139"/>
      <c r="CG147" s="139"/>
      <c r="CH147" s="139"/>
      <c r="CI147" s="139"/>
      <c r="CJ147" s="139"/>
      <c r="CK147" s="139"/>
      <c r="CL147" s="139"/>
      <c r="CM147" s="139"/>
      <c r="CN147" s="139"/>
      <c r="CO147" s="139"/>
      <c r="CP147" s="139"/>
      <c r="CQ147" s="139"/>
      <c r="CR147" s="139"/>
      <c r="CS147" s="139"/>
      <c r="CT147" s="139"/>
      <c r="CU147" s="139"/>
      <c r="CV147" s="139"/>
      <c r="CW147" s="139"/>
      <c r="CX147" s="139"/>
      <c r="CY147" s="139"/>
      <c r="CZ147" s="139"/>
      <c r="DA147" s="139"/>
      <c r="DB147" s="139"/>
      <c r="DC147" s="139"/>
      <c r="DD147" s="139"/>
      <c r="DE147" s="139"/>
      <c r="DF147" s="139"/>
      <c r="DG147" s="139"/>
      <c r="DH147" s="139"/>
      <c r="DI147" s="139"/>
      <c r="DJ147" s="139"/>
      <c r="DK147" s="139"/>
      <c r="DL147" s="139"/>
      <c r="DM147" s="139"/>
      <c r="DN147" s="139"/>
      <c r="DO147" s="139"/>
      <c r="DP147" s="139"/>
      <c r="DQ147" s="139"/>
      <c r="DR147" s="139"/>
      <c r="DS147" s="139"/>
      <c r="DT147" s="139"/>
      <c r="DU147" s="139"/>
      <c r="DV147" s="139"/>
      <c r="DW147" s="139"/>
      <c r="DX147" s="139"/>
      <c r="DY147" s="139"/>
      <c r="DZ147" s="139"/>
      <c r="EA147" s="139"/>
      <c r="EB147" s="139"/>
      <c r="EC147" s="139"/>
      <c r="ED147" s="139"/>
      <c r="EE147" s="139"/>
      <c r="EF147" s="139"/>
      <c r="EG147" s="139"/>
      <c r="EH147" s="139"/>
      <c r="EI147" s="139"/>
      <c r="EJ147" s="139"/>
      <c r="EK147" s="139"/>
      <c r="EL147" s="139"/>
      <c r="EM147" s="139"/>
      <c r="EN147" s="139"/>
      <c r="EO147" s="139"/>
      <c r="EP147" s="139"/>
      <c r="EQ147" s="139"/>
      <c r="ER147" s="139"/>
      <c r="ES147" s="139"/>
      <c r="ET147" s="139"/>
      <c r="EU147" s="139"/>
      <c r="EV147" s="139"/>
      <c r="EW147" s="139"/>
      <c r="EX147" s="139"/>
      <c r="EY147" s="139"/>
      <c r="EZ147" s="139"/>
      <c r="FA147" s="139"/>
      <c r="FB147" s="139"/>
      <c r="FC147" s="139"/>
      <c r="FD147" s="139"/>
      <c r="FE147" s="139"/>
      <c r="FF147" s="139"/>
      <c r="FG147" s="139"/>
      <c r="FH147" s="139"/>
      <c r="FI147" s="139"/>
      <c r="FJ147" s="139"/>
      <c r="FK147" s="139"/>
      <c r="FL147" s="139"/>
      <c r="FM147" s="139"/>
      <c r="FN147" s="139"/>
      <c r="FO147" s="139"/>
      <c r="FP147" s="139"/>
      <c r="FQ147" s="139"/>
      <c r="FR147" s="139"/>
      <c r="FS147" s="139"/>
      <c r="FT147" s="139"/>
      <c r="FU147" s="139"/>
      <c r="FV147" s="139"/>
      <c r="FW147" s="139"/>
      <c r="FX147" s="139"/>
      <c r="FY147" s="139"/>
      <c r="FZ147" s="139"/>
      <c r="GA147" s="139"/>
      <c r="GB147" s="139"/>
      <c r="GC147" s="139"/>
      <c r="GD147" s="139"/>
      <c r="GE147" s="139"/>
      <c r="GF147" s="139"/>
      <c r="GG147" s="139"/>
      <c r="GH147" s="139"/>
      <c r="GI147" s="139"/>
    </row>
    <row r="148" spans="1:191" s="136" customFormat="1" ht="20.25" x14ac:dyDescent="0.2">
      <c r="A148" s="42"/>
      <c r="B148" s="56" t="s">
        <v>129</v>
      </c>
      <c r="C148" s="211" t="s">
        <v>288</v>
      </c>
      <c r="D148" s="42" t="s">
        <v>277</v>
      </c>
      <c r="E148" s="148"/>
      <c r="F148" s="266">
        <f>116/100</f>
        <v>1.1599999999999999</v>
      </c>
      <c r="G148" s="266"/>
      <c r="H148" s="266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139"/>
      <c r="BH148" s="139"/>
      <c r="BI148" s="139"/>
      <c r="BJ148" s="139"/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39"/>
      <c r="BY148" s="139"/>
      <c r="BZ148" s="139"/>
      <c r="CA148" s="139"/>
      <c r="CB148" s="139"/>
      <c r="CC148" s="139"/>
      <c r="CD148" s="139"/>
      <c r="CE148" s="139"/>
      <c r="CF148" s="139"/>
      <c r="CG148" s="139"/>
      <c r="CH148" s="139"/>
      <c r="CI148" s="139"/>
      <c r="CJ148" s="139"/>
      <c r="CK148" s="139"/>
      <c r="CL148" s="139"/>
      <c r="CM148" s="139"/>
      <c r="CN148" s="139"/>
      <c r="CO148" s="139"/>
      <c r="CP148" s="139"/>
      <c r="CQ148" s="139"/>
      <c r="CR148" s="139"/>
      <c r="CS148" s="139"/>
      <c r="CT148" s="139"/>
      <c r="CU148" s="139"/>
      <c r="CV148" s="139"/>
      <c r="CW148" s="139"/>
      <c r="CX148" s="139"/>
      <c r="CY148" s="139"/>
      <c r="CZ148" s="139"/>
      <c r="DA148" s="139"/>
      <c r="DB148" s="139"/>
      <c r="DC148" s="139"/>
      <c r="DD148" s="139"/>
      <c r="DE148" s="139"/>
      <c r="DF148" s="139"/>
      <c r="DG148" s="139"/>
      <c r="DH148" s="139"/>
      <c r="DI148" s="139"/>
      <c r="DJ148" s="139"/>
      <c r="DK148" s="139"/>
      <c r="DL148" s="139"/>
      <c r="DM148" s="139"/>
      <c r="DN148" s="139"/>
      <c r="DO148" s="139"/>
      <c r="DP148" s="139"/>
      <c r="DQ148" s="139"/>
      <c r="DR148" s="139"/>
      <c r="DS148" s="139"/>
      <c r="DT148" s="139"/>
      <c r="DU148" s="139"/>
      <c r="DV148" s="139"/>
      <c r="DW148" s="139"/>
      <c r="DX148" s="139"/>
      <c r="DY148" s="139"/>
      <c r="DZ148" s="139"/>
      <c r="EA148" s="139"/>
      <c r="EB148" s="139"/>
      <c r="EC148" s="139"/>
      <c r="ED148" s="139"/>
      <c r="EE148" s="139"/>
      <c r="EF148" s="139"/>
      <c r="EG148" s="139"/>
      <c r="EH148" s="139"/>
      <c r="EI148" s="139"/>
      <c r="EJ148" s="139"/>
      <c r="EK148" s="139"/>
      <c r="EL148" s="139"/>
      <c r="EM148" s="139"/>
      <c r="EN148" s="139"/>
      <c r="EO148" s="139"/>
      <c r="EP148" s="139"/>
      <c r="EQ148" s="139"/>
      <c r="ER148" s="139"/>
      <c r="ES148" s="139"/>
      <c r="ET148" s="139"/>
      <c r="EU148" s="139"/>
      <c r="EV148" s="139"/>
      <c r="EW148" s="139"/>
      <c r="EX148" s="139"/>
      <c r="EY148" s="139"/>
      <c r="EZ148" s="139"/>
      <c r="FA148" s="139"/>
      <c r="FB148" s="139"/>
      <c r="FC148" s="139"/>
      <c r="FD148" s="139"/>
      <c r="FE148" s="139"/>
      <c r="FF148" s="139"/>
      <c r="FG148" s="139"/>
      <c r="FH148" s="139"/>
      <c r="FI148" s="139"/>
      <c r="FJ148" s="139"/>
      <c r="FK148" s="139"/>
      <c r="FL148" s="139"/>
      <c r="FM148" s="139"/>
      <c r="FN148" s="139"/>
      <c r="FO148" s="139"/>
      <c r="FP148" s="139"/>
      <c r="FQ148" s="139"/>
      <c r="FR148" s="139"/>
      <c r="FS148" s="139"/>
      <c r="FT148" s="139"/>
      <c r="FU148" s="139"/>
      <c r="FV148" s="139"/>
      <c r="FW148" s="139"/>
      <c r="FX148" s="139"/>
      <c r="FY148" s="139"/>
      <c r="FZ148" s="139"/>
      <c r="GA148" s="139"/>
      <c r="GB148" s="139"/>
      <c r="GC148" s="139"/>
      <c r="GD148" s="139"/>
      <c r="GE148" s="139"/>
      <c r="GF148" s="139"/>
      <c r="GG148" s="139"/>
      <c r="GH148" s="139"/>
      <c r="GI148" s="139"/>
    </row>
    <row r="149" spans="1:191" s="136" customFormat="1" ht="18.75" x14ac:dyDescent="0.25">
      <c r="A149" s="143"/>
      <c r="B149" s="72"/>
      <c r="C149" s="233" t="s">
        <v>108</v>
      </c>
      <c r="D149" s="69" t="s">
        <v>171</v>
      </c>
      <c r="E149" s="150">
        <v>56.4</v>
      </c>
      <c r="F149" s="265">
        <f>ROUND(F148*E149,2)</f>
        <v>65.42</v>
      </c>
      <c r="G149" s="265"/>
      <c r="H149" s="265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39"/>
      <c r="CB149" s="139"/>
      <c r="CC149" s="139"/>
      <c r="CD149" s="139"/>
      <c r="CE149" s="139"/>
      <c r="CF149" s="139"/>
      <c r="CG149" s="139"/>
      <c r="CH149" s="139"/>
      <c r="CI149" s="139"/>
      <c r="CJ149" s="139"/>
      <c r="CK149" s="139"/>
      <c r="CL149" s="139"/>
      <c r="CM149" s="139"/>
      <c r="CN149" s="139"/>
      <c r="CO149" s="139"/>
      <c r="CP149" s="139"/>
      <c r="CQ149" s="139"/>
      <c r="CR149" s="139"/>
      <c r="CS149" s="139"/>
      <c r="CT149" s="139"/>
      <c r="CU149" s="139"/>
      <c r="CV149" s="139"/>
      <c r="CW149" s="139"/>
      <c r="CX149" s="139"/>
      <c r="CY149" s="139"/>
      <c r="CZ149" s="139"/>
      <c r="DA149" s="139"/>
      <c r="DB149" s="139"/>
      <c r="DC149" s="139"/>
      <c r="DD149" s="139"/>
      <c r="DE149" s="139"/>
      <c r="DF149" s="139"/>
      <c r="DG149" s="139"/>
      <c r="DH149" s="139"/>
      <c r="DI149" s="139"/>
      <c r="DJ149" s="139"/>
      <c r="DK149" s="139"/>
      <c r="DL149" s="139"/>
      <c r="DM149" s="139"/>
      <c r="DN149" s="139"/>
      <c r="DO149" s="139"/>
      <c r="DP149" s="139"/>
      <c r="DQ149" s="139"/>
      <c r="DR149" s="139"/>
      <c r="DS149" s="139"/>
      <c r="DT149" s="139"/>
      <c r="DU149" s="139"/>
      <c r="DV149" s="139"/>
      <c r="DW149" s="139"/>
      <c r="DX149" s="139"/>
      <c r="DY149" s="139"/>
      <c r="DZ149" s="139"/>
      <c r="EA149" s="139"/>
      <c r="EB149" s="139"/>
      <c r="EC149" s="139"/>
      <c r="ED149" s="139"/>
      <c r="EE149" s="139"/>
      <c r="EF149" s="139"/>
      <c r="EG149" s="139"/>
      <c r="EH149" s="139"/>
      <c r="EI149" s="139"/>
      <c r="EJ149" s="139"/>
      <c r="EK149" s="139"/>
      <c r="EL149" s="139"/>
      <c r="EM149" s="139"/>
      <c r="EN149" s="139"/>
      <c r="EO149" s="139"/>
      <c r="EP149" s="139"/>
      <c r="EQ149" s="139"/>
      <c r="ER149" s="139"/>
      <c r="ES149" s="139"/>
      <c r="ET149" s="139"/>
      <c r="EU149" s="139"/>
      <c r="EV149" s="139"/>
      <c r="EW149" s="139"/>
      <c r="EX149" s="139"/>
      <c r="EY149" s="139"/>
      <c r="EZ149" s="139"/>
      <c r="FA149" s="139"/>
      <c r="FB149" s="139"/>
      <c r="FC149" s="139"/>
      <c r="FD149" s="139"/>
      <c r="FE149" s="139"/>
      <c r="FF149" s="139"/>
      <c r="FG149" s="139"/>
      <c r="FH149" s="139"/>
      <c r="FI149" s="139"/>
      <c r="FJ149" s="139"/>
      <c r="FK149" s="139"/>
      <c r="FL149" s="139"/>
      <c r="FM149" s="139"/>
      <c r="FN149" s="139"/>
      <c r="FO149" s="139"/>
      <c r="FP149" s="139"/>
      <c r="FQ149" s="139"/>
      <c r="FR149" s="139"/>
      <c r="FS149" s="139"/>
      <c r="FT149" s="139"/>
      <c r="FU149" s="139"/>
      <c r="FV149" s="139"/>
      <c r="FW149" s="139"/>
      <c r="FX149" s="139"/>
      <c r="FY149" s="139"/>
      <c r="FZ149" s="139"/>
      <c r="GA149" s="139"/>
      <c r="GB149" s="139"/>
      <c r="GC149" s="139"/>
      <c r="GD149" s="139"/>
      <c r="GE149" s="139"/>
      <c r="GF149" s="139"/>
      <c r="GG149" s="139"/>
      <c r="GH149" s="139"/>
      <c r="GI149" s="139"/>
    </row>
    <row r="150" spans="1:191" s="139" customFormat="1" ht="18.75" x14ac:dyDescent="0.25">
      <c r="A150" s="143"/>
      <c r="B150" s="72"/>
      <c r="C150" s="233" t="s">
        <v>28</v>
      </c>
      <c r="D150" s="69" t="s">
        <v>268</v>
      </c>
      <c r="E150" s="150">
        <v>4.09</v>
      </c>
      <c r="F150" s="265">
        <f>ROUND(F148*E150,2)</f>
        <v>4.74</v>
      </c>
      <c r="G150" s="265"/>
      <c r="H150" s="265"/>
    </row>
    <row r="151" spans="1:191" s="37" customFormat="1" ht="18.75" x14ac:dyDescent="0.25">
      <c r="A151" s="143"/>
      <c r="B151" s="146"/>
      <c r="C151" s="233" t="s">
        <v>289</v>
      </c>
      <c r="D151" s="144" t="s">
        <v>261</v>
      </c>
      <c r="E151" s="150">
        <v>0.16</v>
      </c>
      <c r="F151" s="265">
        <f>ROUND(F148*E151,2)</f>
        <v>0.19</v>
      </c>
      <c r="G151" s="265"/>
      <c r="H151" s="265"/>
    </row>
    <row r="152" spans="1:191" s="136" customFormat="1" ht="18.75" x14ac:dyDescent="0.25">
      <c r="A152" s="143"/>
      <c r="B152" s="146"/>
      <c r="C152" s="233" t="s">
        <v>290</v>
      </c>
      <c r="D152" s="144" t="s">
        <v>261</v>
      </c>
      <c r="E152" s="150">
        <v>0.45</v>
      </c>
      <c r="F152" s="265">
        <f>ROUND(F148*E152,2)</f>
        <v>0.52</v>
      </c>
      <c r="G152" s="265"/>
      <c r="H152" s="265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  <c r="AV152" s="138"/>
      <c r="AW152" s="138"/>
      <c r="AX152" s="138"/>
      <c r="AY152" s="138"/>
      <c r="AZ152" s="138"/>
      <c r="BA152" s="138"/>
      <c r="BB152" s="138"/>
      <c r="BC152" s="138"/>
      <c r="BD152" s="138"/>
      <c r="BE152" s="138"/>
      <c r="BF152" s="138"/>
      <c r="BG152" s="138"/>
      <c r="BH152" s="138"/>
      <c r="BI152" s="138"/>
      <c r="BJ152" s="138"/>
      <c r="BK152" s="138"/>
      <c r="BL152" s="138"/>
      <c r="BM152" s="138"/>
      <c r="BN152" s="138"/>
      <c r="BO152" s="138"/>
      <c r="BP152" s="138"/>
      <c r="BQ152" s="138"/>
      <c r="BR152" s="138"/>
      <c r="BS152" s="138"/>
      <c r="BT152" s="138"/>
      <c r="BU152" s="138"/>
      <c r="BV152" s="138"/>
      <c r="BW152" s="138"/>
      <c r="BX152" s="138"/>
      <c r="BY152" s="138"/>
      <c r="BZ152" s="138"/>
      <c r="CA152" s="138"/>
      <c r="CB152" s="138"/>
      <c r="CC152" s="138"/>
      <c r="CD152" s="138"/>
      <c r="CE152" s="138"/>
      <c r="CF152" s="138"/>
      <c r="CG152" s="138"/>
      <c r="CH152" s="138"/>
      <c r="CI152" s="138"/>
      <c r="CJ152" s="138"/>
      <c r="CK152" s="138"/>
      <c r="CL152" s="138"/>
      <c r="CM152" s="138"/>
      <c r="CN152" s="138"/>
      <c r="CO152" s="138"/>
      <c r="CP152" s="138"/>
      <c r="CQ152" s="138"/>
      <c r="CR152" s="138"/>
      <c r="CS152" s="138"/>
      <c r="CT152" s="138"/>
      <c r="CU152" s="138"/>
      <c r="CV152" s="138"/>
      <c r="CW152" s="138"/>
      <c r="CX152" s="138"/>
      <c r="CY152" s="138"/>
      <c r="CZ152" s="138"/>
      <c r="DA152" s="138"/>
      <c r="DB152" s="138"/>
      <c r="DC152" s="138"/>
      <c r="DD152" s="138"/>
      <c r="DE152" s="138"/>
      <c r="DF152" s="138"/>
      <c r="DG152" s="138"/>
      <c r="DH152" s="138"/>
      <c r="DI152" s="138"/>
      <c r="DJ152" s="138"/>
      <c r="DK152" s="138"/>
      <c r="DL152" s="138"/>
      <c r="DM152" s="138"/>
      <c r="DN152" s="138"/>
      <c r="DO152" s="138"/>
      <c r="DP152" s="138"/>
      <c r="DQ152" s="138"/>
      <c r="DR152" s="138"/>
      <c r="DS152" s="138"/>
      <c r="DT152" s="138"/>
      <c r="DU152" s="138"/>
      <c r="DV152" s="138"/>
      <c r="DW152" s="138"/>
      <c r="DX152" s="138"/>
      <c r="DY152" s="138"/>
      <c r="DZ152" s="138"/>
      <c r="EA152" s="138"/>
      <c r="EB152" s="138"/>
      <c r="EC152" s="138"/>
      <c r="ED152" s="138"/>
      <c r="EE152" s="138"/>
      <c r="EF152" s="138"/>
      <c r="EG152" s="138"/>
      <c r="EH152" s="138"/>
      <c r="EI152" s="138"/>
      <c r="EJ152" s="138"/>
      <c r="EK152" s="138"/>
      <c r="EL152" s="138"/>
      <c r="EM152" s="138"/>
      <c r="EN152" s="138"/>
      <c r="EO152" s="138"/>
      <c r="EP152" s="138"/>
      <c r="EQ152" s="138"/>
      <c r="ER152" s="138"/>
      <c r="ES152" s="138"/>
      <c r="ET152" s="138"/>
      <c r="EU152" s="138"/>
      <c r="EV152" s="138"/>
      <c r="EW152" s="138"/>
      <c r="EX152" s="138"/>
      <c r="EY152" s="138"/>
      <c r="EZ152" s="138"/>
      <c r="FA152" s="138"/>
      <c r="FB152" s="138"/>
      <c r="FC152" s="138"/>
      <c r="FD152" s="138"/>
      <c r="FE152" s="138"/>
      <c r="FF152" s="138"/>
      <c r="FG152" s="138"/>
      <c r="FH152" s="138"/>
      <c r="FI152" s="138"/>
      <c r="FJ152" s="138"/>
      <c r="FK152" s="138"/>
      <c r="FL152" s="138"/>
      <c r="FM152" s="138"/>
      <c r="FN152" s="138"/>
      <c r="FO152" s="138"/>
      <c r="FP152" s="138"/>
      <c r="FQ152" s="138"/>
      <c r="FR152" s="138"/>
      <c r="FS152" s="138"/>
      <c r="FT152" s="138"/>
      <c r="FU152" s="138"/>
      <c r="FV152" s="138"/>
      <c r="FW152" s="138"/>
      <c r="FX152" s="138"/>
      <c r="FY152" s="138"/>
      <c r="FZ152" s="138"/>
      <c r="GA152" s="138"/>
      <c r="GB152" s="138"/>
      <c r="GC152" s="138"/>
      <c r="GD152" s="138"/>
      <c r="GE152" s="138"/>
      <c r="GF152" s="138"/>
      <c r="GG152" s="138"/>
      <c r="GH152" s="138"/>
      <c r="GI152" s="138"/>
    </row>
    <row r="153" spans="1:191" s="136" customFormat="1" ht="20.25" x14ac:dyDescent="0.2">
      <c r="A153" s="143"/>
      <c r="B153" s="146"/>
      <c r="C153" s="234" t="s">
        <v>281</v>
      </c>
      <c r="D153" s="144" t="s">
        <v>247</v>
      </c>
      <c r="E153" s="150">
        <v>0.75</v>
      </c>
      <c r="F153" s="265">
        <f>ROUND(F148*E153,2)</f>
        <v>0.87</v>
      </c>
      <c r="G153" s="265"/>
      <c r="H153" s="265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  <c r="AV153" s="138"/>
      <c r="AW153" s="138"/>
      <c r="AX153" s="138"/>
      <c r="AY153" s="138"/>
      <c r="AZ153" s="138"/>
      <c r="BA153" s="138"/>
      <c r="BB153" s="138"/>
      <c r="BC153" s="138"/>
      <c r="BD153" s="138"/>
      <c r="BE153" s="138"/>
      <c r="BF153" s="138"/>
      <c r="BG153" s="138"/>
      <c r="BH153" s="138"/>
      <c r="BI153" s="138"/>
      <c r="BJ153" s="138"/>
      <c r="BK153" s="138"/>
      <c r="BL153" s="138"/>
      <c r="BM153" s="138"/>
      <c r="BN153" s="138"/>
      <c r="BO153" s="138"/>
      <c r="BP153" s="138"/>
      <c r="BQ153" s="138"/>
      <c r="BR153" s="138"/>
      <c r="BS153" s="138"/>
      <c r="BT153" s="138"/>
      <c r="BU153" s="138"/>
      <c r="BV153" s="138"/>
      <c r="BW153" s="138"/>
      <c r="BX153" s="138"/>
      <c r="BY153" s="138"/>
      <c r="BZ153" s="138"/>
      <c r="CA153" s="138"/>
      <c r="CB153" s="138"/>
      <c r="CC153" s="138"/>
      <c r="CD153" s="138"/>
      <c r="CE153" s="138"/>
      <c r="CF153" s="138"/>
      <c r="CG153" s="138"/>
      <c r="CH153" s="138"/>
      <c r="CI153" s="138"/>
      <c r="CJ153" s="138"/>
      <c r="CK153" s="138"/>
      <c r="CL153" s="138"/>
      <c r="CM153" s="138"/>
      <c r="CN153" s="138"/>
      <c r="CO153" s="138"/>
      <c r="CP153" s="138"/>
      <c r="CQ153" s="138"/>
      <c r="CR153" s="138"/>
      <c r="CS153" s="138"/>
      <c r="CT153" s="138"/>
      <c r="CU153" s="138"/>
      <c r="CV153" s="138"/>
      <c r="CW153" s="138"/>
      <c r="CX153" s="138"/>
      <c r="CY153" s="138"/>
      <c r="CZ153" s="138"/>
      <c r="DA153" s="138"/>
      <c r="DB153" s="138"/>
      <c r="DC153" s="138"/>
      <c r="DD153" s="138"/>
      <c r="DE153" s="138"/>
      <c r="DF153" s="138"/>
      <c r="DG153" s="138"/>
      <c r="DH153" s="138"/>
      <c r="DI153" s="138"/>
      <c r="DJ153" s="138"/>
      <c r="DK153" s="138"/>
      <c r="DL153" s="138"/>
      <c r="DM153" s="138"/>
      <c r="DN153" s="138"/>
      <c r="DO153" s="138"/>
      <c r="DP153" s="138"/>
      <c r="DQ153" s="138"/>
      <c r="DR153" s="138"/>
      <c r="DS153" s="138"/>
      <c r="DT153" s="138"/>
      <c r="DU153" s="138"/>
      <c r="DV153" s="138"/>
      <c r="DW153" s="138"/>
      <c r="DX153" s="138"/>
      <c r="DY153" s="138"/>
      <c r="DZ153" s="138"/>
      <c r="EA153" s="138"/>
      <c r="EB153" s="138"/>
      <c r="EC153" s="138"/>
      <c r="ED153" s="138"/>
      <c r="EE153" s="138"/>
      <c r="EF153" s="138"/>
      <c r="EG153" s="138"/>
      <c r="EH153" s="138"/>
      <c r="EI153" s="138"/>
      <c r="EJ153" s="138"/>
      <c r="EK153" s="138"/>
      <c r="EL153" s="138"/>
      <c r="EM153" s="138"/>
      <c r="EN153" s="138"/>
      <c r="EO153" s="138"/>
      <c r="EP153" s="138"/>
      <c r="EQ153" s="138"/>
      <c r="ER153" s="138"/>
      <c r="ES153" s="138"/>
      <c r="ET153" s="138"/>
      <c r="EU153" s="138"/>
      <c r="EV153" s="138"/>
      <c r="EW153" s="138"/>
      <c r="EX153" s="138"/>
      <c r="EY153" s="138"/>
      <c r="EZ153" s="138"/>
      <c r="FA153" s="138"/>
      <c r="FB153" s="138"/>
      <c r="FC153" s="138"/>
      <c r="FD153" s="138"/>
      <c r="FE153" s="138"/>
      <c r="FF153" s="138"/>
      <c r="FG153" s="138"/>
      <c r="FH153" s="138"/>
      <c r="FI153" s="138"/>
      <c r="FJ153" s="138"/>
      <c r="FK153" s="138"/>
      <c r="FL153" s="138"/>
      <c r="FM153" s="138"/>
      <c r="FN153" s="138"/>
      <c r="FO153" s="138"/>
      <c r="FP153" s="138"/>
      <c r="FQ153" s="138"/>
      <c r="FR153" s="138"/>
      <c r="FS153" s="138"/>
      <c r="FT153" s="138"/>
      <c r="FU153" s="138"/>
      <c r="FV153" s="138"/>
      <c r="FW153" s="138"/>
      <c r="FX153" s="138"/>
      <c r="FY153" s="138"/>
      <c r="FZ153" s="138"/>
      <c r="GA153" s="138"/>
      <c r="GB153" s="138"/>
      <c r="GC153" s="138"/>
      <c r="GD153" s="138"/>
      <c r="GE153" s="138"/>
      <c r="GF153" s="138"/>
      <c r="GG153" s="138"/>
      <c r="GH153" s="138"/>
      <c r="GI153" s="138"/>
    </row>
    <row r="154" spans="1:191" s="136" customFormat="1" ht="18.75" x14ac:dyDescent="0.25">
      <c r="A154" s="143"/>
      <c r="B154" s="146"/>
      <c r="C154" s="233" t="s">
        <v>55</v>
      </c>
      <c r="D154" s="144" t="s">
        <v>268</v>
      </c>
      <c r="E154" s="150">
        <v>26.5</v>
      </c>
      <c r="F154" s="265">
        <f>ROUND(F148*E154,2)</f>
        <v>30.74</v>
      </c>
      <c r="G154" s="265"/>
      <c r="H154" s="265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139"/>
      <c r="BE154" s="139"/>
      <c r="BF154" s="139"/>
      <c r="BG154" s="139"/>
      <c r="BH154" s="139"/>
      <c r="BI154" s="139"/>
      <c r="BJ154" s="139"/>
      <c r="BK154" s="139"/>
      <c r="BL154" s="139"/>
      <c r="BM154" s="139"/>
      <c r="BN154" s="139"/>
      <c r="BO154" s="139"/>
      <c r="BP154" s="139"/>
      <c r="BQ154" s="139"/>
      <c r="BR154" s="139"/>
      <c r="BS154" s="139"/>
      <c r="BT154" s="139"/>
      <c r="BU154" s="139"/>
      <c r="BV154" s="139"/>
      <c r="BW154" s="139"/>
      <c r="BX154" s="139"/>
      <c r="BY154" s="139"/>
      <c r="BZ154" s="139"/>
      <c r="CA154" s="139"/>
      <c r="CB154" s="139"/>
      <c r="CC154" s="139"/>
      <c r="CD154" s="139"/>
      <c r="CE154" s="139"/>
      <c r="CF154" s="139"/>
      <c r="CG154" s="139"/>
      <c r="CH154" s="139"/>
      <c r="CI154" s="139"/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CU154" s="139"/>
      <c r="CV154" s="139"/>
      <c r="CW154" s="139"/>
      <c r="CX154" s="139"/>
      <c r="CY154" s="139"/>
      <c r="CZ154" s="139"/>
      <c r="DA154" s="139"/>
      <c r="DB154" s="139"/>
      <c r="DC154" s="139"/>
      <c r="DD154" s="139"/>
      <c r="DE154" s="139"/>
      <c r="DF154" s="139"/>
      <c r="DG154" s="139"/>
      <c r="DH154" s="139"/>
      <c r="DI154" s="139"/>
      <c r="DJ154" s="139"/>
      <c r="DK154" s="139"/>
      <c r="DL154" s="139"/>
      <c r="DM154" s="139"/>
      <c r="DN154" s="139"/>
      <c r="DO154" s="139"/>
      <c r="DP154" s="139"/>
      <c r="DQ154" s="139"/>
      <c r="DR154" s="139"/>
      <c r="DS154" s="139"/>
      <c r="DT154" s="139"/>
      <c r="DU154" s="139"/>
      <c r="DV154" s="139"/>
      <c r="DW154" s="139"/>
      <c r="DX154" s="139"/>
      <c r="DY154" s="139"/>
      <c r="DZ154" s="139"/>
      <c r="EA154" s="139"/>
      <c r="EB154" s="139"/>
      <c r="EC154" s="139"/>
      <c r="ED154" s="139"/>
      <c r="EE154" s="139"/>
      <c r="EF154" s="139"/>
      <c r="EG154" s="139"/>
      <c r="EH154" s="139"/>
      <c r="EI154" s="139"/>
      <c r="EJ154" s="139"/>
      <c r="EK154" s="139"/>
      <c r="EL154" s="139"/>
      <c r="EM154" s="139"/>
      <c r="EN154" s="139"/>
      <c r="EO154" s="139"/>
      <c r="EP154" s="139"/>
      <c r="EQ154" s="139"/>
      <c r="ER154" s="139"/>
      <c r="ES154" s="139"/>
      <c r="ET154" s="139"/>
      <c r="EU154" s="139"/>
      <c r="EV154" s="139"/>
      <c r="EW154" s="139"/>
      <c r="EX154" s="139"/>
      <c r="EY154" s="139"/>
      <c r="EZ154" s="139"/>
      <c r="FA154" s="139"/>
      <c r="FB154" s="139"/>
      <c r="FC154" s="139"/>
      <c r="FD154" s="139"/>
      <c r="FE154" s="139"/>
      <c r="FF154" s="139"/>
      <c r="FG154" s="139"/>
      <c r="FH154" s="139"/>
      <c r="FI154" s="139"/>
      <c r="FJ154" s="139"/>
      <c r="FK154" s="139"/>
      <c r="FL154" s="139"/>
      <c r="FM154" s="139"/>
      <c r="FN154" s="139"/>
      <c r="FO154" s="139"/>
      <c r="FP154" s="139"/>
      <c r="FQ154" s="139"/>
      <c r="FR154" s="139"/>
      <c r="FS154" s="139"/>
      <c r="FT154" s="139"/>
      <c r="FU154" s="139"/>
      <c r="FV154" s="139"/>
      <c r="FW154" s="139"/>
      <c r="FX154" s="139"/>
      <c r="FY154" s="139"/>
      <c r="FZ154" s="139"/>
      <c r="GA154" s="139"/>
      <c r="GB154" s="139"/>
      <c r="GC154" s="139"/>
      <c r="GD154" s="139"/>
      <c r="GE154" s="139"/>
      <c r="GF154" s="139"/>
      <c r="GG154" s="139"/>
      <c r="GH154" s="139"/>
      <c r="GI154" s="139"/>
    </row>
    <row r="155" spans="1:191" s="136" customFormat="1" ht="18.75" x14ac:dyDescent="0.2">
      <c r="A155" s="143"/>
      <c r="B155" s="146"/>
      <c r="C155" s="235" t="s">
        <v>291</v>
      </c>
      <c r="D155" s="147"/>
      <c r="E155" s="150"/>
      <c r="F155" s="265"/>
      <c r="G155" s="265"/>
      <c r="H155" s="265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39"/>
      <c r="AL155" s="139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139"/>
      <c r="BH155" s="139"/>
      <c r="BI155" s="139"/>
      <c r="BJ155" s="139"/>
      <c r="BK155" s="139"/>
      <c r="BL155" s="139"/>
      <c r="BM155" s="139"/>
      <c r="BN155" s="139"/>
      <c r="BO155" s="139"/>
      <c r="BP155" s="139"/>
      <c r="BQ155" s="139"/>
      <c r="BR155" s="139"/>
      <c r="BS155" s="139"/>
      <c r="BT155" s="139"/>
      <c r="BU155" s="139"/>
      <c r="BV155" s="139"/>
      <c r="BW155" s="139"/>
      <c r="BX155" s="139"/>
      <c r="BY155" s="139"/>
      <c r="BZ155" s="139"/>
      <c r="CA155" s="139"/>
      <c r="CB155" s="139"/>
      <c r="CC155" s="139"/>
      <c r="CD155" s="139"/>
      <c r="CE155" s="139"/>
      <c r="CF155" s="139"/>
      <c r="CG155" s="139"/>
      <c r="CH155" s="139"/>
      <c r="CI155" s="139"/>
      <c r="CJ155" s="139"/>
      <c r="CK155" s="139"/>
      <c r="CL155" s="139"/>
      <c r="CM155" s="139"/>
      <c r="CN155" s="139"/>
      <c r="CO155" s="139"/>
      <c r="CP155" s="139"/>
      <c r="CQ155" s="139"/>
      <c r="CR155" s="139"/>
      <c r="CS155" s="139"/>
      <c r="CT155" s="139"/>
      <c r="CU155" s="139"/>
      <c r="CV155" s="139"/>
      <c r="CW155" s="139"/>
      <c r="CX155" s="139"/>
      <c r="CY155" s="139"/>
      <c r="CZ155" s="139"/>
      <c r="DA155" s="139"/>
      <c r="DB155" s="139"/>
      <c r="DC155" s="139"/>
      <c r="DD155" s="139"/>
      <c r="DE155" s="139"/>
      <c r="DF155" s="139"/>
      <c r="DG155" s="139"/>
      <c r="DH155" s="139"/>
      <c r="DI155" s="139"/>
      <c r="DJ155" s="139"/>
      <c r="DK155" s="139"/>
      <c r="DL155" s="139"/>
      <c r="DM155" s="139"/>
      <c r="DN155" s="139"/>
      <c r="DO155" s="139"/>
      <c r="DP155" s="139"/>
      <c r="DQ155" s="139"/>
      <c r="DR155" s="139"/>
      <c r="DS155" s="139"/>
      <c r="DT155" s="139"/>
      <c r="DU155" s="139"/>
      <c r="DV155" s="139"/>
      <c r="DW155" s="139"/>
      <c r="DX155" s="139"/>
      <c r="DY155" s="139"/>
      <c r="DZ155" s="139"/>
      <c r="EA155" s="139"/>
      <c r="EB155" s="139"/>
      <c r="EC155" s="139"/>
      <c r="ED155" s="139"/>
      <c r="EE155" s="139"/>
      <c r="EF155" s="139"/>
      <c r="EG155" s="139"/>
      <c r="EH155" s="139"/>
      <c r="EI155" s="139"/>
      <c r="EJ155" s="139"/>
      <c r="EK155" s="139"/>
      <c r="EL155" s="139"/>
      <c r="EM155" s="139"/>
      <c r="EN155" s="139"/>
      <c r="EO155" s="139"/>
      <c r="EP155" s="139"/>
      <c r="EQ155" s="139"/>
      <c r="ER155" s="139"/>
      <c r="ES155" s="139"/>
      <c r="ET155" s="139"/>
      <c r="EU155" s="139"/>
      <c r="EV155" s="139"/>
      <c r="EW155" s="139"/>
      <c r="EX155" s="139"/>
      <c r="EY155" s="139"/>
      <c r="EZ155" s="139"/>
      <c r="FA155" s="139"/>
      <c r="FB155" s="139"/>
      <c r="FC155" s="139"/>
      <c r="FD155" s="139"/>
      <c r="FE155" s="139"/>
      <c r="FF155" s="139"/>
      <c r="FG155" s="139"/>
      <c r="FH155" s="139"/>
      <c r="FI155" s="139"/>
      <c r="FJ155" s="139"/>
      <c r="FK155" s="139"/>
      <c r="FL155" s="139"/>
      <c r="FM155" s="139"/>
      <c r="FN155" s="139"/>
      <c r="FO155" s="139"/>
      <c r="FP155" s="139"/>
      <c r="FQ155" s="139"/>
      <c r="FR155" s="139"/>
      <c r="FS155" s="139"/>
      <c r="FT155" s="139"/>
      <c r="FU155" s="139"/>
      <c r="FV155" s="139"/>
      <c r="FW155" s="139"/>
      <c r="FX155" s="139"/>
      <c r="FY155" s="139"/>
      <c r="FZ155" s="139"/>
      <c r="GA155" s="139"/>
      <c r="GB155" s="139"/>
      <c r="GC155" s="139"/>
      <c r="GD155" s="139"/>
      <c r="GE155" s="139"/>
      <c r="GF155" s="139"/>
      <c r="GG155" s="139"/>
      <c r="GH155" s="139"/>
      <c r="GI155" s="139"/>
    </row>
    <row r="156" spans="1:191" s="37" customFormat="1" ht="19.5" x14ac:dyDescent="0.25">
      <c r="A156" s="42"/>
      <c r="B156" s="56" t="s">
        <v>269</v>
      </c>
      <c r="C156" s="211" t="s">
        <v>292</v>
      </c>
      <c r="D156" s="42" t="s">
        <v>270</v>
      </c>
      <c r="E156" s="148"/>
      <c r="F156" s="266">
        <f>17.4/1000</f>
        <v>1.7399999999999999E-2</v>
      </c>
      <c r="G156" s="266"/>
      <c r="H156" s="266"/>
    </row>
    <row r="157" spans="1:191" s="136" customFormat="1" ht="18.75" x14ac:dyDescent="0.25">
      <c r="A157" s="143"/>
      <c r="B157" s="72"/>
      <c r="C157" s="233" t="s">
        <v>108</v>
      </c>
      <c r="D157" s="69" t="s">
        <v>171</v>
      </c>
      <c r="E157" s="150">
        <v>119</v>
      </c>
      <c r="F157" s="265">
        <f>ROUND(F156*E157,2)</f>
        <v>2.0699999999999998</v>
      </c>
      <c r="G157" s="265"/>
      <c r="H157" s="265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  <c r="AY157" s="138"/>
      <c r="AZ157" s="138"/>
      <c r="BA157" s="138"/>
      <c r="BB157" s="138"/>
      <c r="BC157" s="138"/>
      <c r="BD157" s="138"/>
      <c r="BE157" s="138"/>
      <c r="BF157" s="138"/>
      <c r="BG157" s="138"/>
      <c r="BH157" s="138"/>
      <c r="BI157" s="138"/>
      <c r="BJ157" s="138"/>
      <c r="BK157" s="138"/>
      <c r="BL157" s="138"/>
      <c r="BM157" s="138"/>
      <c r="BN157" s="138"/>
      <c r="BO157" s="138"/>
      <c r="BP157" s="138"/>
      <c r="BQ157" s="138"/>
      <c r="BR157" s="138"/>
      <c r="BS157" s="138"/>
      <c r="BT157" s="138"/>
      <c r="BU157" s="138"/>
      <c r="BV157" s="138"/>
      <c r="BW157" s="138"/>
      <c r="BX157" s="138"/>
      <c r="BY157" s="138"/>
      <c r="BZ157" s="138"/>
      <c r="CA157" s="138"/>
      <c r="CB157" s="138"/>
      <c r="CC157" s="138"/>
      <c r="CD157" s="138"/>
      <c r="CE157" s="138"/>
      <c r="CF157" s="138"/>
      <c r="CG157" s="138"/>
      <c r="CH157" s="138"/>
      <c r="CI157" s="138"/>
      <c r="CJ157" s="138"/>
      <c r="CK157" s="138"/>
      <c r="CL157" s="138"/>
      <c r="CM157" s="138"/>
      <c r="CN157" s="138"/>
      <c r="CO157" s="138"/>
      <c r="CP157" s="138"/>
      <c r="CQ157" s="138"/>
      <c r="CR157" s="138"/>
      <c r="CS157" s="138"/>
      <c r="CT157" s="138"/>
      <c r="CU157" s="138"/>
      <c r="CV157" s="138"/>
      <c r="CW157" s="138"/>
      <c r="CX157" s="138"/>
      <c r="CY157" s="138"/>
      <c r="CZ157" s="138"/>
      <c r="DA157" s="138"/>
      <c r="DB157" s="138"/>
      <c r="DC157" s="138"/>
      <c r="DD157" s="138"/>
      <c r="DE157" s="138"/>
      <c r="DF157" s="138"/>
      <c r="DG157" s="138"/>
      <c r="DH157" s="138"/>
      <c r="DI157" s="138"/>
      <c r="DJ157" s="138"/>
      <c r="DK157" s="138"/>
      <c r="DL157" s="138"/>
      <c r="DM157" s="138"/>
      <c r="DN157" s="138"/>
      <c r="DO157" s="138"/>
      <c r="DP157" s="138"/>
      <c r="DQ157" s="138"/>
      <c r="DR157" s="138"/>
      <c r="DS157" s="138"/>
      <c r="DT157" s="138"/>
      <c r="DU157" s="138"/>
      <c r="DV157" s="138"/>
      <c r="DW157" s="138"/>
      <c r="DX157" s="138"/>
      <c r="DY157" s="138"/>
      <c r="DZ157" s="138"/>
      <c r="EA157" s="138"/>
      <c r="EB157" s="138"/>
      <c r="EC157" s="138"/>
      <c r="ED157" s="138"/>
      <c r="EE157" s="138"/>
      <c r="EF157" s="138"/>
      <c r="EG157" s="138"/>
      <c r="EH157" s="138"/>
      <c r="EI157" s="138"/>
      <c r="EJ157" s="138"/>
      <c r="EK157" s="138"/>
      <c r="EL157" s="138"/>
      <c r="EM157" s="138"/>
      <c r="EN157" s="138"/>
      <c r="EO157" s="138"/>
      <c r="EP157" s="138"/>
      <c r="EQ157" s="138"/>
      <c r="ER157" s="138"/>
      <c r="ES157" s="138"/>
      <c r="ET157" s="138"/>
      <c r="EU157" s="138"/>
      <c r="EV157" s="138"/>
      <c r="EW157" s="138"/>
      <c r="EX157" s="138"/>
      <c r="EY157" s="138"/>
      <c r="EZ157" s="138"/>
      <c r="FA157" s="138"/>
      <c r="FB157" s="138"/>
      <c r="FC157" s="138"/>
      <c r="FD157" s="138"/>
      <c r="FE157" s="138"/>
      <c r="FF157" s="138"/>
      <c r="FG157" s="138"/>
      <c r="FH157" s="138"/>
      <c r="FI157" s="138"/>
      <c r="FJ157" s="138"/>
      <c r="FK157" s="138"/>
      <c r="FL157" s="138"/>
      <c r="FM157" s="138"/>
      <c r="FN157" s="138"/>
      <c r="FO157" s="138"/>
      <c r="FP157" s="138"/>
      <c r="FQ157" s="138"/>
      <c r="FR157" s="138"/>
      <c r="FS157" s="138"/>
      <c r="FT157" s="138"/>
      <c r="FU157" s="138"/>
      <c r="FV157" s="138"/>
      <c r="FW157" s="138"/>
      <c r="FX157" s="138"/>
      <c r="FY157" s="138"/>
      <c r="FZ157" s="138"/>
      <c r="GA157" s="138"/>
      <c r="GB157" s="138"/>
      <c r="GC157" s="138"/>
      <c r="GD157" s="138"/>
      <c r="GE157" s="138"/>
      <c r="GF157" s="138"/>
      <c r="GG157" s="138"/>
      <c r="GH157" s="138"/>
      <c r="GI157" s="138"/>
    </row>
    <row r="158" spans="1:191" s="136" customFormat="1" ht="18.75" x14ac:dyDescent="0.2">
      <c r="A158" s="143"/>
      <c r="B158" s="72"/>
      <c r="C158" s="234" t="s">
        <v>28</v>
      </c>
      <c r="D158" s="69" t="s">
        <v>268</v>
      </c>
      <c r="E158" s="150">
        <v>67.5</v>
      </c>
      <c r="F158" s="265">
        <f>ROUND(F156*E158,2)</f>
        <v>1.17</v>
      </c>
      <c r="G158" s="265"/>
      <c r="H158" s="265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  <c r="AU158" s="138"/>
      <c r="AV158" s="138"/>
      <c r="AW158" s="138"/>
      <c r="AX158" s="138"/>
      <c r="AY158" s="138"/>
      <c r="AZ158" s="138"/>
      <c r="BA158" s="138"/>
      <c r="BB158" s="138"/>
      <c r="BC158" s="138"/>
      <c r="BD158" s="138"/>
      <c r="BE158" s="138"/>
      <c r="BF158" s="138"/>
      <c r="BG158" s="138"/>
      <c r="BH158" s="138"/>
      <c r="BI158" s="138"/>
      <c r="BJ158" s="138"/>
      <c r="BK158" s="138"/>
      <c r="BL158" s="138"/>
      <c r="BM158" s="138"/>
      <c r="BN158" s="138"/>
      <c r="BO158" s="138"/>
      <c r="BP158" s="138"/>
      <c r="BQ158" s="138"/>
      <c r="BR158" s="138"/>
      <c r="BS158" s="138"/>
      <c r="BT158" s="138"/>
      <c r="BU158" s="138"/>
      <c r="BV158" s="138"/>
      <c r="BW158" s="138"/>
      <c r="BX158" s="138"/>
      <c r="BY158" s="138"/>
      <c r="BZ158" s="138"/>
      <c r="CA158" s="138"/>
      <c r="CB158" s="138"/>
      <c r="CC158" s="138"/>
      <c r="CD158" s="138"/>
      <c r="CE158" s="138"/>
      <c r="CF158" s="138"/>
      <c r="CG158" s="138"/>
      <c r="CH158" s="138"/>
      <c r="CI158" s="138"/>
      <c r="CJ158" s="138"/>
      <c r="CK158" s="138"/>
      <c r="CL158" s="138"/>
      <c r="CM158" s="138"/>
      <c r="CN158" s="138"/>
      <c r="CO158" s="138"/>
      <c r="CP158" s="138"/>
      <c r="CQ158" s="138"/>
      <c r="CR158" s="138"/>
      <c r="CS158" s="138"/>
      <c r="CT158" s="138"/>
      <c r="CU158" s="138"/>
      <c r="CV158" s="138"/>
      <c r="CW158" s="138"/>
      <c r="CX158" s="138"/>
      <c r="CY158" s="138"/>
      <c r="CZ158" s="138"/>
      <c r="DA158" s="138"/>
      <c r="DB158" s="138"/>
      <c r="DC158" s="138"/>
      <c r="DD158" s="138"/>
      <c r="DE158" s="138"/>
      <c r="DF158" s="138"/>
      <c r="DG158" s="138"/>
      <c r="DH158" s="138"/>
      <c r="DI158" s="138"/>
      <c r="DJ158" s="138"/>
      <c r="DK158" s="138"/>
      <c r="DL158" s="138"/>
      <c r="DM158" s="138"/>
      <c r="DN158" s="138"/>
      <c r="DO158" s="138"/>
      <c r="DP158" s="138"/>
      <c r="DQ158" s="138"/>
      <c r="DR158" s="138"/>
      <c r="DS158" s="138"/>
      <c r="DT158" s="138"/>
      <c r="DU158" s="138"/>
      <c r="DV158" s="138"/>
      <c r="DW158" s="138"/>
      <c r="DX158" s="138"/>
      <c r="DY158" s="138"/>
      <c r="DZ158" s="138"/>
      <c r="EA158" s="138"/>
      <c r="EB158" s="138"/>
      <c r="EC158" s="138"/>
      <c r="ED158" s="138"/>
      <c r="EE158" s="138"/>
      <c r="EF158" s="138"/>
      <c r="EG158" s="138"/>
      <c r="EH158" s="138"/>
      <c r="EI158" s="138"/>
      <c r="EJ158" s="138"/>
      <c r="EK158" s="138"/>
      <c r="EL158" s="138"/>
      <c r="EM158" s="138"/>
      <c r="EN158" s="138"/>
      <c r="EO158" s="138"/>
      <c r="EP158" s="138"/>
      <c r="EQ158" s="138"/>
      <c r="ER158" s="138"/>
      <c r="ES158" s="138"/>
      <c r="ET158" s="138"/>
      <c r="EU158" s="138"/>
      <c r="EV158" s="138"/>
      <c r="EW158" s="138"/>
      <c r="EX158" s="138"/>
      <c r="EY158" s="138"/>
      <c r="EZ158" s="138"/>
      <c r="FA158" s="138"/>
      <c r="FB158" s="138"/>
      <c r="FC158" s="138"/>
      <c r="FD158" s="138"/>
      <c r="FE158" s="138"/>
      <c r="FF158" s="138"/>
      <c r="FG158" s="138"/>
      <c r="FH158" s="138"/>
      <c r="FI158" s="138"/>
      <c r="FJ158" s="138"/>
      <c r="FK158" s="138"/>
      <c r="FL158" s="138"/>
      <c r="FM158" s="138"/>
      <c r="FN158" s="138"/>
      <c r="FO158" s="138"/>
      <c r="FP158" s="138"/>
      <c r="FQ158" s="138"/>
      <c r="FR158" s="138"/>
      <c r="FS158" s="138"/>
      <c r="FT158" s="138"/>
      <c r="FU158" s="138"/>
      <c r="FV158" s="138"/>
      <c r="FW158" s="138"/>
      <c r="FX158" s="138"/>
      <c r="FY158" s="138"/>
      <c r="FZ158" s="138"/>
      <c r="GA158" s="138"/>
      <c r="GB158" s="138"/>
      <c r="GC158" s="138"/>
      <c r="GD158" s="138"/>
      <c r="GE158" s="138"/>
      <c r="GF158" s="138"/>
      <c r="GG158" s="138"/>
      <c r="GH158" s="138"/>
      <c r="GI158" s="138"/>
    </row>
    <row r="159" spans="1:191" s="136" customFormat="1" ht="18.75" x14ac:dyDescent="0.25">
      <c r="A159" s="143"/>
      <c r="B159" s="146"/>
      <c r="C159" s="233" t="s">
        <v>293</v>
      </c>
      <c r="D159" s="144" t="s">
        <v>271</v>
      </c>
      <c r="E159" s="150">
        <v>1010</v>
      </c>
      <c r="F159" s="265">
        <f>ROUND(F156*E159,2)</f>
        <v>17.57</v>
      </c>
      <c r="G159" s="265"/>
      <c r="H159" s="265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39"/>
      <c r="BW159" s="139"/>
      <c r="BX159" s="139"/>
      <c r="BY159" s="139"/>
      <c r="BZ159" s="139"/>
      <c r="CA159" s="139"/>
      <c r="CB159" s="139"/>
      <c r="CC159" s="139"/>
      <c r="CD159" s="139"/>
      <c r="CE159" s="139"/>
      <c r="CF159" s="139"/>
      <c r="CG159" s="139"/>
      <c r="CH159" s="139"/>
      <c r="CI159" s="139"/>
      <c r="CJ159" s="139"/>
      <c r="CK159" s="139"/>
      <c r="CL159" s="139"/>
      <c r="CM159" s="139"/>
      <c r="CN159" s="139"/>
      <c r="CO159" s="139"/>
      <c r="CP159" s="139"/>
      <c r="CQ159" s="139"/>
      <c r="CR159" s="139"/>
      <c r="CS159" s="139"/>
      <c r="CT159" s="139"/>
      <c r="CU159" s="139"/>
      <c r="CV159" s="139"/>
      <c r="CW159" s="139"/>
      <c r="CX159" s="139"/>
      <c r="CY159" s="139"/>
      <c r="CZ159" s="139"/>
      <c r="DA159" s="139"/>
      <c r="DB159" s="139"/>
      <c r="DC159" s="139"/>
      <c r="DD159" s="139"/>
      <c r="DE159" s="139"/>
      <c r="DF159" s="139"/>
      <c r="DG159" s="139"/>
      <c r="DH159" s="139"/>
      <c r="DI159" s="139"/>
      <c r="DJ159" s="139"/>
      <c r="DK159" s="139"/>
      <c r="DL159" s="139"/>
      <c r="DM159" s="139"/>
      <c r="DN159" s="139"/>
      <c r="DO159" s="139"/>
      <c r="DP159" s="139"/>
      <c r="DQ159" s="139"/>
      <c r="DR159" s="139"/>
      <c r="DS159" s="139"/>
      <c r="DT159" s="139"/>
      <c r="DU159" s="139"/>
      <c r="DV159" s="139"/>
      <c r="DW159" s="139"/>
      <c r="DX159" s="139"/>
      <c r="DY159" s="139"/>
      <c r="DZ159" s="139"/>
      <c r="EA159" s="139"/>
      <c r="EB159" s="139"/>
      <c r="EC159" s="139"/>
      <c r="ED159" s="139"/>
      <c r="EE159" s="139"/>
      <c r="EF159" s="139"/>
      <c r="EG159" s="139"/>
      <c r="EH159" s="139"/>
      <c r="EI159" s="139"/>
      <c r="EJ159" s="139"/>
      <c r="EK159" s="139"/>
      <c r="EL159" s="139"/>
      <c r="EM159" s="139"/>
      <c r="EN159" s="139"/>
      <c r="EO159" s="139"/>
      <c r="EP159" s="139"/>
      <c r="EQ159" s="139"/>
      <c r="ER159" s="139"/>
      <c r="ES159" s="139"/>
      <c r="ET159" s="139"/>
      <c r="EU159" s="139"/>
      <c r="EV159" s="139"/>
      <c r="EW159" s="139"/>
      <c r="EX159" s="139"/>
      <c r="EY159" s="139"/>
      <c r="EZ159" s="139"/>
      <c r="FA159" s="139"/>
      <c r="FB159" s="139"/>
      <c r="FC159" s="139"/>
      <c r="FD159" s="139"/>
      <c r="FE159" s="139"/>
      <c r="FF159" s="139"/>
      <c r="FG159" s="139"/>
      <c r="FH159" s="139"/>
      <c r="FI159" s="139"/>
      <c r="FJ159" s="139"/>
      <c r="FK159" s="139"/>
      <c r="FL159" s="139"/>
      <c r="FM159" s="139"/>
      <c r="FN159" s="139"/>
      <c r="FO159" s="139"/>
      <c r="FP159" s="139"/>
      <c r="FQ159" s="139"/>
      <c r="FR159" s="139"/>
      <c r="FS159" s="139"/>
      <c r="FT159" s="139"/>
      <c r="FU159" s="139"/>
      <c r="FV159" s="139"/>
      <c r="FW159" s="139"/>
      <c r="FX159" s="139"/>
      <c r="FY159" s="139"/>
      <c r="FZ159" s="139"/>
      <c r="GA159" s="139"/>
      <c r="GB159" s="139"/>
      <c r="GC159" s="139"/>
      <c r="GD159" s="139"/>
      <c r="GE159" s="139"/>
      <c r="GF159" s="139"/>
      <c r="GG159" s="139"/>
      <c r="GH159" s="139"/>
      <c r="GI159" s="139"/>
    </row>
    <row r="160" spans="1:191" s="136" customFormat="1" ht="18.75" x14ac:dyDescent="0.25">
      <c r="A160" s="143"/>
      <c r="B160" s="146"/>
      <c r="C160" s="233" t="s">
        <v>55</v>
      </c>
      <c r="D160" s="144" t="s">
        <v>268</v>
      </c>
      <c r="E160" s="150">
        <v>2.16</v>
      </c>
      <c r="F160" s="265">
        <f>ROUND(F156*E160,2)</f>
        <v>0.04</v>
      </c>
      <c r="G160" s="265"/>
      <c r="H160" s="265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/>
      <c r="AG160" s="139"/>
      <c r="AH160" s="139"/>
      <c r="AI160" s="139"/>
      <c r="AJ160" s="139"/>
      <c r="AK160" s="139"/>
      <c r="AL160" s="139"/>
      <c r="AM160" s="139"/>
      <c r="AN160" s="139"/>
      <c r="AO160" s="139"/>
      <c r="AP160" s="139"/>
      <c r="AQ160" s="139"/>
      <c r="AR160" s="139"/>
      <c r="AS160" s="139"/>
      <c r="AT160" s="139"/>
      <c r="AU160" s="139"/>
      <c r="AV160" s="139"/>
      <c r="AW160" s="139"/>
      <c r="AX160" s="139"/>
      <c r="AY160" s="139"/>
      <c r="AZ160" s="139"/>
      <c r="BA160" s="139"/>
      <c r="BB160" s="139"/>
      <c r="BC160" s="139"/>
      <c r="BD160" s="139"/>
      <c r="BE160" s="139"/>
      <c r="BF160" s="139"/>
      <c r="BG160" s="139"/>
      <c r="BH160" s="139"/>
      <c r="BI160" s="139"/>
      <c r="BJ160" s="139"/>
      <c r="BK160" s="139"/>
      <c r="BL160" s="139"/>
      <c r="BM160" s="139"/>
      <c r="BN160" s="139"/>
      <c r="BO160" s="139"/>
      <c r="BP160" s="139"/>
      <c r="BQ160" s="139"/>
      <c r="BR160" s="139"/>
      <c r="BS160" s="139"/>
      <c r="BT160" s="139"/>
      <c r="BU160" s="139"/>
      <c r="BV160" s="139"/>
      <c r="BW160" s="139"/>
      <c r="BX160" s="139"/>
      <c r="BY160" s="139"/>
      <c r="BZ160" s="139"/>
      <c r="CA160" s="139"/>
      <c r="CB160" s="139"/>
      <c r="CC160" s="139"/>
      <c r="CD160" s="139"/>
      <c r="CE160" s="139"/>
      <c r="CF160" s="139"/>
      <c r="CG160" s="139"/>
      <c r="CH160" s="139"/>
      <c r="CI160" s="139"/>
      <c r="CJ160" s="139"/>
      <c r="CK160" s="139"/>
      <c r="CL160" s="139"/>
      <c r="CM160" s="139"/>
      <c r="CN160" s="139"/>
      <c r="CO160" s="139"/>
      <c r="CP160" s="139"/>
      <c r="CQ160" s="139"/>
      <c r="CR160" s="139"/>
      <c r="CS160" s="139"/>
      <c r="CT160" s="139"/>
      <c r="CU160" s="139"/>
      <c r="CV160" s="139"/>
      <c r="CW160" s="139"/>
      <c r="CX160" s="139"/>
      <c r="CY160" s="139"/>
      <c r="CZ160" s="139"/>
      <c r="DA160" s="139"/>
      <c r="DB160" s="139"/>
      <c r="DC160" s="139"/>
      <c r="DD160" s="139"/>
      <c r="DE160" s="139"/>
      <c r="DF160" s="139"/>
      <c r="DG160" s="139"/>
      <c r="DH160" s="139"/>
      <c r="DI160" s="139"/>
      <c r="DJ160" s="139"/>
      <c r="DK160" s="139"/>
      <c r="DL160" s="139"/>
      <c r="DM160" s="139"/>
      <c r="DN160" s="139"/>
      <c r="DO160" s="139"/>
      <c r="DP160" s="139"/>
      <c r="DQ160" s="139"/>
      <c r="DR160" s="139"/>
      <c r="DS160" s="139"/>
      <c r="DT160" s="139"/>
      <c r="DU160" s="139"/>
      <c r="DV160" s="139"/>
      <c r="DW160" s="139"/>
      <c r="DX160" s="139"/>
      <c r="DY160" s="139"/>
      <c r="DZ160" s="139"/>
      <c r="EA160" s="139"/>
      <c r="EB160" s="139"/>
      <c r="EC160" s="139"/>
      <c r="ED160" s="139"/>
      <c r="EE160" s="139"/>
      <c r="EF160" s="139"/>
      <c r="EG160" s="139"/>
      <c r="EH160" s="139"/>
      <c r="EI160" s="139"/>
      <c r="EJ160" s="139"/>
      <c r="EK160" s="139"/>
      <c r="EL160" s="139"/>
      <c r="EM160" s="139"/>
      <c r="EN160" s="139"/>
      <c r="EO160" s="139"/>
      <c r="EP160" s="139"/>
      <c r="EQ160" s="139"/>
      <c r="ER160" s="139"/>
      <c r="ES160" s="139"/>
      <c r="ET160" s="139"/>
      <c r="EU160" s="139"/>
      <c r="EV160" s="139"/>
      <c r="EW160" s="139"/>
      <c r="EX160" s="139"/>
      <c r="EY160" s="139"/>
      <c r="EZ160" s="139"/>
      <c r="FA160" s="139"/>
      <c r="FB160" s="139"/>
      <c r="FC160" s="139"/>
      <c r="FD160" s="139"/>
      <c r="FE160" s="139"/>
      <c r="FF160" s="139"/>
      <c r="FG160" s="139"/>
      <c r="FH160" s="139"/>
      <c r="FI160" s="139"/>
      <c r="FJ160" s="139"/>
      <c r="FK160" s="139"/>
      <c r="FL160" s="139"/>
      <c r="FM160" s="139"/>
      <c r="FN160" s="139"/>
      <c r="FO160" s="139"/>
      <c r="FP160" s="139"/>
      <c r="FQ160" s="139"/>
      <c r="FR160" s="139"/>
      <c r="FS160" s="139"/>
      <c r="FT160" s="139"/>
      <c r="FU160" s="139"/>
      <c r="FV160" s="139"/>
      <c r="FW160" s="139"/>
      <c r="FX160" s="139"/>
      <c r="FY160" s="139"/>
      <c r="FZ160" s="139"/>
      <c r="GA160" s="139"/>
      <c r="GB160" s="139"/>
      <c r="GC160" s="139"/>
      <c r="GD160" s="139"/>
      <c r="GE160" s="139"/>
      <c r="GF160" s="139"/>
      <c r="GG160" s="139"/>
      <c r="GH160" s="139"/>
      <c r="GI160" s="139"/>
    </row>
    <row r="161" spans="1:191" s="37" customFormat="1" ht="19.5" x14ac:dyDescent="0.25">
      <c r="A161" s="42"/>
      <c r="B161" s="56" t="s">
        <v>272</v>
      </c>
      <c r="C161" s="211" t="s">
        <v>294</v>
      </c>
      <c r="D161" s="42" t="s">
        <v>273</v>
      </c>
      <c r="E161" s="148"/>
      <c r="F161" s="266">
        <v>9.3000000000000007</v>
      </c>
      <c r="G161" s="266"/>
      <c r="H161" s="266"/>
    </row>
    <row r="162" spans="1:191" s="136" customFormat="1" ht="18.75" x14ac:dyDescent="0.25">
      <c r="A162" s="143"/>
      <c r="B162" s="72"/>
      <c r="C162" s="233" t="s">
        <v>108</v>
      </c>
      <c r="D162" s="69" t="s">
        <v>171</v>
      </c>
      <c r="E162" s="150">
        <v>6.5</v>
      </c>
      <c r="F162" s="265">
        <f>ROUND(F161*E162,2)</f>
        <v>60.45</v>
      </c>
      <c r="G162" s="265"/>
      <c r="H162" s="265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138"/>
      <c r="AT162" s="138"/>
      <c r="AU162" s="138"/>
      <c r="AV162" s="138"/>
      <c r="AW162" s="138"/>
      <c r="AX162" s="138"/>
      <c r="AY162" s="138"/>
      <c r="AZ162" s="138"/>
      <c r="BA162" s="138"/>
      <c r="BB162" s="138"/>
      <c r="BC162" s="138"/>
      <c r="BD162" s="138"/>
      <c r="BE162" s="138"/>
      <c r="BF162" s="138"/>
      <c r="BG162" s="138"/>
      <c r="BH162" s="138"/>
      <c r="BI162" s="138"/>
      <c r="BJ162" s="138"/>
      <c r="BK162" s="138"/>
      <c r="BL162" s="138"/>
      <c r="BM162" s="138"/>
      <c r="BN162" s="138"/>
      <c r="BO162" s="138"/>
      <c r="BP162" s="138"/>
      <c r="BQ162" s="138"/>
      <c r="BR162" s="138"/>
      <c r="BS162" s="138"/>
      <c r="BT162" s="138"/>
      <c r="BU162" s="138"/>
      <c r="BV162" s="138"/>
      <c r="BW162" s="138"/>
      <c r="BX162" s="138"/>
      <c r="BY162" s="138"/>
      <c r="BZ162" s="138"/>
      <c r="CA162" s="138"/>
      <c r="CB162" s="138"/>
      <c r="CC162" s="138"/>
      <c r="CD162" s="138"/>
      <c r="CE162" s="138"/>
      <c r="CF162" s="138"/>
      <c r="CG162" s="138"/>
      <c r="CH162" s="138"/>
      <c r="CI162" s="138"/>
      <c r="CJ162" s="138"/>
      <c r="CK162" s="138"/>
      <c r="CL162" s="138"/>
      <c r="CM162" s="138"/>
      <c r="CN162" s="138"/>
      <c r="CO162" s="138"/>
      <c r="CP162" s="138"/>
      <c r="CQ162" s="138"/>
      <c r="CR162" s="138"/>
      <c r="CS162" s="138"/>
      <c r="CT162" s="138"/>
      <c r="CU162" s="138"/>
      <c r="CV162" s="138"/>
      <c r="CW162" s="138"/>
      <c r="CX162" s="138"/>
      <c r="CY162" s="138"/>
      <c r="CZ162" s="138"/>
      <c r="DA162" s="138"/>
      <c r="DB162" s="138"/>
      <c r="DC162" s="138"/>
      <c r="DD162" s="138"/>
      <c r="DE162" s="138"/>
      <c r="DF162" s="138"/>
      <c r="DG162" s="138"/>
      <c r="DH162" s="138"/>
      <c r="DI162" s="138"/>
      <c r="DJ162" s="138"/>
      <c r="DK162" s="138"/>
      <c r="DL162" s="138"/>
      <c r="DM162" s="138"/>
      <c r="DN162" s="138"/>
      <c r="DO162" s="138"/>
      <c r="DP162" s="138"/>
      <c r="DQ162" s="138"/>
      <c r="DR162" s="138"/>
      <c r="DS162" s="138"/>
      <c r="DT162" s="138"/>
      <c r="DU162" s="138"/>
      <c r="DV162" s="138"/>
      <c r="DW162" s="138"/>
      <c r="DX162" s="138"/>
      <c r="DY162" s="138"/>
      <c r="DZ162" s="138"/>
      <c r="EA162" s="138"/>
      <c r="EB162" s="138"/>
      <c r="EC162" s="138"/>
      <c r="ED162" s="138"/>
      <c r="EE162" s="138"/>
      <c r="EF162" s="138"/>
      <c r="EG162" s="138"/>
      <c r="EH162" s="138"/>
      <c r="EI162" s="138"/>
      <c r="EJ162" s="138"/>
      <c r="EK162" s="138"/>
      <c r="EL162" s="138"/>
      <c r="EM162" s="138"/>
      <c r="EN162" s="138"/>
      <c r="EO162" s="138"/>
      <c r="EP162" s="138"/>
      <c r="EQ162" s="138"/>
      <c r="ER162" s="138"/>
      <c r="ES162" s="138"/>
      <c r="ET162" s="138"/>
      <c r="EU162" s="138"/>
      <c r="EV162" s="138"/>
      <c r="EW162" s="138"/>
      <c r="EX162" s="138"/>
      <c r="EY162" s="138"/>
      <c r="EZ162" s="138"/>
      <c r="FA162" s="138"/>
      <c r="FB162" s="138"/>
      <c r="FC162" s="138"/>
      <c r="FD162" s="138"/>
      <c r="FE162" s="138"/>
      <c r="FF162" s="138"/>
      <c r="FG162" s="138"/>
      <c r="FH162" s="138"/>
      <c r="FI162" s="138"/>
      <c r="FJ162" s="138"/>
      <c r="FK162" s="138"/>
      <c r="FL162" s="138"/>
      <c r="FM162" s="138"/>
      <c r="FN162" s="138"/>
      <c r="FO162" s="138"/>
      <c r="FP162" s="138"/>
      <c r="FQ162" s="138"/>
      <c r="FR162" s="138"/>
      <c r="FS162" s="138"/>
      <c r="FT162" s="138"/>
      <c r="FU162" s="138"/>
      <c r="FV162" s="138"/>
      <c r="FW162" s="138"/>
      <c r="FX162" s="138"/>
      <c r="FY162" s="138"/>
      <c r="FZ162" s="138"/>
      <c r="GA162" s="138"/>
      <c r="GB162" s="138"/>
      <c r="GC162" s="138"/>
      <c r="GD162" s="138"/>
      <c r="GE162" s="138"/>
      <c r="GF162" s="138"/>
      <c r="GG162" s="138"/>
      <c r="GH162" s="138"/>
      <c r="GI162" s="138"/>
    </row>
    <row r="163" spans="1:191" s="136" customFormat="1" ht="18.75" x14ac:dyDescent="0.25">
      <c r="A163" s="143"/>
      <c r="B163" s="72"/>
      <c r="C163" s="233" t="s">
        <v>28</v>
      </c>
      <c r="D163" s="69" t="s">
        <v>268</v>
      </c>
      <c r="E163" s="150">
        <v>2.16</v>
      </c>
      <c r="F163" s="265">
        <f>ROUND(F161*E163,2)</f>
        <v>20.09</v>
      </c>
      <c r="G163" s="265"/>
      <c r="H163" s="265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138"/>
      <c r="AT163" s="138"/>
      <c r="AU163" s="138"/>
      <c r="AV163" s="138"/>
      <c r="AW163" s="138"/>
      <c r="AX163" s="138"/>
      <c r="AY163" s="138"/>
      <c r="AZ163" s="138"/>
      <c r="BA163" s="138"/>
      <c r="BB163" s="138"/>
      <c r="BC163" s="138"/>
      <c r="BD163" s="138"/>
      <c r="BE163" s="138"/>
      <c r="BF163" s="138"/>
      <c r="BG163" s="138"/>
      <c r="BH163" s="138"/>
      <c r="BI163" s="138"/>
      <c r="BJ163" s="138"/>
      <c r="BK163" s="138"/>
      <c r="BL163" s="138"/>
      <c r="BM163" s="138"/>
      <c r="BN163" s="138"/>
      <c r="BO163" s="138"/>
      <c r="BP163" s="138"/>
      <c r="BQ163" s="138"/>
      <c r="BR163" s="138"/>
      <c r="BS163" s="138"/>
      <c r="BT163" s="138"/>
      <c r="BU163" s="138"/>
      <c r="BV163" s="138"/>
      <c r="BW163" s="138"/>
      <c r="BX163" s="138"/>
      <c r="BY163" s="138"/>
      <c r="BZ163" s="138"/>
      <c r="CA163" s="138"/>
      <c r="CB163" s="138"/>
      <c r="CC163" s="138"/>
      <c r="CD163" s="138"/>
      <c r="CE163" s="138"/>
      <c r="CF163" s="138"/>
      <c r="CG163" s="138"/>
      <c r="CH163" s="138"/>
      <c r="CI163" s="138"/>
      <c r="CJ163" s="138"/>
      <c r="CK163" s="138"/>
      <c r="CL163" s="138"/>
      <c r="CM163" s="138"/>
      <c r="CN163" s="138"/>
      <c r="CO163" s="138"/>
      <c r="CP163" s="138"/>
      <c r="CQ163" s="138"/>
      <c r="CR163" s="138"/>
      <c r="CS163" s="138"/>
      <c r="CT163" s="138"/>
      <c r="CU163" s="138"/>
      <c r="CV163" s="138"/>
      <c r="CW163" s="138"/>
      <c r="CX163" s="138"/>
      <c r="CY163" s="138"/>
      <c r="CZ163" s="138"/>
      <c r="DA163" s="138"/>
      <c r="DB163" s="138"/>
      <c r="DC163" s="138"/>
      <c r="DD163" s="138"/>
      <c r="DE163" s="138"/>
      <c r="DF163" s="138"/>
      <c r="DG163" s="138"/>
      <c r="DH163" s="138"/>
      <c r="DI163" s="138"/>
      <c r="DJ163" s="138"/>
      <c r="DK163" s="138"/>
      <c r="DL163" s="138"/>
      <c r="DM163" s="138"/>
      <c r="DN163" s="138"/>
      <c r="DO163" s="138"/>
      <c r="DP163" s="138"/>
      <c r="DQ163" s="138"/>
      <c r="DR163" s="138"/>
      <c r="DS163" s="138"/>
      <c r="DT163" s="138"/>
      <c r="DU163" s="138"/>
      <c r="DV163" s="138"/>
      <c r="DW163" s="138"/>
      <c r="DX163" s="138"/>
      <c r="DY163" s="138"/>
      <c r="DZ163" s="138"/>
      <c r="EA163" s="138"/>
      <c r="EB163" s="138"/>
      <c r="EC163" s="138"/>
      <c r="ED163" s="138"/>
      <c r="EE163" s="138"/>
      <c r="EF163" s="138"/>
      <c r="EG163" s="138"/>
      <c r="EH163" s="138"/>
      <c r="EI163" s="138"/>
      <c r="EJ163" s="138"/>
      <c r="EK163" s="138"/>
      <c r="EL163" s="138"/>
      <c r="EM163" s="138"/>
      <c r="EN163" s="138"/>
      <c r="EO163" s="138"/>
      <c r="EP163" s="138"/>
      <c r="EQ163" s="138"/>
      <c r="ER163" s="138"/>
      <c r="ES163" s="138"/>
      <c r="ET163" s="138"/>
      <c r="EU163" s="138"/>
      <c r="EV163" s="138"/>
      <c r="EW163" s="138"/>
      <c r="EX163" s="138"/>
      <c r="EY163" s="138"/>
      <c r="EZ163" s="138"/>
      <c r="FA163" s="138"/>
      <c r="FB163" s="138"/>
      <c r="FC163" s="138"/>
      <c r="FD163" s="138"/>
      <c r="FE163" s="138"/>
      <c r="FF163" s="138"/>
      <c r="FG163" s="138"/>
      <c r="FH163" s="138"/>
      <c r="FI163" s="138"/>
      <c r="FJ163" s="138"/>
      <c r="FK163" s="138"/>
      <c r="FL163" s="138"/>
      <c r="FM163" s="138"/>
      <c r="FN163" s="138"/>
      <c r="FO163" s="138"/>
      <c r="FP163" s="138"/>
      <c r="FQ163" s="138"/>
      <c r="FR163" s="138"/>
      <c r="FS163" s="138"/>
      <c r="FT163" s="138"/>
      <c r="FU163" s="138"/>
      <c r="FV163" s="138"/>
      <c r="FW163" s="138"/>
      <c r="FX163" s="138"/>
      <c r="FY163" s="138"/>
      <c r="FZ163" s="138"/>
      <c r="GA163" s="138"/>
      <c r="GB163" s="138"/>
      <c r="GC163" s="138"/>
      <c r="GD163" s="138"/>
      <c r="GE163" s="138"/>
      <c r="GF163" s="138"/>
      <c r="GG163" s="138"/>
      <c r="GH163" s="138"/>
      <c r="GI163" s="138"/>
    </row>
    <row r="164" spans="1:191" s="136" customFormat="1" ht="18.75" x14ac:dyDescent="0.25">
      <c r="A164" s="143"/>
      <c r="B164" s="146"/>
      <c r="C164" s="233" t="s">
        <v>295</v>
      </c>
      <c r="D164" s="144" t="s">
        <v>273</v>
      </c>
      <c r="E164" s="150">
        <v>1.1499999999999999</v>
      </c>
      <c r="F164" s="265">
        <f>ROUND(F161*E164,2)</f>
        <v>10.7</v>
      </c>
      <c r="G164" s="265"/>
      <c r="H164" s="265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139"/>
      <c r="BH164" s="139"/>
      <c r="BI164" s="139"/>
      <c r="BJ164" s="139"/>
      <c r="BK164" s="139"/>
      <c r="BL164" s="139"/>
      <c r="BM164" s="139"/>
      <c r="BN164" s="139"/>
      <c r="BO164" s="139"/>
      <c r="BP164" s="139"/>
      <c r="BQ164" s="139"/>
      <c r="BR164" s="139"/>
      <c r="BS164" s="139"/>
      <c r="BT164" s="139"/>
      <c r="BU164" s="139"/>
      <c r="BV164" s="139"/>
      <c r="BW164" s="139"/>
      <c r="BX164" s="139"/>
      <c r="BY164" s="139"/>
      <c r="BZ164" s="139"/>
      <c r="CA164" s="139"/>
      <c r="CB164" s="139"/>
      <c r="CC164" s="139"/>
      <c r="CD164" s="139"/>
      <c r="CE164" s="139"/>
      <c r="CF164" s="139"/>
      <c r="CG164" s="139"/>
      <c r="CH164" s="139"/>
      <c r="CI164" s="139"/>
      <c r="CJ164" s="139"/>
      <c r="CK164" s="139"/>
      <c r="CL164" s="139"/>
      <c r="CM164" s="139"/>
      <c r="CN164" s="139"/>
      <c r="CO164" s="139"/>
      <c r="CP164" s="139"/>
      <c r="CQ164" s="139"/>
      <c r="CR164" s="139"/>
      <c r="CS164" s="139"/>
      <c r="CT164" s="139"/>
      <c r="CU164" s="139"/>
      <c r="CV164" s="139"/>
      <c r="CW164" s="139"/>
      <c r="CX164" s="139"/>
      <c r="CY164" s="139"/>
      <c r="CZ164" s="139"/>
      <c r="DA164" s="139"/>
      <c r="DB164" s="139"/>
      <c r="DC164" s="139"/>
      <c r="DD164" s="139"/>
      <c r="DE164" s="139"/>
      <c r="DF164" s="139"/>
      <c r="DG164" s="139"/>
      <c r="DH164" s="139"/>
      <c r="DI164" s="139"/>
      <c r="DJ164" s="139"/>
      <c r="DK164" s="139"/>
      <c r="DL164" s="139"/>
      <c r="DM164" s="139"/>
      <c r="DN164" s="139"/>
      <c r="DO164" s="139"/>
      <c r="DP164" s="139"/>
      <c r="DQ164" s="139"/>
      <c r="DR164" s="139"/>
      <c r="DS164" s="139"/>
      <c r="DT164" s="139"/>
      <c r="DU164" s="139"/>
      <c r="DV164" s="139"/>
      <c r="DW164" s="139"/>
      <c r="DX164" s="139"/>
      <c r="DY164" s="139"/>
      <c r="DZ164" s="139"/>
      <c r="EA164" s="139"/>
      <c r="EB164" s="139"/>
      <c r="EC164" s="139"/>
      <c r="ED164" s="139"/>
      <c r="EE164" s="139"/>
      <c r="EF164" s="139"/>
      <c r="EG164" s="139"/>
      <c r="EH164" s="139"/>
      <c r="EI164" s="139"/>
      <c r="EJ164" s="139"/>
      <c r="EK164" s="139"/>
      <c r="EL164" s="139"/>
      <c r="EM164" s="139"/>
      <c r="EN164" s="139"/>
      <c r="EO164" s="139"/>
      <c r="EP164" s="139"/>
      <c r="EQ164" s="139"/>
      <c r="ER164" s="139"/>
      <c r="ES164" s="139"/>
      <c r="ET164" s="139"/>
      <c r="EU164" s="139"/>
      <c r="EV164" s="139"/>
      <c r="EW164" s="139"/>
      <c r="EX164" s="139"/>
      <c r="EY164" s="139"/>
      <c r="EZ164" s="139"/>
      <c r="FA164" s="139"/>
      <c r="FB164" s="139"/>
      <c r="FC164" s="139"/>
      <c r="FD164" s="139"/>
      <c r="FE164" s="139"/>
      <c r="FF164" s="139"/>
      <c r="FG164" s="139"/>
      <c r="FH164" s="139"/>
      <c r="FI164" s="139"/>
      <c r="FJ164" s="139"/>
      <c r="FK164" s="139"/>
      <c r="FL164" s="139"/>
      <c r="FM164" s="139"/>
      <c r="FN164" s="139"/>
      <c r="FO164" s="139"/>
      <c r="FP164" s="139"/>
      <c r="FQ164" s="139"/>
      <c r="FR164" s="139"/>
      <c r="FS164" s="139"/>
      <c r="FT164" s="139"/>
      <c r="FU164" s="139"/>
      <c r="FV164" s="139"/>
      <c r="FW164" s="139"/>
      <c r="FX164" s="139"/>
      <c r="FY164" s="139"/>
      <c r="FZ164" s="139"/>
      <c r="GA164" s="139"/>
      <c r="GB164" s="139"/>
      <c r="GC164" s="139"/>
      <c r="GD164" s="139"/>
      <c r="GE164" s="139"/>
      <c r="GF164" s="139"/>
      <c r="GG164" s="139"/>
      <c r="GH164" s="139"/>
      <c r="GI164" s="139"/>
    </row>
    <row r="165" spans="1:191" s="37" customFormat="1" ht="18.75" x14ac:dyDescent="0.25">
      <c r="A165" s="143"/>
      <c r="B165" s="146"/>
      <c r="C165" s="233" t="s">
        <v>55</v>
      </c>
      <c r="D165" s="144" t="s">
        <v>268</v>
      </c>
      <c r="E165" s="150">
        <v>0.02</v>
      </c>
      <c r="F165" s="265">
        <f>ROUND(F161*E165,2)</f>
        <v>0.19</v>
      </c>
      <c r="G165" s="265"/>
      <c r="H165" s="265"/>
    </row>
    <row r="166" spans="1:191" s="37" customFormat="1" ht="19.5" x14ac:dyDescent="0.25">
      <c r="A166" s="42"/>
      <c r="B166" s="56" t="s">
        <v>274</v>
      </c>
      <c r="C166" s="211" t="s">
        <v>296</v>
      </c>
      <c r="D166" s="42" t="s">
        <v>275</v>
      </c>
      <c r="E166" s="148"/>
      <c r="F166" s="266">
        <f>13.9/100</f>
        <v>0.13900000000000001</v>
      </c>
      <c r="G166" s="266"/>
      <c r="H166" s="266"/>
    </row>
    <row r="167" spans="1:191" s="37" customFormat="1" ht="18.75" x14ac:dyDescent="0.25">
      <c r="A167" s="143"/>
      <c r="B167" s="72"/>
      <c r="C167" s="233" t="s">
        <v>108</v>
      </c>
      <c r="D167" s="69" t="s">
        <v>171</v>
      </c>
      <c r="E167" s="150">
        <v>278</v>
      </c>
      <c r="F167" s="265">
        <f>ROUND(F166*E167,2)</f>
        <v>38.64</v>
      </c>
      <c r="G167" s="265"/>
      <c r="H167" s="265"/>
    </row>
    <row r="168" spans="1:191" s="37" customFormat="1" ht="18.75" x14ac:dyDescent="0.25">
      <c r="A168" s="143"/>
      <c r="B168" s="72"/>
      <c r="C168" s="233" t="s">
        <v>28</v>
      </c>
      <c r="D168" s="69" t="s">
        <v>268</v>
      </c>
      <c r="E168" s="150">
        <v>0.26</v>
      </c>
      <c r="F168" s="265">
        <f>ROUND(F166*E168,2)</f>
        <v>0.04</v>
      </c>
      <c r="G168" s="265"/>
      <c r="H168" s="265"/>
    </row>
    <row r="169" spans="1:191" s="37" customFormat="1" ht="18.75" x14ac:dyDescent="0.25">
      <c r="A169" s="143"/>
      <c r="B169" s="146"/>
      <c r="C169" s="233" t="s">
        <v>297</v>
      </c>
      <c r="D169" s="144" t="s">
        <v>273</v>
      </c>
      <c r="E169" s="150">
        <v>101</v>
      </c>
      <c r="F169" s="265">
        <f>ROUND(F166*E169,2)</f>
        <v>14.04</v>
      </c>
      <c r="G169" s="265"/>
      <c r="H169" s="265"/>
    </row>
    <row r="170" spans="1:191" s="37" customFormat="1" ht="19.5" x14ac:dyDescent="0.25">
      <c r="A170" s="193">
        <v>16</v>
      </c>
      <c r="B170" s="166" t="s">
        <v>129</v>
      </c>
      <c r="C170" s="61" t="s">
        <v>130</v>
      </c>
      <c r="D170" s="42" t="s">
        <v>183</v>
      </c>
      <c r="E170" s="2"/>
      <c r="F170" s="266">
        <v>1.1599999999999999</v>
      </c>
      <c r="G170" s="266"/>
      <c r="H170" s="266"/>
    </row>
    <row r="171" spans="1:191" s="37" customFormat="1" ht="19.5" x14ac:dyDescent="0.25">
      <c r="A171" s="194"/>
      <c r="B171" s="55" t="s">
        <v>15</v>
      </c>
      <c r="C171" s="222" t="s">
        <v>11</v>
      </c>
      <c r="D171" s="44" t="s">
        <v>12</v>
      </c>
      <c r="E171" s="4">
        <v>56.4</v>
      </c>
      <c r="F171" s="267">
        <f>E171*F170</f>
        <v>65.423999999999992</v>
      </c>
      <c r="G171" s="267"/>
      <c r="H171" s="267"/>
    </row>
    <row r="172" spans="1:191" s="37" customFormat="1" ht="19.5" x14ac:dyDescent="0.25">
      <c r="A172" s="194"/>
      <c r="B172" s="55" t="s">
        <v>27</v>
      </c>
      <c r="C172" s="222" t="s">
        <v>28</v>
      </c>
      <c r="D172" s="44" t="s">
        <v>29</v>
      </c>
      <c r="E172" s="4">
        <v>4.09</v>
      </c>
      <c r="F172" s="267">
        <f>E172*F170</f>
        <v>4.7443999999999997</v>
      </c>
      <c r="G172" s="267"/>
      <c r="H172" s="267"/>
    </row>
    <row r="173" spans="1:191" s="37" customFormat="1" ht="19.5" x14ac:dyDescent="0.25">
      <c r="A173" s="194"/>
      <c r="B173" s="55" t="s">
        <v>159</v>
      </c>
      <c r="C173" s="222" t="s">
        <v>132</v>
      </c>
      <c r="D173" s="44" t="s">
        <v>31</v>
      </c>
      <c r="E173" s="4">
        <v>0.45</v>
      </c>
      <c r="F173" s="267">
        <f>E173*F170</f>
        <v>0.52200000000000002</v>
      </c>
      <c r="G173" s="267"/>
      <c r="H173" s="267"/>
    </row>
    <row r="174" spans="1:191" s="37" customFormat="1" ht="19.5" x14ac:dyDescent="0.25">
      <c r="A174" s="194"/>
      <c r="B174" s="55" t="s">
        <v>146</v>
      </c>
      <c r="C174" s="222" t="s">
        <v>100</v>
      </c>
      <c r="D174" s="46" t="s">
        <v>48</v>
      </c>
      <c r="E174" s="5">
        <v>0.75</v>
      </c>
      <c r="F174" s="268">
        <f>E174*F170</f>
        <v>0.86999999999999988</v>
      </c>
      <c r="G174" s="268"/>
      <c r="H174" s="268"/>
    </row>
    <row r="175" spans="1:191" s="37" customFormat="1" ht="19.5" x14ac:dyDescent="0.25">
      <c r="A175" s="194"/>
      <c r="B175" s="55" t="s">
        <v>27</v>
      </c>
      <c r="C175" s="222" t="s">
        <v>55</v>
      </c>
      <c r="D175" s="44" t="s">
        <v>29</v>
      </c>
      <c r="E175" s="4">
        <v>26.5</v>
      </c>
      <c r="F175" s="267">
        <f>E175*F170</f>
        <v>30.74</v>
      </c>
      <c r="G175" s="267"/>
      <c r="H175" s="267"/>
    </row>
    <row r="176" spans="1:191" s="37" customFormat="1" ht="31.5" x14ac:dyDescent="0.25">
      <c r="A176" s="204">
        <v>17</v>
      </c>
      <c r="B176" s="110" t="s">
        <v>169</v>
      </c>
      <c r="C176" s="215" t="s">
        <v>170</v>
      </c>
      <c r="D176" s="68" t="s">
        <v>246</v>
      </c>
      <c r="E176" s="18"/>
      <c r="F176" s="271">
        <v>0.54500000000000004</v>
      </c>
      <c r="G176" s="271"/>
      <c r="H176" s="266"/>
    </row>
    <row r="177" spans="1:8" s="37" customFormat="1" ht="21" x14ac:dyDescent="0.25">
      <c r="A177" s="143"/>
      <c r="B177" s="111"/>
      <c r="C177" s="262" t="s">
        <v>108</v>
      </c>
      <c r="D177" s="69" t="s">
        <v>171</v>
      </c>
      <c r="E177" s="19">
        <v>15</v>
      </c>
      <c r="F177" s="277">
        <f>ROUND(F176*E177,2)</f>
        <v>8.18</v>
      </c>
      <c r="G177" s="277"/>
      <c r="H177" s="277"/>
    </row>
    <row r="178" spans="1:8" s="37" customFormat="1" ht="21" x14ac:dyDescent="0.25">
      <c r="A178" s="143"/>
      <c r="B178" s="55" t="s">
        <v>78</v>
      </c>
      <c r="C178" s="263" t="s">
        <v>312</v>
      </c>
      <c r="D178" s="43" t="s">
        <v>21</v>
      </c>
      <c r="E178" s="19">
        <v>2.16</v>
      </c>
      <c r="F178" s="277">
        <f>ROUND(F176*E178,2)</f>
        <v>1.18</v>
      </c>
      <c r="G178" s="277"/>
      <c r="H178" s="277"/>
    </row>
    <row r="179" spans="1:8" s="37" customFormat="1" ht="21" x14ac:dyDescent="0.25">
      <c r="A179" s="143"/>
      <c r="B179" s="70" t="s">
        <v>85</v>
      </c>
      <c r="C179" s="263" t="s">
        <v>313</v>
      </c>
      <c r="D179" s="43" t="s">
        <v>21</v>
      </c>
      <c r="E179" s="19">
        <v>0.97</v>
      </c>
      <c r="F179" s="277">
        <f>ROUND(F176*E179,2)</f>
        <v>0.53</v>
      </c>
      <c r="G179" s="277"/>
      <c r="H179" s="277"/>
    </row>
    <row r="180" spans="1:8" s="37" customFormat="1" ht="21" x14ac:dyDescent="0.25">
      <c r="A180" s="143"/>
      <c r="B180" s="70" t="s">
        <v>172</v>
      </c>
      <c r="C180" s="263" t="s">
        <v>314</v>
      </c>
      <c r="D180" s="43" t="s">
        <v>21</v>
      </c>
      <c r="E180" s="19">
        <v>2.73</v>
      </c>
      <c r="F180" s="277">
        <f>ROUND(F176*E180,2)</f>
        <v>1.49</v>
      </c>
      <c r="G180" s="277"/>
      <c r="H180" s="277"/>
    </row>
    <row r="181" spans="1:8" s="37" customFormat="1" ht="21" x14ac:dyDescent="0.25">
      <c r="A181" s="143"/>
      <c r="B181" s="70" t="s">
        <v>138</v>
      </c>
      <c r="C181" s="262" t="s">
        <v>315</v>
      </c>
      <c r="D181" s="71" t="s">
        <v>247</v>
      </c>
      <c r="E181" s="19">
        <v>122</v>
      </c>
      <c r="F181" s="277">
        <f>ROUND(F176*E181,2)</f>
        <v>66.489999999999995</v>
      </c>
      <c r="G181" s="277"/>
      <c r="H181" s="277"/>
    </row>
    <row r="182" spans="1:8" s="37" customFormat="1" ht="21" x14ac:dyDescent="0.25">
      <c r="A182" s="143"/>
      <c r="B182" s="72"/>
      <c r="C182" s="262" t="s">
        <v>90</v>
      </c>
      <c r="D182" s="71" t="s">
        <v>247</v>
      </c>
      <c r="E182" s="19">
        <v>7</v>
      </c>
      <c r="F182" s="277">
        <f>ROUND(F176*E182,2)</f>
        <v>3.82</v>
      </c>
      <c r="G182" s="277"/>
      <c r="H182" s="277"/>
    </row>
    <row r="183" spans="1:8" s="156" customFormat="1" ht="18.75" x14ac:dyDescent="0.25">
      <c r="A183" s="152">
        <v>8</v>
      </c>
      <c r="B183" s="153" t="s">
        <v>298</v>
      </c>
      <c r="C183" s="237" t="s">
        <v>299</v>
      </c>
      <c r="D183" s="154" t="s">
        <v>128</v>
      </c>
      <c r="E183" s="155"/>
      <c r="F183" s="264">
        <v>12</v>
      </c>
      <c r="G183" s="264"/>
      <c r="H183" s="264"/>
    </row>
    <row r="184" spans="1:8" s="162" customFormat="1" ht="18.75" x14ac:dyDescent="0.25">
      <c r="A184" s="157"/>
      <c r="B184" s="158"/>
      <c r="C184" s="238"/>
      <c r="D184" s="159" t="s">
        <v>51</v>
      </c>
      <c r="E184" s="160"/>
      <c r="F184" s="265">
        <f>F183/100</f>
        <v>0.12</v>
      </c>
      <c r="G184" s="265"/>
      <c r="H184" s="265"/>
    </row>
    <row r="185" spans="1:8" s="162" customFormat="1" ht="18.75" x14ac:dyDescent="0.25">
      <c r="A185" s="157"/>
      <c r="B185" s="157"/>
      <c r="C185" s="239" t="s">
        <v>11</v>
      </c>
      <c r="D185" s="158" t="s">
        <v>12</v>
      </c>
      <c r="E185" s="161">
        <v>41.3</v>
      </c>
      <c r="F185" s="265">
        <f>E185*F184</f>
        <v>4.9559999999999995</v>
      </c>
      <c r="G185" s="265"/>
      <c r="H185" s="265"/>
    </row>
    <row r="186" spans="1:8" s="162" customFormat="1" ht="18.75" x14ac:dyDescent="0.25">
      <c r="A186" s="157"/>
      <c r="B186" s="157"/>
      <c r="C186" s="240" t="s">
        <v>28</v>
      </c>
      <c r="D186" s="163" t="s">
        <v>29</v>
      </c>
      <c r="E186" s="161">
        <v>0.37</v>
      </c>
      <c r="F186" s="265">
        <f>E186*F184</f>
        <v>4.4399999999999995E-2</v>
      </c>
      <c r="G186" s="265"/>
      <c r="H186" s="265"/>
    </row>
    <row r="187" spans="1:8" s="162" customFormat="1" ht="18.75" x14ac:dyDescent="0.25">
      <c r="A187" s="157"/>
      <c r="B187" s="157" t="s">
        <v>300</v>
      </c>
      <c r="C187" s="238" t="s">
        <v>301</v>
      </c>
      <c r="D187" s="159" t="s">
        <v>149</v>
      </c>
      <c r="E187" s="161" t="s">
        <v>302</v>
      </c>
      <c r="F187" s="265">
        <v>8</v>
      </c>
      <c r="G187" s="265"/>
      <c r="H187" s="265"/>
    </row>
    <row r="188" spans="1:8" s="162" customFormat="1" ht="18.75" x14ac:dyDescent="0.25">
      <c r="A188" s="157"/>
      <c r="B188" s="158"/>
      <c r="C188" s="241"/>
      <c r="D188" s="159"/>
      <c r="E188" s="161"/>
      <c r="F188" s="265"/>
      <c r="G188" s="265"/>
      <c r="H188" s="265"/>
    </row>
    <row r="189" spans="1:8" s="37" customFormat="1" ht="19.5" x14ac:dyDescent="0.25">
      <c r="A189" s="186"/>
      <c r="B189" s="53"/>
      <c r="C189" s="224" t="s">
        <v>59</v>
      </c>
      <c r="D189" s="54"/>
      <c r="E189" s="9"/>
      <c r="F189" s="272"/>
      <c r="G189" s="272"/>
      <c r="H189" s="272"/>
    </row>
    <row r="190" spans="1:8" s="37" customFormat="1" ht="19.5" x14ac:dyDescent="0.25">
      <c r="A190" s="178"/>
      <c r="B190" s="41"/>
      <c r="C190" s="225" t="s">
        <v>119</v>
      </c>
      <c r="D190" s="41"/>
      <c r="E190" s="10"/>
      <c r="F190" s="273"/>
      <c r="G190" s="273"/>
      <c r="H190" s="273"/>
    </row>
    <row r="191" spans="1:8" s="37" customFormat="1" ht="19.5" x14ac:dyDescent="0.25">
      <c r="A191" s="42">
        <v>1</v>
      </c>
      <c r="B191" s="42" t="s">
        <v>61</v>
      </c>
      <c r="C191" s="61" t="s">
        <v>62</v>
      </c>
      <c r="D191" s="42" t="s">
        <v>14</v>
      </c>
      <c r="E191" s="1"/>
      <c r="F191" s="266">
        <f>19/100</f>
        <v>0.19</v>
      </c>
      <c r="G191" s="266"/>
      <c r="H191" s="266"/>
    </row>
    <row r="192" spans="1:8" s="37" customFormat="1" ht="19.5" x14ac:dyDescent="0.25">
      <c r="A192" s="181"/>
      <c r="B192" s="55" t="s">
        <v>15</v>
      </c>
      <c r="C192" s="222" t="s">
        <v>63</v>
      </c>
      <c r="D192" s="44" t="s">
        <v>12</v>
      </c>
      <c r="E192" s="3">
        <v>206</v>
      </c>
      <c r="F192" s="267">
        <f>E192*F191</f>
        <v>39.14</v>
      </c>
      <c r="G192" s="267"/>
      <c r="H192" s="267"/>
    </row>
    <row r="193" spans="1:8" s="37" customFormat="1" ht="19.5" x14ac:dyDescent="0.25">
      <c r="A193" s="42">
        <v>2</v>
      </c>
      <c r="B193" s="52" t="s">
        <v>64</v>
      </c>
      <c r="C193" s="61" t="s">
        <v>65</v>
      </c>
      <c r="D193" s="42" t="s">
        <v>31</v>
      </c>
      <c r="E193" s="1"/>
      <c r="F193" s="266">
        <f>F191*100*1.95</f>
        <v>37.049999999999997</v>
      </c>
      <c r="G193" s="266"/>
      <c r="H193" s="266"/>
    </row>
    <row r="194" spans="1:8" s="37" customFormat="1" ht="19.5" x14ac:dyDescent="0.25">
      <c r="A194" s="181"/>
      <c r="B194" s="187"/>
      <c r="C194" s="222" t="s">
        <v>11</v>
      </c>
      <c r="D194" s="44" t="s">
        <v>12</v>
      </c>
      <c r="E194" s="3">
        <v>0.53</v>
      </c>
      <c r="F194" s="267">
        <f>E194*F193</f>
        <v>19.636499999999998</v>
      </c>
      <c r="G194" s="267"/>
      <c r="H194" s="267"/>
    </row>
    <row r="195" spans="1:8" s="37" customFormat="1" ht="31.5" x14ac:dyDescent="0.25">
      <c r="A195" s="180">
        <v>3</v>
      </c>
      <c r="B195" s="42" t="s">
        <v>66</v>
      </c>
      <c r="C195" s="61" t="s">
        <v>67</v>
      </c>
      <c r="D195" s="42" t="s">
        <v>24</v>
      </c>
      <c r="E195" s="1"/>
      <c r="F195" s="266">
        <f>171/1000</f>
        <v>0.17100000000000001</v>
      </c>
      <c r="G195" s="266"/>
      <c r="H195" s="266"/>
    </row>
    <row r="196" spans="1:8" s="37" customFormat="1" ht="19.5" x14ac:dyDescent="0.25">
      <c r="A196" s="181"/>
      <c r="B196" s="55" t="s">
        <v>15</v>
      </c>
      <c r="C196" s="222" t="s">
        <v>11</v>
      </c>
      <c r="D196" s="44" t="s">
        <v>12</v>
      </c>
      <c r="E196" s="3">
        <v>20</v>
      </c>
      <c r="F196" s="267">
        <f>E196*F195</f>
        <v>3.4200000000000004</v>
      </c>
      <c r="G196" s="267"/>
      <c r="H196" s="267"/>
    </row>
    <row r="197" spans="1:8" s="37" customFormat="1" ht="19.5" x14ac:dyDescent="0.25">
      <c r="A197" s="181"/>
      <c r="B197" s="55" t="s">
        <v>68</v>
      </c>
      <c r="C197" s="226" t="s">
        <v>69</v>
      </c>
      <c r="D197" s="43" t="s">
        <v>21</v>
      </c>
      <c r="E197" s="3">
        <v>44.8</v>
      </c>
      <c r="F197" s="267">
        <f>E197*F195</f>
        <v>7.6608000000000001</v>
      </c>
      <c r="G197" s="267"/>
      <c r="H197" s="267"/>
    </row>
    <row r="198" spans="1:8" s="37" customFormat="1" ht="19.5" x14ac:dyDescent="0.25">
      <c r="A198" s="181"/>
      <c r="B198" s="55" t="s">
        <v>27</v>
      </c>
      <c r="C198" s="222" t="s">
        <v>28</v>
      </c>
      <c r="D198" s="44" t="s">
        <v>29</v>
      </c>
      <c r="E198" s="3">
        <v>2.1</v>
      </c>
      <c r="F198" s="267">
        <f>E198*F195</f>
        <v>0.35910000000000003</v>
      </c>
      <c r="G198" s="267"/>
      <c r="H198" s="267"/>
    </row>
    <row r="199" spans="1:8" s="37" customFormat="1" ht="19.5" x14ac:dyDescent="0.25">
      <c r="A199" s="180">
        <v>4</v>
      </c>
      <c r="B199" s="183" t="s">
        <v>30</v>
      </c>
      <c r="C199" s="61" t="s">
        <v>240</v>
      </c>
      <c r="D199" s="42" t="s">
        <v>31</v>
      </c>
      <c r="E199" s="1"/>
      <c r="F199" s="266">
        <f>F195*1000*1.95+F193</f>
        <v>370.5</v>
      </c>
      <c r="G199" s="266"/>
      <c r="H199" s="266"/>
    </row>
    <row r="200" spans="1:8" s="37" customFormat="1" ht="19.5" x14ac:dyDescent="0.25">
      <c r="A200" s="180">
        <v>5</v>
      </c>
      <c r="B200" s="195" t="s">
        <v>74</v>
      </c>
      <c r="C200" s="61" t="s">
        <v>75</v>
      </c>
      <c r="D200" s="42" t="s">
        <v>24</v>
      </c>
      <c r="E200" s="1"/>
      <c r="F200" s="266">
        <f>F191/10+F195</f>
        <v>0.19</v>
      </c>
      <c r="G200" s="266"/>
      <c r="H200" s="266"/>
    </row>
    <row r="201" spans="1:8" s="37" customFormat="1" ht="19.5" x14ac:dyDescent="0.25">
      <c r="A201" s="181"/>
      <c r="B201" s="55" t="s">
        <v>15</v>
      </c>
      <c r="C201" s="222" t="s">
        <v>11</v>
      </c>
      <c r="D201" s="44" t="s">
        <v>12</v>
      </c>
      <c r="E201" s="3">
        <v>2.63</v>
      </c>
      <c r="F201" s="267">
        <f>E201*F200</f>
        <v>0.49969999999999998</v>
      </c>
      <c r="G201" s="267"/>
      <c r="H201" s="267"/>
    </row>
    <row r="202" spans="1:8" s="37" customFormat="1" ht="19.5" x14ac:dyDescent="0.25">
      <c r="A202" s="181"/>
      <c r="B202" s="55" t="s">
        <v>72</v>
      </c>
      <c r="C202" s="226" t="s">
        <v>73</v>
      </c>
      <c r="D202" s="43" t="s">
        <v>18</v>
      </c>
      <c r="E202" s="3">
        <f>2.95*1.15</f>
        <v>3.3925000000000001</v>
      </c>
      <c r="F202" s="267">
        <f>E202*F200</f>
        <v>0.64457500000000001</v>
      </c>
      <c r="G202" s="267"/>
      <c r="H202" s="267"/>
    </row>
    <row r="203" spans="1:8" s="37" customFormat="1" ht="19.5" x14ac:dyDescent="0.25">
      <c r="A203" s="181"/>
      <c r="B203" s="55" t="s">
        <v>27</v>
      </c>
      <c r="C203" s="222" t="s">
        <v>28</v>
      </c>
      <c r="D203" s="44" t="s">
        <v>29</v>
      </c>
      <c r="E203" s="3">
        <v>0.16</v>
      </c>
      <c r="F203" s="267">
        <f>E203*F200</f>
        <v>3.04E-2</v>
      </c>
      <c r="G203" s="267"/>
      <c r="H203" s="267"/>
    </row>
    <row r="204" spans="1:8" s="37" customFormat="1" ht="19.5" x14ac:dyDescent="0.25">
      <c r="A204" s="180">
        <v>6</v>
      </c>
      <c r="B204" s="166" t="s">
        <v>120</v>
      </c>
      <c r="C204" s="216" t="s">
        <v>121</v>
      </c>
      <c r="D204" s="42" t="s">
        <v>48</v>
      </c>
      <c r="E204" s="1"/>
      <c r="F204" s="266">
        <v>9</v>
      </c>
      <c r="G204" s="266"/>
      <c r="H204" s="266"/>
    </row>
    <row r="205" spans="1:8" s="37" customFormat="1" ht="19.5" x14ac:dyDescent="0.25">
      <c r="A205" s="192"/>
      <c r="B205" s="55" t="s">
        <v>15</v>
      </c>
      <c r="C205" s="222" t="s">
        <v>11</v>
      </c>
      <c r="D205" s="44" t="s">
        <v>12</v>
      </c>
      <c r="E205" s="3">
        <v>0.89</v>
      </c>
      <c r="F205" s="267">
        <f>E205*F204</f>
        <v>8.01</v>
      </c>
      <c r="G205" s="267"/>
      <c r="H205" s="267"/>
    </row>
    <row r="206" spans="1:8" s="37" customFormat="1" ht="19.5" x14ac:dyDescent="0.25">
      <c r="A206" s="192"/>
      <c r="B206" s="55" t="s">
        <v>27</v>
      </c>
      <c r="C206" s="222" t="s">
        <v>28</v>
      </c>
      <c r="D206" s="44" t="s">
        <v>29</v>
      </c>
      <c r="E206" s="6">
        <v>0.37</v>
      </c>
      <c r="F206" s="267">
        <f>E206*F204</f>
        <v>3.33</v>
      </c>
      <c r="G206" s="267"/>
      <c r="H206" s="267"/>
    </row>
    <row r="207" spans="1:8" s="37" customFormat="1" ht="19.5" x14ac:dyDescent="0.25">
      <c r="A207" s="192"/>
      <c r="B207" s="55" t="s">
        <v>122</v>
      </c>
      <c r="C207" s="222" t="s">
        <v>123</v>
      </c>
      <c r="D207" s="44" t="s">
        <v>48</v>
      </c>
      <c r="E207" s="3">
        <v>1.1499999999999999</v>
      </c>
      <c r="F207" s="267">
        <f>E207*F204</f>
        <v>10.35</v>
      </c>
      <c r="G207" s="267"/>
      <c r="H207" s="267"/>
    </row>
    <row r="208" spans="1:8" s="37" customFormat="1" ht="19.5" x14ac:dyDescent="0.25">
      <c r="A208" s="192"/>
      <c r="B208" s="55" t="s">
        <v>27</v>
      </c>
      <c r="C208" s="222" t="s">
        <v>55</v>
      </c>
      <c r="D208" s="44" t="s">
        <v>29</v>
      </c>
      <c r="E208" s="3">
        <v>0.02</v>
      </c>
      <c r="F208" s="267">
        <f>E208*F204</f>
        <v>0.18</v>
      </c>
      <c r="G208" s="267"/>
      <c r="H208" s="267"/>
    </row>
    <row r="209" spans="1:8" s="37" customFormat="1" ht="19.5" x14ac:dyDescent="0.25">
      <c r="A209" s="180">
        <v>7</v>
      </c>
      <c r="B209" s="166" t="s">
        <v>124</v>
      </c>
      <c r="C209" s="61" t="s">
        <v>125</v>
      </c>
      <c r="D209" s="42" t="s">
        <v>48</v>
      </c>
      <c r="E209" s="1"/>
      <c r="F209" s="266">
        <v>5.3</v>
      </c>
      <c r="G209" s="266"/>
      <c r="H209" s="266"/>
    </row>
    <row r="210" spans="1:8" s="37" customFormat="1" ht="19.5" x14ac:dyDescent="0.25">
      <c r="A210" s="189"/>
      <c r="B210" s="55" t="s">
        <v>15</v>
      </c>
      <c r="C210" s="222" t="s">
        <v>11</v>
      </c>
      <c r="D210" s="44" t="s">
        <v>12</v>
      </c>
      <c r="E210" s="6">
        <v>8</v>
      </c>
      <c r="F210" s="267">
        <f>E210*F209</f>
        <v>42.4</v>
      </c>
      <c r="G210" s="267"/>
      <c r="H210" s="267"/>
    </row>
    <row r="211" spans="1:8" s="37" customFormat="1" ht="19.5" x14ac:dyDescent="0.25">
      <c r="A211" s="189"/>
      <c r="B211" s="55" t="s">
        <v>95</v>
      </c>
      <c r="C211" s="222" t="s">
        <v>96</v>
      </c>
      <c r="D211" s="43" t="s">
        <v>21</v>
      </c>
      <c r="E211" s="3">
        <f>1.98*1.15</f>
        <v>2.2769999999999997</v>
      </c>
      <c r="F211" s="267">
        <f>E211*F209</f>
        <v>12.068099999999998</v>
      </c>
      <c r="G211" s="267"/>
      <c r="H211" s="267"/>
    </row>
    <row r="212" spans="1:8" s="37" customFormat="1" ht="19.5" x14ac:dyDescent="0.25">
      <c r="A212" s="189"/>
      <c r="B212" s="55" t="s">
        <v>126</v>
      </c>
      <c r="C212" s="222" t="s">
        <v>127</v>
      </c>
      <c r="D212" s="44" t="s">
        <v>128</v>
      </c>
      <c r="E212" s="3" t="s">
        <v>114</v>
      </c>
      <c r="F212" s="278">
        <v>15</v>
      </c>
      <c r="G212" s="267"/>
      <c r="H212" s="267"/>
    </row>
    <row r="213" spans="1:8" s="37" customFormat="1" ht="19.5" x14ac:dyDescent="0.25">
      <c r="A213" s="189"/>
      <c r="B213" s="55" t="s">
        <v>27</v>
      </c>
      <c r="C213" s="222" t="s">
        <v>55</v>
      </c>
      <c r="D213" s="44" t="s">
        <v>29</v>
      </c>
      <c r="E213" s="3">
        <v>6.36</v>
      </c>
      <c r="F213" s="267">
        <f>E213*F209</f>
        <v>33.707999999999998</v>
      </c>
      <c r="G213" s="267"/>
      <c r="H213" s="267"/>
    </row>
    <row r="214" spans="1:8" s="37" customFormat="1" ht="19.5" x14ac:dyDescent="0.25">
      <c r="A214" s="193">
        <v>8</v>
      </c>
      <c r="B214" s="166" t="s">
        <v>129</v>
      </c>
      <c r="C214" s="61" t="s">
        <v>130</v>
      </c>
      <c r="D214" s="42" t="s">
        <v>183</v>
      </c>
      <c r="E214" s="1"/>
      <c r="F214" s="266">
        <f>56.55/100</f>
        <v>0.5655</v>
      </c>
      <c r="G214" s="266"/>
      <c r="H214" s="266"/>
    </row>
    <row r="215" spans="1:8" s="37" customFormat="1" ht="19.5" x14ac:dyDescent="0.25">
      <c r="A215" s="194"/>
      <c r="B215" s="55" t="s">
        <v>15</v>
      </c>
      <c r="C215" s="222" t="s">
        <v>11</v>
      </c>
      <c r="D215" s="44" t="s">
        <v>12</v>
      </c>
      <c r="E215" s="3">
        <v>56.4</v>
      </c>
      <c r="F215" s="267">
        <f>E215*F214</f>
        <v>31.894199999999998</v>
      </c>
      <c r="G215" s="267"/>
      <c r="H215" s="267"/>
    </row>
    <row r="216" spans="1:8" s="37" customFormat="1" ht="19.5" x14ac:dyDescent="0.25">
      <c r="A216" s="194"/>
      <c r="B216" s="55" t="s">
        <v>27</v>
      </c>
      <c r="C216" s="222" t="s">
        <v>28</v>
      </c>
      <c r="D216" s="44" t="s">
        <v>29</v>
      </c>
      <c r="E216" s="3">
        <v>4.09</v>
      </c>
      <c r="F216" s="267">
        <f>E216*F214</f>
        <v>2.3128950000000001</v>
      </c>
      <c r="G216" s="267"/>
      <c r="H216" s="267"/>
    </row>
    <row r="217" spans="1:8" s="37" customFormat="1" ht="19.5" x14ac:dyDescent="0.25">
      <c r="A217" s="194"/>
      <c r="B217" s="55" t="s">
        <v>131</v>
      </c>
      <c r="C217" s="222" t="s">
        <v>132</v>
      </c>
      <c r="D217" s="44" t="s">
        <v>31</v>
      </c>
      <c r="E217" s="3">
        <v>0.45</v>
      </c>
      <c r="F217" s="267">
        <f>E217*F214</f>
        <v>0.25447500000000001</v>
      </c>
      <c r="G217" s="267"/>
      <c r="H217" s="267"/>
    </row>
    <row r="218" spans="1:8" s="37" customFormat="1" ht="19.5" x14ac:dyDescent="0.25">
      <c r="A218" s="194"/>
      <c r="B218" s="55" t="s">
        <v>99</v>
      </c>
      <c r="C218" s="222" t="s">
        <v>100</v>
      </c>
      <c r="D218" s="44" t="s">
        <v>48</v>
      </c>
      <c r="E218" s="3">
        <v>0.75</v>
      </c>
      <c r="F218" s="267">
        <f>E218*F214</f>
        <v>0.42412499999999997</v>
      </c>
      <c r="G218" s="267"/>
      <c r="H218" s="267"/>
    </row>
    <row r="219" spans="1:8" s="37" customFormat="1" ht="19.5" x14ac:dyDescent="0.25">
      <c r="A219" s="194"/>
      <c r="B219" s="55" t="s">
        <v>27</v>
      </c>
      <c r="C219" s="222" t="s">
        <v>55</v>
      </c>
      <c r="D219" s="44" t="s">
        <v>29</v>
      </c>
      <c r="E219" s="3">
        <v>26.5</v>
      </c>
      <c r="F219" s="267">
        <f>E219*F214</f>
        <v>14.985749999999999</v>
      </c>
      <c r="G219" s="267"/>
      <c r="H219" s="267"/>
    </row>
    <row r="220" spans="1:8" s="37" customFormat="1" ht="31.5" x14ac:dyDescent="0.25">
      <c r="A220" s="193">
        <v>9</v>
      </c>
      <c r="B220" s="166" t="s">
        <v>133</v>
      </c>
      <c r="C220" s="61" t="s">
        <v>134</v>
      </c>
      <c r="D220" s="42" t="s">
        <v>183</v>
      </c>
      <c r="E220" s="1"/>
      <c r="F220" s="266">
        <f>26.39/100</f>
        <v>0.26390000000000002</v>
      </c>
      <c r="G220" s="266"/>
      <c r="H220" s="266"/>
    </row>
    <row r="221" spans="1:8" s="37" customFormat="1" ht="19.5" x14ac:dyDescent="0.25">
      <c r="A221" s="194"/>
      <c r="B221" s="55" t="s">
        <v>15</v>
      </c>
      <c r="C221" s="222" t="s">
        <v>11</v>
      </c>
      <c r="D221" s="44" t="s">
        <v>12</v>
      </c>
      <c r="E221" s="3">
        <v>116</v>
      </c>
      <c r="F221" s="267">
        <f>E221*F220</f>
        <v>30.612400000000001</v>
      </c>
      <c r="G221" s="267"/>
      <c r="H221" s="267"/>
    </row>
    <row r="222" spans="1:8" s="37" customFormat="1" ht="19.5" x14ac:dyDescent="0.25">
      <c r="A222" s="194"/>
      <c r="B222" s="55" t="s">
        <v>27</v>
      </c>
      <c r="C222" s="222" t="s">
        <v>28</v>
      </c>
      <c r="D222" s="44" t="s">
        <v>29</v>
      </c>
      <c r="E222" s="3">
        <v>6.13</v>
      </c>
      <c r="F222" s="267">
        <f>E222*F220</f>
        <v>1.617707</v>
      </c>
      <c r="G222" s="267"/>
      <c r="H222" s="267"/>
    </row>
    <row r="223" spans="1:8" s="37" customFormat="1" ht="19.5" x14ac:dyDescent="0.25">
      <c r="A223" s="194"/>
      <c r="B223" s="55" t="s">
        <v>135</v>
      </c>
      <c r="C223" s="222" t="s">
        <v>132</v>
      </c>
      <c r="D223" s="44" t="s">
        <v>31</v>
      </c>
      <c r="E223" s="3">
        <v>0.68</v>
      </c>
      <c r="F223" s="267">
        <f>E223*F220</f>
        <v>0.17945200000000003</v>
      </c>
      <c r="G223" s="267"/>
      <c r="H223" s="267"/>
    </row>
    <row r="224" spans="1:8" s="37" customFormat="1" ht="19.5" x14ac:dyDescent="0.25">
      <c r="A224" s="194"/>
      <c r="B224" s="55" t="s">
        <v>136</v>
      </c>
      <c r="C224" s="222" t="s">
        <v>100</v>
      </c>
      <c r="D224" s="44" t="s">
        <v>48</v>
      </c>
      <c r="E224" s="3">
        <v>0.75</v>
      </c>
      <c r="F224" s="267">
        <f>E224*F220</f>
        <v>0.19792500000000002</v>
      </c>
      <c r="G224" s="267"/>
      <c r="H224" s="267"/>
    </row>
    <row r="225" spans="1:8" s="37" customFormat="1" ht="19.5" x14ac:dyDescent="0.25">
      <c r="A225" s="194"/>
      <c r="B225" s="55" t="s">
        <v>27</v>
      </c>
      <c r="C225" s="222" t="s">
        <v>55</v>
      </c>
      <c r="D225" s="44" t="s">
        <v>29</v>
      </c>
      <c r="E225" s="3">
        <v>58.8</v>
      </c>
      <c r="F225" s="267">
        <f>E225*F220</f>
        <v>15.51732</v>
      </c>
      <c r="G225" s="267"/>
      <c r="H225" s="267"/>
    </row>
    <row r="226" spans="1:8" s="37" customFormat="1" ht="19.5" x14ac:dyDescent="0.25">
      <c r="A226" s="193"/>
      <c r="B226" s="205"/>
      <c r="C226" s="217" t="s">
        <v>316</v>
      </c>
      <c r="D226" s="42"/>
      <c r="E226" s="1"/>
      <c r="F226" s="266"/>
      <c r="G226" s="266"/>
      <c r="H226" s="266"/>
    </row>
    <row r="227" spans="1:8" s="37" customFormat="1" ht="19.5" x14ac:dyDescent="0.25">
      <c r="A227" s="180">
        <v>10</v>
      </c>
      <c r="B227" s="166" t="s">
        <v>120</v>
      </c>
      <c r="C227" s="61" t="s">
        <v>137</v>
      </c>
      <c r="D227" s="42" t="s">
        <v>48</v>
      </c>
      <c r="E227" s="2"/>
      <c r="F227" s="266">
        <v>1.05</v>
      </c>
      <c r="G227" s="266"/>
      <c r="H227" s="266"/>
    </row>
    <row r="228" spans="1:8" s="37" customFormat="1" ht="19.5" x14ac:dyDescent="0.25">
      <c r="A228" s="192"/>
      <c r="B228" s="55" t="s">
        <v>15</v>
      </c>
      <c r="C228" s="222" t="s">
        <v>11</v>
      </c>
      <c r="D228" s="44" t="s">
        <v>12</v>
      </c>
      <c r="E228" s="4">
        <v>0.89</v>
      </c>
      <c r="F228" s="267">
        <f>E228*F227</f>
        <v>0.93450000000000011</v>
      </c>
      <c r="G228" s="267"/>
      <c r="H228" s="267"/>
    </row>
    <row r="229" spans="1:8" s="37" customFormat="1" ht="19.5" x14ac:dyDescent="0.25">
      <c r="A229" s="192"/>
      <c r="B229" s="55" t="s">
        <v>27</v>
      </c>
      <c r="C229" s="222" t="s">
        <v>28</v>
      </c>
      <c r="D229" s="44" t="s">
        <v>29</v>
      </c>
      <c r="E229" s="4">
        <v>0.37</v>
      </c>
      <c r="F229" s="267">
        <f>E229*F227</f>
        <v>0.38850000000000001</v>
      </c>
      <c r="G229" s="267"/>
      <c r="H229" s="267"/>
    </row>
    <row r="230" spans="1:8" s="37" customFormat="1" ht="19.5" x14ac:dyDescent="0.25">
      <c r="A230" s="192"/>
      <c r="B230" s="55" t="s">
        <v>138</v>
      </c>
      <c r="C230" s="222" t="s">
        <v>123</v>
      </c>
      <c r="D230" s="44" t="s">
        <v>48</v>
      </c>
      <c r="E230" s="4">
        <v>1.1499999999999999</v>
      </c>
      <c r="F230" s="267">
        <f>E230*F227</f>
        <v>1.2075</v>
      </c>
      <c r="G230" s="267"/>
      <c r="H230" s="267"/>
    </row>
    <row r="231" spans="1:8" s="37" customFormat="1" ht="19.5" x14ac:dyDescent="0.25">
      <c r="A231" s="192"/>
      <c r="B231" s="55" t="s">
        <v>27</v>
      </c>
      <c r="C231" s="222" t="s">
        <v>55</v>
      </c>
      <c r="D231" s="44" t="s">
        <v>29</v>
      </c>
      <c r="E231" s="4">
        <v>0.02</v>
      </c>
      <c r="F231" s="267">
        <f>E231*F227</f>
        <v>2.1000000000000001E-2</v>
      </c>
      <c r="G231" s="267"/>
      <c r="H231" s="267"/>
    </row>
    <row r="232" spans="1:8" s="37" customFormat="1" ht="31.5" x14ac:dyDescent="0.25">
      <c r="A232" s="193">
        <v>11</v>
      </c>
      <c r="B232" s="105" t="s">
        <v>139</v>
      </c>
      <c r="C232" s="61" t="s">
        <v>242</v>
      </c>
      <c r="D232" s="62" t="s">
        <v>244</v>
      </c>
      <c r="E232" s="15"/>
      <c r="F232" s="266">
        <v>14.86</v>
      </c>
      <c r="G232" s="266"/>
      <c r="H232" s="266"/>
    </row>
    <row r="233" spans="1:8" s="37" customFormat="1" ht="18.75" x14ac:dyDescent="0.25">
      <c r="A233" s="196"/>
      <c r="B233" s="106"/>
      <c r="C233" s="242" t="s">
        <v>140</v>
      </c>
      <c r="D233" s="63" t="s">
        <v>141</v>
      </c>
      <c r="E233" s="16">
        <v>6.6</v>
      </c>
      <c r="F233" s="270">
        <f>F232*E233</f>
        <v>98.075999999999993</v>
      </c>
      <c r="G233" s="270"/>
      <c r="H233" s="270"/>
    </row>
    <row r="234" spans="1:8" s="37" customFormat="1" ht="18.75" x14ac:dyDescent="0.25">
      <c r="A234" s="196"/>
      <c r="B234" s="55" t="s">
        <v>142</v>
      </c>
      <c r="C234" s="243" t="s">
        <v>143</v>
      </c>
      <c r="D234" s="43" t="s">
        <v>21</v>
      </c>
      <c r="E234" s="16">
        <f>0.096*1.15</f>
        <v>0.1104</v>
      </c>
      <c r="F234" s="270">
        <f>F232*E234</f>
        <v>1.640544</v>
      </c>
      <c r="G234" s="270"/>
      <c r="H234" s="270"/>
    </row>
    <row r="235" spans="1:8" s="37" customFormat="1" ht="18.75" x14ac:dyDescent="0.25">
      <c r="A235" s="196"/>
      <c r="B235" s="107"/>
      <c r="C235" s="244" t="s">
        <v>28</v>
      </c>
      <c r="D235" s="64" t="s">
        <v>29</v>
      </c>
      <c r="E235" s="16">
        <v>0.39900000000000002</v>
      </c>
      <c r="F235" s="270">
        <f>F232*E235</f>
        <v>5.9291400000000003</v>
      </c>
      <c r="G235" s="270"/>
      <c r="H235" s="270"/>
    </row>
    <row r="236" spans="1:8" s="37" customFormat="1" ht="19.5" x14ac:dyDescent="0.25">
      <c r="A236" s="196"/>
      <c r="B236" s="101" t="s">
        <v>144</v>
      </c>
      <c r="C236" s="223" t="s">
        <v>145</v>
      </c>
      <c r="D236" s="46" t="s">
        <v>48</v>
      </c>
      <c r="E236" s="7">
        <v>1.0149999999999999</v>
      </c>
      <c r="F236" s="268">
        <f>E236*F232</f>
        <v>15.082899999999999</v>
      </c>
      <c r="G236" s="270"/>
      <c r="H236" s="270"/>
    </row>
    <row r="237" spans="1:8" s="37" customFormat="1" ht="18.75" x14ac:dyDescent="0.25">
      <c r="A237" s="196"/>
      <c r="B237" s="55" t="s">
        <v>146</v>
      </c>
      <c r="C237" s="222" t="s">
        <v>100</v>
      </c>
      <c r="D237" s="65" t="s">
        <v>245</v>
      </c>
      <c r="E237" s="16">
        <v>2.47E-2</v>
      </c>
      <c r="F237" s="270">
        <f>F232*E237</f>
        <v>0.36704199999999998</v>
      </c>
      <c r="G237" s="270"/>
      <c r="H237" s="270"/>
    </row>
    <row r="238" spans="1:8" s="37" customFormat="1" ht="18.75" x14ac:dyDescent="0.25">
      <c r="A238" s="196"/>
      <c r="B238" s="108" t="s">
        <v>147</v>
      </c>
      <c r="C238" s="244" t="s">
        <v>148</v>
      </c>
      <c r="D238" s="65" t="s">
        <v>149</v>
      </c>
      <c r="E238" s="16">
        <v>0.39</v>
      </c>
      <c r="F238" s="270">
        <f>E238*F232</f>
        <v>5.7953999999999999</v>
      </c>
      <c r="G238" s="270"/>
      <c r="H238" s="270"/>
    </row>
    <row r="239" spans="1:8" s="37" customFormat="1" ht="18.75" x14ac:dyDescent="0.25">
      <c r="A239" s="196"/>
      <c r="B239" s="108" t="s">
        <v>150</v>
      </c>
      <c r="C239" s="244" t="s">
        <v>151</v>
      </c>
      <c r="D239" s="65" t="s">
        <v>245</v>
      </c>
      <c r="E239" s="16">
        <v>4.6800000000000001E-2</v>
      </c>
      <c r="F239" s="270">
        <f>F232*E239</f>
        <v>0.69544799999999996</v>
      </c>
      <c r="G239" s="270"/>
      <c r="H239" s="270"/>
    </row>
    <row r="240" spans="1:8" s="37" customFormat="1" ht="18.75" x14ac:dyDescent="0.25">
      <c r="A240" s="196"/>
      <c r="B240" s="108" t="s">
        <v>152</v>
      </c>
      <c r="C240" s="244" t="s">
        <v>153</v>
      </c>
      <c r="D240" s="65" t="s">
        <v>245</v>
      </c>
      <c r="E240" s="16">
        <f>7.4/100+0.53/100</f>
        <v>7.9300000000000009E-2</v>
      </c>
      <c r="F240" s="270">
        <f>F232*E240</f>
        <v>1.1783980000000001</v>
      </c>
      <c r="G240" s="270"/>
      <c r="H240" s="270"/>
    </row>
    <row r="241" spans="1:8" s="37" customFormat="1" ht="21" x14ac:dyDescent="0.25">
      <c r="A241" s="196"/>
      <c r="B241" s="109" t="s">
        <v>154</v>
      </c>
      <c r="C241" s="245" t="s">
        <v>155</v>
      </c>
      <c r="D241" s="66" t="s">
        <v>105</v>
      </c>
      <c r="E241" s="17">
        <v>0.25</v>
      </c>
      <c r="F241" s="268">
        <f>E241*F232</f>
        <v>3.7149999999999999</v>
      </c>
      <c r="G241" s="268"/>
      <c r="H241" s="268"/>
    </row>
    <row r="242" spans="1:8" s="37" customFormat="1" ht="21" x14ac:dyDescent="0.25">
      <c r="A242" s="196"/>
      <c r="B242" s="109" t="s">
        <v>156</v>
      </c>
      <c r="C242" s="245" t="s">
        <v>157</v>
      </c>
      <c r="D242" s="66" t="s">
        <v>105</v>
      </c>
      <c r="E242" s="17">
        <v>0.51500000000000001</v>
      </c>
      <c r="F242" s="268">
        <f>E242*F232/100</f>
        <v>7.6529E-2</v>
      </c>
      <c r="G242" s="268"/>
      <c r="H242" s="268"/>
    </row>
    <row r="243" spans="1:8" s="37" customFormat="1" ht="18.75" x14ac:dyDescent="0.25">
      <c r="A243" s="196"/>
      <c r="B243" s="107"/>
      <c r="C243" s="244" t="s">
        <v>55</v>
      </c>
      <c r="D243" s="67" t="s">
        <v>158</v>
      </c>
      <c r="E243" s="16">
        <v>1.56</v>
      </c>
      <c r="F243" s="270">
        <f>F232*E243</f>
        <v>23.1816</v>
      </c>
      <c r="G243" s="270"/>
      <c r="H243" s="270"/>
    </row>
    <row r="244" spans="1:8" s="37" customFormat="1" ht="19.5" x14ac:dyDescent="0.25">
      <c r="A244" s="193">
        <v>12</v>
      </c>
      <c r="B244" s="166" t="s">
        <v>129</v>
      </c>
      <c r="C244" s="61" t="s">
        <v>130</v>
      </c>
      <c r="D244" s="42" t="s">
        <v>183</v>
      </c>
      <c r="E244" s="2"/>
      <c r="F244" s="266">
        <v>0.29799999999999999</v>
      </c>
      <c r="G244" s="266"/>
      <c r="H244" s="266"/>
    </row>
    <row r="245" spans="1:8" s="37" customFormat="1" ht="19.5" x14ac:dyDescent="0.25">
      <c r="A245" s="194"/>
      <c r="B245" s="55" t="s">
        <v>15</v>
      </c>
      <c r="C245" s="222" t="s">
        <v>11</v>
      </c>
      <c r="D245" s="44" t="s">
        <v>12</v>
      </c>
      <c r="E245" s="4">
        <v>56.4</v>
      </c>
      <c r="F245" s="267">
        <f>E245*F244</f>
        <v>16.807199999999998</v>
      </c>
      <c r="G245" s="267"/>
      <c r="H245" s="267"/>
    </row>
    <row r="246" spans="1:8" s="37" customFormat="1" ht="19.5" x14ac:dyDescent="0.25">
      <c r="A246" s="194"/>
      <c r="B246" s="55" t="s">
        <v>27</v>
      </c>
      <c r="C246" s="222" t="s">
        <v>28</v>
      </c>
      <c r="D246" s="44" t="s">
        <v>29</v>
      </c>
      <c r="E246" s="4">
        <v>4.09</v>
      </c>
      <c r="F246" s="267">
        <f>E246*F244</f>
        <v>1.21882</v>
      </c>
      <c r="G246" s="267"/>
      <c r="H246" s="267"/>
    </row>
    <row r="247" spans="1:8" s="37" customFormat="1" ht="19.5" x14ac:dyDescent="0.25">
      <c r="A247" s="194"/>
      <c r="B247" s="55" t="s">
        <v>159</v>
      </c>
      <c r="C247" s="222" t="s">
        <v>132</v>
      </c>
      <c r="D247" s="44" t="s">
        <v>31</v>
      </c>
      <c r="E247" s="4">
        <v>0.45</v>
      </c>
      <c r="F247" s="267">
        <f>E247*F244</f>
        <v>0.1341</v>
      </c>
      <c r="G247" s="267"/>
      <c r="H247" s="267"/>
    </row>
    <row r="248" spans="1:8" s="37" customFormat="1" ht="19.5" x14ac:dyDescent="0.25">
      <c r="A248" s="194"/>
      <c r="B248" s="55" t="s">
        <v>146</v>
      </c>
      <c r="C248" s="222" t="s">
        <v>100</v>
      </c>
      <c r="D248" s="46" t="s">
        <v>48</v>
      </c>
      <c r="E248" s="5">
        <v>0.75</v>
      </c>
      <c r="F248" s="268">
        <f>E248*F244</f>
        <v>0.22349999999999998</v>
      </c>
      <c r="G248" s="268"/>
      <c r="H248" s="268"/>
    </row>
    <row r="249" spans="1:8" s="37" customFormat="1" ht="19.5" x14ac:dyDescent="0.25">
      <c r="A249" s="194"/>
      <c r="B249" s="55" t="s">
        <v>27</v>
      </c>
      <c r="C249" s="222" t="s">
        <v>55</v>
      </c>
      <c r="D249" s="44" t="s">
        <v>29</v>
      </c>
      <c r="E249" s="4">
        <v>26.5</v>
      </c>
      <c r="F249" s="267">
        <f>E249*F244</f>
        <v>7.8969999999999994</v>
      </c>
      <c r="G249" s="267"/>
      <c r="H249" s="267"/>
    </row>
    <row r="250" spans="1:8" s="37" customFormat="1" ht="19.5" x14ac:dyDescent="0.25">
      <c r="A250" s="193"/>
      <c r="B250" s="205"/>
      <c r="C250" s="217" t="s">
        <v>317</v>
      </c>
      <c r="D250" s="42"/>
      <c r="E250" s="2"/>
      <c r="F250" s="266"/>
      <c r="G250" s="266"/>
      <c r="H250" s="266"/>
    </row>
    <row r="251" spans="1:8" s="37" customFormat="1" ht="19.5" x14ac:dyDescent="0.25">
      <c r="A251" s="180">
        <v>14</v>
      </c>
      <c r="B251" s="166" t="s">
        <v>120</v>
      </c>
      <c r="C251" s="61" t="s">
        <v>137</v>
      </c>
      <c r="D251" s="42" t="s">
        <v>48</v>
      </c>
      <c r="E251" s="2"/>
      <c r="F251" s="266">
        <v>0.7</v>
      </c>
      <c r="G251" s="266"/>
      <c r="H251" s="266"/>
    </row>
    <row r="252" spans="1:8" s="37" customFormat="1" ht="19.5" x14ac:dyDescent="0.25">
      <c r="A252" s="192"/>
      <c r="B252" s="55" t="s">
        <v>15</v>
      </c>
      <c r="C252" s="222" t="s">
        <v>11</v>
      </c>
      <c r="D252" s="44" t="s">
        <v>12</v>
      </c>
      <c r="E252" s="4">
        <v>0.89</v>
      </c>
      <c r="F252" s="267">
        <f>E252*F251</f>
        <v>0.623</v>
      </c>
      <c r="G252" s="267"/>
      <c r="H252" s="267"/>
    </row>
    <row r="253" spans="1:8" s="37" customFormat="1" ht="19.5" x14ac:dyDescent="0.25">
      <c r="A253" s="192"/>
      <c r="B253" s="55" t="s">
        <v>27</v>
      </c>
      <c r="C253" s="222" t="s">
        <v>28</v>
      </c>
      <c r="D253" s="44" t="s">
        <v>29</v>
      </c>
      <c r="E253" s="4">
        <v>0.37</v>
      </c>
      <c r="F253" s="267">
        <f>E253*F251</f>
        <v>0.25900000000000001</v>
      </c>
      <c r="G253" s="267"/>
      <c r="H253" s="267"/>
    </row>
    <row r="254" spans="1:8" s="37" customFormat="1" ht="19.5" x14ac:dyDescent="0.25">
      <c r="A254" s="192"/>
      <c r="B254" s="55" t="s">
        <v>138</v>
      </c>
      <c r="C254" s="222" t="s">
        <v>123</v>
      </c>
      <c r="D254" s="44" t="s">
        <v>48</v>
      </c>
      <c r="E254" s="4">
        <v>1.1499999999999999</v>
      </c>
      <c r="F254" s="267">
        <f>E254*F251</f>
        <v>0.80499999999999994</v>
      </c>
      <c r="G254" s="267"/>
      <c r="H254" s="267"/>
    </row>
    <row r="255" spans="1:8" s="37" customFormat="1" ht="19.5" x14ac:dyDescent="0.25">
      <c r="A255" s="192"/>
      <c r="B255" s="55" t="s">
        <v>27</v>
      </c>
      <c r="C255" s="222" t="s">
        <v>55</v>
      </c>
      <c r="D255" s="44" t="s">
        <v>29</v>
      </c>
      <c r="E255" s="4">
        <v>0.02</v>
      </c>
      <c r="F255" s="267">
        <f>E255*F251</f>
        <v>1.3999999999999999E-2</v>
      </c>
      <c r="G255" s="267"/>
      <c r="H255" s="267"/>
    </row>
    <row r="256" spans="1:8" s="37" customFormat="1" ht="19.5" x14ac:dyDescent="0.25">
      <c r="A256" s="180">
        <v>15</v>
      </c>
      <c r="B256" s="166" t="s">
        <v>164</v>
      </c>
      <c r="C256" s="61" t="s">
        <v>165</v>
      </c>
      <c r="D256" s="42" t="s">
        <v>48</v>
      </c>
      <c r="E256" s="2"/>
      <c r="F256" s="266">
        <v>7.34</v>
      </c>
      <c r="G256" s="266"/>
      <c r="H256" s="266"/>
    </row>
    <row r="257" spans="1:8" s="37" customFormat="1" ht="19.5" x14ac:dyDescent="0.25">
      <c r="A257" s="192"/>
      <c r="B257" s="55" t="s">
        <v>15</v>
      </c>
      <c r="C257" s="222" t="s">
        <v>11</v>
      </c>
      <c r="D257" s="44" t="s">
        <v>12</v>
      </c>
      <c r="E257" s="4">
        <v>6.42</v>
      </c>
      <c r="F257" s="267">
        <f>E257*F256</f>
        <v>47.122799999999998</v>
      </c>
      <c r="G257" s="267"/>
      <c r="H257" s="267"/>
    </row>
    <row r="258" spans="1:8" s="37" customFormat="1" ht="19.5" x14ac:dyDescent="0.25">
      <c r="A258" s="192"/>
      <c r="B258" s="55" t="s">
        <v>27</v>
      </c>
      <c r="C258" s="222" t="s">
        <v>28</v>
      </c>
      <c r="D258" s="44" t="s">
        <v>29</v>
      </c>
      <c r="E258" s="4">
        <v>3.85</v>
      </c>
      <c r="F258" s="267">
        <f>E258*F256</f>
        <v>28.259</v>
      </c>
      <c r="G258" s="267"/>
      <c r="H258" s="267"/>
    </row>
    <row r="259" spans="1:8" s="37" customFormat="1" ht="19.5" x14ac:dyDescent="0.25">
      <c r="A259" s="192"/>
      <c r="B259" s="101" t="s">
        <v>46</v>
      </c>
      <c r="C259" s="222" t="s">
        <v>166</v>
      </c>
      <c r="D259" s="44" t="s">
        <v>48</v>
      </c>
      <c r="E259" s="4">
        <v>1.0149999999999999</v>
      </c>
      <c r="F259" s="267">
        <f>E259*F256</f>
        <v>7.4500999999999991</v>
      </c>
      <c r="G259" s="267"/>
      <c r="H259" s="267"/>
    </row>
    <row r="260" spans="1:8" s="37" customFormat="1" ht="19.5" x14ac:dyDescent="0.25">
      <c r="A260" s="192"/>
      <c r="B260" s="55" t="s">
        <v>146</v>
      </c>
      <c r="C260" s="222" t="s">
        <v>100</v>
      </c>
      <c r="D260" s="46" t="s">
        <v>48</v>
      </c>
      <c r="E260" s="5">
        <v>1.2E-2</v>
      </c>
      <c r="F260" s="268">
        <f>E260*F256</f>
        <v>8.8080000000000006E-2</v>
      </c>
      <c r="G260" s="268"/>
      <c r="H260" s="268"/>
    </row>
    <row r="261" spans="1:8" s="37" customFormat="1" ht="19.5" x14ac:dyDescent="0.25">
      <c r="A261" s="192"/>
      <c r="B261" s="55" t="s">
        <v>167</v>
      </c>
      <c r="C261" s="222" t="s">
        <v>168</v>
      </c>
      <c r="D261" s="44" t="s">
        <v>48</v>
      </c>
      <c r="E261" s="4">
        <v>7.4999999999999997E-2</v>
      </c>
      <c r="F261" s="267">
        <f>E261*F256</f>
        <v>0.55049999999999999</v>
      </c>
      <c r="G261" s="267"/>
      <c r="H261" s="267"/>
    </row>
    <row r="262" spans="1:8" s="37" customFormat="1" ht="19.5" x14ac:dyDescent="0.25">
      <c r="A262" s="192"/>
      <c r="B262" s="55" t="s">
        <v>27</v>
      </c>
      <c r="C262" s="222" t="s">
        <v>55</v>
      </c>
      <c r="D262" s="44" t="s">
        <v>29</v>
      </c>
      <c r="E262" s="4">
        <v>6.4</v>
      </c>
      <c r="F262" s="267">
        <f>E262*F256</f>
        <v>46.975999999999999</v>
      </c>
      <c r="G262" s="267"/>
      <c r="H262" s="267"/>
    </row>
    <row r="263" spans="1:8" s="37" customFormat="1" ht="19.5" x14ac:dyDescent="0.25">
      <c r="A263" s="193">
        <v>16</v>
      </c>
      <c r="B263" s="166" t="s">
        <v>129</v>
      </c>
      <c r="C263" s="61" t="s">
        <v>130</v>
      </c>
      <c r="D263" s="42" t="s">
        <v>183</v>
      </c>
      <c r="E263" s="2"/>
      <c r="F263" s="266">
        <f>22.7/100</f>
        <v>0.22699999999999998</v>
      </c>
      <c r="G263" s="266"/>
      <c r="H263" s="266"/>
    </row>
    <row r="264" spans="1:8" s="37" customFormat="1" ht="19.5" x14ac:dyDescent="0.25">
      <c r="A264" s="194"/>
      <c r="B264" s="55" t="s">
        <v>15</v>
      </c>
      <c r="C264" s="222" t="s">
        <v>11</v>
      </c>
      <c r="D264" s="44" t="s">
        <v>12</v>
      </c>
      <c r="E264" s="4">
        <v>56.4</v>
      </c>
      <c r="F264" s="267">
        <f>E264*F263</f>
        <v>12.802799999999998</v>
      </c>
      <c r="G264" s="267"/>
      <c r="H264" s="267"/>
    </row>
    <row r="265" spans="1:8" s="37" customFormat="1" ht="19.5" x14ac:dyDescent="0.25">
      <c r="A265" s="194"/>
      <c r="B265" s="55" t="s">
        <v>27</v>
      </c>
      <c r="C265" s="222" t="s">
        <v>28</v>
      </c>
      <c r="D265" s="44" t="s">
        <v>29</v>
      </c>
      <c r="E265" s="4">
        <v>4.09</v>
      </c>
      <c r="F265" s="267">
        <f>E265*F263</f>
        <v>0.92842999999999987</v>
      </c>
      <c r="G265" s="267"/>
      <c r="H265" s="267"/>
    </row>
    <row r="266" spans="1:8" s="37" customFormat="1" ht="19.5" x14ac:dyDescent="0.25">
      <c r="A266" s="194"/>
      <c r="B266" s="55" t="s">
        <v>159</v>
      </c>
      <c r="C266" s="222" t="s">
        <v>132</v>
      </c>
      <c r="D266" s="44" t="s">
        <v>31</v>
      </c>
      <c r="E266" s="4">
        <v>0.45</v>
      </c>
      <c r="F266" s="267">
        <f>E266*F263</f>
        <v>0.10214999999999999</v>
      </c>
      <c r="G266" s="267"/>
      <c r="H266" s="267"/>
    </row>
    <row r="267" spans="1:8" s="37" customFormat="1" ht="19.5" x14ac:dyDescent="0.25">
      <c r="A267" s="194"/>
      <c r="B267" s="55" t="s">
        <v>146</v>
      </c>
      <c r="C267" s="222" t="s">
        <v>100</v>
      </c>
      <c r="D267" s="46" t="s">
        <v>48</v>
      </c>
      <c r="E267" s="5">
        <v>0.75</v>
      </c>
      <c r="F267" s="268">
        <f>E267*F263</f>
        <v>0.17024999999999998</v>
      </c>
      <c r="G267" s="268"/>
      <c r="H267" s="268"/>
    </row>
    <row r="268" spans="1:8" s="37" customFormat="1" ht="19.5" x14ac:dyDescent="0.25">
      <c r="A268" s="194"/>
      <c r="B268" s="55" t="s">
        <v>27</v>
      </c>
      <c r="C268" s="222" t="s">
        <v>55</v>
      </c>
      <c r="D268" s="44" t="s">
        <v>29</v>
      </c>
      <c r="E268" s="4">
        <v>26.5</v>
      </c>
      <c r="F268" s="267">
        <f>E268*F263</f>
        <v>6.0154999999999994</v>
      </c>
      <c r="G268" s="267"/>
      <c r="H268" s="267"/>
    </row>
    <row r="269" spans="1:8" s="37" customFormat="1" ht="31.5" x14ac:dyDescent="0.25">
      <c r="A269" s="204">
        <v>17</v>
      </c>
      <c r="B269" s="110" t="s">
        <v>169</v>
      </c>
      <c r="C269" s="215" t="s">
        <v>170</v>
      </c>
      <c r="D269" s="68" t="s">
        <v>246</v>
      </c>
      <c r="E269" s="18"/>
      <c r="F269" s="271">
        <v>0.7</v>
      </c>
      <c r="G269" s="271"/>
      <c r="H269" s="266"/>
    </row>
    <row r="270" spans="1:8" s="37" customFormat="1" ht="21" x14ac:dyDescent="0.25">
      <c r="A270" s="143"/>
      <c r="B270" s="111"/>
      <c r="C270" s="234" t="s">
        <v>108</v>
      </c>
      <c r="D270" s="69" t="s">
        <v>171</v>
      </c>
      <c r="E270" s="19">
        <v>15</v>
      </c>
      <c r="F270" s="277">
        <f>ROUND(F269*E270,2)</f>
        <v>10.5</v>
      </c>
      <c r="G270" s="277"/>
      <c r="H270" s="277"/>
    </row>
    <row r="271" spans="1:8" s="37" customFormat="1" ht="21" x14ac:dyDescent="0.25">
      <c r="A271" s="143"/>
      <c r="B271" s="55" t="s">
        <v>78</v>
      </c>
      <c r="C271" s="236" t="s">
        <v>312</v>
      </c>
      <c r="D271" s="43" t="s">
        <v>21</v>
      </c>
      <c r="E271" s="19">
        <v>2.16</v>
      </c>
      <c r="F271" s="277">
        <f>ROUND(F269*E271,2)</f>
        <v>1.51</v>
      </c>
      <c r="G271" s="277"/>
      <c r="H271" s="277"/>
    </row>
    <row r="272" spans="1:8" s="37" customFormat="1" ht="21" x14ac:dyDescent="0.25">
      <c r="A272" s="143"/>
      <c r="B272" s="70" t="s">
        <v>85</v>
      </c>
      <c r="C272" s="236" t="s">
        <v>313</v>
      </c>
      <c r="D272" s="43" t="s">
        <v>21</v>
      </c>
      <c r="E272" s="19">
        <v>0.97</v>
      </c>
      <c r="F272" s="277">
        <f>ROUND(F269*E272,2)</f>
        <v>0.68</v>
      </c>
      <c r="G272" s="277"/>
      <c r="H272" s="277"/>
    </row>
    <row r="273" spans="1:8" s="37" customFormat="1" ht="21" x14ac:dyDescent="0.25">
      <c r="A273" s="143"/>
      <c r="B273" s="70" t="s">
        <v>172</v>
      </c>
      <c r="C273" s="236" t="s">
        <v>314</v>
      </c>
      <c r="D273" s="43" t="s">
        <v>21</v>
      </c>
      <c r="E273" s="19">
        <v>2.73</v>
      </c>
      <c r="F273" s="277">
        <f>ROUND(F269*E273,2)</f>
        <v>1.91</v>
      </c>
      <c r="G273" s="277"/>
      <c r="H273" s="277"/>
    </row>
    <row r="274" spans="1:8" s="37" customFormat="1" ht="21" x14ac:dyDescent="0.25">
      <c r="A274" s="143"/>
      <c r="B274" s="70" t="s">
        <v>138</v>
      </c>
      <c r="C274" s="234" t="s">
        <v>315</v>
      </c>
      <c r="D274" s="71" t="s">
        <v>247</v>
      </c>
      <c r="E274" s="19">
        <v>122</v>
      </c>
      <c r="F274" s="277">
        <f>ROUND(F269*E274,2)</f>
        <v>85.4</v>
      </c>
      <c r="G274" s="277"/>
      <c r="H274" s="277"/>
    </row>
    <row r="275" spans="1:8" s="37" customFormat="1" ht="21" x14ac:dyDescent="0.25">
      <c r="A275" s="143"/>
      <c r="B275" s="72"/>
      <c r="C275" s="234" t="s">
        <v>90</v>
      </c>
      <c r="D275" s="71" t="s">
        <v>247</v>
      </c>
      <c r="E275" s="19">
        <v>7</v>
      </c>
      <c r="F275" s="277">
        <f>ROUND(F269*E275,2)</f>
        <v>4.9000000000000004</v>
      </c>
      <c r="G275" s="277"/>
      <c r="H275" s="277"/>
    </row>
    <row r="276" spans="1:8" s="37" customFormat="1" ht="21" x14ac:dyDescent="0.25">
      <c r="A276" s="125">
        <v>13</v>
      </c>
      <c r="B276" s="126" t="s">
        <v>160</v>
      </c>
      <c r="C276" s="213" t="s">
        <v>161</v>
      </c>
      <c r="D276" s="1" t="s">
        <v>258</v>
      </c>
      <c r="E276" s="128"/>
      <c r="F276" s="275">
        <f>7/100</f>
        <v>7.0000000000000007E-2</v>
      </c>
      <c r="G276" s="275"/>
      <c r="H276" s="275"/>
    </row>
    <row r="277" spans="1:8" s="37" customFormat="1" ht="19.5" x14ac:dyDescent="0.25">
      <c r="A277" s="3"/>
      <c r="B277" s="127" t="s">
        <v>15</v>
      </c>
      <c r="C277" s="246" t="s">
        <v>11</v>
      </c>
      <c r="D277" s="3" t="s">
        <v>12</v>
      </c>
      <c r="E277" s="129">
        <v>121</v>
      </c>
      <c r="F277" s="279">
        <f>E277*F276</f>
        <v>8.4700000000000006</v>
      </c>
      <c r="G277" s="279"/>
      <c r="H277" s="279"/>
    </row>
    <row r="278" spans="1:8" s="37" customFormat="1" ht="21" x14ac:dyDescent="0.25">
      <c r="A278" s="3"/>
      <c r="B278" s="127" t="s">
        <v>162</v>
      </c>
      <c r="C278" s="247" t="s">
        <v>163</v>
      </c>
      <c r="D278" s="3" t="s">
        <v>259</v>
      </c>
      <c r="E278" s="129">
        <v>101</v>
      </c>
      <c r="F278" s="279">
        <f>E278*F276</f>
        <v>7.07</v>
      </c>
      <c r="G278" s="280"/>
      <c r="H278" s="280"/>
    </row>
    <row r="279" spans="1:8" s="37" customFormat="1" ht="19.5" x14ac:dyDescent="0.25">
      <c r="A279" s="42">
        <v>18</v>
      </c>
      <c r="B279" s="166" t="s">
        <v>173</v>
      </c>
      <c r="C279" s="61" t="s">
        <v>174</v>
      </c>
      <c r="D279" s="42" t="s">
        <v>175</v>
      </c>
      <c r="E279" s="2"/>
      <c r="F279" s="266">
        <v>7.7000000000000002E-3</v>
      </c>
      <c r="G279" s="266"/>
      <c r="H279" s="266"/>
    </row>
    <row r="280" spans="1:8" s="37" customFormat="1" ht="19.5" x14ac:dyDescent="0.25">
      <c r="A280" s="181"/>
      <c r="B280" s="73" t="s">
        <v>15</v>
      </c>
      <c r="C280" s="223" t="s">
        <v>11</v>
      </c>
      <c r="D280" s="46" t="s">
        <v>12</v>
      </c>
      <c r="E280" s="5">
        <v>223</v>
      </c>
      <c r="F280" s="268">
        <f>E280*F279</f>
        <v>1.7171000000000001</v>
      </c>
      <c r="G280" s="268"/>
      <c r="H280" s="268"/>
    </row>
    <row r="281" spans="1:8" s="37" customFormat="1" ht="19.5" x14ac:dyDescent="0.25">
      <c r="A281" s="181"/>
      <c r="B281" s="73" t="s">
        <v>176</v>
      </c>
      <c r="C281" s="248" t="s">
        <v>177</v>
      </c>
      <c r="D281" s="43" t="s">
        <v>21</v>
      </c>
      <c r="E281" s="5">
        <f>(10.29+27.53/4)*1.15</f>
        <v>19.748374999999999</v>
      </c>
      <c r="F281" s="268">
        <f>E281*F279</f>
        <v>0.15206248750000001</v>
      </c>
      <c r="G281" s="268"/>
      <c r="H281" s="268"/>
    </row>
    <row r="282" spans="1:8" s="37" customFormat="1" ht="19.5" x14ac:dyDescent="0.25">
      <c r="A282" s="181"/>
      <c r="B282" s="70" t="s">
        <v>178</v>
      </c>
      <c r="C282" s="248" t="s">
        <v>179</v>
      </c>
      <c r="D282" s="43" t="s">
        <v>21</v>
      </c>
      <c r="E282" s="5">
        <f>59.4*1.15</f>
        <v>68.309999999999988</v>
      </c>
      <c r="F282" s="268">
        <f>E282*F279</f>
        <v>0.52598699999999987</v>
      </c>
      <c r="G282" s="268"/>
      <c r="H282" s="268"/>
    </row>
    <row r="283" spans="1:8" s="37" customFormat="1" ht="19.5" x14ac:dyDescent="0.25">
      <c r="A283" s="181"/>
      <c r="B283" s="73" t="s">
        <v>27</v>
      </c>
      <c r="C283" s="223" t="s">
        <v>28</v>
      </c>
      <c r="D283" s="46" t="s">
        <v>29</v>
      </c>
      <c r="E283" s="5">
        <v>10.199999999999999</v>
      </c>
      <c r="F283" s="268">
        <f>E283*F279</f>
        <v>7.8539999999999999E-2</v>
      </c>
      <c r="G283" s="268"/>
      <c r="H283" s="268"/>
    </row>
    <row r="284" spans="1:8" s="37" customFormat="1" ht="19.5" x14ac:dyDescent="0.25">
      <c r="A284" s="181"/>
      <c r="B284" s="73"/>
      <c r="C284" s="223" t="s">
        <v>180</v>
      </c>
      <c r="D284" s="46" t="s">
        <v>43</v>
      </c>
      <c r="E284" s="5">
        <v>100</v>
      </c>
      <c r="F284" s="268">
        <f>E284*F279</f>
        <v>0.77</v>
      </c>
      <c r="G284" s="268"/>
      <c r="H284" s="268"/>
    </row>
    <row r="285" spans="1:8" s="37" customFormat="1" ht="19.5" x14ac:dyDescent="0.25">
      <c r="A285" s="181"/>
      <c r="B285" s="73" t="s">
        <v>27</v>
      </c>
      <c r="C285" s="223" t="s">
        <v>55</v>
      </c>
      <c r="D285" s="46" t="s">
        <v>29</v>
      </c>
      <c r="E285" s="5">
        <v>38.200000000000003</v>
      </c>
      <c r="F285" s="268">
        <f>E285*F279</f>
        <v>0.29414000000000001</v>
      </c>
      <c r="G285" s="268"/>
      <c r="H285" s="268"/>
    </row>
    <row r="286" spans="1:8" s="37" customFormat="1" ht="31.5" x14ac:dyDescent="0.25">
      <c r="A286" s="42">
        <v>19</v>
      </c>
      <c r="B286" s="166" t="s">
        <v>181</v>
      </c>
      <c r="C286" s="61" t="s">
        <v>182</v>
      </c>
      <c r="D286" s="42" t="s">
        <v>183</v>
      </c>
      <c r="E286" s="2"/>
      <c r="F286" s="266">
        <v>3.5999999999999997E-2</v>
      </c>
      <c r="G286" s="266"/>
      <c r="H286" s="266"/>
    </row>
    <row r="287" spans="1:8" s="37" customFormat="1" ht="19.5" x14ac:dyDescent="0.25">
      <c r="A287" s="181"/>
      <c r="B287" s="55" t="s">
        <v>15</v>
      </c>
      <c r="C287" s="222" t="s">
        <v>184</v>
      </c>
      <c r="D287" s="44" t="s">
        <v>12</v>
      </c>
      <c r="E287" s="4">
        <v>13.9</v>
      </c>
      <c r="F287" s="267">
        <f>E287*F286</f>
        <v>0.50039999999999996</v>
      </c>
      <c r="G287" s="267"/>
      <c r="H287" s="267"/>
    </row>
    <row r="288" spans="1:8" s="37" customFormat="1" ht="19.5" x14ac:dyDescent="0.25">
      <c r="A288" s="181"/>
      <c r="B288" s="55" t="s">
        <v>27</v>
      </c>
      <c r="C288" s="222" t="s">
        <v>28</v>
      </c>
      <c r="D288" s="44" t="s">
        <v>29</v>
      </c>
      <c r="E288" s="4">
        <v>0.7</v>
      </c>
      <c r="F288" s="267">
        <f>E288*F286</f>
        <v>2.5199999999999997E-2</v>
      </c>
      <c r="G288" s="267"/>
      <c r="H288" s="267"/>
    </row>
    <row r="289" spans="1:8" s="37" customFormat="1" ht="19.5" x14ac:dyDescent="0.25">
      <c r="A289" s="181"/>
      <c r="B289" s="55" t="s">
        <v>185</v>
      </c>
      <c r="C289" s="222" t="s">
        <v>186</v>
      </c>
      <c r="D289" s="44" t="s">
        <v>105</v>
      </c>
      <c r="E289" s="4">
        <v>59</v>
      </c>
      <c r="F289" s="267">
        <f>E289*F286</f>
        <v>2.1239999999999997</v>
      </c>
      <c r="G289" s="267"/>
      <c r="H289" s="267"/>
    </row>
    <row r="290" spans="1:8" s="37" customFormat="1" ht="19.5" x14ac:dyDescent="0.25">
      <c r="A290" s="181"/>
      <c r="B290" s="55" t="s">
        <v>187</v>
      </c>
      <c r="C290" s="222" t="s">
        <v>188</v>
      </c>
      <c r="D290" s="44" t="s">
        <v>105</v>
      </c>
      <c r="E290" s="4">
        <v>10</v>
      </c>
      <c r="F290" s="267">
        <f>E290*F287</f>
        <v>5.0039999999999996</v>
      </c>
      <c r="G290" s="267"/>
      <c r="H290" s="267"/>
    </row>
    <row r="291" spans="1:8" s="37" customFormat="1" ht="19.5" x14ac:dyDescent="0.25">
      <c r="A291" s="181"/>
      <c r="B291" s="55" t="s">
        <v>27</v>
      </c>
      <c r="C291" s="222" t="s">
        <v>55</v>
      </c>
      <c r="D291" s="44" t="s">
        <v>29</v>
      </c>
      <c r="E291" s="4">
        <v>61.4</v>
      </c>
      <c r="F291" s="267">
        <f>E291*F286</f>
        <v>2.2103999999999999</v>
      </c>
      <c r="G291" s="267"/>
      <c r="H291" s="267"/>
    </row>
    <row r="292" spans="1:8" s="37" customFormat="1" ht="31.5" x14ac:dyDescent="0.25">
      <c r="A292" s="180">
        <v>20</v>
      </c>
      <c r="B292" s="42" t="s">
        <v>66</v>
      </c>
      <c r="C292" s="61" t="s">
        <v>318</v>
      </c>
      <c r="D292" s="42" t="s">
        <v>24</v>
      </c>
      <c r="E292" s="1"/>
      <c r="F292" s="266">
        <v>1.4999999999999999E-2</v>
      </c>
      <c r="G292" s="266"/>
      <c r="H292" s="266"/>
    </row>
    <row r="293" spans="1:8" s="37" customFormat="1" ht="19.5" x14ac:dyDescent="0.25">
      <c r="A293" s="181"/>
      <c r="B293" s="55" t="s">
        <v>15</v>
      </c>
      <c r="C293" s="222" t="s">
        <v>11</v>
      </c>
      <c r="D293" s="44" t="s">
        <v>12</v>
      </c>
      <c r="E293" s="3">
        <v>20</v>
      </c>
      <c r="F293" s="267">
        <f>E293*F292</f>
        <v>0.3</v>
      </c>
      <c r="G293" s="267"/>
      <c r="H293" s="267"/>
    </row>
    <row r="294" spans="1:8" s="37" customFormat="1" ht="19.5" x14ac:dyDescent="0.25">
      <c r="A294" s="181"/>
      <c r="B294" s="55" t="s">
        <v>68</v>
      </c>
      <c r="C294" s="226" t="s">
        <v>69</v>
      </c>
      <c r="D294" s="43" t="s">
        <v>21</v>
      </c>
      <c r="E294" s="3">
        <v>44.8</v>
      </c>
      <c r="F294" s="267">
        <f>E294*F292</f>
        <v>0.67199999999999993</v>
      </c>
      <c r="G294" s="267"/>
      <c r="H294" s="267"/>
    </row>
    <row r="295" spans="1:8" s="37" customFormat="1" ht="19.5" x14ac:dyDescent="0.25">
      <c r="A295" s="181"/>
      <c r="B295" s="55" t="s">
        <v>27</v>
      </c>
      <c r="C295" s="222" t="s">
        <v>28</v>
      </c>
      <c r="D295" s="44" t="s">
        <v>29</v>
      </c>
      <c r="E295" s="3">
        <v>2.1</v>
      </c>
      <c r="F295" s="267">
        <f>E295*F292</f>
        <v>3.15E-2</v>
      </c>
      <c r="G295" s="267"/>
      <c r="H295" s="267"/>
    </row>
    <row r="296" spans="1:8" s="37" customFormat="1" ht="19.5" x14ac:dyDescent="0.25">
      <c r="A296" s="180">
        <v>21</v>
      </c>
      <c r="B296" s="183" t="s">
        <v>30</v>
      </c>
      <c r="C296" s="61" t="s">
        <v>240</v>
      </c>
      <c r="D296" s="42" t="s">
        <v>31</v>
      </c>
      <c r="E296" s="1"/>
      <c r="F296" s="266">
        <f>F292*1000*1.95+F290</f>
        <v>34.253999999999998</v>
      </c>
      <c r="G296" s="266"/>
      <c r="H296" s="266"/>
    </row>
    <row r="297" spans="1:8" s="37" customFormat="1" ht="19.5" x14ac:dyDescent="0.25">
      <c r="A297" s="180">
        <v>22</v>
      </c>
      <c r="B297" s="195" t="s">
        <v>74</v>
      </c>
      <c r="C297" s="61" t="s">
        <v>75</v>
      </c>
      <c r="D297" s="42" t="s">
        <v>24</v>
      </c>
      <c r="E297" s="1"/>
      <c r="F297" s="266">
        <f>F288/10+F292</f>
        <v>1.7520000000000001E-2</v>
      </c>
      <c r="G297" s="266"/>
      <c r="H297" s="266"/>
    </row>
    <row r="298" spans="1:8" s="37" customFormat="1" ht="19.5" x14ac:dyDescent="0.25">
      <c r="A298" s="181"/>
      <c r="B298" s="55" t="s">
        <v>15</v>
      </c>
      <c r="C298" s="222" t="s">
        <v>11</v>
      </c>
      <c r="D298" s="44" t="s">
        <v>12</v>
      </c>
      <c r="E298" s="3">
        <v>2.63</v>
      </c>
      <c r="F298" s="267">
        <f>E298*F297</f>
        <v>4.6077600000000003E-2</v>
      </c>
      <c r="G298" s="267"/>
      <c r="H298" s="267"/>
    </row>
    <row r="299" spans="1:8" s="37" customFormat="1" ht="19.5" x14ac:dyDescent="0.25">
      <c r="A299" s="181"/>
      <c r="B299" s="55" t="s">
        <v>72</v>
      </c>
      <c r="C299" s="226" t="s">
        <v>73</v>
      </c>
      <c r="D299" s="43" t="s">
        <v>18</v>
      </c>
      <c r="E299" s="3">
        <f>2.95*1.15</f>
        <v>3.3925000000000001</v>
      </c>
      <c r="F299" s="267">
        <f>E299*F297</f>
        <v>5.9436600000000006E-2</v>
      </c>
      <c r="G299" s="267"/>
      <c r="H299" s="267"/>
    </row>
    <row r="300" spans="1:8" s="37" customFormat="1" ht="19.5" x14ac:dyDescent="0.25">
      <c r="A300" s="181"/>
      <c r="B300" s="55" t="s">
        <v>27</v>
      </c>
      <c r="C300" s="222" t="s">
        <v>28</v>
      </c>
      <c r="D300" s="44" t="s">
        <v>29</v>
      </c>
      <c r="E300" s="3">
        <v>0.16</v>
      </c>
      <c r="F300" s="267">
        <f>E300*F297</f>
        <v>2.8032E-3</v>
      </c>
      <c r="G300" s="267"/>
      <c r="H300" s="267"/>
    </row>
    <row r="301" spans="1:8" s="37" customFormat="1" ht="19.5" x14ac:dyDescent="0.25">
      <c r="A301" s="186"/>
      <c r="B301" s="53"/>
      <c r="C301" s="224" t="s">
        <v>59</v>
      </c>
      <c r="D301" s="54"/>
      <c r="E301" s="9"/>
      <c r="F301" s="272"/>
      <c r="G301" s="272"/>
      <c r="H301" s="272"/>
    </row>
    <row r="302" spans="1:8" s="37" customFormat="1" ht="19.5" x14ac:dyDescent="0.25">
      <c r="A302" s="178"/>
      <c r="B302" s="41"/>
      <c r="C302" s="225" t="s">
        <v>255</v>
      </c>
      <c r="D302" s="41"/>
      <c r="E302" s="10"/>
      <c r="F302" s="273"/>
      <c r="G302" s="273"/>
      <c r="H302" s="273"/>
    </row>
    <row r="303" spans="1:8" s="37" customFormat="1" ht="47.25" x14ac:dyDescent="0.25">
      <c r="A303" s="112">
        <v>1</v>
      </c>
      <c r="B303" s="112" t="s">
        <v>189</v>
      </c>
      <c r="C303" s="218" t="s">
        <v>190</v>
      </c>
      <c r="D303" s="74" t="s">
        <v>43</v>
      </c>
      <c r="E303" s="20"/>
      <c r="F303" s="271">
        <v>7194.12</v>
      </c>
      <c r="G303" s="271"/>
      <c r="H303" s="266"/>
    </row>
    <row r="304" spans="1:8" s="37" customFormat="1" ht="19.5" x14ac:dyDescent="0.25">
      <c r="A304" s="197"/>
      <c r="B304" s="113"/>
      <c r="C304" s="227" t="s">
        <v>108</v>
      </c>
      <c r="D304" s="76" t="s">
        <v>191</v>
      </c>
      <c r="E304" s="21">
        <v>0.15</v>
      </c>
      <c r="F304" s="270">
        <f>F303*E304</f>
        <v>1079.1179999999999</v>
      </c>
      <c r="G304" s="270"/>
      <c r="H304" s="281"/>
    </row>
    <row r="305" spans="1:8" s="37" customFormat="1" ht="19.5" x14ac:dyDescent="0.25">
      <c r="A305" s="197"/>
      <c r="B305" s="113"/>
      <c r="C305" s="227" t="s">
        <v>192</v>
      </c>
      <c r="D305" s="76" t="s">
        <v>43</v>
      </c>
      <c r="E305" s="21">
        <v>1.22</v>
      </c>
      <c r="F305" s="270">
        <f>F303*E305</f>
        <v>8776.8263999999999</v>
      </c>
      <c r="G305" s="270"/>
      <c r="H305" s="281"/>
    </row>
    <row r="306" spans="1:8" s="37" customFormat="1" ht="19.5" x14ac:dyDescent="0.25">
      <c r="A306" s="197"/>
      <c r="B306" s="113" t="s">
        <v>78</v>
      </c>
      <c r="C306" s="227" t="s">
        <v>193</v>
      </c>
      <c r="D306" s="76" t="s">
        <v>71</v>
      </c>
      <c r="E306" s="22">
        <v>2.1600000000000001E-2</v>
      </c>
      <c r="F306" s="270">
        <f>F303*E306</f>
        <v>155.39299199999999</v>
      </c>
      <c r="G306" s="270"/>
      <c r="H306" s="281"/>
    </row>
    <row r="307" spans="1:8" s="37" customFormat="1" ht="19.5" x14ac:dyDescent="0.25">
      <c r="A307" s="197"/>
      <c r="B307" s="113" t="s">
        <v>172</v>
      </c>
      <c r="C307" s="227" t="s">
        <v>194</v>
      </c>
      <c r="D307" s="76" t="s">
        <v>71</v>
      </c>
      <c r="E307" s="22">
        <v>2.7300000000000001E-2</v>
      </c>
      <c r="F307" s="270">
        <f>F303*E307</f>
        <v>196.39947599999999</v>
      </c>
      <c r="G307" s="270"/>
      <c r="H307" s="281"/>
    </row>
    <row r="308" spans="1:8" s="37" customFormat="1" ht="19.5" x14ac:dyDescent="0.25">
      <c r="A308" s="197"/>
      <c r="B308" s="113" t="s">
        <v>85</v>
      </c>
      <c r="C308" s="227" t="s">
        <v>195</v>
      </c>
      <c r="D308" s="76" t="s">
        <v>71</v>
      </c>
      <c r="E308" s="22">
        <v>9.7000000000000003E-3</v>
      </c>
      <c r="F308" s="270">
        <f>F303*E308</f>
        <v>69.782964000000007</v>
      </c>
      <c r="G308" s="270"/>
      <c r="H308" s="281"/>
    </row>
    <row r="309" spans="1:8" s="37" customFormat="1" ht="19.5" x14ac:dyDescent="0.25">
      <c r="A309" s="197"/>
      <c r="B309" s="113"/>
      <c r="C309" s="227" t="s">
        <v>90</v>
      </c>
      <c r="D309" s="76" t="s">
        <v>43</v>
      </c>
      <c r="E309" s="21">
        <v>7.0000000000000007E-2</v>
      </c>
      <c r="F309" s="270">
        <f>F303*E309</f>
        <v>503.58840000000004</v>
      </c>
      <c r="G309" s="270"/>
      <c r="H309" s="281"/>
    </row>
    <row r="310" spans="1:8" s="37" customFormat="1" ht="31.5" x14ac:dyDescent="0.25">
      <c r="A310" s="198">
        <v>2</v>
      </c>
      <c r="B310" s="206" t="s">
        <v>196</v>
      </c>
      <c r="C310" s="219" t="s">
        <v>251</v>
      </c>
      <c r="D310" s="77" t="s">
        <v>248</v>
      </c>
      <c r="E310" s="207"/>
      <c r="F310" s="271">
        <v>18874.400000000001</v>
      </c>
      <c r="G310" s="271"/>
      <c r="H310" s="266"/>
    </row>
    <row r="311" spans="1:8" s="37" customFormat="1" ht="19.5" x14ac:dyDescent="0.25">
      <c r="A311" s="78"/>
      <c r="B311" s="78"/>
      <c r="C311" s="249" t="s">
        <v>108</v>
      </c>
      <c r="D311" s="79" t="s">
        <v>191</v>
      </c>
      <c r="E311" s="24">
        <v>3.3000000000000002E-2</v>
      </c>
      <c r="F311" s="270">
        <f>F310*E311</f>
        <v>622.85520000000008</v>
      </c>
      <c r="G311" s="270"/>
      <c r="H311" s="270"/>
    </row>
    <row r="312" spans="1:8" s="37" customFormat="1" ht="19.5" x14ac:dyDescent="0.25">
      <c r="A312" s="78"/>
      <c r="B312" s="78" t="s">
        <v>197</v>
      </c>
      <c r="C312" s="250" t="s">
        <v>198</v>
      </c>
      <c r="D312" s="80" t="s">
        <v>71</v>
      </c>
      <c r="E312" s="24">
        <f>0.42/1000</f>
        <v>4.1999999999999996E-4</v>
      </c>
      <c r="F312" s="270">
        <f>F310*E312</f>
        <v>7.9272479999999996</v>
      </c>
      <c r="G312" s="270"/>
      <c r="H312" s="281"/>
    </row>
    <row r="313" spans="1:8" s="37" customFormat="1" ht="19.5" x14ac:dyDescent="0.25">
      <c r="A313" s="78"/>
      <c r="B313" s="78" t="s">
        <v>81</v>
      </c>
      <c r="C313" s="227" t="s">
        <v>82</v>
      </c>
      <c r="D313" s="80" t="s">
        <v>71</v>
      </c>
      <c r="E313" s="25">
        <f>11.2/1000</f>
        <v>1.12E-2</v>
      </c>
      <c r="F313" s="270">
        <f>F310*E313</f>
        <v>211.39328</v>
      </c>
      <c r="G313" s="270"/>
      <c r="H313" s="281"/>
    </row>
    <row r="314" spans="1:8" s="37" customFormat="1" ht="19.5" x14ac:dyDescent="0.25">
      <c r="A314" s="78"/>
      <c r="B314" s="78" t="s">
        <v>83</v>
      </c>
      <c r="C314" s="227" t="s">
        <v>199</v>
      </c>
      <c r="D314" s="80" t="s">
        <v>71</v>
      </c>
      <c r="E314" s="23">
        <f>24.8/1000</f>
        <v>2.4799999999999999E-2</v>
      </c>
      <c r="F314" s="270">
        <f>F310*E315</f>
        <v>78.140016000000003</v>
      </c>
      <c r="G314" s="270"/>
      <c r="H314" s="281"/>
    </row>
    <row r="315" spans="1:8" s="37" customFormat="1" ht="19.5" x14ac:dyDescent="0.25">
      <c r="A315" s="78"/>
      <c r="B315" s="78" t="s">
        <v>85</v>
      </c>
      <c r="C315" s="227" t="s">
        <v>200</v>
      </c>
      <c r="D315" s="80" t="s">
        <v>71</v>
      </c>
      <c r="E315" s="23">
        <f>4.14/1000</f>
        <v>4.1399999999999996E-3</v>
      </c>
      <c r="F315" s="270">
        <f>F310*E315</f>
        <v>78.140016000000003</v>
      </c>
      <c r="G315" s="270"/>
      <c r="H315" s="281"/>
    </row>
    <row r="316" spans="1:8" s="37" customFormat="1" ht="19.5" x14ac:dyDescent="0.25">
      <c r="A316" s="78"/>
      <c r="B316" s="114" t="s">
        <v>201</v>
      </c>
      <c r="C316" s="251" t="s">
        <v>202</v>
      </c>
      <c r="D316" s="78" t="s">
        <v>249</v>
      </c>
      <c r="E316" s="25">
        <v>0.189</v>
      </c>
      <c r="F316" s="270">
        <f>F310*E316</f>
        <v>3567.2616000000003</v>
      </c>
      <c r="G316" s="270"/>
      <c r="H316" s="281"/>
    </row>
    <row r="317" spans="1:8" s="37" customFormat="1" ht="19.5" x14ac:dyDescent="0.25">
      <c r="A317" s="78"/>
      <c r="B317" s="78"/>
      <c r="C317" s="227" t="s">
        <v>90</v>
      </c>
      <c r="D317" s="78" t="s">
        <v>249</v>
      </c>
      <c r="E317" s="23">
        <v>0.03</v>
      </c>
      <c r="F317" s="270">
        <f>F310*E317</f>
        <v>566.23199999999997</v>
      </c>
      <c r="G317" s="270"/>
      <c r="H317" s="281"/>
    </row>
    <row r="318" spans="1:8" s="37" customFormat="1" ht="31.5" x14ac:dyDescent="0.25">
      <c r="A318" s="82">
        <v>3</v>
      </c>
      <c r="B318" s="82" t="s">
        <v>203</v>
      </c>
      <c r="C318" s="219" t="s">
        <v>204</v>
      </c>
      <c r="D318" s="82" t="s">
        <v>149</v>
      </c>
      <c r="E318" s="208"/>
      <c r="F318" s="271">
        <v>16836</v>
      </c>
      <c r="G318" s="271"/>
      <c r="H318" s="266"/>
    </row>
    <row r="319" spans="1:8" s="37" customFormat="1" ht="19.5" x14ac:dyDescent="0.25">
      <c r="A319" s="81"/>
      <c r="B319" s="81"/>
      <c r="C319" s="251" t="s">
        <v>108</v>
      </c>
      <c r="D319" s="80" t="s">
        <v>191</v>
      </c>
      <c r="E319" s="26">
        <v>0.191</v>
      </c>
      <c r="F319" s="270">
        <f>F318*E319</f>
        <v>3215.6759999999999</v>
      </c>
      <c r="G319" s="270"/>
      <c r="H319" s="281"/>
    </row>
    <row r="320" spans="1:8" s="37" customFormat="1" ht="19.5" x14ac:dyDescent="0.25">
      <c r="A320" s="113"/>
      <c r="B320" s="78" t="s">
        <v>205</v>
      </c>
      <c r="C320" s="249" t="s">
        <v>206</v>
      </c>
      <c r="D320" s="75" t="s">
        <v>71</v>
      </c>
      <c r="E320" s="27">
        <v>1.9E-2</v>
      </c>
      <c r="F320" s="270">
        <f>F318*E320</f>
        <v>319.88400000000001</v>
      </c>
      <c r="G320" s="270"/>
      <c r="H320" s="281"/>
    </row>
    <row r="321" spans="1:8" s="37" customFormat="1" ht="19.5" x14ac:dyDescent="0.25">
      <c r="A321" s="78"/>
      <c r="B321" s="115" t="s">
        <v>142</v>
      </c>
      <c r="C321" s="249" t="s">
        <v>207</v>
      </c>
      <c r="D321" s="78" t="s">
        <v>71</v>
      </c>
      <c r="E321" s="28">
        <v>1.8599999999999998E-2</v>
      </c>
      <c r="F321" s="270">
        <f>F318*E321</f>
        <v>313.14959999999996</v>
      </c>
      <c r="G321" s="270"/>
      <c r="H321" s="281"/>
    </row>
    <row r="322" spans="1:8" s="37" customFormat="1" ht="19.5" x14ac:dyDescent="0.25">
      <c r="A322" s="81"/>
      <c r="B322" s="81" t="s">
        <v>208</v>
      </c>
      <c r="C322" s="249" t="s">
        <v>209</v>
      </c>
      <c r="D322" s="79" t="s">
        <v>71</v>
      </c>
      <c r="E322" s="29">
        <v>1.9E-2</v>
      </c>
      <c r="F322" s="270">
        <f>F321*E322</f>
        <v>5.9498423999999988</v>
      </c>
      <c r="G322" s="270"/>
      <c r="H322" s="281"/>
    </row>
    <row r="323" spans="1:8" s="37" customFormat="1" ht="19.5" x14ac:dyDescent="0.25">
      <c r="A323" s="81"/>
      <c r="B323" s="81" t="s">
        <v>210</v>
      </c>
      <c r="C323" s="251" t="s">
        <v>211</v>
      </c>
      <c r="D323" s="80" t="s">
        <v>71</v>
      </c>
      <c r="E323" s="29">
        <v>1.9E-2</v>
      </c>
      <c r="F323" s="270">
        <f>F321*E323</f>
        <v>5.9498423999999988</v>
      </c>
      <c r="G323" s="270"/>
      <c r="H323" s="281"/>
    </row>
    <row r="324" spans="1:8" s="37" customFormat="1" ht="31.5" x14ac:dyDescent="0.25">
      <c r="A324" s="81"/>
      <c r="B324" s="81"/>
      <c r="C324" s="251" t="s">
        <v>212</v>
      </c>
      <c r="D324" s="80" t="s">
        <v>105</v>
      </c>
      <c r="E324" s="29">
        <v>0.4</v>
      </c>
      <c r="F324" s="270">
        <f>F318*E324</f>
        <v>6734.4000000000005</v>
      </c>
      <c r="G324" s="270"/>
      <c r="H324" s="281"/>
    </row>
    <row r="325" spans="1:8" s="37" customFormat="1" ht="19.5" x14ac:dyDescent="0.25">
      <c r="A325" s="81"/>
      <c r="B325" s="81"/>
      <c r="C325" s="249" t="s">
        <v>213</v>
      </c>
      <c r="D325" s="81" t="s">
        <v>29</v>
      </c>
      <c r="E325" s="30">
        <v>2.63E-2</v>
      </c>
      <c r="F325" s="270">
        <f>F321*E325</f>
        <v>8.2358344799999994</v>
      </c>
      <c r="G325" s="270"/>
      <c r="H325" s="281"/>
    </row>
    <row r="326" spans="1:8" s="37" customFormat="1" ht="19.5" x14ac:dyDescent="0.25">
      <c r="A326" s="81"/>
      <c r="B326" s="114" t="s">
        <v>214</v>
      </c>
      <c r="C326" s="252" t="s">
        <v>215</v>
      </c>
      <c r="D326" s="83" t="s">
        <v>43</v>
      </c>
      <c r="E326" s="31">
        <v>0.16239999999999999</v>
      </c>
      <c r="F326" s="270">
        <f>F318*E326</f>
        <v>2734.1663999999996</v>
      </c>
      <c r="G326" s="270"/>
      <c r="H326" s="281"/>
    </row>
    <row r="327" spans="1:8" s="37" customFormat="1" ht="19.5" x14ac:dyDescent="0.25">
      <c r="A327" s="81"/>
      <c r="B327" s="114"/>
      <c r="C327" s="251" t="s">
        <v>216</v>
      </c>
      <c r="D327" s="83" t="s">
        <v>31</v>
      </c>
      <c r="E327" s="32"/>
      <c r="F327" s="282">
        <v>33.671999999999997</v>
      </c>
      <c r="G327" s="270"/>
      <c r="H327" s="281"/>
    </row>
    <row r="328" spans="1:8" s="37" customFormat="1" ht="31.5" x14ac:dyDescent="0.25">
      <c r="A328" s="199" t="s">
        <v>217</v>
      </c>
      <c r="B328" s="209" t="s">
        <v>218</v>
      </c>
      <c r="C328" s="220" t="s">
        <v>219</v>
      </c>
      <c r="D328" s="84" t="s">
        <v>220</v>
      </c>
      <c r="E328" s="33"/>
      <c r="F328" s="271">
        <v>3515</v>
      </c>
      <c r="G328" s="271"/>
      <c r="H328" s="266"/>
    </row>
    <row r="329" spans="1:8" s="37" customFormat="1" ht="19.5" x14ac:dyDescent="0.25">
      <c r="A329" s="81"/>
      <c r="B329" s="114"/>
      <c r="C329" s="252" t="s">
        <v>108</v>
      </c>
      <c r="D329" s="83" t="s">
        <v>191</v>
      </c>
      <c r="E329" s="34">
        <v>7.6999999999999999E-2</v>
      </c>
      <c r="F329" s="270">
        <f>F328*E329</f>
        <v>270.65499999999997</v>
      </c>
      <c r="G329" s="270"/>
      <c r="H329" s="281"/>
    </row>
    <row r="330" spans="1:8" s="37" customFormat="1" ht="19.5" x14ac:dyDescent="0.25">
      <c r="A330" s="81"/>
      <c r="B330" s="81" t="s">
        <v>70</v>
      </c>
      <c r="C330" s="252" t="s">
        <v>221</v>
      </c>
      <c r="D330" s="83" t="s">
        <v>71</v>
      </c>
      <c r="E330" s="34">
        <v>0.19400000000000001</v>
      </c>
      <c r="F330" s="270">
        <f>F328*E330</f>
        <v>681.91</v>
      </c>
      <c r="G330" s="270"/>
      <c r="H330" s="281"/>
    </row>
    <row r="331" spans="1:8" s="37" customFormat="1" ht="19.5" x14ac:dyDescent="0.25">
      <c r="A331" s="81"/>
      <c r="B331" s="81" t="s">
        <v>205</v>
      </c>
      <c r="C331" s="252" t="s">
        <v>206</v>
      </c>
      <c r="D331" s="83" t="s">
        <v>71</v>
      </c>
      <c r="E331" s="31">
        <v>2.4199999999999999E-2</v>
      </c>
      <c r="F331" s="270">
        <f>F328*E331</f>
        <v>85.063000000000002</v>
      </c>
      <c r="G331" s="270"/>
      <c r="H331" s="281"/>
    </row>
    <row r="332" spans="1:8" s="37" customFormat="1" ht="19.5" x14ac:dyDescent="0.25">
      <c r="A332" s="81"/>
      <c r="B332" s="81"/>
      <c r="C332" s="252" t="s">
        <v>222</v>
      </c>
      <c r="D332" s="83" t="s">
        <v>71</v>
      </c>
      <c r="E332" s="31">
        <v>1.67E-2</v>
      </c>
      <c r="F332" s="270">
        <f>F328*E332</f>
        <v>58.700499999999998</v>
      </c>
      <c r="G332" s="270"/>
      <c r="H332" s="281"/>
    </row>
    <row r="333" spans="1:8" s="37" customFormat="1" ht="19.5" x14ac:dyDescent="0.25">
      <c r="A333" s="81"/>
      <c r="B333" s="81" t="s">
        <v>85</v>
      </c>
      <c r="C333" s="252" t="s">
        <v>200</v>
      </c>
      <c r="D333" s="83" t="s">
        <v>71</v>
      </c>
      <c r="E333" s="31">
        <v>8.8000000000000005E-3</v>
      </c>
      <c r="F333" s="270">
        <f>F328*E333</f>
        <v>30.932000000000002</v>
      </c>
      <c r="G333" s="270"/>
      <c r="H333" s="281"/>
    </row>
    <row r="334" spans="1:8" s="37" customFormat="1" ht="19.5" x14ac:dyDescent="0.25">
      <c r="A334" s="81"/>
      <c r="B334" s="114"/>
      <c r="C334" s="252" t="s">
        <v>213</v>
      </c>
      <c r="D334" s="83" t="s">
        <v>29</v>
      </c>
      <c r="E334" s="34">
        <v>6.4000000000000001E-2</v>
      </c>
      <c r="F334" s="270">
        <f>F328*E334</f>
        <v>224.96</v>
      </c>
      <c r="G334" s="270"/>
      <c r="H334" s="281"/>
    </row>
    <row r="335" spans="1:8" s="37" customFormat="1" ht="19.5" x14ac:dyDescent="0.25">
      <c r="A335" s="81"/>
      <c r="B335" s="114"/>
      <c r="C335" s="252" t="s">
        <v>90</v>
      </c>
      <c r="D335" s="83" t="s">
        <v>43</v>
      </c>
      <c r="E335" s="34">
        <v>6.2E-2</v>
      </c>
      <c r="F335" s="270">
        <f>F328*E335</f>
        <v>217.93</v>
      </c>
      <c r="G335" s="270"/>
      <c r="H335" s="281"/>
    </row>
    <row r="336" spans="1:8" s="37" customFormat="1" ht="19.5" x14ac:dyDescent="0.25">
      <c r="A336" s="81"/>
      <c r="B336" s="114"/>
      <c r="C336" s="252" t="s">
        <v>223</v>
      </c>
      <c r="D336" s="83" t="s">
        <v>31</v>
      </c>
      <c r="E336" s="31">
        <v>2.9999999999999997E-4</v>
      </c>
      <c r="F336" s="270">
        <f>F328*E336</f>
        <v>1.0545</v>
      </c>
      <c r="G336" s="270"/>
      <c r="H336" s="281"/>
    </row>
    <row r="337" spans="1:8" s="37" customFormat="1" ht="19.5" x14ac:dyDescent="0.25">
      <c r="A337" s="81"/>
      <c r="B337" s="114"/>
      <c r="C337" s="252" t="s">
        <v>224</v>
      </c>
      <c r="D337" s="83" t="s">
        <v>29</v>
      </c>
      <c r="E337" s="31">
        <v>1.7000000000000001E-2</v>
      </c>
      <c r="F337" s="270">
        <f>F328*E337</f>
        <v>59.755000000000003</v>
      </c>
      <c r="G337" s="270"/>
      <c r="H337" s="281"/>
    </row>
    <row r="338" spans="1:8" s="37" customFormat="1" ht="31.5" x14ac:dyDescent="0.25">
      <c r="A338" s="198">
        <v>5</v>
      </c>
      <c r="B338" s="210" t="s">
        <v>225</v>
      </c>
      <c r="C338" s="221" t="s">
        <v>226</v>
      </c>
      <c r="D338" s="198" t="s">
        <v>311</v>
      </c>
      <c r="E338" s="207"/>
      <c r="F338" s="271">
        <v>1010</v>
      </c>
      <c r="G338" s="271"/>
      <c r="H338" s="266"/>
    </row>
    <row r="339" spans="1:8" s="37" customFormat="1" ht="19.5" x14ac:dyDescent="0.25">
      <c r="A339" s="78"/>
      <c r="B339" s="78"/>
      <c r="C339" s="249" t="s">
        <v>108</v>
      </c>
      <c r="D339" s="79" t="s">
        <v>191</v>
      </c>
      <c r="E339" s="23">
        <v>0.15</v>
      </c>
      <c r="F339" s="270">
        <f>F338*E339</f>
        <v>151.5</v>
      </c>
      <c r="G339" s="270"/>
      <c r="H339" s="281"/>
    </row>
    <row r="340" spans="1:8" s="37" customFormat="1" ht="19.5" x14ac:dyDescent="0.25">
      <c r="A340" s="78"/>
      <c r="B340" s="114" t="s">
        <v>227</v>
      </c>
      <c r="C340" s="227" t="s">
        <v>192</v>
      </c>
      <c r="D340" s="78" t="s">
        <v>249</v>
      </c>
      <c r="E340" s="23">
        <v>1.22</v>
      </c>
      <c r="F340" s="270">
        <f>F338*E340</f>
        <v>1232.2</v>
      </c>
      <c r="G340" s="270"/>
      <c r="H340" s="281"/>
    </row>
    <row r="341" spans="1:8" s="37" customFormat="1" ht="19.5" x14ac:dyDescent="0.25">
      <c r="A341" s="78"/>
      <c r="B341" s="78" t="s">
        <v>197</v>
      </c>
      <c r="C341" s="250" t="s">
        <v>198</v>
      </c>
      <c r="D341" s="80" t="s">
        <v>71</v>
      </c>
      <c r="E341" s="25">
        <v>2.1600000000000001E-2</v>
      </c>
      <c r="F341" s="270">
        <f>F338*E341</f>
        <v>21.816000000000003</v>
      </c>
      <c r="G341" s="270"/>
      <c r="H341" s="281"/>
    </row>
    <row r="342" spans="1:8" s="37" customFormat="1" ht="19.5" x14ac:dyDescent="0.25">
      <c r="A342" s="78"/>
      <c r="B342" s="78" t="s">
        <v>228</v>
      </c>
      <c r="C342" s="227" t="s">
        <v>229</v>
      </c>
      <c r="D342" s="80" t="s">
        <v>71</v>
      </c>
      <c r="E342" s="25">
        <v>2.7300000000000001E-2</v>
      </c>
      <c r="F342" s="270">
        <f>F338*E342</f>
        <v>27.573</v>
      </c>
      <c r="G342" s="270"/>
      <c r="H342" s="281"/>
    </row>
    <row r="343" spans="1:8" s="37" customFormat="1" ht="19.5" x14ac:dyDescent="0.25">
      <c r="A343" s="78"/>
      <c r="B343" s="78" t="s">
        <v>230</v>
      </c>
      <c r="C343" s="227" t="s">
        <v>200</v>
      </c>
      <c r="D343" s="80" t="s">
        <v>71</v>
      </c>
      <c r="E343" s="25">
        <v>9.7000000000000003E-3</v>
      </c>
      <c r="F343" s="270">
        <f>F338*E343</f>
        <v>9.7970000000000006</v>
      </c>
      <c r="G343" s="270"/>
      <c r="H343" s="281"/>
    </row>
    <row r="344" spans="1:8" s="37" customFormat="1" ht="19.5" x14ac:dyDescent="0.25">
      <c r="A344" s="78"/>
      <c r="B344" s="78"/>
      <c r="C344" s="227" t="s">
        <v>90</v>
      </c>
      <c r="D344" s="78" t="s">
        <v>249</v>
      </c>
      <c r="E344" s="23">
        <v>7.0000000000000007E-2</v>
      </c>
      <c r="F344" s="270">
        <f>F338*E344</f>
        <v>70.7</v>
      </c>
      <c r="G344" s="270"/>
      <c r="H344" s="281"/>
    </row>
    <row r="345" spans="1:8" s="37" customFormat="1" ht="19.5" x14ac:dyDescent="0.25">
      <c r="A345" s="186"/>
      <c r="B345" s="53"/>
      <c r="C345" s="224" t="s">
        <v>59</v>
      </c>
      <c r="D345" s="54"/>
      <c r="E345" s="9"/>
      <c r="F345" s="272"/>
      <c r="G345" s="272"/>
      <c r="H345" s="272"/>
    </row>
    <row r="346" spans="1:8" s="37" customFormat="1" ht="19.5" x14ac:dyDescent="0.25">
      <c r="A346" s="178"/>
      <c r="B346" s="41"/>
      <c r="C346" s="225" t="s">
        <v>256</v>
      </c>
      <c r="D346" s="41"/>
      <c r="E346" s="10"/>
      <c r="F346" s="273"/>
      <c r="G346" s="273"/>
      <c r="H346" s="273"/>
    </row>
    <row r="347" spans="1:8" s="37" customFormat="1" ht="31.5" x14ac:dyDescent="0.25">
      <c r="A347" s="112"/>
      <c r="B347" s="112" t="s">
        <v>260</v>
      </c>
      <c r="C347" s="218" t="s">
        <v>319</v>
      </c>
      <c r="D347" s="74" t="s">
        <v>31</v>
      </c>
      <c r="E347" s="20"/>
      <c r="F347" s="271">
        <v>1.27</v>
      </c>
      <c r="G347" s="271"/>
      <c r="H347" s="266"/>
    </row>
    <row r="348" spans="1:8" s="37" customFormat="1" ht="18.75" x14ac:dyDescent="0.25">
      <c r="A348" s="130"/>
      <c r="B348" s="132"/>
      <c r="C348" s="253" t="s">
        <v>108</v>
      </c>
      <c r="D348" s="130" t="s">
        <v>262</v>
      </c>
      <c r="E348" s="119">
        <v>303</v>
      </c>
      <c r="F348" s="270">
        <f>F347*E348</f>
        <v>384.81</v>
      </c>
      <c r="G348" s="270"/>
      <c r="H348" s="270"/>
    </row>
    <row r="349" spans="1:8" s="37" customFormat="1" ht="18.75" x14ac:dyDescent="0.25">
      <c r="A349" s="130"/>
      <c r="B349" s="131"/>
      <c r="C349" s="253" t="s">
        <v>28</v>
      </c>
      <c r="D349" s="130" t="s">
        <v>263</v>
      </c>
      <c r="E349" s="119">
        <v>2.1</v>
      </c>
      <c r="F349" s="270">
        <f>E349*F347</f>
        <v>2.6670000000000003</v>
      </c>
      <c r="G349" s="270"/>
      <c r="H349" s="270"/>
    </row>
    <row r="350" spans="1:8" s="37" customFormat="1" ht="18.75" x14ac:dyDescent="0.25">
      <c r="A350" s="133"/>
      <c r="B350" s="133"/>
      <c r="C350" s="254" t="s">
        <v>320</v>
      </c>
      <c r="D350" s="134" t="s">
        <v>261</v>
      </c>
      <c r="E350" s="119"/>
      <c r="F350" s="270">
        <f>F347</f>
        <v>1.27</v>
      </c>
      <c r="G350" s="270"/>
      <c r="H350" s="270"/>
    </row>
    <row r="351" spans="1:8" s="37" customFormat="1" ht="47.25" x14ac:dyDescent="0.25">
      <c r="A351" s="112">
        <v>1</v>
      </c>
      <c r="B351" s="112" t="s">
        <v>189</v>
      </c>
      <c r="C351" s="218" t="s">
        <v>190</v>
      </c>
      <c r="D351" s="74" t="s">
        <v>43</v>
      </c>
      <c r="E351" s="20"/>
      <c r="F351" s="271">
        <v>83.44</v>
      </c>
      <c r="G351" s="271"/>
      <c r="H351" s="266"/>
    </row>
    <row r="352" spans="1:8" s="37" customFormat="1" ht="19.5" x14ac:dyDescent="0.25">
      <c r="A352" s="197"/>
      <c r="B352" s="113"/>
      <c r="C352" s="227" t="s">
        <v>108</v>
      </c>
      <c r="D352" s="76" t="s">
        <v>191</v>
      </c>
      <c r="E352" s="21">
        <v>0.15</v>
      </c>
      <c r="F352" s="270">
        <f>F351*E352</f>
        <v>12.516</v>
      </c>
      <c r="G352" s="270"/>
      <c r="H352" s="281"/>
    </row>
    <row r="353" spans="1:8" s="37" customFormat="1" ht="19.5" x14ac:dyDescent="0.25">
      <c r="A353" s="197"/>
      <c r="B353" s="113"/>
      <c r="C353" s="227" t="s">
        <v>192</v>
      </c>
      <c r="D353" s="76" t="s">
        <v>43</v>
      </c>
      <c r="E353" s="21">
        <v>1.22</v>
      </c>
      <c r="F353" s="270">
        <f>F351*E353</f>
        <v>101.79679999999999</v>
      </c>
      <c r="G353" s="270"/>
      <c r="H353" s="281"/>
    </row>
    <row r="354" spans="1:8" s="37" customFormat="1" ht="19.5" x14ac:dyDescent="0.25">
      <c r="A354" s="197"/>
      <c r="B354" s="113" t="s">
        <v>78</v>
      </c>
      <c r="C354" s="227" t="s">
        <v>193</v>
      </c>
      <c r="D354" s="76" t="s">
        <v>71</v>
      </c>
      <c r="E354" s="22">
        <v>2.1600000000000001E-2</v>
      </c>
      <c r="F354" s="270">
        <f>F351*E354</f>
        <v>1.8023040000000001</v>
      </c>
      <c r="G354" s="270"/>
      <c r="H354" s="281"/>
    </row>
    <row r="355" spans="1:8" s="37" customFormat="1" ht="19.5" x14ac:dyDescent="0.25">
      <c r="A355" s="197"/>
      <c r="B355" s="113" t="s">
        <v>172</v>
      </c>
      <c r="C355" s="227" t="s">
        <v>194</v>
      </c>
      <c r="D355" s="76" t="s">
        <v>71</v>
      </c>
      <c r="E355" s="22">
        <v>2.7300000000000001E-2</v>
      </c>
      <c r="F355" s="270">
        <f>F351*E355</f>
        <v>2.2779120000000002</v>
      </c>
      <c r="G355" s="270"/>
      <c r="H355" s="281"/>
    </row>
    <row r="356" spans="1:8" s="37" customFormat="1" ht="19.5" x14ac:dyDescent="0.25">
      <c r="A356" s="197"/>
      <c r="B356" s="113" t="s">
        <v>85</v>
      </c>
      <c r="C356" s="227" t="s">
        <v>195</v>
      </c>
      <c r="D356" s="76" t="s">
        <v>71</v>
      </c>
      <c r="E356" s="22">
        <v>9.7000000000000003E-3</v>
      </c>
      <c r="F356" s="270">
        <f>F351*E356</f>
        <v>0.80936799999999998</v>
      </c>
      <c r="G356" s="270"/>
      <c r="H356" s="281"/>
    </row>
    <row r="357" spans="1:8" s="37" customFormat="1" ht="19.5" x14ac:dyDescent="0.25">
      <c r="A357" s="197"/>
      <c r="B357" s="113"/>
      <c r="C357" s="227" t="s">
        <v>90</v>
      </c>
      <c r="D357" s="76" t="s">
        <v>43</v>
      </c>
      <c r="E357" s="21">
        <v>7.0000000000000007E-2</v>
      </c>
      <c r="F357" s="270">
        <f>F351*E357</f>
        <v>5.8408000000000007</v>
      </c>
      <c r="G357" s="270"/>
      <c r="H357" s="281"/>
    </row>
    <row r="358" spans="1:8" s="37" customFormat="1" ht="31.5" x14ac:dyDescent="0.25">
      <c r="A358" s="198">
        <v>2</v>
      </c>
      <c r="B358" s="206" t="s">
        <v>196</v>
      </c>
      <c r="C358" s="219" t="s">
        <v>251</v>
      </c>
      <c r="D358" s="77" t="s">
        <v>248</v>
      </c>
      <c r="E358" s="207"/>
      <c r="F358" s="271">
        <v>284.8</v>
      </c>
      <c r="G358" s="271"/>
      <c r="H358" s="266"/>
    </row>
    <row r="359" spans="1:8" s="37" customFormat="1" ht="19.5" x14ac:dyDescent="0.25">
      <c r="A359" s="78"/>
      <c r="B359" s="78"/>
      <c r="C359" s="249" t="s">
        <v>108</v>
      </c>
      <c r="D359" s="79" t="s">
        <v>191</v>
      </c>
      <c r="E359" s="24">
        <v>3.3000000000000002E-2</v>
      </c>
      <c r="F359" s="270">
        <f>F358*E359</f>
        <v>9.3984000000000005</v>
      </c>
      <c r="G359" s="270"/>
      <c r="H359" s="270"/>
    </row>
    <row r="360" spans="1:8" s="37" customFormat="1" ht="19.5" x14ac:dyDescent="0.25">
      <c r="A360" s="78"/>
      <c r="B360" s="78" t="s">
        <v>197</v>
      </c>
      <c r="C360" s="250" t="s">
        <v>198</v>
      </c>
      <c r="D360" s="80" t="s">
        <v>71</v>
      </c>
      <c r="E360" s="24">
        <f>0.42/1000</f>
        <v>4.1999999999999996E-4</v>
      </c>
      <c r="F360" s="270">
        <f>F358*E360</f>
        <v>0.119616</v>
      </c>
      <c r="G360" s="270"/>
      <c r="H360" s="281"/>
    </row>
    <row r="361" spans="1:8" s="37" customFormat="1" ht="19.5" x14ac:dyDescent="0.25">
      <c r="A361" s="78"/>
      <c r="B361" s="78" t="s">
        <v>81</v>
      </c>
      <c r="C361" s="227" t="s">
        <v>82</v>
      </c>
      <c r="D361" s="80" t="s">
        <v>71</v>
      </c>
      <c r="E361" s="25">
        <f>11.2/1000</f>
        <v>1.12E-2</v>
      </c>
      <c r="F361" s="270">
        <f>F358*E361</f>
        <v>3.1897600000000002</v>
      </c>
      <c r="G361" s="270"/>
      <c r="H361" s="281"/>
    </row>
    <row r="362" spans="1:8" s="37" customFormat="1" ht="19.5" x14ac:dyDescent="0.25">
      <c r="A362" s="78"/>
      <c r="B362" s="78" t="s">
        <v>83</v>
      </c>
      <c r="C362" s="227" t="s">
        <v>199</v>
      </c>
      <c r="D362" s="80" t="s">
        <v>71</v>
      </c>
      <c r="E362" s="23">
        <f>24.8/1000</f>
        <v>2.4799999999999999E-2</v>
      </c>
      <c r="F362" s="270">
        <f>F358*E363</f>
        <v>1.1790719999999999</v>
      </c>
      <c r="G362" s="270"/>
      <c r="H362" s="281"/>
    </row>
    <row r="363" spans="1:8" s="37" customFormat="1" ht="19.5" x14ac:dyDescent="0.25">
      <c r="A363" s="78"/>
      <c r="B363" s="78" t="s">
        <v>85</v>
      </c>
      <c r="C363" s="227" t="s">
        <v>200</v>
      </c>
      <c r="D363" s="80" t="s">
        <v>71</v>
      </c>
      <c r="E363" s="23">
        <f>4.14/1000</f>
        <v>4.1399999999999996E-3</v>
      </c>
      <c r="F363" s="270">
        <f>F358*E363</f>
        <v>1.1790719999999999</v>
      </c>
      <c r="G363" s="270"/>
      <c r="H363" s="281"/>
    </row>
    <row r="364" spans="1:8" s="37" customFormat="1" ht="19.5" x14ac:dyDescent="0.25">
      <c r="A364" s="78"/>
      <c r="B364" s="114" t="s">
        <v>201</v>
      </c>
      <c r="C364" s="251" t="s">
        <v>202</v>
      </c>
      <c r="D364" s="78" t="s">
        <v>249</v>
      </c>
      <c r="E364" s="25">
        <v>0.189</v>
      </c>
      <c r="F364" s="270">
        <f>F358*E364</f>
        <v>53.827200000000005</v>
      </c>
      <c r="G364" s="270"/>
      <c r="H364" s="281"/>
    </row>
    <row r="365" spans="1:8" s="37" customFormat="1" ht="19.5" x14ac:dyDescent="0.25">
      <c r="A365" s="78"/>
      <c r="B365" s="78"/>
      <c r="C365" s="227" t="s">
        <v>90</v>
      </c>
      <c r="D365" s="78" t="s">
        <v>249</v>
      </c>
      <c r="E365" s="23">
        <v>0.03</v>
      </c>
      <c r="F365" s="270">
        <f>F358*E365</f>
        <v>8.5440000000000005</v>
      </c>
      <c r="G365" s="270"/>
      <c r="H365" s="281"/>
    </row>
    <row r="366" spans="1:8" s="37" customFormat="1" ht="31.5" x14ac:dyDescent="0.25">
      <c r="A366" s="82">
        <v>3</v>
      </c>
      <c r="B366" s="82" t="s">
        <v>203</v>
      </c>
      <c r="C366" s="219" t="s">
        <v>204</v>
      </c>
      <c r="D366" s="82" t="s">
        <v>149</v>
      </c>
      <c r="E366" s="208"/>
      <c r="F366" s="271">
        <v>214</v>
      </c>
      <c r="G366" s="271"/>
      <c r="H366" s="266"/>
    </row>
    <row r="367" spans="1:8" s="37" customFormat="1" ht="19.5" x14ac:dyDescent="0.25">
      <c r="A367" s="81"/>
      <c r="B367" s="81"/>
      <c r="C367" s="251" t="s">
        <v>108</v>
      </c>
      <c r="D367" s="80" t="s">
        <v>191</v>
      </c>
      <c r="E367" s="26">
        <v>0.191</v>
      </c>
      <c r="F367" s="270">
        <f>F366*E367</f>
        <v>40.874000000000002</v>
      </c>
      <c r="G367" s="270"/>
      <c r="H367" s="281"/>
    </row>
    <row r="368" spans="1:8" s="37" customFormat="1" ht="19.5" x14ac:dyDescent="0.25">
      <c r="A368" s="113"/>
      <c r="B368" s="78" t="s">
        <v>205</v>
      </c>
      <c r="C368" s="249" t="s">
        <v>206</v>
      </c>
      <c r="D368" s="75" t="s">
        <v>71</v>
      </c>
      <c r="E368" s="27">
        <v>1.9E-2</v>
      </c>
      <c r="F368" s="270">
        <f>F366*E368</f>
        <v>4.0659999999999998</v>
      </c>
      <c r="G368" s="270"/>
      <c r="H368" s="281"/>
    </row>
    <row r="369" spans="1:8" s="37" customFormat="1" ht="19.5" x14ac:dyDescent="0.25">
      <c r="A369" s="78"/>
      <c r="B369" s="115" t="s">
        <v>142</v>
      </c>
      <c r="C369" s="249" t="s">
        <v>207</v>
      </c>
      <c r="D369" s="78" t="s">
        <v>71</v>
      </c>
      <c r="E369" s="28">
        <v>1.8599999999999998E-2</v>
      </c>
      <c r="F369" s="270">
        <f>F366*E369</f>
        <v>3.9803999999999995</v>
      </c>
      <c r="G369" s="270"/>
      <c r="H369" s="281"/>
    </row>
    <row r="370" spans="1:8" s="37" customFormat="1" ht="19.5" x14ac:dyDescent="0.25">
      <c r="A370" s="81"/>
      <c r="B370" s="81" t="s">
        <v>208</v>
      </c>
      <c r="C370" s="249" t="s">
        <v>209</v>
      </c>
      <c r="D370" s="79" t="s">
        <v>71</v>
      </c>
      <c r="E370" s="29">
        <v>1.9E-2</v>
      </c>
      <c r="F370" s="270">
        <f>F369*E370</f>
        <v>7.5627599999999989E-2</v>
      </c>
      <c r="G370" s="270"/>
      <c r="H370" s="281"/>
    </row>
    <row r="371" spans="1:8" s="37" customFormat="1" ht="19.5" x14ac:dyDescent="0.25">
      <c r="A371" s="81"/>
      <c r="B371" s="81" t="s">
        <v>210</v>
      </c>
      <c r="C371" s="251" t="s">
        <v>211</v>
      </c>
      <c r="D371" s="80" t="s">
        <v>71</v>
      </c>
      <c r="E371" s="29">
        <v>1.9E-2</v>
      </c>
      <c r="F371" s="270">
        <f>F369*E371</f>
        <v>7.5627599999999989E-2</v>
      </c>
      <c r="G371" s="270"/>
      <c r="H371" s="281"/>
    </row>
    <row r="372" spans="1:8" s="37" customFormat="1" ht="31.5" x14ac:dyDescent="0.25">
      <c r="A372" s="81"/>
      <c r="B372" s="81"/>
      <c r="C372" s="251" t="s">
        <v>212</v>
      </c>
      <c r="D372" s="80" t="s">
        <v>105</v>
      </c>
      <c r="E372" s="29">
        <v>0.4</v>
      </c>
      <c r="F372" s="270">
        <f>F366*E372</f>
        <v>85.600000000000009</v>
      </c>
      <c r="G372" s="270"/>
      <c r="H372" s="281"/>
    </row>
    <row r="373" spans="1:8" s="37" customFormat="1" ht="19.5" x14ac:dyDescent="0.25">
      <c r="A373" s="81"/>
      <c r="B373" s="81"/>
      <c r="C373" s="249" t="s">
        <v>213</v>
      </c>
      <c r="D373" s="81" t="s">
        <v>29</v>
      </c>
      <c r="E373" s="30">
        <v>2.63E-2</v>
      </c>
      <c r="F373" s="270">
        <f>F369*E373</f>
        <v>0.10468451999999999</v>
      </c>
      <c r="G373" s="270"/>
      <c r="H373" s="281"/>
    </row>
    <row r="374" spans="1:8" s="37" customFormat="1" ht="19.5" x14ac:dyDescent="0.25">
      <c r="A374" s="81"/>
      <c r="B374" s="114" t="s">
        <v>214</v>
      </c>
      <c r="C374" s="252" t="s">
        <v>215</v>
      </c>
      <c r="D374" s="83" t="s">
        <v>43</v>
      </c>
      <c r="E374" s="31">
        <v>0.16239999999999999</v>
      </c>
      <c r="F374" s="270">
        <f>F366*E374</f>
        <v>34.753599999999999</v>
      </c>
      <c r="G374" s="270"/>
      <c r="H374" s="281"/>
    </row>
    <row r="375" spans="1:8" s="37" customFormat="1" ht="19.5" x14ac:dyDescent="0.25">
      <c r="A375" s="81"/>
      <c r="B375" s="114"/>
      <c r="C375" s="251" t="s">
        <v>216</v>
      </c>
      <c r="D375" s="83" t="s">
        <v>31</v>
      </c>
      <c r="E375" s="32"/>
      <c r="F375" s="282">
        <v>0.42799999999999999</v>
      </c>
      <c r="G375" s="270"/>
      <c r="H375" s="281"/>
    </row>
    <row r="376" spans="1:8" s="37" customFormat="1" ht="31.5" x14ac:dyDescent="0.25">
      <c r="A376" s="199" t="s">
        <v>217</v>
      </c>
      <c r="B376" s="209" t="s">
        <v>218</v>
      </c>
      <c r="C376" s="220" t="s">
        <v>219</v>
      </c>
      <c r="D376" s="84" t="s">
        <v>220</v>
      </c>
      <c r="E376" s="33"/>
      <c r="F376" s="271">
        <v>59</v>
      </c>
      <c r="G376" s="271"/>
      <c r="H376" s="266"/>
    </row>
    <row r="377" spans="1:8" s="37" customFormat="1" ht="19.5" x14ac:dyDescent="0.25">
      <c r="A377" s="81"/>
      <c r="B377" s="114"/>
      <c r="C377" s="252" t="s">
        <v>108</v>
      </c>
      <c r="D377" s="83" t="s">
        <v>191</v>
      </c>
      <c r="E377" s="34">
        <v>7.6999999999999999E-2</v>
      </c>
      <c r="F377" s="270">
        <f>F376*E377</f>
        <v>4.5430000000000001</v>
      </c>
      <c r="G377" s="270"/>
      <c r="H377" s="281"/>
    </row>
    <row r="378" spans="1:8" s="37" customFormat="1" ht="19.5" x14ac:dyDescent="0.25">
      <c r="A378" s="81"/>
      <c r="B378" s="81" t="s">
        <v>70</v>
      </c>
      <c r="C378" s="252" t="s">
        <v>221</v>
      </c>
      <c r="D378" s="83" t="s">
        <v>71</v>
      </c>
      <c r="E378" s="34">
        <v>0.19400000000000001</v>
      </c>
      <c r="F378" s="270">
        <f>F376*E378</f>
        <v>11.446</v>
      </c>
      <c r="G378" s="270"/>
      <c r="H378" s="281"/>
    </row>
    <row r="379" spans="1:8" s="37" customFormat="1" ht="19.5" x14ac:dyDescent="0.25">
      <c r="A379" s="81"/>
      <c r="B379" s="81" t="s">
        <v>205</v>
      </c>
      <c r="C379" s="252" t="s">
        <v>206</v>
      </c>
      <c r="D379" s="83" t="s">
        <v>71</v>
      </c>
      <c r="E379" s="31">
        <v>2.4199999999999999E-2</v>
      </c>
      <c r="F379" s="270">
        <f>F376*E379</f>
        <v>1.4278</v>
      </c>
      <c r="G379" s="270"/>
      <c r="H379" s="281"/>
    </row>
    <row r="380" spans="1:8" s="37" customFormat="1" ht="19.5" x14ac:dyDescent="0.25">
      <c r="A380" s="81"/>
      <c r="B380" s="81"/>
      <c r="C380" s="252" t="s">
        <v>222</v>
      </c>
      <c r="D380" s="83" t="s">
        <v>71</v>
      </c>
      <c r="E380" s="31">
        <v>1.67E-2</v>
      </c>
      <c r="F380" s="270">
        <f>F376*E380</f>
        <v>0.98529999999999995</v>
      </c>
      <c r="G380" s="270"/>
      <c r="H380" s="281"/>
    </row>
    <row r="381" spans="1:8" s="37" customFormat="1" ht="19.5" x14ac:dyDescent="0.25">
      <c r="A381" s="81"/>
      <c r="B381" s="81" t="s">
        <v>85</v>
      </c>
      <c r="C381" s="252" t="s">
        <v>200</v>
      </c>
      <c r="D381" s="83" t="s">
        <v>71</v>
      </c>
      <c r="E381" s="31">
        <v>8.8000000000000005E-3</v>
      </c>
      <c r="F381" s="270">
        <f>F376*E381</f>
        <v>0.51919999999999999</v>
      </c>
      <c r="G381" s="270"/>
      <c r="H381" s="281"/>
    </row>
    <row r="382" spans="1:8" s="37" customFormat="1" ht="19.5" x14ac:dyDescent="0.25">
      <c r="A382" s="81"/>
      <c r="B382" s="114"/>
      <c r="C382" s="252" t="s">
        <v>213</v>
      </c>
      <c r="D382" s="83" t="s">
        <v>29</v>
      </c>
      <c r="E382" s="34">
        <v>6.4000000000000001E-2</v>
      </c>
      <c r="F382" s="270">
        <f>F376*E382</f>
        <v>3.7760000000000002</v>
      </c>
      <c r="G382" s="270"/>
      <c r="H382" s="281"/>
    </row>
    <row r="383" spans="1:8" ht="19.5" x14ac:dyDescent="0.25">
      <c r="A383" s="81"/>
      <c r="B383" s="114"/>
      <c r="C383" s="252" t="s">
        <v>90</v>
      </c>
      <c r="D383" s="83" t="s">
        <v>43</v>
      </c>
      <c r="E383" s="34">
        <v>6.2E-2</v>
      </c>
      <c r="F383" s="270">
        <f>F376*E383</f>
        <v>3.6579999999999999</v>
      </c>
      <c r="G383" s="270"/>
      <c r="H383" s="281"/>
    </row>
    <row r="384" spans="1:8" ht="19.5" x14ac:dyDescent="0.25">
      <c r="A384" s="81"/>
      <c r="B384" s="114"/>
      <c r="C384" s="252" t="s">
        <v>223</v>
      </c>
      <c r="D384" s="83" t="s">
        <v>31</v>
      </c>
      <c r="E384" s="31">
        <v>2.9999999999999997E-4</v>
      </c>
      <c r="F384" s="270">
        <f>F376*E384</f>
        <v>1.7699999999999997E-2</v>
      </c>
      <c r="G384" s="270"/>
      <c r="H384" s="281"/>
    </row>
    <row r="385" spans="1:8" ht="19.5" x14ac:dyDescent="0.25">
      <c r="A385" s="81"/>
      <c r="B385" s="114"/>
      <c r="C385" s="252" t="s">
        <v>224</v>
      </c>
      <c r="D385" s="83" t="s">
        <v>29</v>
      </c>
      <c r="E385" s="31">
        <v>1.7000000000000001E-2</v>
      </c>
      <c r="F385" s="270">
        <f>F376*E385</f>
        <v>1.0030000000000001</v>
      </c>
      <c r="G385" s="270"/>
      <c r="H385" s="281"/>
    </row>
    <row r="386" spans="1:8" ht="31.5" x14ac:dyDescent="0.25">
      <c r="A386" s="198">
        <v>5</v>
      </c>
      <c r="B386" s="210" t="s">
        <v>225</v>
      </c>
      <c r="C386" s="221" t="s">
        <v>226</v>
      </c>
      <c r="D386" s="198" t="s">
        <v>311</v>
      </c>
      <c r="E386" s="207"/>
      <c r="F386" s="271">
        <v>15</v>
      </c>
      <c r="G386" s="271"/>
      <c r="H386" s="266"/>
    </row>
    <row r="387" spans="1:8" ht="19.5" x14ac:dyDescent="0.25">
      <c r="A387" s="78"/>
      <c r="B387" s="78"/>
      <c r="C387" s="249" t="s">
        <v>108</v>
      </c>
      <c r="D387" s="79" t="s">
        <v>191</v>
      </c>
      <c r="E387" s="23">
        <v>0.15</v>
      </c>
      <c r="F387" s="270">
        <f>F386*E387</f>
        <v>2.25</v>
      </c>
      <c r="G387" s="270"/>
      <c r="H387" s="281"/>
    </row>
    <row r="388" spans="1:8" ht="19.5" x14ac:dyDescent="0.25">
      <c r="A388" s="78"/>
      <c r="B388" s="114" t="s">
        <v>227</v>
      </c>
      <c r="C388" s="227" t="s">
        <v>192</v>
      </c>
      <c r="D388" s="78" t="s">
        <v>249</v>
      </c>
      <c r="E388" s="23">
        <v>1.22</v>
      </c>
      <c r="F388" s="270">
        <f>F386*E388</f>
        <v>18.3</v>
      </c>
      <c r="G388" s="270"/>
      <c r="H388" s="281"/>
    </row>
    <row r="389" spans="1:8" ht="19.5" x14ac:dyDescent="0.25">
      <c r="A389" s="78"/>
      <c r="B389" s="78" t="s">
        <v>197</v>
      </c>
      <c r="C389" s="250" t="s">
        <v>198</v>
      </c>
      <c r="D389" s="80" t="s">
        <v>71</v>
      </c>
      <c r="E389" s="25">
        <v>2.1600000000000001E-2</v>
      </c>
      <c r="F389" s="270">
        <f>F386*E389</f>
        <v>0.32400000000000001</v>
      </c>
      <c r="G389" s="270"/>
      <c r="H389" s="281"/>
    </row>
    <row r="390" spans="1:8" ht="19.5" x14ac:dyDescent="0.25">
      <c r="A390" s="78"/>
      <c r="B390" s="78" t="s">
        <v>228</v>
      </c>
      <c r="C390" s="227" t="s">
        <v>229</v>
      </c>
      <c r="D390" s="80" t="s">
        <v>71</v>
      </c>
      <c r="E390" s="25">
        <v>2.7300000000000001E-2</v>
      </c>
      <c r="F390" s="270">
        <f>F386*E390</f>
        <v>0.40950000000000003</v>
      </c>
      <c r="G390" s="270"/>
      <c r="H390" s="281"/>
    </row>
    <row r="391" spans="1:8" ht="19.5" x14ac:dyDescent="0.25">
      <c r="A391" s="78"/>
      <c r="B391" s="78" t="s">
        <v>230</v>
      </c>
      <c r="C391" s="227" t="s">
        <v>200</v>
      </c>
      <c r="D391" s="80" t="s">
        <v>71</v>
      </c>
      <c r="E391" s="25">
        <v>9.7000000000000003E-3</v>
      </c>
      <c r="F391" s="270">
        <f>F386*E391</f>
        <v>0.14550000000000002</v>
      </c>
      <c r="G391" s="270"/>
      <c r="H391" s="281"/>
    </row>
    <row r="392" spans="1:8" ht="19.5" x14ac:dyDescent="0.25">
      <c r="A392" s="78"/>
      <c r="B392" s="78"/>
      <c r="C392" s="227" t="s">
        <v>90</v>
      </c>
      <c r="D392" s="78" t="s">
        <v>249</v>
      </c>
      <c r="E392" s="23">
        <v>7.0000000000000007E-2</v>
      </c>
      <c r="F392" s="270">
        <f>F386*E392</f>
        <v>1.05</v>
      </c>
      <c r="G392" s="270"/>
      <c r="H392" s="281"/>
    </row>
    <row r="393" spans="1:8" ht="19.5" x14ac:dyDescent="0.25">
      <c r="A393" s="186"/>
      <c r="B393" s="53"/>
      <c r="C393" s="224" t="s">
        <v>59</v>
      </c>
      <c r="D393" s="54"/>
      <c r="E393" s="9"/>
      <c r="F393" s="272"/>
      <c r="G393" s="272"/>
      <c r="H393" s="272"/>
    </row>
    <row r="394" spans="1:8" ht="19.5" x14ac:dyDescent="0.25">
      <c r="A394" s="178"/>
      <c r="B394" s="41"/>
      <c r="C394" s="225" t="s">
        <v>257</v>
      </c>
      <c r="D394" s="41"/>
      <c r="E394" s="10"/>
      <c r="F394" s="273"/>
      <c r="G394" s="273"/>
      <c r="H394" s="273"/>
    </row>
    <row r="395" spans="1:8" ht="19.5" x14ac:dyDescent="0.25">
      <c r="A395" s="42">
        <v>1</v>
      </c>
      <c r="B395" s="42" t="s">
        <v>61</v>
      </c>
      <c r="C395" s="61" t="s">
        <v>62</v>
      </c>
      <c r="D395" s="42" t="s">
        <v>14</v>
      </c>
      <c r="E395" s="1"/>
      <c r="F395" s="266">
        <f>206.64/100</f>
        <v>2.0663999999999998</v>
      </c>
      <c r="G395" s="266"/>
      <c r="H395" s="266"/>
    </row>
    <row r="396" spans="1:8" ht="19.5" x14ac:dyDescent="0.25">
      <c r="A396" s="181"/>
      <c r="B396" s="55" t="s">
        <v>15</v>
      </c>
      <c r="C396" s="222" t="s">
        <v>63</v>
      </c>
      <c r="D396" s="44" t="s">
        <v>12</v>
      </c>
      <c r="E396" s="3">
        <v>206</v>
      </c>
      <c r="F396" s="267">
        <f>F395*E396</f>
        <v>425.67839999999995</v>
      </c>
      <c r="G396" s="267"/>
      <c r="H396" s="267"/>
    </row>
    <row r="397" spans="1:8" ht="19.5" x14ac:dyDescent="0.25">
      <c r="A397" s="42">
        <v>2</v>
      </c>
      <c r="B397" s="52" t="s">
        <v>64</v>
      </c>
      <c r="C397" s="61" t="s">
        <v>65</v>
      </c>
      <c r="D397" s="42" t="s">
        <v>31</v>
      </c>
      <c r="E397" s="1"/>
      <c r="F397" s="274">
        <f>F395*100*1.9</f>
        <v>392.61599999999993</v>
      </c>
      <c r="G397" s="266"/>
      <c r="H397" s="266"/>
    </row>
    <row r="398" spans="1:8" ht="19.5" x14ac:dyDescent="0.25">
      <c r="A398" s="181"/>
      <c r="B398" s="187"/>
      <c r="C398" s="222" t="s">
        <v>11</v>
      </c>
      <c r="D398" s="44" t="s">
        <v>12</v>
      </c>
      <c r="E398" s="3">
        <v>0.53</v>
      </c>
      <c r="F398" s="267">
        <f>F397*E398</f>
        <v>208.08647999999997</v>
      </c>
      <c r="G398" s="267"/>
      <c r="H398" s="267"/>
    </row>
    <row r="399" spans="1:8" ht="31.5" x14ac:dyDescent="0.25">
      <c r="A399" s="180">
        <v>3</v>
      </c>
      <c r="B399" s="42" t="s">
        <v>66</v>
      </c>
      <c r="C399" s="61" t="s">
        <v>67</v>
      </c>
      <c r="D399" s="42" t="s">
        <v>24</v>
      </c>
      <c r="E399" s="122"/>
      <c r="F399" s="266">
        <f>826.56/1000</f>
        <v>0.82655999999999996</v>
      </c>
      <c r="G399" s="266"/>
      <c r="H399" s="266"/>
    </row>
    <row r="400" spans="1:8" ht="18.75" x14ac:dyDescent="0.25">
      <c r="A400" s="181"/>
      <c r="B400" s="55" t="s">
        <v>15</v>
      </c>
      <c r="C400" s="222" t="s">
        <v>11</v>
      </c>
      <c r="D400" s="44" t="s">
        <v>12</v>
      </c>
      <c r="E400" s="123">
        <v>20</v>
      </c>
      <c r="F400" s="267">
        <f>F399*E400</f>
        <v>16.531199999999998</v>
      </c>
      <c r="G400" s="267"/>
      <c r="H400" s="267"/>
    </row>
    <row r="401" spans="1:8" ht="18.75" x14ac:dyDescent="0.25">
      <c r="A401" s="181"/>
      <c r="B401" s="55" t="s">
        <v>68</v>
      </c>
      <c r="C401" s="226" t="s">
        <v>69</v>
      </c>
      <c r="D401" s="43" t="s">
        <v>21</v>
      </c>
      <c r="E401" s="123">
        <v>44.8</v>
      </c>
      <c r="F401" s="267">
        <f>F399*E401</f>
        <v>37.029887999999993</v>
      </c>
      <c r="G401" s="267"/>
      <c r="H401" s="267"/>
    </row>
    <row r="402" spans="1:8" ht="18.75" x14ac:dyDescent="0.25">
      <c r="A402" s="181"/>
      <c r="B402" s="55" t="s">
        <v>27</v>
      </c>
      <c r="C402" s="222" t="s">
        <v>28</v>
      </c>
      <c r="D402" s="44" t="s">
        <v>29</v>
      </c>
      <c r="E402" s="123">
        <v>2.1</v>
      </c>
      <c r="F402" s="267">
        <f>F399*E402</f>
        <v>1.735776</v>
      </c>
      <c r="G402" s="267"/>
      <c r="H402" s="267"/>
    </row>
    <row r="403" spans="1:8" ht="37.5" x14ac:dyDescent="0.25">
      <c r="A403" s="125">
        <v>4</v>
      </c>
      <c r="B403" s="188" t="s">
        <v>30</v>
      </c>
      <c r="C403" s="213" t="s">
        <v>240</v>
      </c>
      <c r="D403" s="42" t="s">
        <v>31</v>
      </c>
      <c r="E403" s="122"/>
      <c r="F403" s="266">
        <f>(F399*1000)+F397</f>
        <v>1219.1759999999999</v>
      </c>
      <c r="G403" s="275"/>
      <c r="H403" s="275"/>
    </row>
    <row r="404" spans="1:8" ht="31.5" x14ac:dyDescent="0.25">
      <c r="A404" s="198">
        <v>5</v>
      </c>
      <c r="B404" s="206" t="s">
        <v>196</v>
      </c>
      <c r="C404" s="219" t="s">
        <v>251</v>
      </c>
      <c r="D404" s="77" t="s">
        <v>248</v>
      </c>
      <c r="E404" s="207"/>
      <c r="F404" s="271">
        <v>3444</v>
      </c>
      <c r="G404" s="271"/>
      <c r="H404" s="266"/>
    </row>
    <row r="405" spans="1:8" ht="19.5" x14ac:dyDescent="0.25">
      <c r="A405" s="78"/>
      <c r="B405" s="78"/>
      <c r="C405" s="249" t="s">
        <v>108</v>
      </c>
      <c r="D405" s="79" t="s">
        <v>191</v>
      </c>
      <c r="E405" s="24">
        <v>3.3000000000000002E-2</v>
      </c>
      <c r="F405" s="270">
        <f>F404*E405</f>
        <v>113.652</v>
      </c>
      <c r="G405" s="270"/>
      <c r="H405" s="270"/>
    </row>
    <row r="406" spans="1:8" ht="19.5" x14ac:dyDescent="0.25">
      <c r="A406" s="78"/>
      <c r="B406" s="78" t="s">
        <v>197</v>
      </c>
      <c r="C406" s="250" t="s">
        <v>198</v>
      </c>
      <c r="D406" s="80" t="s">
        <v>71</v>
      </c>
      <c r="E406" s="24">
        <f>0.42/1000</f>
        <v>4.1999999999999996E-4</v>
      </c>
      <c r="F406" s="270">
        <f>F404*E406</f>
        <v>1.4464799999999998</v>
      </c>
      <c r="G406" s="270"/>
      <c r="H406" s="281"/>
    </row>
    <row r="407" spans="1:8" ht="19.5" x14ac:dyDescent="0.25">
      <c r="A407" s="78"/>
      <c r="B407" s="78" t="s">
        <v>81</v>
      </c>
      <c r="C407" s="227" t="s">
        <v>82</v>
      </c>
      <c r="D407" s="80" t="s">
        <v>71</v>
      </c>
      <c r="E407" s="25">
        <f>11.2/1000</f>
        <v>1.12E-2</v>
      </c>
      <c r="F407" s="270">
        <f>F404*E407</f>
        <v>38.572800000000001</v>
      </c>
      <c r="G407" s="270"/>
      <c r="H407" s="281"/>
    </row>
    <row r="408" spans="1:8" ht="19.5" x14ac:dyDescent="0.25">
      <c r="A408" s="78"/>
      <c r="B408" s="78" t="s">
        <v>83</v>
      </c>
      <c r="C408" s="227" t="s">
        <v>199</v>
      </c>
      <c r="D408" s="80" t="s">
        <v>71</v>
      </c>
      <c r="E408" s="23">
        <f>24.8/1000</f>
        <v>2.4799999999999999E-2</v>
      </c>
      <c r="F408" s="270">
        <f>F404*E409</f>
        <v>14.258159999999998</v>
      </c>
      <c r="G408" s="270"/>
      <c r="H408" s="281"/>
    </row>
    <row r="409" spans="1:8" ht="19.5" x14ac:dyDescent="0.25">
      <c r="A409" s="78"/>
      <c r="B409" s="78" t="s">
        <v>85</v>
      </c>
      <c r="C409" s="227" t="s">
        <v>200</v>
      </c>
      <c r="D409" s="80" t="s">
        <v>71</v>
      </c>
      <c r="E409" s="23">
        <f>4.14/1000</f>
        <v>4.1399999999999996E-3</v>
      </c>
      <c r="F409" s="270">
        <f>F404*E409</f>
        <v>14.258159999999998</v>
      </c>
      <c r="G409" s="270"/>
      <c r="H409" s="281"/>
    </row>
    <row r="410" spans="1:8" ht="19.5" x14ac:dyDescent="0.25">
      <c r="A410" s="78"/>
      <c r="B410" s="114" t="s">
        <v>201</v>
      </c>
      <c r="C410" s="251" t="s">
        <v>202</v>
      </c>
      <c r="D410" s="78" t="s">
        <v>249</v>
      </c>
      <c r="E410" s="25">
        <v>0.189</v>
      </c>
      <c r="F410" s="270">
        <f>F404*E410</f>
        <v>650.91600000000005</v>
      </c>
      <c r="G410" s="270"/>
      <c r="H410" s="281"/>
    </row>
    <row r="411" spans="1:8" ht="19.5" x14ac:dyDescent="0.25">
      <c r="A411" s="78"/>
      <c r="B411" s="78"/>
      <c r="C411" s="227" t="s">
        <v>90</v>
      </c>
      <c r="D411" s="78" t="s">
        <v>249</v>
      </c>
      <c r="E411" s="23">
        <v>0.03</v>
      </c>
      <c r="F411" s="270">
        <f>F404*E411</f>
        <v>103.32</v>
      </c>
      <c r="G411" s="270"/>
      <c r="H411" s="281"/>
    </row>
    <row r="412" spans="1:8" ht="31.5" x14ac:dyDescent="0.25">
      <c r="A412" s="82">
        <v>6</v>
      </c>
      <c r="B412" s="82" t="s">
        <v>203</v>
      </c>
      <c r="C412" s="219" t="s">
        <v>204</v>
      </c>
      <c r="D412" s="82" t="s">
        <v>149</v>
      </c>
      <c r="E412" s="208"/>
      <c r="F412" s="271">
        <v>3444</v>
      </c>
      <c r="G412" s="271"/>
      <c r="H412" s="266"/>
    </row>
    <row r="413" spans="1:8" ht="19.5" x14ac:dyDescent="0.25">
      <c r="A413" s="81"/>
      <c r="B413" s="81"/>
      <c r="C413" s="251" t="s">
        <v>108</v>
      </c>
      <c r="D413" s="80" t="s">
        <v>191</v>
      </c>
      <c r="E413" s="26">
        <v>0.191</v>
      </c>
      <c r="F413" s="270">
        <f>F412*E413</f>
        <v>657.80399999999997</v>
      </c>
      <c r="G413" s="270"/>
      <c r="H413" s="281"/>
    </row>
    <row r="414" spans="1:8" ht="19.5" x14ac:dyDescent="0.25">
      <c r="A414" s="113"/>
      <c r="B414" s="78" t="s">
        <v>205</v>
      </c>
      <c r="C414" s="249" t="s">
        <v>206</v>
      </c>
      <c r="D414" s="75" t="s">
        <v>71</v>
      </c>
      <c r="E414" s="27">
        <v>1.9E-2</v>
      </c>
      <c r="F414" s="270">
        <f>F412*E414</f>
        <v>65.435999999999993</v>
      </c>
      <c r="G414" s="270"/>
      <c r="H414" s="281"/>
    </row>
    <row r="415" spans="1:8" ht="19.5" x14ac:dyDescent="0.25">
      <c r="A415" s="78"/>
      <c r="B415" s="115" t="s">
        <v>142</v>
      </c>
      <c r="C415" s="249" t="s">
        <v>207</v>
      </c>
      <c r="D415" s="78" t="s">
        <v>71</v>
      </c>
      <c r="E415" s="28">
        <v>1.8599999999999998E-2</v>
      </c>
      <c r="F415" s="270">
        <f>F412*E415</f>
        <v>64.058399999999992</v>
      </c>
      <c r="G415" s="270"/>
      <c r="H415" s="281"/>
    </row>
    <row r="416" spans="1:8" ht="19.5" x14ac:dyDescent="0.25">
      <c r="A416" s="81"/>
      <c r="B416" s="81" t="s">
        <v>208</v>
      </c>
      <c r="C416" s="249" t="s">
        <v>209</v>
      </c>
      <c r="D416" s="79" t="s">
        <v>71</v>
      </c>
      <c r="E416" s="29">
        <v>1.9E-2</v>
      </c>
      <c r="F416" s="270">
        <f>F415*E416</f>
        <v>1.2171095999999999</v>
      </c>
      <c r="G416" s="270"/>
      <c r="H416" s="281"/>
    </row>
    <row r="417" spans="1:8" ht="19.5" x14ac:dyDescent="0.25">
      <c r="A417" s="81"/>
      <c r="B417" s="81" t="s">
        <v>210</v>
      </c>
      <c r="C417" s="251" t="s">
        <v>211</v>
      </c>
      <c r="D417" s="80" t="s">
        <v>71</v>
      </c>
      <c r="E417" s="29">
        <v>1.9E-2</v>
      </c>
      <c r="F417" s="270">
        <f>F415*E417</f>
        <v>1.2171095999999999</v>
      </c>
      <c r="G417" s="270"/>
      <c r="H417" s="281"/>
    </row>
    <row r="418" spans="1:8" ht="31.5" x14ac:dyDescent="0.25">
      <c r="A418" s="81"/>
      <c r="B418" s="81"/>
      <c r="C418" s="251" t="s">
        <v>212</v>
      </c>
      <c r="D418" s="80" t="s">
        <v>105</v>
      </c>
      <c r="E418" s="29">
        <v>0.4</v>
      </c>
      <c r="F418" s="270">
        <f>F412*E418</f>
        <v>1377.6000000000001</v>
      </c>
      <c r="G418" s="270"/>
      <c r="H418" s="281"/>
    </row>
    <row r="419" spans="1:8" ht="19.5" x14ac:dyDescent="0.25">
      <c r="A419" s="81"/>
      <c r="B419" s="81"/>
      <c r="C419" s="249" t="s">
        <v>213</v>
      </c>
      <c r="D419" s="81" t="s">
        <v>29</v>
      </c>
      <c r="E419" s="30">
        <v>2.63E-2</v>
      </c>
      <c r="F419" s="270">
        <f>F415*E419</f>
        <v>1.6847359199999998</v>
      </c>
      <c r="G419" s="270"/>
      <c r="H419" s="281"/>
    </row>
    <row r="420" spans="1:8" ht="19.5" x14ac:dyDescent="0.25">
      <c r="A420" s="81"/>
      <c r="B420" s="114" t="s">
        <v>214</v>
      </c>
      <c r="C420" s="252" t="s">
        <v>215</v>
      </c>
      <c r="D420" s="83" t="s">
        <v>43</v>
      </c>
      <c r="E420" s="31">
        <v>0.16239999999999999</v>
      </c>
      <c r="F420" s="270">
        <f>F412*E420</f>
        <v>559.30559999999991</v>
      </c>
      <c r="G420" s="270"/>
      <c r="H420" s="281"/>
    </row>
    <row r="421" spans="1:8" ht="19.5" x14ac:dyDescent="0.25">
      <c r="A421" s="81"/>
      <c r="B421" s="114"/>
      <c r="C421" s="251" t="s">
        <v>231</v>
      </c>
      <c r="D421" s="83" t="s">
        <v>31</v>
      </c>
      <c r="E421" s="32"/>
      <c r="F421" s="282">
        <v>7.65</v>
      </c>
      <c r="G421" s="270"/>
      <c r="H421" s="281"/>
    </row>
    <row r="422" spans="1:8" ht="31.5" x14ac:dyDescent="0.25">
      <c r="A422" s="200">
        <v>7</v>
      </c>
      <c r="B422" s="209" t="s">
        <v>218</v>
      </c>
      <c r="C422" s="220" t="s">
        <v>219</v>
      </c>
      <c r="D422" s="84" t="s">
        <v>220</v>
      </c>
      <c r="E422" s="33"/>
      <c r="F422" s="271">
        <v>958</v>
      </c>
      <c r="G422" s="271"/>
      <c r="H422" s="266"/>
    </row>
    <row r="423" spans="1:8" ht="19.5" x14ac:dyDescent="0.25">
      <c r="A423" s="81"/>
      <c r="B423" s="114"/>
      <c r="C423" s="252" t="s">
        <v>108</v>
      </c>
      <c r="D423" s="83" t="s">
        <v>191</v>
      </c>
      <c r="E423" s="34">
        <v>7.6999999999999999E-2</v>
      </c>
      <c r="F423" s="270">
        <f>F422*E423</f>
        <v>73.766000000000005</v>
      </c>
      <c r="G423" s="270"/>
      <c r="H423" s="281"/>
    </row>
    <row r="424" spans="1:8" ht="19.5" x14ac:dyDescent="0.25">
      <c r="A424" s="81"/>
      <c r="B424" s="81" t="s">
        <v>70</v>
      </c>
      <c r="C424" s="252" t="s">
        <v>221</v>
      </c>
      <c r="D424" s="83" t="s">
        <v>71</v>
      </c>
      <c r="E424" s="34">
        <v>0.19400000000000001</v>
      </c>
      <c r="F424" s="270">
        <f>F422*E424</f>
        <v>185.852</v>
      </c>
      <c r="G424" s="270"/>
      <c r="H424" s="281"/>
    </row>
    <row r="425" spans="1:8" ht="19.5" x14ac:dyDescent="0.25">
      <c r="A425" s="81"/>
      <c r="B425" s="81" t="s">
        <v>232</v>
      </c>
      <c r="C425" s="252" t="s">
        <v>206</v>
      </c>
      <c r="D425" s="83" t="s">
        <v>71</v>
      </c>
      <c r="E425" s="31">
        <v>2.4199999999999999E-2</v>
      </c>
      <c r="F425" s="270">
        <f>F422*E425</f>
        <v>23.183599999999998</v>
      </c>
      <c r="G425" s="270"/>
      <c r="H425" s="281"/>
    </row>
    <row r="426" spans="1:8" ht="19.5" x14ac:dyDescent="0.25">
      <c r="A426" s="81"/>
      <c r="B426" s="78"/>
      <c r="C426" s="252" t="s">
        <v>222</v>
      </c>
      <c r="D426" s="83" t="s">
        <v>71</v>
      </c>
      <c r="E426" s="31">
        <v>1.67E-2</v>
      </c>
      <c r="F426" s="270">
        <f>F422*E426</f>
        <v>15.9986</v>
      </c>
      <c r="G426" s="270"/>
      <c r="H426" s="281"/>
    </row>
    <row r="427" spans="1:8" ht="19.5" x14ac:dyDescent="0.25">
      <c r="A427" s="81"/>
      <c r="B427" s="78" t="s">
        <v>230</v>
      </c>
      <c r="C427" s="252" t="s">
        <v>200</v>
      </c>
      <c r="D427" s="83" t="s">
        <v>71</v>
      </c>
      <c r="E427" s="31">
        <v>8.8000000000000005E-3</v>
      </c>
      <c r="F427" s="270">
        <f>F422*E427</f>
        <v>8.4304000000000006</v>
      </c>
      <c r="G427" s="270"/>
      <c r="H427" s="281"/>
    </row>
    <row r="428" spans="1:8" ht="19.5" x14ac:dyDescent="0.25">
      <c r="A428" s="81"/>
      <c r="B428" s="114"/>
      <c r="C428" s="252" t="s">
        <v>213</v>
      </c>
      <c r="D428" s="83" t="s">
        <v>29</v>
      </c>
      <c r="E428" s="34">
        <v>6.4000000000000001E-2</v>
      </c>
      <c r="F428" s="270">
        <f>F422*E428</f>
        <v>61.312000000000005</v>
      </c>
      <c r="G428" s="270"/>
      <c r="H428" s="281"/>
    </row>
    <row r="429" spans="1:8" ht="19.5" x14ac:dyDescent="0.25">
      <c r="A429" s="81"/>
      <c r="B429" s="114"/>
      <c r="C429" s="252" t="s">
        <v>90</v>
      </c>
      <c r="D429" s="83" t="s">
        <v>43</v>
      </c>
      <c r="E429" s="34">
        <v>6.2E-2</v>
      </c>
      <c r="F429" s="270">
        <f>F422*E429</f>
        <v>59.396000000000001</v>
      </c>
      <c r="G429" s="270"/>
      <c r="H429" s="281"/>
    </row>
    <row r="430" spans="1:8" ht="19.5" x14ac:dyDescent="0.25">
      <c r="A430" s="81"/>
      <c r="B430" s="114"/>
      <c r="C430" s="252" t="s">
        <v>223</v>
      </c>
      <c r="D430" s="83" t="s">
        <v>31</v>
      </c>
      <c r="E430" s="31">
        <v>2.9999999999999997E-4</v>
      </c>
      <c r="F430" s="270">
        <f>F422*E430</f>
        <v>0.28739999999999999</v>
      </c>
      <c r="G430" s="270"/>
      <c r="H430" s="281"/>
    </row>
    <row r="431" spans="1:8" ht="19.5" x14ac:dyDescent="0.25">
      <c r="A431" s="81"/>
      <c r="B431" s="114"/>
      <c r="C431" s="252" t="s">
        <v>224</v>
      </c>
      <c r="D431" s="83" t="s">
        <v>29</v>
      </c>
      <c r="E431" s="31">
        <v>1.7000000000000001E-2</v>
      </c>
      <c r="F431" s="270">
        <f>F422*E431</f>
        <v>16.286000000000001</v>
      </c>
      <c r="G431" s="270"/>
      <c r="H431" s="281"/>
    </row>
    <row r="432" spans="1:8" ht="19.5" x14ac:dyDescent="0.25">
      <c r="A432" s="186"/>
      <c r="B432" s="53"/>
      <c r="C432" s="224" t="s">
        <v>59</v>
      </c>
      <c r="D432" s="54"/>
      <c r="E432" s="9"/>
      <c r="F432" s="272"/>
      <c r="G432" s="272"/>
      <c r="H432" s="272"/>
    </row>
    <row r="433" spans="1:8" ht="19.5" x14ac:dyDescent="0.25">
      <c r="A433" s="202"/>
      <c r="B433" s="203"/>
      <c r="C433" s="258" t="s">
        <v>235</v>
      </c>
      <c r="D433" s="88"/>
      <c r="E433" s="39"/>
      <c r="F433" s="283"/>
      <c r="G433" s="283"/>
      <c r="H433" s="283"/>
    </row>
    <row r="434" spans="1:8" ht="19.5" x14ac:dyDescent="0.25">
      <c r="A434" s="201"/>
      <c r="B434" s="85"/>
      <c r="C434" s="259" t="s">
        <v>233</v>
      </c>
      <c r="D434" s="86"/>
      <c r="E434" s="35"/>
      <c r="F434" s="284"/>
      <c r="G434" s="268"/>
      <c r="H434" s="268"/>
    </row>
    <row r="435" spans="1:8" ht="19.5" x14ac:dyDescent="0.25">
      <c r="A435" s="88"/>
      <c r="B435" s="87"/>
      <c r="C435" s="258" t="s">
        <v>59</v>
      </c>
      <c r="D435" s="88"/>
      <c r="E435" s="39"/>
      <c r="F435" s="283"/>
      <c r="G435" s="285"/>
      <c r="H435" s="283"/>
    </row>
    <row r="436" spans="1:8" ht="19.5" x14ac:dyDescent="0.25">
      <c r="A436" s="90"/>
      <c r="B436" s="89"/>
      <c r="C436" s="260" t="s">
        <v>234</v>
      </c>
      <c r="D436" s="91"/>
      <c r="E436" s="40"/>
      <c r="F436" s="286"/>
      <c r="G436" s="269"/>
      <c r="H436" s="269"/>
    </row>
    <row r="437" spans="1:8" ht="19.5" x14ac:dyDescent="0.25">
      <c r="A437" s="88"/>
      <c r="B437" s="87"/>
      <c r="C437" s="258" t="s">
        <v>59</v>
      </c>
      <c r="D437" s="88"/>
      <c r="E437" s="39"/>
      <c r="F437" s="283"/>
      <c r="G437" s="285"/>
      <c r="H437" s="283"/>
    </row>
    <row r="438" spans="1:8" ht="19.5" x14ac:dyDescent="0.25">
      <c r="A438" s="90"/>
      <c r="B438" s="92"/>
      <c r="C438" s="260" t="s">
        <v>237</v>
      </c>
      <c r="D438" s="90"/>
      <c r="E438" s="36"/>
      <c r="F438" s="286">
        <v>0.03</v>
      </c>
      <c r="G438" s="269"/>
      <c r="H438" s="269"/>
    </row>
    <row r="439" spans="1:8" ht="19.5" x14ac:dyDescent="0.25">
      <c r="A439" s="88"/>
      <c r="B439" s="87"/>
      <c r="C439" s="258" t="s">
        <v>59</v>
      </c>
      <c r="D439" s="88"/>
      <c r="E439" s="39"/>
      <c r="F439" s="283"/>
      <c r="G439" s="285"/>
      <c r="H439" s="283"/>
    </row>
    <row r="440" spans="1:8" ht="19.5" x14ac:dyDescent="0.25">
      <c r="A440" s="93"/>
      <c r="B440" s="93"/>
      <c r="C440" s="260" t="s">
        <v>236</v>
      </c>
      <c r="D440" s="94"/>
      <c r="E440" s="38"/>
      <c r="F440" s="286">
        <v>0.18</v>
      </c>
      <c r="G440" s="269"/>
      <c r="H440" s="269"/>
    </row>
    <row r="441" spans="1:8" ht="19.5" x14ac:dyDescent="0.25">
      <c r="A441" s="88"/>
      <c r="B441" s="87"/>
      <c r="C441" s="258" t="s">
        <v>241</v>
      </c>
      <c r="D441" s="88"/>
      <c r="E441" s="39"/>
      <c r="F441" s="283"/>
      <c r="G441" s="283"/>
      <c r="H441" s="283">
        <v>1553834</v>
      </c>
    </row>
    <row r="442" spans="1:8" x14ac:dyDescent="0.25">
      <c r="A442" s="116"/>
      <c r="B442" s="116"/>
      <c r="C442" s="97"/>
      <c r="D442" s="95"/>
      <c r="E442" s="37"/>
      <c r="F442" s="97"/>
    </row>
  </sheetData>
  <autoFilter ref="A7:H441"/>
  <mergeCells count="11">
    <mergeCell ref="B33:B34"/>
    <mergeCell ref="G4:G6"/>
    <mergeCell ref="F4:F6"/>
    <mergeCell ref="E4:E6"/>
    <mergeCell ref="B9:B10"/>
    <mergeCell ref="A2:H2"/>
    <mergeCell ref="A4:A6"/>
    <mergeCell ref="B4:B6"/>
    <mergeCell ref="C4:C6"/>
    <mergeCell ref="D4:D6"/>
    <mergeCell ref="H4:H6"/>
  </mergeCells>
  <conditionalFormatting sqref="B282 A136:H147 A149:H155 A162:H165 A167:H169 A270:H270 A275:F275 G274:H275 A269:G269 E271:H271 D90:G90 G91:H91 G95:H95 D84:G84 G85:H85 G89:H89 E201:H201 E287:H287 E286:G286 E289:H291 E280:H280 E283:H285 E279:G279 E298:H298 A177:H177 A182:F182 G181:H182 A176:G176 E178:H178 E183:H183 G187 G185 G184:H184 D98:G98 D108:G108 D113:G113 I162:GH164 I152:GH155 I144:GH150 I131:GH142 A188:FW188 I183:GK187 A157:GH160">
    <cfRule type="cellIs" dxfId="101" priority="115" stopIfTrue="1" operator="equal">
      <formula>8223.307275</formula>
    </cfRule>
  </conditionalFormatting>
  <conditionalFormatting sqref="B273">
    <cfRule type="cellIs" dxfId="100" priority="119" stopIfTrue="1" operator="equal">
      <formula>8223.307275</formula>
    </cfRule>
  </conditionalFormatting>
  <conditionalFormatting sqref="B274">
    <cfRule type="cellIs" dxfId="99" priority="117" stopIfTrue="1" operator="equal">
      <formula>8223.307275</formula>
    </cfRule>
  </conditionalFormatting>
  <conditionalFormatting sqref="C274:F274 E272:H273 A271:A274 C271:C273">
    <cfRule type="cellIs" dxfId="98" priority="116" stopIfTrue="1" operator="equal">
      <formula>8223.307275</formula>
    </cfRule>
  </conditionalFormatting>
  <conditionalFormatting sqref="E95:F95">
    <cfRule type="cellIs" dxfId="97" priority="192" stopIfTrue="1" operator="equal">
      <formula>8223.307275</formula>
    </cfRule>
  </conditionalFormatting>
  <conditionalFormatting sqref="D95">
    <cfRule type="cellIs" dxfId="96" priority="191" stopIfTrue="1" operator="equal">
      <formula>8223.307275</formula>
    </cfRule>
  </conditionalFormatting>
  <conditionalFormatting sqref="A95">
    <cfRule type="cellIs" dxfId="95" priority="197" stopIfTrue="1" operator="equal">
      <formula>8223.307275</formula>
    </cfRule>
  </conditionalFormatting>
  <conditionalFormatting sqref="A90:A94">
    <cfRule type="cellIs" dxfId="94" priority="196" stopIfTrue="1" operator="equal">
      <formula>8223.307275</formula>
    </cfRule>
  </conditionalFormatting>
  <conditionalFormatting sqref="C92 E92:F92">
    <cfRule type="cellIs" dxfId="93" priority="195" stopIfTrue="1" operator="equal">
      <formula>8223.307275</formula>
    </cfRule>
  </conditionalFormatting>
  <conditionalFormatting sqref="C91:F91">
    <cfRule type="cellIs" dxfId="92" priority="193" stopIfTrue="1" operator="equal">
      <formula>8223.307275</formula>
    </cfRule>
  </conditionalFormatting>
  <conditionalFormatting sqref="C95">
    <cfRule type="cellIs" dxfId="91" priority="190" stopIfTrue="1" operator="equal">
      <formula>8223.307275</formula>
    </cfRule>
  </conditionalFormatting>
  <conditionalFormatting sqref="E93:F93">
    <cfRule type="cellIs" dxfId="90" priority="189" stopIfTrue="1" operator="equal">
      <formula>8223.307275</formula>
    </cfRule>
  </conditionalFormatting>
  <conditionalFormatting sqref="H94">
    <cfRule type="cellIs" dxfId="89" priority="179" stopIfTrue="1" operator="equal">
      <formula>8223.307275</formula>
    </cfRule>
  </conditionalFormatting>
  <conditionalFormatting sqref="G92:H92">
    <cfRule type="cellIs" dxfId="88" priority="178" stopIfTrue="1" operator="equal">
      <formula>8223.307275</formula>
    </cfRule>
  </conditionalFormatting>
  <conditionalFormatting sqref="C93">
    <cfRule type="cellIs" dxfId="87" priority="188" stopIfTrue="1" operator="equal">
      <formula>8223.307275</formula>
    </cfRule>
  </conditionalFormatting>
  <conditionalFormatting sqref="D93">
    <cfRule type="cellIs" dxfId="86" priority="187" stopIfTrue="1" operator="equal">
      <formula>8223.307275</formula>
    </cfRule>
  </conditionalFormatting>
  <conditionalFormatting sqref="D94:F94">
    <cfRule type="cellIs" dxfId="85" priority="186" stopIfTrue="1" operator="equal">
      <formula>8223.307275</formula>
    </cfRule>
  </conditionalFormatting>
  <conditionalFormatting sqref="C94">
    <cfRule type="cellIs" dxfId="84" priority="185" stopIfTrue="1" operator="equal">
      <formula>8223.307275</formula>
    </cfRule>
  </conditionalFormatting>
  <conditionalFormatting sqref="G93:H93">
    <cfRule type="cellIs" dxfId="83" priority="182" stopIfTrue="1" operator="equal">
      <formula>8223.307275</formula>
    </cfRule>
  </conditionalFormatting>
  <conditionalFormatting sqref="G94">
    <cfRule type="cellIs" dxfId="82" priority="181" stopIfTrue="1" operator="equal">
      <formula>8223.307275</formula>
    </cfRule>
  </conditionalFormatting>
  <conditionalFormatting sqref="C90">
    <cfRule type="cellIs" dxfId="81" priority="177" stopIfTrue="1" operator="equal">
      <formula>8223.307275</formula>
    </cfRule>
  </conditionalFormatting>
  <conditionalFormatting sqref="B90">
    <cfRule type="cellIs" dxfId="80" priority="176" stopIfTrue="1" operator="equal">
      <formula>8223.307275</formula>
    </cfRule>
  </conditionalFormatting>
  <conditionalFormatting sqref="B91 B93">
    <cfRule type="cellIs" dxfId="79" priority="175" stopIfTrue="1" operator="equal">
      <formula>8223.307275</formula>
    </cfRule>
  </conditionalFormatting>
  <conditionalFormatting sqref="B94">
    <cfRule type="cellIs" dxfId="78" priority="174" stopIfTrue="1" operator="equal">
      <formula>8223.307275</formula>
    </cfRule>
  </conditionalFormatting>
  <conditionalFormatting sqref="B95">
    <cfRule type="cellIs" dxfId="77" priority="173" stopIfTrue="1" operator="equal">
      <formula>8223.307275</formula>
    </cfRule>
  </conditionalFormatting>
  <conditionalFormatting sqref="C87">
    <cfRule type="cellIs" dxfId="76" priority="163" stopIfTrue="1" operator="equal">
      <formula>8223.307275</formula>
    </cfRule>
  </conditionalFormatting>
  <conditionalFormatting sqref="D87">
    <cfRule type="cellIs" dxfId="75" priority="162" stopIfTrue="1" operator="equal">
      <formula>8223.307275</formula>
    </cfRule>
  </conditionalFormatting>
  <conditionalFormatting sqref="A89">
    <cfRule type="cellIs" dxfId="74" priority="172" stopIfTrue="1" operator="equal">
      <formula>8223.307275</formula>
    </cfRule>
  </conditionalFormatting>
  <conditionalFormatting sqref="A84:A88">
    <cfRule type="cellIs" dxfId="73" priority="171" stopIfTrue="1" operator="equal">
      <formula>8223.307275</formula>
    </cfRule>
  </conditionalFormatting>
  <conditionalFormatting sqref="C86 E86:F86">
    <cfRule type="cellIs" dxfId="72" priority="170" stopIfTrue="1" operator="equal">
      <formula>8223.307275</formula>
    </cfRule>
  </conditionalFormatting>
  <conditionalFormatting sqref="C85:F85">
    <cfRule type="cellIs" dxfId="71" priority="168" stopIfTrue="1" operator="equal">
      <formula>8223.307275</formula>
    </cfRule>
  </conditionalFormatting>
  <conditionalFormatting sqref="E89:F89">
    <cfRule type="cellIs" dxfId="70" priority="167" stopIfTrue="1" operator="equal">
      <formula>8223.307275</formula>
    </cfRule>
  </conditionalFormatting>
  <conditionalFormatting sqref="D89">
    <cfRule type="cellIs" dxfId="69" priority="166" stopIfTrue="1" operator="equal">
      <formula>8223.307275</formula>
    </cfRule>
  </conditionalFormatting>
  <conditionalFormatting sqref="C89">
    <cfRule type="cellIs" dxfId="68" priority="165" stopIfTrue="1" operator="equal">
      <formula>8223.307275</formula>
    </cfRule>
  </conditionalFormatting>
  <conditionalFormatting sqref="E87:F87">
    <cfRule type="cellIs" dxfId="67" priority="164" stopIfTrue="1" operator="equal">
      <formula>8223.307275</formula>
    </cfRule>
  </conditionalFormatting>
  <conditionalFormatting sqref="D88:F88">
    <cfRule type="cellIs" dxfId="66" priority="161" stopIfTrue="1" operator="equal">
      <formula>8223.307275</formula>
    </cfRule>
  </conditionalFormatting>
  <conditionalFormatting sqref="C88">
    <cfRule type="cellIs" dxfId="65" priority="160" stopIfTrue="1" operator="equal">
      <formula>8223.307275</formula>
    </cfRule>
  </conditionalFormatting>
  <conditionalFormatting sqref="G87:H87">
    <cfRule type="cellIs" dxfId="64" priority="157" stopIfTrue="1" operator="equal">
      <formula>8223.307275</formula>
    </cfRule>
  </conditionalFormatting>
  <conditionalFormatting sqref="B89">
    <cfRule type="cellIs" dxfId="63" priority="148" stopIfTrue="1" operator="equal">
      <formula>8223.307275</formula>
    </cfRule>
  </conditionalFormatting>
  <conditionalFormatting sqref="G88">
    <cfRule type="cellIs" dxfId="62" priority="156" stopIfTrue="1" operator="equal">
      <formula>8223.307275</formula>
    </cfRule>
  </conditionalFormatting>
  <conditionalFormatting sqref="H88">
    <cfRule type="cellIs" dxfId="61" priority="154" stopIfTrue="1" operator="equal">
      <formula>8223.307275</formula>
    </cfRule>
  </conditionalFormatting>
  <conditionalFormatting sqref="G86:H86">
    <cfRule type="cellIs" dxfId="60" priority="153" stopIfTrue="1" operator="equal">
      <formula>8223.307275</formula>
    </cfRule>
  </conditionalFormatting>
  <conditionalFormatting sqref="C84">
    <cfRule type="cellIs" dxfId="59" priority="152" stopIfTrue="1" operator="equal">
      <formula>8223.307275</formula>
    </cfRule>
  </conditionalFormatting>
  <conditionalFormatting sqref="B84">
    <cfRule type="cellIs" dxfId="58" priority="151" stopIfTrue="1" operator="equal">
      <formula>8223.307275</formula>
    </cfRule>
  </conditionalFormatting>
  <conditionalFormatting sqref="B85 B87">
    <cfRule type="cellIs" dxfId="57" priority="150" stopIfTrue="1" operator="equal">
      <formula>8223.307275</formula>
    </cfRule>
  </conditionalFormatting>
  <conditionalFormatting sqref="B88">
    <cfRule type="cellIs" dxfId="56" priority="149" stopIfTrue="1" operator="equal">
      <formula>8223.307275</formula>
    </cfRule>
  </conditionalFormatting>
  <conditionalFormatting sqref="D201">
    <cfRule type="cellIs" dxfId="55" priority="141" stopIfTrue="1" operator="equal">
      <formula>8223.307275</formula>
    </cfRule>
  </conditionalFormatting>
  <conditionalFormatting sqref="C201">
    <cfRule type="cellIs" dxfId="54" priority="147" stopIfTrue="1" operator="equal">
      <formula>8223.307275</formula>
    </cfRule>
  </conditionalFormatting>
  <conditionalFormatting sqref="C202">
    <cfRule type="cellIs" dxfId="53" priority="146" stopIfTrue="1" operator="equal">
      <formula>8223.307275</formula>
    </cfRule>
  </conditionalFormatting>
  <conditionalFormatting sqref="C203">
    <cfRule type="cellIs" dxfId="52" priority="145" stopIfTrue="1" operator="equal">
      <formula>8223.307275</formula>
    </cfRule>
  </conditionalFormatting>
  <conditionalFormatting sqref="E203:F203">
    <cfRule type="cellIs" dxfId="51" priority="144" stopIfTrue="1" operator="equal">
      <formula>8223.307275</formula>
    </cfRule>
  </conditionalFormatting>
  <conditionalFormatting sqref="D203">
    <cfRule type="cellIs" dxfId="50" priority="143" stopIfTrue="1" operator="equal">
      <formula>8223.307275</formula>
    </cfRule>
  </conditionalFormatting>
  <conditionalFormatting sqref="E202:F202">
    <cfRule type="cellIs" dxfId="49" priority="140" stopIfTrue="1" operator="equal">
      <formula>8223.307275</formula>
    </cfRule>
  </conditionalFormatting>
  <conditionalFormatting sqref="B200">
    <cfRule type="cellIs" dxfId="48" priority="139" stopIfTrue="1" operator="equal">
      <formula>8223.307275</formula>
    </cfRule>
  </conditionalFormatting>
  <conditionalFormatting sqref="E288:H288 A279:A291">
    <cfRule type="cellIs" dxfId="47" priority="138" stopIfTrue="1" operator="equal">
      <formula>8223.307275</formula>
    </cfRule>
  </conditionalFormatting>
  <conditionalFormatting sqref="D286:D291">
    <cfRule type="cellIs" dxfId="46" priority="137" stopIfTrue="1" operator="equal">
      <formula>8223.307275</formula>
    </cfRule>
  </conditionalFormatting>
  <conditionalFormatting sqref="C286:C291">
    <cfRule type="cellIs" dxfId="45" priority="136" stopIfTrue="1" operator="equal">
      <formula>8223.307275</formula>
    </cfRule>
  </conditionalFormatting>
  <conditionalFormatting sqref="B286 B289:B290">
    <cfRule type="cellIs" dxfId="44" priority="135" stopIfTrue="1" operator="equal">
      <formula>8223.307275</formula>
    </cfRule>
  </conditionalFormatting>
  <conditionalFormatting sqref="B279 B284">
    <cfRule type="cellIs" dxfId="43" priority="131" stopIfTrue="1" operator="equal">
      <formula>8223.307275</formula>
    </cfRule>
  </conditionalFormatting>
  <conditionalFormatting sqref="C281">
    <cfRule type="cellIs" dxfId="42" priority="129" stopIfTrue="1" operator="equal">
      <formula>8223.307275</formula>
    </cfRule>
  </conditionalFormatting>
  <conditionalFormatting sqref="E281">
    <cfRule type="cellIs" dxfId="41" priority="128" stopIfTrue="1" operator="equal">
      <formula>8223.307275</formula>
    </cfRule>
  </conditionalFormatting>
  <conditionalFormatting sqref="F281 E282:H282">
    <cfRule type="cellIs" dxfId="40" priority="134" stopIfTrue="1" operator="equal">
      <formula>8223.307275</formula>
    </cfRule>
  </conditionalFormatting>
  <conditionalFormatting sqref="D279:D280 D283:D285">
    <cfRule type="cellIs" dxfId="39" priority="133" stopIfTrue="1" operator="equal">
      <formula>8223.307275</formula>
    </cfRule>
  </conditionalFormatting>
  <conditionalFormatting sqref="C280 C282:C285">
    <cfRule type="cellIs" dxfId="38" priority="132" stopIfTrue="1" operator="equal">
      <formula>8223.307275</formula>
    </cfRule>
  </conditionalFormatting>
  <conditionalFormatting sqref="C279">
    <cfRule type="cellIs" dxfId="37" priority="127" stopIfTrue="1" operator="equal">
      <formula>8223.307275</formula>
    </cfRule>
  </conditionalFormatting>
  <conditionalFormatting sqref="E232:F232">
    <cfRule type="cellIs" dxfId="36" priority="126" stopIfTrue="1" operator="equal">
      <formula>8223.307275</formula>
    </cfRule>
  </conditionalFormatting>
  <conditionalFormatting sqref="E241:F242 C241:C242">
    <cfRule type="cellIs" dxfId="35" priority="125" stopIfTrue="1" operator="equal">
      <formula>8223.307275</formula>
    </cfRule>
  </conditionalFormatting>
  <conditionalFormatting sqref="D243">
    <cfRule type="cellIs" dxfId="34" priority="123" stopIfTrue="1" operator="equal">
      <formula>8223.307275</formula>
    </cfRule>
  </conditionalFormatting>
  <conditionalFormatting sqref="B272">
    <cfRule type="cellIs" dxfId="33" priority="121" stopIfTrue="1" operator="equal">
      <formula>8223.307275</formula>
    </cfRule>
  </conditionalFormatting>
  <conditionalFormatting sqref="D298">
    <cfRule type="cellIs" dxfId="32" priority="87" stopIfTrue="1" operator="equal">
      <formula>8223.307275</formula>
    </cfRule>
  </conditionalFormatting>
  <conditionalFormatting sqref="C298">
    <cfRule type="cellIs" dxfId="31" priority="93" stopIfTrue="1" operator="equal">
      <formula>8223.307275</formula>
    </cfRule>
  </conditionalFormatting>
  <conditionalFormatting sqref="C299">
    <cfRule type="cellIs" dxfId="30" priority="92" stopIfTrue="1" operator="equal">
      <formula>8223.307275</formula>
    </cfRule>
  </conditionalFormatting>
  <conditionalFormatting sqref="C300">
    <cfRule type="cellIs" dxfId="29" priority="91" stopIfTrue="1" operator="equal">
      <formula>8223.307275</formula>
    </cfRule>
  </conditionalFormatting>
  <conditionalFormatting sqref="E300:F300">
    <cfRule type="cellIs" dxfId="28" priority="90" stopIfTrue="1" operator="equal">
      <formula>8223.307275</formula>
    </cfRule>
  </conditionalFormatting>
  <conditionalFormatting sqref="D300">
    <cfRule type="cellIs" dxfId="27" priority="89" stopIfTrue="1" operator="equal">
      <formula>8223.307275</formula>
    </cfRule>
  </conditionalFormatting>
  <conditionalFormatting sqref="E299:F299">
    <cfRule type="cellIs" dxfId="26" priority="86" stopIfTrue="1" operator="equal">
      <formula>8223.307275</formula>
    </cfRule>
  </conditionalFormatting>
  <conditionalFormatting sqref="B297">
    <cfRule type="cellIs" dxfId="25" priority="85" stopIfTrue="1" operator="equal">
      <formula>8223.307275</formula>
    </cfRule>
  </conditionalFormatting>
  <conditionalFormatting sqref="A348:D349">
    <cfRule type="cellIs" dxfId="24" priority="84" stopIfTrue="1" operator="equal">
      <formula>8223.307275</formula>
    </cfRule>
  </conditionalFormatting>
  <conditionalFormatting sqref="B180">
    <cfRule type="cellIs" dxfId="23" priority="29" stopIfTrue="1" operator="equal">
      <formula>8223.307275</formula>
    </cfRule>
  </conditionalFormatting>
  <conditionalFormatting sqref="B181">
    <cfRule type="cellIs" dxfId="22" priority="27" stopIfTrue="1" operator="equal">
      <formula>8223.307275</formula>
    </cfRule>
  </conditionalFormatting>
  <conditionalFormatting sqref="C181:F181 E179:H180 A178:A181 C178:C180">
    <cfRule type="cellIs" dxfId="21" priority="26" stopIfTrue="1" operator="equal">
      <formula>8223.307275</formula>
    </cfRule>
  </conditionalFormatting>
  <conditionalFormatting sqref="B179">
    <cfRule type="cellIs" dxfId="20" priority="31" stopIfTrue="1" operator="equal">
      <formula>8223.307275</formula>
    </cfRule>
  </conditionalFormatting>
  <conditionalFormatting sqref="H185:H187 A184:A187 F185:F187">
    <cfRule type="cellIs" dxfId="19" priority="25" stopIfTrue="1" operator="equal">
      <formula>8223.307275</formula>
    </cfRule>
  </conditionalFormatting>
  <conditionalFormatting sqref="D185">
    <cfRule type="cellIs" dxfId="18" priority="23" stopIfTrue="1" operator="equal">
      <formula>8223.307275</formula>
    </cfRule>
  </conditionalFormatting>
  <conditionalFormatting sqref="C185">
    <cfRule type="cellIs" dxfId="17" priority="22" stopIfTrue="1" operator="equal">
      <formula>8223.307275</formula>
    </cfRule>
  </conditionalFormatting>
  <conditionalFormatting sqref="C184">
    <cfRule type="cellIs" dxfId="16" priority="14" stopIfTrue="1" operator="equal">
      <formula>8223.307275</formula>
    </cfRule>
  </conditionalFormatting>
  <conditionalFormatting sqref="D183">
    <cfRule type="cellIs" dxfId="15" priority="20" stopIfTrue="1" operator="equal">
      <formula>8223.307275</formula>
    </cfRule>
  </conditionalFormatting>
  <conditionalFormatting sqref="G186">
    <cfRule type="cellIs" dxfId="14" priority="21" stopIfTrue="1" operator="equal">
      <formula>8223.307275</formula>
    </cfRule>
  </conditionalFormatting>
  <conditionalFormatting sqref="C187:D187">
    <cfRule type="cellIs" dxfId="13" priority="16" stopIfTrue="1" operator="equal">
      <formula>8223.307275</formula>
    </cfRule>
  </conditionalFormatting>
  <conditionalFormatting sqref="A183:C183">
    <cfRule type="cellIs" dxfId="12" priority="19" stopIfTrue="1" operator="equal">
      <formula>8223.307275</formula>
    </cfRule>
  </conditionalFormatting>
  <conditionalFormatting sqref="B187 B186:E186">
    <cfRule type="cellIs" dxfId="11" priority="18" stopIfTrue="1" operator="equal">
      <formula>8223.307275</formula>
    </cfRule>
  </conditionalFormatting>
  <conditionalFormatting sqref="B184:B185 E185">
    <cfRule type="cellIs" dxfId="10" priority="15" stopIfTrue="1" operator="equal">
      <formula>8223.307275</formula>
    </cfRule>
  </conditionalFormatting>
  <conditionalFormatting sqref="D184:F184">
    <cfRule type="cellIs" dxfId="9" priority="13" stopIfTrue="1" operator="equal">
      <formula>8223.307275</formula>
    </cfRule>
  </conditionalFormatting>
  <conditionalFormatting sqref="A98">
    <cfRule type="cellIs" dxfId="8" priority="12" stopIfTrue="1" operator="equal">
      <formula>8223.307275</formula>
    </cfRule>
  </conditionalFormatting>
  <conditionalFormatting sqref="C98">
    <cfRule type="cellIs" dxfId="7" priority="10" stopIfTrue="1" operator="equal">
      <formula>8223.307275</formula>
    </cfRule>
  </conditionalFormatting>
  <conditionalFormatting sqref="B98">
    <cfRule type="cellIs" dxfId="6" priority="9" stopIfTrue="1" operator="equal">
      <formula>8223.307275</formula>
    </cfRule>
  </conditionalFormatting>
  <conditionalFormatting sqref="A108">
    <cfRule type="cellIs" dxfId="5" priority="8" stopIfTrue="1" operator="equal">
      <formula>8223.307275</formula>
    </cfRule>
  </conditionalFormatting>
  <conditionalFormatting sqref="C108">
    <cfRule type="cellIs" dxfId="4" priority="6" stopIfTrue="1" operator="equal">
      <formula>8223.307275</formula>
    </cfRule>
  </conditionalFormatting>
  <conditionalFormatting sqref="B108">
    <cfRule type="cellIs" dxfId="3" priority="5" stopIfTrue="1" operator="equal">
      <formula>8223.307275</formula>
    </cfRule>
  </conditionalFormatting>
  <conditionalFormatting sqref="A113">
    <cfRule type="cellIs" dxfId="2" priority="4" stopIfTrue="1" operator="equal">
      <formula>8223.307275</formula>
    </cfRule>
  </conditionalFormatting>
  <conditionalFormatting sqref="C113">
    <cfRule type="cellIs" dxfId="1" priority="2" stopIfTrue="1" operator="equal">
      <formula>8223.307275</formula>
    </cfRule>
  </conditionalFormatting>
  <conditionalFormatting sqref="B113">
    <cfRule type="cellIs" dxfId="0" priority="1" stopIfTrue="1" operator="equal">
      <formula>8223.307275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65" fitToHeight="0" orientation="landscape" r:id="rId1"/>
  <headerFooter>
    <oddFooter>&amp;R&amp;P/&amp;N</oddFooter>
  </headerFooter>
  <rowBreaks count="1" manualBreakCount="1">
    <brk id="39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pirveli sviri</vt:lpstr>
      <vt:lpstr>'pirveli sviri'!Print_Area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Tariel Sakhelashvili</cp:lastModifiedBy>
  <cp:lastPrinted>2020-12-11T12:31:54Z</cp:lastPrinted>
  <dcterms:created xsi:type="dcterms:W3CDTF">2020-02-20T08:22:33Z</dcterms:created>
  <dcterms:modified xsi:type="dcterms:W3CDTF">2021-01-13T07:51:26Z</dcterms:modified>
</cp:coreProperties>
</file>