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kharaishvili\Desktop\სტადიონი ზეემკა\"/>
    </mc:Choice>
  </mc:AlternateContent>
  <bookViews>
    <workbookView xWindow="0" yWindow="0" windowWidth="19200" windowHeight="11595"/>
  </bookViews>
  <sheets>
    <sheet name="ხარჯთაღრიცხვა" sheetId="5" r:id="rId1"/>
  </sheets>
  <externalReferences>
    <externalReference r:id="rId2"/>
  </externalReferences>
  <definedNames>
    <definedName name="prig">[1]PRE_RIG!$A$12:$AY$194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3" i="5" l="1"/>
  <c r="F633" i="5" s="1"/>
  <c r="F632" i="5"/>
  <c r="E631" i="5"/>
  <c r="F631" i="5" s="1"/>
  <c r="E630" i="5"/>
  <c r="F630" i="5" s="1"/>
  <c r="E628" i="5"/>
  <c r="F628" i="5" s="1"/>
  <c r="F627" i="5"/>
  <c r="E626" i="5"/>
  <c r="F626" i="5" s="1"/>
  <c r="E625" i="5"/>
  <c r="F625" i="5" s="1"/>
  <c r="E623" i="5"/>
  <c r="E621" i="5"/>
  <c r="E620" i="5"/>
  <c r="E612" i="5"/>
  <c r="E608" i="5"/>
  <c r="E607" i="5"/>
  <c r="E604" i="5"/>
  <c r="E600" i="5"/>
  <c r="E599" i="5"/>
  <c r="E596" i="5"/>
  <c r="E592" i="5"/>
  <c r="E591" i="5"/>
  <c r="F504" i="5" l="1"/>
  <c r="F657" i="5" l="1"/>
  <c r="F656" i="5"/>
  <c r="F654" i="5"/>
  <c r="F653" i="5"/>
  <c r="E653" i="5"/>
  <c r="E652" i="5"/>
  <c r="F652" i="5" s="1"/>
  <c r="E651" i="5"/>
  <c r="F651" i="5" s="1"/>
  <c r="F649" i="5"/>
  <c r="F647" i="5"/>
  <c r="E646" i="5"/>
  <c r="F646" i="5" s="1"/>
  <c r="E644" i="5"/>
  <c r="F644" i="5" s="1"/>
  <c r="E643" i="5"/>
  <c r="F643" i="5" s="1"/>
  <c r="E642" i="5"/>
  <c r="F642" i="5" s="1"/>
  <c r="E641" i="5"/>
  <c r="F641" i="5" s="1"/>
  <c r="E640" i="5"/>
  <c r="F640" i="5" s="1"/>
  <c r="E639" i="5"/>
  <c r="F639" i="5" s="1"/>
  <c r="F637" i="5"/>
  <c r="E635" i="5"/>
  <c r="F635" i="5" s="1"/>
  <c r="F588" i="5"/>
  <c r="F587" i="5"/>
  <c r="F586" i="5"/>
  <c r="F584" i="5"/>
  <c r="F583" i="5"/>
  <c r="F582" i="5"/>
  <c r="F580" i="5"/>
  <c r="F579" i="5"/>
  <c r="F578" i="5"/>
  <c r="F576" i="5"/>
  <c r="F575" i="5"/>
  <c r="F574" i="5"/>
  <c r="F572" i="5"/>
  <c r="F571" i="5"/>
  <c r="F569" i="5"/>
  <c r="F568" i="5"/>
  <c r="E566" i="5"/>
  <c r="F566" i="5" s="1"/>
  <c r="F565" i="5"/>
  <c r="E564" i="5"/>
  <c r="F564" i="5" s="1"/>
  <c r="E563" i="5"/>
  <c r="F563" i="5" s="1"/>
  <c r="E561" i="5"/>
  <c r="F561" i="5" s="1"/>
  <c r="F560" i="5"/>
  <c r="E559" i="5"/>
  <c r="F559" i="5" s="1"/>
  <c r="E558" i="5"/>
  <c r="F558" i="5" s="1"/>
  <c r="F550" i="5"/>
  <c r="E549" i="5"/>
  <c r="F549" i="5" s="1"/>
  <c r="F548" i="5"/>
  <c r="F547" i="5"/>
  <c r="F545" i="5"/>
  <c r="E544" i="5"/>
  <c r="F544" i="5" s="1"/>
  <c r="F543" i="5"/>
  <c r="F542" i="5"/>
  <c r="E540" i="5"/>
  <c r="E533" i="5"/>
  <c r="E532" i="5"/>
  <c r="E531" i="5"/>
  <c r="E530" i="5"/>
  <c r="F529" i="5"/>
  <c r="F527" i="5"/>
  <c r="F526" i="5"/>
  <c r="F525" i="5"/>
  <c r="N523" i="5"/>
  <c r="O523" i="5" s="1"/>
  <c r="F524" i="5"/>
  <c r="E522" i="5"/>
  <c r="F522" i="5" s="1"/>
  <c r="E519" i="5"/>
  <c r="F519" i="5" s="1"/>
  <c r="E518" i="5"/>
  <c r="F518" i="5" s="1"/>
  <c r="N517" i="5" s="1"/>
  <c r="O517" i="5" s="1"/>
  <c r="F516" i="5"/>
  <c r="F515" i="5"/>
  <c r="F509" i="5"/>
  <c r="F512" i="5" s="1"/>
  <c r="F507" i="5"/>
  <c r="F508" i="5"/>
  <c r="E503" i="5"/>
  <c r="F503" i="5" s="1"/>
  <c r="N502" i="5" s="1"/>
  <c r="O502" i="5" s="1"/>
  <c r="F500" i="5"/>
  <c r="F499" i="5"/>
  <c r="F497" i="5"/>
  <c r="E496" i="5"/>
  <c r="F496" i="5" s="1"/>
  <c r="E495" i="5"/>
  <c r="F495" i="5" s="1"/>
  <c r="F493" i="5"/>
  <c r="E492" i="5"/>
  <c r="F492" i="5" s="1"/>
  <c r="E491" i="5"/>
  <c r="F491" i="5" s="1"/>
  <c r="F489" i="5"/>
  <c r="E488" i="5"/>
  <c r="F488" i="5" s="1"/>
  <c r="E487" i="5"/>
  <c r="F487" i="5" s="1"/>
  <c r="F485" i="5"/>
  <c r="E484" i="5"/>
  <c r="F484" i="5" s="1"/>
  <c r="E483" i="5"/>
  <c r="F483" i="5" s="1"/>
  <c r="F481" i="5"/>
  <c r="E480" i="5"/>
  <c r="F480" i="5" s="1"/>
  <c r="E479" i="5"/>
  <c r="F479" i="5" s="1"/>
  <c r="F477" i="5"/>
  <c r="E476" i="5"/>
  <c r="F476" i="5" s="1"/>
  <c r="E475" i="5"/>
  <c r="F475" i="5" s="1"/>
  <c r="F473" i="5"/>
  <c r="E472" i="5"/>
  <c r="F472" i="5" s="1"/>
  <c r="E471" i="5"/>
  <c r="F471" i="5" s="1"/>
  <c r="F469" i="5"/>
  <c r="E468" i="5"/>
  <c r="F468" i="5" s="1"/>
  <c r="E467" i="5"/>
  <c r="F467" i="5" s="1"/>
  <c r="F465" i="5"/>
  <c r="E464" i="5"/>
  <c r="F464" i="5" s="1"/>
  <c r="E463" i="5"/>
  <c r="F463" i="5" s="1"/>
  <c r="F461" i="5"/>
  <c r="E460" i="5"/>
  <c r="F460" i="5" s="1"/>
  <c r="E459" i="5"/>
  <c r="F459" i="5" s="1"/>
  <c r="F457" i="5"/>
  <c r="F456" i="5"/>
  <c r="F454" i="5"/>
  <c r="F453" i="5"/>
  <c r="F451" i="5"/>
  <c r="F450" i="5"/>
  <c r="F449" i="5"/>
  <c r="F448" i="5"/>
  <c r="E445" i="5"/>
  <c r="E444" i="5"/>
  <c r="E443" i="5"/>
  <c r="F442" i="5"/>
  <c r="E441" i="5"/>
  <c r="F441" i="5" s="1"/>
  <c r="E440" i="5"/>
  <c r="F440" i="5" s="1"/>
  <c r="E439" i="5"/>
  <c r="F439" i="5" s="1"/>
  <c r="E438" i="5"/>
  <c r="F438" i="5" s="1"/>
  <c r="E437" i="5"/>
  <c r="F437" i="5" s="1"/>
  <c r="E436" i="5"/>
  <c r="F436" i="5" s="1"/>
  <c r="E434" i="5"/>
  <c r="F434" i="5" s="1"/>
  <c r="E433" i="5"/>
  <c r="F433" i="5" s="1"/>
  <c r="E432" i="5"/>
  <c r="F432" i="5" s="1"/>
  <c r="F431" i="5"/>
  <c r="E430" i="5"/>
  <c r="F430" i="5" s="1"/>
  <c r="E429" i="5"/>
  <c r="F429" i="5" s="1"/>
  <c r="E427" i="5"/>
  <c r="F427" i="5" s="1"/>
  <c r="F424" i="5"/>
  <c r="F423" i="5"/>
  <c r="O419" i="5"/>
  <c r="O418" i="5"/>
  <c r="O417" i="5"/>
  <c r="F413" i="5"/>
  <c r="F415" i="5" s="1"/>
  <c r="E412" i="5"/>
  <c r="F412" i="5" s="1"/>
  <c r="E411" i="5"/>
  <c r="F411" i="5" s="1"/>
  <c r="E410" i="5"/>
  <c r="F410" i="5" s="1"/>
  <c r="E409" i="5"/>
  <c r="F409" i="5" s="1"/>
  <c r="E408" i="5"/>
  <c r="F408" i="5" s="1"/>
  <c r="E407" i="5"/>
  <c r="F407" i="5" s="1"/>
  <c r="F403" i="5"/>
  <c r="F404" i="5" s="1"/>
  <c r="F401" i="5"/>
  <c r="F400" i="5"/>
  <c r="F399" i="5"/>
  <c r="F397" i="5"/>
  <c r="F394" i="5"/>
  <c r="F393" i="5"/>
  <c r="F392" i="5"/>
  <c r="F391" i="5"/>
  <c r="F389" i="5"/>
  <c r="F388" i="5"/>
  <c r="F380" i="5"/>
  <c r="F386" i="5" s="1"/>
  <c r="E379" i="5"/>
  <c r="F379" i="5" s="1"/>
  <c r="E378" i="5"/>
  <c r="F378" i="5" s="1"/>
  <c r="E377" i="5"/>
  <c r="F377" i="5" s="1"/>
  <c r="E376" i="5"/>
  <c r="F376" i="5" s="1"/>
  <c r="E375" i="5"/>
  <c r="F375" i="5" s="1"/>
  <c r="E374" i="5"/>
  <c r="F374" i="5" s="1"/>
  <c r="F371" i="5"/>
  <c r="F370" i="5"/>
  <c r="F368" i="5"/>
  <c r="F367" i="5"/>
  <c r="F366" i="5"/>
  <c r="F365" i="5"/>
  <c r="F363" i="5"/>
  <c r="F362" i="5"/>
  <c r="O360" i="5"/>
  <c r="O359" i="5"/>
  <c r="F358" i="5"/>
  <c r="F357" i="5"/>
  <c r="F356" i="5"/>
  <c r="E353" i="5"/>
  <c r="E352" i="5"/>
  <c r="E347" i="5"/>
  <c r="E346" i="5"/>
  <c r="F345" i="5"/>
  <c r="F342" i="5"/>
  <c r="F341" i="5"/>
  <c r="F335" i="5"/>
  <c r="F330" i="5"/>
  <c r="F332" i="5" s="1"/>
  <c r="E328" i="5"/>
  <c r="F328" i="5" s="1"/>
  <c r="F327" i="5"/>
  <c r="E326" i="5"/>
  <c r="F326" i="5" s="1"/>
  <c r="E325" i="5"/>
  <c r="F325" i="5" s="1"/>
  <c r="E324" i="5"/>
  <c r="F324" i="5" s="1"/>
  <c r="E323" i="5"/>
  <c r="F323" i="5" s="1"/>
  <c r="F321" i="5"/>
  <c r="F320" i="5"/>
  <c r="F319" i="5"/>
  <c r="F318" i="5"/>
  <c r="E313" i="5"/>
  <c r="F313" i="5" s="1"/>
  <c r="E312" i="5"/>
  <c r="F312" i="5" s="1"/>
  <c r="E310" i="5"/>
  <c r="F310" i="5" s="1"/>
  <c r="E309" i="5"/>
  <c r="E308" i="5"/>
  <c r="F308" i="5" s="1"/>
  <c r="E307" i="5"/>
  <c r="F307" i="5" s="1"/>
  <c r="E306" i="5"/>
  <c r="F306" i="5" s="1"/>
  <c r="E305" i="5"/>
  <c r="F305" i="5" s="1"/>
  <c r="F303" i="5"/>
  <c r="F302" i="5"/>
  <c r="F301" i="5"/>
  <c r="F300" i="5"/>
  <c r="E292" i="5"/>
  <c r="F292" i="5" s="1"/>
  <c r="E291" i="5"/>
  <c r="F291" i="5" s="1"/>
  <c r="F278" i="5"/>
  <c r="N271" i="5"/>
  <c r="F268" i="5"/>
  <c r="F270" i="5" s="1"/>
  <c r="F262" i="5"/>
  <c r="F266" i="5" s="1"/>
  <c r="F261" i="5"/>
  <c r="F260" i="5"/>
  <c r="N259" i="5"/>
  <c r="O259" i="5" s="1"/>
  <c r="O258" i="5"/>
  <c r="O257" i="5"/>
  <c r="O256" i="5"/>
  <c r="O255" i="5"/>
  <c r="O254" i="5"/>
  <c r="F253" i="5"/>
  <c r="F252" i="5"/>
  <c r="F251" i="5"/>
  <c r="F248" i="5"/>
  <c r="F247" i="5"/>
  <c r="E244" i="5"/>
  <c r="E243" i="5"/>
  <c r="E242" i="5"/>
  <c r="N241" i="5"/>
  <c r="F241" i="5"/>
  <c r="F245" i="5" s="1"/>
  <c r="F240" i="5"/>
  <c r="F239" i="5"/>
  <c r="F238" i="5"/>
  <c r="F237" i="5"/>
  <c r="F229" i="5"/>
  <c r="F230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F212" i="5"/>
  <c r="F214" i="5" s="1"/>
  <c r="E211" i="5"/>
  <c r="F211" i="5" s="1"/>
  <c r="F210" i="5"/>
  <c r="E209" i="5"/>
  <c r="F209" i="5" s="1"/>
  <c r="E208" i="5"/>
  <c r="F208" i="5" s="1"/>
  <c r="E207" i="5"/>
  <c r="F207" i="5" s="1"/>
  <c r="E206" i="5"/>
  <c r="F206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F189" i="5"/>
  <c r="F188" i="5"/>
  <c r="F187" i="5"/>
  <c r="F186" i="5"/>
  <c r="F184" i="5"/>
  <c r="F183" i="5"/>
  <c r="F182" i="5"/>
  <c r="F181" i="5"/>
  <c r="F179" i="5"/>
  <c r="F178" i="5"/>
  <c r="F177" i="5"/>
  <c r="F176" i="5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F157" i="5"/>
  <c r="F156" i="5"/>
  <c r="F155" i="5"/>
  <c r="F154" i="5"/>
  <c r="F152" i="5"/>
  <c r="F151" i="5"/>
  <c r="F150" i="5"/>
  <c r="F149" i="5"/>
  <c r="F147" i="5"/>
  <c r="F146" i="5"/>
  <c r="F145" i="5"/>
  <c r="F144" i="5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F133" i="5"/>
  <c r="F132" i="5"/>
  <c r="F131" i="5"/>
  <c r="F130" i="5"/>
  <c r="F127" i="5"/>
  <c r="F126" i="5"/>
  <c r="F125" i="5"/>
  <c r="F123" i="5"/>
  <c r="F122" i="5"/>
  <c r="F120" i="5"/>
  <c r="F119" i="5"/>
  <c r="F118" i="5"/>
  <c r="F117" i="5"/>
  <c r="E115" i="5"/>
  <c r="F115" i="5" s="1"/>
  <c r="E114" i="5"/>
  <c r="E113" i="5"/>
  <c r="F113" i="5" s="1"/>
  <c r="E112" i="5"/>
  <c r="F112" i="5" s="1"/>
  <c r="E111" i="5"/>
  <c r="F111" i="5" s="1"/>
  <c r="E110" i="5"/>
  <c r="F110" i="5" s="1"/>
  <c r="F114" i="5" s="1"/>
  <c r="F108" i="5"/>
  <c r="F107" i="5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F98" i="5"/>
  <c r="F97" i="5"/>
  <c r="F96" i="5"/>
  <c r="E94" i="5"/>
  <c r="F94" i="5" s="1"/>
  <c r="E93" i="5"/>
  <c r="F93" i="5" s="1"/>
  <c r="E92" i="5"/>
  <c r="F92" i="5" s="1"/>
  <c r="E91" i="5"/>
  <c r="F91" i="5" s="1"/>
  <c r="E90" i="5"/>
  <c r="F90" i="5" s="1"/>
  <c r="F89" i="5"/>
  <c r="E89" i="5"/>
  <c r="E87" i="5"/>
  <c r="F87" i="5" s="1"/>
  <c r="E86" i="5"/>
  <c r="F86" i="5" s="1"/>
  <c r="E85" i="5"/>
  <c r="F85" i="5" s="1"/>
  <c r="F84" i="5"/>
  <c r="E83" i="5"/>
  <c r="F83" i="5" s="1"/>
  <c r="E82" i="5"/>
  <c r="F82" i="5" s="1"/>
  <c r="E80" i="5"/>
  <c r="F80" i="5" s="1"/>
  <c r="F79" i="5"/>
  <c r="F78" i="5"/>
  <c r="E77" i="5"/>
  <c r="F77" i="5" s="1"/>
  <c r="F76" i="5"/>
  <c r="F74" i="5"/>
  <c r="F73" i="5"/>
  <c r="F72" i="5"/>
  <c r="F71" i="5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5" i="5"/>
  <c r="F55" i="5" s="1"/>
  <c r="E54" i="5"/>
  <c r="F54" i="5" s="1"/>
  <c r="E53" i="5"/>
  <c r="F53" i="5" s="1"/>
  <c r="E51" i="5"/>
  <c r="E50" i="5"/>
  <c r="E49" i="5"/>
  <c r="E48" i="5"/>
  <c r="F47" i="5"/>
  <c r="F43" i="5"/>
  <c r="F44" i="5" s="1"/>
  <c r="E42" i="5"/>
  <c r="E41" i="5"/>
  <c r="E40" i="5"/>
  <c r="F39" i="5"/>
  <c r="F38" i="5"/>
  <c r="F37" i="5"/>
  <c r="E35" i="5"/>
  <c r="F35" i="5" s="1"/>
  <c r="E34" i="5"/>
  <c r="E33" i="5"/>
  <c r="F33" i="5" s="1"/>
  <c r="F30" i="5"/>
  <c r="F31" i="5" s="1"/>
  <c r="E29" i="5"/>
  <c r="F29" i="5" s="1"/>
  <c r="E28" i="5"/>
  <c r="F28" i="5" s="1"/>
  <c r="F26" i="5"/>
  <c r="F24" i="5"/>
  <c r="E20" i="5"/>
  <c r="E19" i="5"/>
  <c r="E18" i="5"/>
  <c r="F17" i="5"/>
  <c r="F21" i="5" s="1"/>
  <c r="F16" i="5"/>
  <c r="F15" i="5"/>
  <c r="E14" i="5"/>
  <c r="F14" i="5" s="1"/>
  <c r="E13" i="5"/>
  <c r="F13" i="5" s="1"/>
  <c r="E12" i="5"/>
  <c r="F12" i="5" s="1"/>
  <c r="E10" i="5"/>
  <c r="F10" i="5" s="1"/>
  <c r="E8" i="5"/>
  <c r="F8" i="5" s="1"/>
  <c r="F42" i="5" l="1"/>
  <c r="F40" i="5"/>
  <c r="F231" i="5"/>
  <c r="F381" i="5"/>
  <c r="F18" i="5"/>
  <c r="F234" i="5"/>
  <c r="F333" i="5"/>
  <c r="F414" i="5"/>
  <c r="F384" i="5"/>
  <c r="F19" i="5"/>
  <c r="F41" i="5"/>
  <c r="F48" i="5"/>
  <c r="F385" i="5"/>
  <c r="F405" i="5"/>
  <c r="F20" i="5"/>
  <c r="F352" i="5"/>
  <c r="F540" i="5"/>
  <c r="F49" i="5"/>
  <c r="F243" i="5"/>
  <c r="O260" i="5"/>
  <c r="O261" i="5" s="1"/>
  <c r="F269" i="5"/>
  <c r="F334" i="5"/>
  <c r="O420" i="5"/>
  <c r="O421" i="5" s="1"/>
  <c r="F50" i="5"/>
  <c r="F346" i="5"/>
  <c r="F511" i="5"/>
  <c r="F51" i="5"/>
  <c r="F244" i="5"/>
  <c r="F265" i="5"/>
  <c r="F276" i="5"/>
  <c r="F331" i="5"/>
  <c r="F347" i="5"/>
  <c r="F34" i="5"/>
  <c r="F213" i="5"/>
  <c r="F281" i="5"/>
  <c r="F287" i="5"/>
  <c r="F288" i="5"/>
  <c r="F279" i="5"/>
  <c r="F309" i="5"/>
  <c r="F339" i="5"/>
  <c r="F338" i="5"/>
  <c r="F336" i="5"/>
  <c r="F22" i="5"/>
  <c r="F232" i="5"/>
  <c r="F233" i="5"/>
  <c r="F235" i="5"/>
  <c r="F242" i="5"/>
  <c r="F280" i="5"/>
  <c r="F337" i="5"/>
  <c r="F219" i="5"/>
  <c r="F215" i="5"/>
  <c r="F216" i="5"/>
  <c r="F217" i="5"/>
  <c r="F264" i="5"/>
  <c r="F263" i="5"/>
  <c r="O362" i="5"/>
  <c r="O363" i="5" s="1"/>
  <c r="F353" i="5"/>
  <c r="F445" i="5"/>
  <c r="F444" i="5"/>
  <c r="F443" i="5"/>
  <c r="F446" i="5"/>
  <c r="F383" i="5"/>
  <c r="N514" i="5"/>
  <c r="O514" i="5" s="1"/>
  <c r="F382" i="5"/>
  <c r="F416" i="5"/>
  <c r="F420" i="5"/>
  <c r="F421" i="5"/>
  <c r="F506" i="5"/>
  <c r="F510" i="5"/>
  <c r="F505" i="5"/>
  <c r="N504" i="5" s="1"/>
  <c r="O504" i="5" s="1"/>
  <c r="F513" i="5"/>
  <c r="F530" i="5"/>
  <c r="F531" i="5"/>
  <c r="F532" i="5"/>
  <c r="F533" i="5"/>
  <c r="N509" i="5" l="1"/>
  <c r="O509" i="5" s="1"/>
</calcChain>
</file>

<file path=xl/sharedStrings.xml><?xml version="1.0" encoding="utf-8"?>
<sst xmlns="http://schemas.openxmlformats.org/spreadsheetml/2006/main" count="1362" uniqueCount="355">
  <si>
    <t>მ3</t>
  </si>
  <si>
    <t>სამონტაჟო სამუშაოები</t>
  </si>
  <si>
    <t>სადემონტაჟო  და მიწის სამუშაოები</t>
  </si>
  <si>
    <t>ტ</t>
  </si>
  <si>
    <t>შავი მიწის შემოტანა და გაშლა სისქით 15სმ</t>
  </si>
  <si>
    <t>სკვერის ბილიკების, ბორდიურების ქვეშ ხრეშის (ფრაქცია 0-10) ფენილის მოწყობა სისქით 20სმ დატკეპნის კოეფიციენტით 1.22</t>
  </si>
  <si>
    <t>დასათესი ბალახი</t>
  </si>
  <si>
    <t xml:space="preserve">სკვერის ბილიკების ქვეშ არმირებული ბეტონის მოწყობა სისქით 10სმ </t>
  </si>
  <si>
    <t>დეკორატიული ფილის მოწყობა 100X200X30მმ</t>
  </si>
  <si>
    <t>ბეტონის სარტყელი  ბორდიურის მოსაწყობად</t>
  </si>
  <si>
    <t>დენდროლოგია</t>
  </si>
  <si>
    <r>
      <t xml:space="preserve">წითელი ტყემალი - </t>
    </r>
    <r>
      <rPr>
        <b/>
        <i/>
        <sz val="11"/>
        <color theme="1"/>
        <rFont val="Calibri"/>
        <family val="2"/>
        <charset val="204"/>
        <scheme val="minor"/>
      </rPr>
      <t>Prunus cerasifera Pisardii -</t>
    </r>
    <r>
      <rPr>
        <sz val="11"/>
        <color theme="1"/>
        <rFont val="Calibri"/>
        <family val="2"/>
        <charset val="204"/>
        <scheme val="minor"/>
      </rPr>
      <t>მცენარის სიმაღლე მინ.3 მ</t>
    </r>
    <r>
      <rPr>
        <sz val="11"/>
        <color theme="1"/>
        <rFont val="Calibri"/>
        <family val="2"/>
        <charset val="1"/>
        <scheme val="minor"/>
      </rPr>
      <t xml:space="preserve">
</t>
    </r>
  </si>
  <si>
    <r>
      <t>დაფნი</t>
    </r>
    <r>
      <rPr>
        <b/>
        <i/>
        <sz val="11"/>
        <color theme="1"/>
        <rFont val="Sylfaen"/>
        <family val="1"/>
        <charset val="204"/>
      </rPr>
      <t xml:space="preserve"> Lavrus nobilis</t>
    </r>
    <r>
      <rPr>
        <sz val="11"/>
        <color theme="1"/>
        <rFont val="AcadNusx"/>
      </rPr>
      <t xml:space="preserve"> სიმღლე მინ. 0,7-0,8m </t>
    </r>
  </si>
  <si>
    <r>
      <t xml:space="preserve">ეონიმუსი - </t>
    </r>
    <r>
      <rPr>
        <b/>
        <i/>
        <sz val="11"/>
        <color theme="1"/>
        <rFont val="Calibri"/>
        <family val="2"/>
        <charset val="204"/>
        <scheme val="minor"/>
      </rPr>
      <t>Euonymus fortunei-</t>
    </r>
    <r>
      <rPr>
        <sz val="11"/>
        <color theme="1"/>
        <rFont val="Calibri"/>
        <family val="2"/>
        <charset val="204"/>
        <scheme val="minor"/>
      </rPr>
      <t xml:space="preserve"> სიმღლე მინ. 0,7-0,8m </t>
    </r>
    <r>
      <rPr>
        <sz val="11"/>
        <color theme="1"/>
        <rFont val="Calibri"/>
        <family val="2"/>
        <charset val="1"/>
        <scheme val="minor"/>
      </rPr>
      <t xml:space="preserve">
</t>
    </r>
  </si>
  <si>
    <t>მავთულბადის დემონტაჟი</t>
  </si>
  <si>
    <t>მ2</t>
  </si>
  <si>
    <t>კალათბურთის ფარის დემონტაჟი</t>
  </si>
  <si>
    <t>ფეხბურთის კარის დემონტაჟი</t>
  </si>
  <si>
    <t>ქუჩის ლამპიონის დემონტაჟი</t>
  </si>
  <si>
    <t>ხელოვნური საფარის  დემონტაჟი</t>
  </si>
  <si>
    <t>ამოსაძირკვი კუნძი</t>
  </si>
  <si>
    <t>ქვიშა-ხრეშოვანი საგების მოწყობა ფუნდამენტის ქვეშ სისქით 10 სმ დატკეპნის კოეფიციენტით 1.22</t>
  </si>
  <si>
    <t>სპორტული მოედნის ქვეშ ხრეშის ფენილის მოწყობა სისქით 20სმ დატკეპნის კოეფიციენტით 1.22</t>
  </si>
  <si>
    <t>დასასხმელი კაუჩუკის საფარი</t>
  </si>
  <si>
    <t>სპორტული მოედნის ქვეშ ხრეშის (ფრაქცია 20-40) ფენილის მოწყობა სისქით 15სმ დატკეპნის კოეფიციენტით 1.22</t>
  </si>
  <si>
    <t>ქვიშის ფენილის მოწყობა სისქით 10სმ დატკეპნის კოეფიციენტით 1.12</t>
  </si>
  <si>
    <t>სტადიონის სადრენაჟე სისტემის მოწყობა</t>
  </si>
  <si>
    <t>წყლის სოკო ჩამკეტი ონკანით (ქარხნული)</t>
  </si>
  <si>
    <t>ხრეში</t>
  </si>
  <si>
    <t xml:space="preserve">ტრიბუნის სკამი </t>
  </si>
  <si>
    <t>ქვიშა-ხრეშოვანი საგების მოწყობა სისქით 15 სმ დატკეპნის კოეფიციენტით 1.22</t>
  </si>
  <si>
    <t>c</t>
  </si>
  <si>
    <t xml:space="preserve">ტრენაჟორების მოწყობა </t>
  </si>
  <si>
    <t>საინდიკაციო ნათურა 220ვ (მწვანე)</t>
  </si>
  <si>
    <t>ფოტორელე</t>
  </si>
  <si>
    <t>ფოლადის ნაგლინი მავთული</t>
  </si>
  <si>
    <r>
      <t>ლიგუსტრუმი-</t>
    </r>
    <r>
      <rPr>
        <b/>
        <i/>
        <sz val="11"/>
        <color theme="1"/>
        <rFont val="Calibri"/>
        <family val="2"/>
        <scheme val="minor"/>
      </rPr>
      <t>Ligustrum Аureovariegata</t>
    </r>
    <r>
      <rPr>
        <sz val="11"/>
        <color theme="1"/>
        <rFont val="Calibri"/>
        <family val="2"/>
        <charset val="1"/>
        <scheme val="minor"/>
      </rPr>
      <t>- სიმაღლე მინ. 0,7-0,8მ</t>
    </r>
  </si>
  <si>
    <r>
      <t xml:space="preserve">ირმის რქა შტამბზე - </t>
    </r>
    <r>
      <rPr>
        <b/>
        <i/>
        <sz val="11"/>
        <color theme="1"/>
        <rFont val="Calibri"/>
        <family val="2"/>
        <scheme val="minor"/>
      </rPr>
      <t>Lagerstroemia indica</t>
    </r>
    <r>
      <rPr>
        <sz val="11"/>
        <color theme="1"/>
        <rFont val="Calibri"/>
        <family val="2"/>
        <charset val="1"/>
        <scheme val="minor"/>
      </rPr>
      <t xml:space="preserve"> - მ</t>
    </r>
    <r>
      <rPr>
        <sz val="11"/>
        <color theme="1"/>
        <rFont val="Calibri"/>
        <family val="2"/>
        <charset val="204"/>
        <scheme val="minor"/>
      </rPr>
      <t>ცენარის სიმაღლე მინ.3 მ</t>
    </r>
    <r>
      <rPr>
        <sz val="11"/>
        <color theme="1"/>
        <rFont val="Calibri"/>
        <family val="2"/>
        <charset val="1"/>
        <scheme val="minor"/>
      </rPr>
      <t xml:space="preserve">
</t>
    </r>
  </si>
  <si>
    <r>
      <t xml:space="preserve">ცრუ აკაცია რობინია  </t>
    </r>
    <r>
      <rPr>
        <b/>
        <i/>
        <sz val="12"/>
        <color theme="1"/>
        <rFont val="Calibri"/>
        <family val="2"/>
        <charset val="204"/>
        <scheme val="minor"/>
      </rPr>
      <t>Robina pseudoacacia</t>
    </r>
    <r>
      <rPr>
        <sz val="11"/>
        <color theme="1"/>
        <rFont val="Calibri"/>
        <family val="2"/>
        <charset val="1"/>
        <scheme val="minor"/>
      </rPr>
      <t xml:space="preserve"> - მცენარის სიმაღლე მინ. 3მ; </t>
    </r>
  </si>
  <si>
    <t>არმატურა A500c Ф-10მმ</t>
  </si>
  <si>
    <t>პერფორირებული სადრენაჟე მილი D-100მმ.</t>
  </si>
  <si>
    <t>არაპერფორირებული გოფრირებული მილი D-200მმ.</t>
  </si>
  <si>
    <t>გეოტექსტილი 2-2,5მმ</t>
  </si>
  <si>
    <t>გეოტექსტილის სამაგრი მავთული</t>
  </si>
  <si>
    <t xml:space="preserve">საყრდენი ჩარჩო-საკიდი ტრენაჟორებისთვის   (პროფილური მილი 80*80*4 მმ)  4670x1830  (შესაბამისი მასალებისა და სამუშაოების ღირებულების გათვალისწინებით)               </t>
  </si>
  <si>
    <t>ცალი</t>
  </si>
  <si>
    <t>ტრენაჟორი "თხილამური" 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</t>
  </si>
  <si>
    <t>ტრენაჟორი "საყრდენი პრესი"  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</t>
  </si>
  <si>
    <t>ტრენაჟორი " მუცლის პრესი"  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</t>
  </si>
  <si>
    <t>ტრენაჟორი "ქანქარა"  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</t>
  </si>
  <si>
    <t>ტრენაჟორი " ბატერფლაი"  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</t>
  </si>
  <si>
    <t>ტრენაჟორი "ველოსიპედი"  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</t>
  </si>
  <si>
    <t>ტრენაჟორი "მიზიდვა ზემოდან"  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</t>
  </si>
  <si>
    <t>ტრენაჟორი "ნიჩბოსანი"  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</t>
  </si>
  <si>
    <t>ტრენაჟორი "მჯდომარე აზიდვა"  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</t>
  </si>
  <si>
    <t>ბეტონის ბორდიურის (10X20) მოწყობა (შესაბამისი მასალისა და სამუშაოს ღირებულების გათვალისწინებით)</t>
  </si>
  <si>
    <t xml:space="preserve">ტერიტორიაზე ღორღის მოსამზადებელი ფენის მოწყობა (ფრაქციით 0-40 ).8სმ-იანი საშ. სისქის </t>
  </si>
  <si>
    <t>ბეტონის ბ-22,5 მოჭიმვა 100 მმ-ს სისქით მთლიან ფართობზე (შესაბამისი მასალისა და სამუშაოს ღირებულების გათვალისწინებით)</t>
  </si>
  <si>
    <t>ესკიზში მითითებული Workout კომპლექტი</t>
  </si>
  <si>
    <t>რკინა–ბეტონის რგოლი d=1000მმ / 1მ</t>
  </si>
  <si>
    <t xml:space="preserve">რ/ბ ძირის ფილა d-1000 მმ </t>
  </si>
  <si>
    <t>რკინა–ბეტონის ფილა თუჯის მრგვალი ჩარჩო-ხუფით d=1000*1000 მმ</t>
  </si>
  <si>
    <t>მიმღები  ჭის მოწყობა</t>
  </si>
  <si>
    <t>მოედნისთვის მიწის მოჭრა 15 სმ სისქით  და მოსწორება</t>
  </si>
  <si>
    <t xml:space="preserve">ტრენაჟორების გადახურვის  მოწყობა </t>
  </si>
  <si>
    <t xml:space="preserve">ბეტონი B25 W6 F200 </t>
  </si>
  <si>
    <t>მილკვადრატი 80x80x6 (34.3 მ)</t>
  </si>
  <si>
    <t>მილკვადრატი 60x40x4 (51.17 მ)</t>
  </si>
  <si>
    <t>მილკვადრატი 40x20x3 (36.57 მ)</t>
  </si>
  <si>
    <t>კვ.მ</t>
  </si>
  <si>
    <t>პოლიკარბონატის ფურცელი 8 მმ.</t>
  </si>
  <si>
    <t>#</t>
  </si>
  <si>
    <t>სამუშაოების დასახელება</t>
  </si>
  <si>
    <t>განზომილება</t>
  </si>
  <si>
    <t>ნორმატიული ხარჯი</t>
  </si>
  <si>
    <t>ხელფასი</t>
  </si>
  <si>
    <t>მასალა</t>
  </si>
  <si>
    <t>მანქანა-მექსანიზმები</t>
  </si>
  <si>
    <t>ჯამი</t>
  </si>
  <si>
    <t>ერთ.</t>
  </si>
  <si>
    <t>სულ</t>
  </si>
  <si>
    <t>m3</t>
  </si>
  <si>
    <t>buldozeri 59 (80 cx.Z)</t>
  </si>
  <si>
    <t>manq/sT</t>
  </si>
  <si>
    <t>SromiTi resursebi</t>
  </si>
  <si>
    <t>kac/sT</t>
  </si>
  <si>
    <t>sxva manqana</t>
  </si>
  <si>
    <t>lari</t>
  </si>
  <si>
    <t>m2</t>
  </si>
  <si>
    <t>t</t>
  </si>
  <si>
    <t>eleqtrodi</t>
  </si>
  <si>
    <t>kg</t>
  </si>
  <si>
    <t>sxva masala</t>
  </si>
  <si>
    <t>grZ/m</t>
  </si>
  <si>
    <t>Sromis danaxarji</t>
  </si>
  <si>
    <t>sxva manqanebi</t>
  </si>
  <si>
    <t>sxva masalebi</t>
  </si>
  <si>
    <t xml:space="preserve">eqskavatori 0.5m3 </t>
  </si>
  <si>
    <t xml:space="preserve">masalis transportireba 15 km-ze </t>
  </si>
  <si>
    <t>traqtori pnevmosvlaze 59 (80 cx.Z)</t>
  </si>
  <si>
    <t>Savi miwa</t>
  </si>
  <si>
    <t>dasaTesi balaxi</t>
  </si>
  <si>
    <t>wyali</t>
  </si>
  <si>
    <t xml:space="preserve">Sromis danaxarjebi </t>
  </si>
  <si>
    <t>satkepni sagz TviTmavali pnevmosvlaze 18t</t>
  </si>
  <si>
    <t>mosarwyav-mosarecxi manqana 6000l</t>
  </si>
  <si>
    <t>xreSi fraqciiT 0-10mm</t>
  </si>
  <si>
    <r>
      <t>betoni</t>
    </r>
    <r>
      <rPr>
        <sz val="10"/>
        <rFont val="Times New Roman"/>
        <family val="1"/>
      </rPr>
      <t xml:space="preserve"> B22.5</t>
    </r>
    <r>
      <rPr>
        <sz val="10"/>
        <rFont val="AcadNusx"/>
      </rPr>
      <t xml:space="preserve">                   </t>
    </r>
  </si>
  <si>
    <t>yalibis fari 40mm</t>
  </si>
  <si>
    <t>ficari Camoganili IIIx. 40-60mm</t>
  </si>
  <si>
    <t>koSkura amwe 5.5-8t.</t>
  </si>
  <si>
    <t>Sesakravi mavTuli 3mm</t>
  </si>
  <si>
    <t>qviSa</t>
  </si>
  <si>
    <t>dekoratiuli fila</t>
  </si>
  <si>
    <t>m</t>
  </si>
  <si>
    <t>betoni В15</t>
  </si>
  <si>
    <t>cementis xsnari</t>
  </si>
  <si>
    <t>yalibis fari 25mm</t>
  </si>
  <si>
    <t>sanagve urnis mowyoba</t>
  </si>
  <si>
    <t>cali</t>
  </si>
  <si>
    <t>sanagve urna</t>
  </si>
  <si>
    <t>ბეტონი B22.5</t>
  </si>
  <si>
    <r>
      <t>betoni</t>
    </r>
    <r>
      <rPr>
        <sz val="10"/>
        <rFont val="Times New Roman"/>
        <family val="1"/>
      </rPr>
      <t xml:space="preserve"> B22.5</t>
    </r>
    <r>
      <rPr>
        <sz val="10"/>
        <rFont val="AcadNusx"/>
      </rPr>
      <t xml:space="preserve">       </t>
    </r>
  </si>
  <si>
    <r>
      <t>m</t>
    </r>
    <r>
      <rPr>
        <vertAlign val="superscript"/>
        <sz val="10"/>
        <rFont val="AcadNusx"/>
      </rPr>
      <t>2</t>
    </r>
  </si>
  <si>
    <t>saparke skamis mowyoba</t>
  </si>
  <si>
    <t>saparke skami</t>
  </si>
  <si>
    <t xml:space="preserve">ქვიშა-ხრეშოვანი ნარევი </t>
  </si>
  <si>
    <r>
      <t xml:space="preserve">armatura </t>
    </r>
    <r>
      <rPr>
        <sz val="10"/>
        <rFont val="Times New Roman"/>
        <family val="1"/>
        <charset val="204"/>
      </rPr>
      <t>d=8</t>
    </r>
    <r>
      <rPr>
        <sz val="10"/>
        <rFont val="AcadNusx"/>
      </rPr>
      <t>mm</t>
    </r>
  </si>
  <si>
    <t>zeTovani saRebavi</t>
  </si>
  <si>
    <t xml:space="preserve">mcenareebis dargva </t>
  </si>
  <si>
    <t>amwe saavtomobilo 5t</t>
  </si>
  <si>
    <t>faqt.</t>
  </si>
  <si>
    <t xml:space="preserve">sxva masala </t>
  </si>
  <si>
    <t>SromiTi resursi</t>
  </si>
  <si>
    <t>metri</t>
  </si>
  <si>
    <r>
      <t xml:space="preserve">sainst. gofr. mili </t>
    </r>
    <r>
      <rPr>
        <b/>
        <sz val="11"/>
        <color indexed="8"/>
        <rFont val="Arial"/>
        <family val="2"/>
        <charset val="204"/>
      </rPr>
      <t>Ø 40</t>
    </r>
    <r>
      <rPr>
        <b/>
        <sz val="11"/>
        <color indexed="8"/>
        <rFont val="AcadNusx"/>
      </rPr>
      <t xml:space="preserve"> mm (wiTeli)</t>
    </r>
  </si>
  <si>
    <r>
      <t xml:space="preserve">sainst. gofr. mili </t>
    </r>
    <r>
      <rPr>
        <sz val="10"/>
        <color indexed="8"/>
        <rFont val="Arial"/>
        <family val="2"/>
        <charset val="204"/>
      </rPr>
      <t>Ø 40</t>
    </r>
    <r>
      <rPr>
        <sz val="10"/>
        <color indexed="8"/>
        <rFont val="AcadNusx"/>
      </rPr>
      <t xml:space="preserve"> mm (wiTeli)</t>
    </r>
  </si>
  <si>
    <t>ორმოს ამოღება ბოძებისთვის</t>
  </si>
  <si>
    <t>betoni b-25</t>
  </si>
  <si>
    <t>wvrili fraqciis qviSis fena</t>
  </si>
  <si>
    <t>transportireba 15 km-ze</t>
  </si>
  <si>
    <t>sasignalo lenti</t>
  </si>
  <si>
    <t>jami</t>
  </si>
  <si>
    <t>zednadebi xarji</t>
  </si>
  <si>
    <t xml:space="preserve">jami </t>
  </si>
  <si>
    <t>gegmiuri mogeba</t>
  </si>
  <si>
    <t>gauTvaliswinebeli samuSaoebi</t>
  </si>
  <si>
    <t>dRg</t>
  </si>
  <si>
    <t>100მ2</t>
  </si>
  <si>
    <t xml:space="preserve">სამშენებლო ნარჩენების  დატვირთვა ავტოთვითმცლელზე </t>
  </si>
  <si>
    <t>სამშენებლო ნარჩენების  გატანა 15 კმ-ზე</t>
  </si>
  <si>
    <t>avtogreideri saSualo tipis 79kvt (108cx,Z)</t>
  </si>
  <si>
    <t>არმატურის ბადის მოწყობა A240c  Ø8</t>
  </si>
  <si>
    <t>ქვიშა-ხრეში</t>
  </si>
  <si>
    <r>
      <t xml:space="preserve">sportuli moednis armirebuli betonis mowyoba sisqiT 10sm </t>
    </r>
    <r>
      <rPr>
        <b/>
        <sz val="10"/>
        <rFont val="Times New Roman"/>
        <family val="1"/>
        <charset val="204"/>
      </rPr>
      <t>(B-</t>
    </r>
    <r>
      <rPr>
        <b/>
        <sz val="10"/>
        <rFont val="AcadNusx"/>
      </rPr>
      <t>25)</t>
    </r>
  </si>
  <si>
    <t>100m3</t>
  </si>
  <si>
    <r>
      <t>betoni</t>
    </r>
    <r>
      <rPr>
        <sz val="10"/>
        <rFont val="Times New Roman"/>
        <family val="1"/>
      </rPr>
      <t xml:space="preserve"> B25     </t>
    </r>
    <r>
      <rPr>
        <sz val="10"/>
        <rFont val="AcadNusx"/>
      </rPr>
      <t xml:space="preserve">                   </t>
    </r>
  </si>
  <si>
    <t>xis masala</t>
  </si>
  <si>
    <t>მინაპლასტიკური არმატურა დ-6მმ</t>
  </si>
  <si>
    <t>koSkura amwe 5.5-8t</t>
  </si>
  <si>
    <r>
      <t>minaplastikuri armatura</t>
    </r>
    <r>
      <rPr>
        <sz val="10"/>
        <rFont val="Arial"/>
        <family val="2"/>
        <charset val="204"/>
      </rPr>
      <t>, k=1.03</t>
    </r>
  </si>
  <si>
    <t>mavTuli Sesakravi</t>
  </si>
  <si>
    <t>100m2</t>
  </si>
  <si>
    <t>SemoRobvis liTonis konstruqciis mowyoba vertikaluri da horizontaluri kavSirebiT</t>
  </si>
  <si>
    <t>amwe saavtomobili svlaze sxva saxis mSeneblobis 16t</t>
  </si>
  <si>
    <t>milkvadrati 80X80X4</t>
  </si>
  <si>
    <t>g.m</t>
  </si>
  <si>
    <t>pr.</t>
  </si>
  <si>
    <t>milkvadrati 40X40X3</t>
  </si>
  <si>
    <t>furcl.foladi 3mm</t>
  </si>
  <si>
    <t>100m</t>
  </si>
  <si>
    <r>
      <rPr>
        <sz val="10"/>
        <rFont val="Times New Roman"/>
        <family val="1"/>
        <charset val="204"/>
      </rPr>
      <t xml:space="preserve">PVC </t>
    </r>
    <r>
      <rPr>
        <sz val="10"/>
        <rFont val="AcadNusx"/>
      </rPr>
      <t>izolirebuli mavTulbade d=45mm (mavTulis d=2.7mm)</t>
    </r>
  </si>
  <si>
    <t>mavTulbadis damWeri bagiri izolaciiT d=6mm</t>
  </si>
  <si>
    <t>bagiris damWeri (uJangavi)</t>
  </si>
  <si>
    <t>qanCi sayeluriT da WanWikiT aranakleb d=5mm</t>
  </si>
  <si>
    <t>zolovana 30X3</t>
  </si>
  <si>
    <t>webo</t>
  </si>
  <si>
    <t>მოედნის მთელ პერიმეტრის ირგვლივ ცოკოლისა და დგარების საძირკვლისთვის რ/ბეტონის მოწყობა</t>
  </si>
  <si>
    <r>
      <t>betoni</t>
    </r>
    <r>
      <rPr>
        <sz val="10"/>
        <rFont val="Times New Roman"/>
        <family val="1"/>
      </rPr>
      <t xml:space="preserve"> B25   </t>
    </r>
    <r>
      <rPr>
        <sz val="10"/>
        <rFont val="AcadNusx"/>
      </rPr>
      <t xml:space="preserve">                   </t>
    </r>
  </si>
  <si>
    <t>fari ficris yalibis  25mm</t>
  </si>
  <si>
    <t>WanWiki samSeneblo</t>
  </si>
  <si>
    <t>მინაპლასტიკური არმატურა დ-10მმ</t>
  </si>
  <si>
    <t>მინაპლასტიკური არმატურა დ-14მმ</t>
  </si>
  <si>
    <r>
      <t xml:space="preserve">armatura </t>
    </r>
    <r>
      <rPr>
        <b/>
        <sz val="10"/>
        <rFont val="Times New Roman"/>
        <family val="1"/>
        <charset val="204"/>
      </rPr>
      <t>A</t>
    </r>
    <r>
      <rPr>
        <b/>
        <sz val="10"/>
        <rFont val="AcadNusx"/>
      </rPr>
      <t>-I</t>
    </r>
    <r>
      <rPr>
        <b/>
        <sz val="10"/>
        <rFont val="Times New Roman"/>
        <family val="1"/>
        <charset val="204"/>
      </rPr>
      <t xml:space="preserve"> d=8</t>
    </r>
  </si>
  <si>
    <r>
      <t xml:space="preserve">armatura </t>
    </r>
    <r>
      <rPr>
        <sz val="10"/>
        <rFont val="Arial"/>
        <family val="2"/>
        <charset val="204"/>
      </rPr>
      <t>A</t>
    </r>
    <r>
      <rPr>
        <sz val="10"/>
        <rFont val="AcadNusx"/>
      </rPr>
      <t>-I</t>
    </r>
    <r>
      <rPr>
        <sz val="10"/>
        <rFont val="Arial"/>
        <family val="2"/>
        <charset val="204"/>
      </rPr>
      <t>, k=1.03</t>
    </r>
  </si>
  <si>
    <t xml:space="preserve">საძირკვლის ქვეშ ფუძის (ბალიშის) მოწყობა ქვიშა-ხრეშოვანი ნარევით და ეტაპობრივი დატკეპნა ფენა-ფენა </t>
  </si>
  <si>
    <t>qviSa-xreSovani narevi</t>
  </si>
  <si>
    <r>
      <t xml:space="preserve">wertilovani saZirkvlis mowyoba klasiT </t>
    </r>
    <r>
      <rPr>
        <b/>
        <sz val="10"/>
        <rFont val="Times New Roman"/>
        <family val="1"/>
        <charset val="204"/>
      </rPr>
      <t>(B-</t>
    </r>
    <r>
      <rPr>
        <b/>
        <sz val="10"/>
        <rFont val="AcadNusx"/>
      </rPr>
      <t>25)</t>
    </r>
  </si>
  <si>
    <t>fexburTis karebis komleqti badiT</t>
  </si>
  <si>
    <t>kompl.</t>
  </si>
  <si>
    <t>foladis mili 89X4mm</t>
  </si>
  <si>
    <t>foladis mili 76X3mm</t>
  </si>
  <si>
    <t>bade</t>
  </si>
  <si>
    <t>kalaTburTis faris mowyoba</t>
  </si>
  <si>
    <t>milkvadrati 150X150X5</t>
  </si>
  <si>
    <t>furcl.foladi sisqiT 10mm</t>
  </si>
  <si>
    <t>furcl.foladi sisqiT 5mm</t>
  </si>
  <si>
    <r>
      <t xml:space="preserve">ankeri </t>
    </r>
    <r>
      <rPr>
        <sz val="10"/>
        <rFont val="Times New Roman"/>
        <family val="1"/>
      </rPr>
      <t>d</t>
    </r>
    <r>
      <rPr>
        <sz val="10"/>
        <rFont val="AcadNusx"/>
      </rPr>
      <t>=32mm,</t>
    </r>
    <r>
      <rPr>
        <sz val="10"/>
        <rFont val="Times New Roman"/>
        <family val="1"/>
      </rPr>
      <t xml:space="preserve"> L=</t>
    </r>
    <r>
      <rPr>
        <sz val="10"/>
        <rFont val="AcadNusx"/>
      </rPr>
      <t>110sm</t>
    </r>
  </si>
  <si>
    <t>qanCi sayeluriT</t>
  </si>
  <si>
    <t>kalaTburTis fari zambariani kalaTiT da samagri kronSteinebiT</t>
  </si>
  <si>
    <t xml:space="preserve">liTonis konstruqciebis damuSaveba zumfariT, dagruntva </t>
  </si>
  <si>
    <t>grunti</t>
  </si>
  <si>
    <t>liTonis konstruqciebis damuSaveba SeRebva 2 feniT</t>
  </si>
  <si>
    <t xml:space="preserve">ტრენაჟორი ,,აზიდვა ფეხებით '' მიწოდება-მონტაჟი </t>
  </si>
  <si>
    <t>trenaJori ,,აზიდვა ფეხებით ''</t>
  </si>
  <si>
    <t>manqanebi</t>
  </si>
  <si>
    <t>grZ.m</t>
  </si>
  <si>
    <r>
      <t>betoni</t>
    </r>
    <r>
      <rPr>
        <sz val="10"/>
        <rFont val="Times New Roman"/>
        <family val="1"/>
      </rPr>
      <t xml:space="preserve"> B-25</t>
    </r>
  </si>
  <si>
    <t>კაც/სთ</t>
  </si>
  <si>
    <t>ლარი</t>
  </si>
  <si>
    <r>
      <t xml:space="preserve">armatura </t>
    </r>
    <r>
      <rPr>
        <sz val="10"/>
        <rFont val="Arial"/>
        <family val="2"/>
        <charset val="204"/>
      </rPr>
      <t>A</t>
    </r>
    <r>
      <rPr>
        <sz val="10"/>
        <rFont val="AcadNusx"/>
      </rPr>
      <t xml:space="preserve">-500 </t>
    </r>
    <r>
      <rPr>
        <sz val="10"/>
        <rFont val="Arial"/>
        <family val="2"/>
        <charset val="204"/>
      </rPr>
      <t>C, k=1.03</t>
    </r>
  </si>
  <si>
    <t xml:space="preserve">zednadebi xarji </t>
  </si>
  <si>
    <t>jami I</t>
  </si>
  <si>
    <t>eleqtroobis nawili</t>
  </si>
  <si>
    <r>
      <t xml:space="preserve"> damiwebis glinula </t>
    </r>
    <r>
      <rPr>
        <sz val="10"/>
        <color indexed="8"/>
        <rFont val="Arial"/>
        <family val="2"/>
      </rPr>
      <t>Ø=</t>
    </r>
    <r>
      <rPr>
        <sz val="10"/>
        <color indexed="8"/>
        <rFont val="Arial"/>
        <family val="2"/>
        <charset val="204"/>
      </rPr>
      <t>10</t>
    </r>
    <r>
      <rPr>
        <sz val="10"/>
        <color indexed="8"/>
        <rFont val="AcadNusx"/>
      </rPr>
      <t xml:space="preserve"> mm</t>
    </r>
  </si>
  <si>
    <t>დამიწების ღერო</t>
  </si>
  <si>
    <t xml:space="preserve"> damiwebis Rero</t>
  </si>
  <si>
    <t>zednadebi xarji el. samontaJo samuSaoebis montaJis xelfasze</t>
  </si>
  <si>
    <t>jami II</t>
  </si>
  <si>
    <t>samSeneblo samuSaoebi</t>
  </si>
  <si>
    <t>amwe saavtomobilo svlaze 6.3t.</t>
  </si>
  <si>
    <t>samontaJo yuTi (sanaTis boZSi CasamontaJebeli)</t>
  </si>
  <si>
    <t xml:space="preserve">boZebis Camagreba betoniT </t>
  </si>
  <si>
    <t xml:space="preserve">gruntis ukan Cayra </t>
  </si>
  <si>
    <t>miwis gatana meqanizmiT</t>
  </si>
  <si>
    <t>sasignalo lenta</t>
  </si>
  <si>
    <t>jami III</t>
  </si>
  <si>
    <t>milkvadrati 120X120X5</t>
  </si>
  <si>
    <t>moednis SemoRobva plastmasis garsiT izolirebuli 4 mm-iani liTonis mavTulbadiT</t>
  </si>
  <si>
    <t xml:space="preserve">kauCuki </t>
  </si>
  <si>
    <t>pr</t>
  </si>
  <si>
    <t>betoni m-100</t>
  </si>
  <si>
    <t>ქვიშა</t>
  </si>
  <si>
    <t>tribunebis mowyoba</t>
  </si>
  <si>
    <t>liTonis konstruqciebi</t>
  </si>
  <si>
    <t>milkvadrati 40X50X2</t>
  </si>
  <si>
    <t>skami</t>
  </si>
  <si>
    <t>qviSa-xreSi</t>
  </si>
  <si>
    <t>არსებული მე-2 კატეგორიის გრუნტის მოხსნა  15სმ სისქით</t>
  </si>
  <si>
    <t>არსებული მე-2 კატეგორიის გრუნტის მოხსნა  40სმ სისქით</t>
  </si>
  <si>
    <t>SromiTi resursebi კ=0.6</t>
  </si>
  <si>
    <t>sxva manqanebi კ=0.7</t>
  </si>
  <si>
    <t>sxva masala კ=0.5</t>
  </si>
  <si>
    <t>datvirTva TviTmclelze</t>
  </si>
  <si>
    <t>ლითონის დგარების დემონტაჟი (80X80X4X4000) 130 გ.მ</t>
  </si>
  <si>
    <t>SromiTi resursi კ=0.5</t>
  </si>
  <si>
    <t>sxva manqana კ=0.5</t>
  </si>
  <si>
    <t xml:space="preserve">Sromis danaxarji </t>
  </si>
  <si>
    <t>ამომძირკველი-მომგროვებელი 79კვტ (108ცხ.ძ)</t>
  </si>
  <si>
    <t>ტრაქტორი 79კვტ (108ცხ.ძ)</t>
  </si>
  <si>
    <t>წყლის სოკო</t>
  </si>
  <si>
    <r>
      <t>stadionis perimetrze moWimvis mowyoba sisqiT 4sm (</t>
    </r>
    <r>
      <rPr>
        <b/>
        <sz val="10"/>
        <rFont val="Times New Roman"/>
        <family val="1"/>
        <charset val="204"/>
      </rPr>
      <t>B</t>
    </r>
    <r>
      <rPr>
        <b/>
        <sz val="10"/>
        <rFont val="AcadNusx"/>
      </rPr>
      <t>-25) 450kv.m</t>
    </r>
  </si>
  <si>
    <t>არმატურა A500c Ф-12მმ ( ბადის სამაგრი) 3.6მ</t>
  </si>
  <si>
    <t>ბეტონი B25</t>
  </si>
  <si>
    <t>1000მ</t>
  </si>
  <si>
    <t>გოფრირებული მილი არაპერფორირებული დ=200</t>
  </si>
  <si>
    <t>გოფრირებული მილი პერფორირებული დ=100</t>
  </si>
  <si>
    <t xml:space="preserve">მ2 </t>
  </si>
  <si>
    <t>გ.მ</t>
  </si>
  <si>
    <t>პრ</t>
  </si>
  <si>
    <t>ხე მასალა (ჰ=5სმ, იხ. პროექტი)</t>
  </si>
  <si>
    <t>მე-2-3 კატ გრუნტის დამუშავება, ქვაბულში, გვერდზე დაყრით</t>
  </si>
  <si>
    <t>გვერდზე დაყრილი გრუნტის უკუცაყრა და დატკეპნა 20სმ-იან ფენებად</t>
  </si>
  <si>
    <t>სატკეპნი პნევმატური</t>
  </si>
  <si>
    <t>კომპრესორი</t>
  </si>
  <si>
    <t>მორჩენილი გრუნტის დატვირთვა ავტოთვითმცლელზე და გატანა ნაყარში 15 კმ-ის მანძილზე</t>
  </si>
  <si>
    <t>მილკვადრატების მოწყობა</t>
  </si>
  <si>
    <t>bordiuri 20*10sm</t>
  </si>
  <si>
    <t>betoni b-22.5</t>
  </si>
  <si>
    <t>არმატურა A500c დ-8მმ</t>
  </si>
  <si>
    <t xml:space="preserve">საყრდენი ჩარჩო-საკიდი ტრენაჟორებისთვის  </t>
  </si>
  <si>
    <t xml:space="preserve">trenaJori "თხილამური" '  </t>
  </si>
  <si>
    <t>trenaJori "საყრდენი პრესი"</t>
  </si>
  <si>
    <t xml:space="preserve">trenaJori  "მუცლის პრესი"  </t>
  </si>
  <si>
    <t>trenaJori "ქანქარა"</t>
  </si>
  <si>
    <t xml:space="preserve">trenaJori " ბატერფლაი"' </t>
  </si>
  <si>
    <t>trenaJori  "ველოსიპედი"'</t>
  </si>
  <si>
    <t>trenaJori "მიზიდვა ზემოდან"</t>
  </si>
  <si>
    <t>trenaJori "ნიჩბოსანი"</t>
  </si>
  <si>
    <t xml:space="preserve">trenaJori "მჯდომარე აზიდვა" </t>
  </si>
  <si>
    <r>
      <rPr>
        <sz val="10"/>
        <rFont val="Arial"/>
        <family val="2"/>
      </rPr>
      <t>“workout“</t>
    </r>
    <r>
      <rPr>
        <sz val="10"/>
        <rFont val="AcadNusx"/>
      </rPr>
      <t xml:space="preserve"> კომპლექტი</t>
    </r>
  </si>
  <si>
    <t xml:space="preserve">ტრანშეის გათხრა ხელით ქსელის მოსაწყობად
</t>
  </si>
  <si>
    <r>
      <t>სპილენძის კაბელი ორმაგი იზოლაციით</t>
    </r>
    <r>
      <rPr>
        <b/>
        <sz val="10"/>
        <color theme="1"/>
        <rFont val="Arial"/>
        <family val="2"/>
        <charset val="204"/>
      </rPr>
      <t xml:space="preserve"> NYY-J 2X1.5მმ</t>
    </r>
    <r>
      <rPr>
        <b/>
        <vertAlign val="superscript"/>
        <sz val="10"/>
        <color theme="1"/>
        <rFont val="AcadNusx"/>
      </rPr>
      <t>2</t>
    </r>
  </si>
  <si>
    <r>
      <rPr>
        <b/>
        <sz val="10"/>
        <color theme="1"/>
        <rFont val="Arial"/>
        <family val="2"/>
        <charset val="204"/>
      </rPr>
      <t>სპილენძის კაბელი ორმაგი იზოლაციით NYY-J 4X2.5</t>
    </r>
    <r>
      <rPr>
        <b/>
        <sz val="10"/>
        <color theme="1"/>
        <rFont val="AcadNusx"/>
      </rPr>
      <t>მმ</t>
    </r>
    <r>
      <rPr>
        <b/>
        <vertAlign val="superscript"/>
        <sz val="10"/>
        <color theme="1"/>
        <rFont val="AcadNusx"/>
      </rPr>
      <t>2</t>
    </r>
  </si>
  <si>
    <t xml:space="preserve">კაბელი </t>
  </si>
  <si>
    <r>
      <t>ავტომატური ამომრთველი</t>
    </r>
    <r>
      <rPr>
        <b/>
        <sz val="10"/>
        <color theme="1"/>
        <rFont val="Arial"/>
        <family val="2"/>
        <charset val="204"/>
      </rPr>
      <t xml:space="preserve">  MCB 10A/C/6kA  3 </t>
    </r>
    <r>
      <rPr>
        <b/>
        <sz val="10"/>
        <color theme="1"/>
        <rFont val="AcadNusx"/>
      </rPr>
      <t>პოლუსა</t>
    </r>
  </si>
  <si>
    <r>
      <t>ავტომატური ამომრთველი</t>
    </r>
    <r>
      <rPr>
        <b/>
        <sz val="10"/>
        <color theme="1"/>
        <rFont val="Arial"/>
        <family val="2"/>
        <charset val="204"/>
      </rPr>
      <t xml:space="preserve">  MCB 2A/C/6kA  1 </t>
    </r>
    <r>
      <rPr>
        <b/>
        <sz val="10"/>
        <color theme="1"/>
        <rFont val="AcadNusx"/>
      </rPr>
      <t>პოლუსა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</si>
  <si>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10A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</si>
  <si>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2A  1 </t>
    </r>
    <r>
      <rPr>
        <sz val="10"/>
        <color indexed="8"/>
        <rFont val="AcadNusx"/>
      </rPr>
      <t>polusa</t>
    </r>
  </si>
  <si>
    <r>
      <rPr>
        <b/>
        <sz val="10"/>
        <color theme="1"/>
        <rFont val="AcadNusx"/>
      </rPr>
      <t>კარადის კარში ჩასასმელი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ON/OFF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AcadNusx"/>
      </rPr>
      <t xml:space="preserve"> ღილაკი ფიქსაციით</t>
    </r>
  </si>
  <si>
    <t>Rilaki</t>
  </si>
  <si>
    <r>
      <t xml:space="preserve">კონტაქტორი </t>
    </r>
    <r>
      <rPr>
        <b/>
        <sz val="10"/>
        <color theme="1"/>
        <rFont val="Arial"/>
        <family val="2"/>
        <charset val="204"/>
      </rPr>
      <t>3P/ 3.0 kW/230VAC</t>
    </r>
  </si>
  <si>
    <t>kontaqtori</t>
  </si>
  <si>
    <t>fotorele</t>
  </si>
  <si>
    <t xml:space="preserve">sanaTis boZi 9m </t>
  </si>
  <si>
    <r>
      <t xml:space="preserve">გარე განათების ორმკლავიანი ლამპიონი, ბოძით 9.0 მ, სამონტაჟო ყუთით, </t>
    </r>
    <r>
      <rPr>
        <b/>
        <sz val="10"/>
        <color theme="1"/>
        <rFont val="Arial"/>
        <family val="2"/>
        <charset val="204"/>
      </rPr>
      <t>LED ნათურით 2X110 W    IP 67</t>
    </r>
  </si>
  <si>
    <r>
      <t xml:space="preserve">proJeqtori </t>
    </r>
    <r>
      <rPr>
        <sz val="11"/>
        <color indexed="8"/>
        <rFont val="Arial"/>
        <family val="2"/>
        <charset val="204"/>
      </rPr>
      <t xml:space="preserve"> LED </t>
    </r>
    <r>
      <rPr>
        <sz val="11"/>
        <color indexed="8"/>
        <rFont val="AcadNusx"/>
      </rPr>
      <t>naTuriT 2X110</t>
    </r>
    <r>
      <rPr>
        <sz val="11"/>
        <color indexed="8"/>
        <rFont val="Arial"/>
        <family val="2"/>
        <charset val="204"/>
      </rPr>
      <t xml:space="preserve">W  </t>
    </r>
  </si>
  <si>
    <r>
      <t xml:space="preserve">გარე განათების ორმკლავიანი ლამპიონი, ბოძით 7.5 მ, სამონტაჟო ყუთით, </t>
    </r>
    <r>
      <rPr>
        <b/>
        <sz val="10"/>
        <color theme="1"/>
        <rFont val="Arial"/>
        <family val="2"/>
        <charset val="204"/>
      </rPr>
      <t xml:space="preserve">LED </t>
    </r>
    <r>
      <rPr>
        <b/>
        <sz val="10"/>
        <color theme="1"/>
        <rFont val="AcadNusx"/>
      </rPr>
      <t xml:space="preserve"> ნათურით</t>
    </r>
    <r>
      <rPr>
        <b/>
        <sz val="10"/>
        <color theme="1"/>
        <rFont val="Arial"/>
        <family val="2"/>
        <charset val="204"/>
      </rPr>
      <t xml:space="preserve"> 2X110 W    IP 67</t>
    </r>
  </si>
  <si>
    <t>sul jami I+II+III</t>
  </si>
  <si>
    <t xml:space="preserve">sanaTis boZi 7.5m </t>
  </si>
  <si>
    <t>კაბელი 4*2.5მმ2</t>
  </si>
  <si>
    <t>ბეტონის ცოკოლისა და ფეხბურთის სტადიონის ბეტონის საძირკვლის დემონტაჟი</t>
  </si>
  <si>
    <t>ლითონის მოაჯირი</t>
  </si>
  <si>
    <t>betoni ბ-25 მოსამზადებელი ფენა</t>
  </si>
  <si>
    <t>ბორდიურის მოწყობა100X200X500</t>
  </si>
  <si>
    <t>bordiuri 100X200X500</t>
  </si>
  <si>
    <t>სპორტული მოედნის ქვეშ ხრეშის (ფრაქცია 10-20) ფენილის მოწყობა სისქით 10სმ დატკეპნის კოეფიციენტით 1.22</t>
  </si>
  <si>
    <t>ლითონის მოაჯირის მოწყობა ჰ=0.9 (135მ)</t>
  </si>
  <si>
    <t>liTonis karis mowyoba</t>
  </si>
  <si>
    <t>milkvadrati 30X30X2</t>
  </si>
  <si>
    <t>anjama</t>
  </si>
  <si>
    <t>saketi (saxeluriT)</t>
  </si>
  <si>
    <t>qarxnuli xamuTi</t>
  </si>
  <si>
    <t>kuTxovana 35X35X3</t>
  </si>
  <si>
    <t>კალათბურთის მოედნის მოწყობა 450მ2</t>
  </si>
  <si>
    <t>კალათბურთის მოედნის საძირკვლისა და ცოკოლის მოწყობა</t>
  </si>
  <si>
    <t>ფეხბურთის მოედნის saZirkvlisa da cokolis mowyoba</t>
  </si>
  <si>
    <t>ფეხბურთის მოედნის მოწყობა 1110მ2</t>
  </si>
  <si>
    <t>მოედნების შემოღობვა</t>
  </si>
  <si>
    <t>kuTxovana 45X45X3</t>
  </si>
  <si>
    <t>მოედანზე შესასვლელი liT. karis mowyoba (2 kompl.)</t>
  </si>
  <si>
    <t>სპორტული ინვენტარი</t>
  </si>
  <si>
    <r>
      <t xml:space="preserve">სავალი ბილიკის ლამპიონი, ბოძით 4.0 მ, სამონტაჟო ყუთით,  </t>
    </r>
    <r>
      <rPr>
        <b/>
        <sz val="10"/>
        <color theme="1"/>
        <rFont val="Arial"/>
        <family val="2"/>
        <charset val="204"/>
      </rPr>
      <t xml:space="preserve">LED </t>
    </r>
    <r>
      <rPr>
        <b/>
        <sz val="10"/>
        <color theme="1"/>
        <rFont val="AcadNusx"/>
      </rPr>
      <t>ნათურით</t>
    </r>
    <r>
      <rPr>
        <b/>
        <sz val="10"/>
        <color theme="1"/>
        <rFont val="Arial"/>
        <family val="2"/>
        <charset val="204"/>
      </rPr>
      <t xml:space="preserve"> 1X35 W    IP 67</t>
    </r>
  </si>
  <si>
    <t xml:space="preserve">sanaTis boZi 4m </t>
  </si>
  <si>
    <r>
      <t xml:space="preserve">proJeqtori </t>
    </r>
    <r>
      <rPr>
        <sz val="11"/>
        <color indexed="8"/>
        <rFont val="Arial"/>
        <family val="2"/>
        <charset val="204"/>
      </rPr>
      <t xml:space="preserve"> LED </t>
    </r>
    <r>
      <rPr>
        <sz val="11"/>
        <color indexed="8"/>
        <rFont val="AcadNusx"/>
      </rPr>
      <t>naTuriT 1X35</t>
    </r>
    <r>
      <rPr>
        <sz val="11"/>
        <color indexed="8"/>
        <rFont val="Arial"/>
        <family val="2"/>
        <charset val="204"/>
      </rPr>
      <t xml:space="preserve">W  </t>
    </r>
  </si>
  <si>
    <t>xelovnuri balaxiს ქვესაგები ფენა ე.წ ქეჩა</t>
  </si>
  <si>
    <t>xelovnuri balaxi 50mm  გადასაბმელი ლენტით</t>
  </si>
  <si>
    <t>ხელოვნური საფარი 50მმ (ნაკერი 3/8 ინჩი; ღეროს ჭრილი: 310 მიკრონი; 1,5 მმ;D-TEX: - 14000;6. ყულფის რაოდენობა 16(10) სმ;. კვანძი 1კვ.მ-ზე:16800;)</t>
  </si>
  <si>
    <t>არმირებული ბეტონის სარბენი ბილიკი სისქით 10 სმ</t>
  </si>
  <si>
    <t>სარწყავი ქსელის მოწყობა</t>
  </si>
  <si>
    <t>მიწის გაჭრა ტრანშეას მოსაწყობად, უყუჩაყრით 0.4X0.3სმ</t>
  </si>
  <si>
    <t>პლასტმასის წყლის მილის გაყვანა D-32 მმ</t>
  </si>
  <si>
    <t>მილი დ-32</t>
  </si>
  <si>
    <t>პლასტმასის წყლის მილის გაყვანა D-25 მმ</t>
  </si>
  <si>
    <t>მილი დ-25</t>
  </si>
  <si>
    <t>პლასტმასის ჭა ხუფით 55X55</t>
  </si>
  <si>
    <t>კომპლ</t>
  </si>
  <si>
    <t>დამხმარე საინსტალაციო ფასონური ნაწილები</t>
  </si>
  <si>
    <t>ფასონური ნაწილები</t>
  </si>
  <si>
    <t>ც</t>
  </si>
  <si>
    <t>სამკაპი32*25*32</t>
  </si>
  <si>
    <t>სწრაფი მიერთების სარქველი</t>
  </si>
  <si>
    <t>სარქველი</t>
  </si>
  <si>
    <t>მაგისტრალურ ქსელზე მიერთება (წყალსადენი/კანალიზაციის შეჭრის ნებართვა და სხვა საჭირო დოკუმენტაციის შეთანხმება შესაბამის უწყებებთან სამუშაოების შესრულების ჩათვლით)</t>
  </si>
  <si>
    <t>kvarcis qviSa orjer garecxili fraqciiT (0.25-1.2mm), saSualod 2სმ ფენით</t>
  </si>
  <si>
    <t>კაუჩუკის გრანულატები saSualod 2სმ ფენით</t>
  </si>
  <si>
    <t>შენიშვნა:
1.   ხარჯთაღრიცხვა წარმოდგენილ უნდა იქნას დანართი №1–ის მიხედვით (ხარჯთაღრიცხვის განსაფასებელი პოზიციების რაოდენობის 1%-ზე მეტის განუფასებლად წარმოდგენა ან/და ხარჯთაღრიცხვის წარმოუდგენლობა დაზუსტებას არ დაექვემდებარება და გამოიწვევს პრეტენდენტის დისკვალიფიკაციას).
2.   გაუთვალისიწნებელი ხარჯი (3%) არის უცვლელი.</t>
  </si>
  <si>
    <t>პრეტენდენტი    ---------------------------------   ხელმოწერა         /           /       ბ.ა</t>
  </si>
  <si>
    <t>%</t>
  </si>
  <si>
    <t xml:space="preserve">  ქ.თბილისი, წმ. ბარბარეს უბანი, ნაკადულის III გასასვლელი  (ს/კ 01.19.33.008.283) სპორტული მოედნის მოწყობა-რეაბილიტაციის სამუშაოების ხარჯთაღრიცხვა              დანართი №1
</t>
  </si>
  <si>
    <t>სამეთვალყურეო კამერების მიწისქვეშა ქსელისთვის გოფრირებული ორშრიანი მილის მოწყობა Ø-40მმ-იანი (მასალის, სამუშოს და მექანიზმების ღირებულების გათვალისწინებით)</t>
  </si>
  <si>
    <t>სამეთვალყურეო კამერების მიწისქვეშა ქსელისთვის გოფრირებული ორშრიანი მილის მოწყობა Ø-90მმ-იანი (მასალის, სამუშოს და მექანიზმების ღირებულების გათვალისწინებით)</t>
  </si>
  <si>
    <t>მეტალის გარცმის მილი Ø-120მმ</t>
  </si>
  <si>
    <t>სარბენი ბილიკის mowyoba</t>
  </si>
  <si>
    <t>სამეთვალყურეო კამერების და გარე განათებისთვის გამანაწილებელი ჭების მოწყობა  თავსახურით (ჭის თავსახური არმირებულ ბეტონში ჩამონტაჟებული პოლიეთილენი ან თუჯი არანაკლებ 5 ტონა დატვირთვით) - ესკიზის მიხედვით (მასალის, სამუშოს და მექანიზმების ღირებულების გათვალისწინებით)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</si>
</sst>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00"/>
    <numFmt numFmtId="165" formatCode="0.0"/>
    <numFmt numFmtId="166" formatCode="0.0000000"/>
    <numFmt numFmtId="167" formatCode="[$-410]General"/>
    <numFmt numFmtId="168" formatCode="0.000"/>
    <numFmt numFmtId="169" formatCode="_-* #,##0\ _ლ_._-;\-* #,##0\ _ლ_._-;_-* &quot;-&quot;??\ _ლ_._-;_-@_-"/>
    <numFmt numFmtId="170" formatCode="_-* #,##0.00\ _ლ_._-;\-* #,##0.00\ _ლ_._-;_-* &quot;-&quot;??\ _ლ_._-;_-@_-"/>
    <numFmt numFmtId="171" formatCode="0.00;[Red]0.00"/>
    <numFmt numFmtId="172" formatCode="0.0000"/>
    <numFmt numFmtId="173" formatCode="0.00000"/>
  </numFmts>
  <fonts count="6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b/>
      <i/>
      <sz val="11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Calibri"/>
      <family val="2"/>
      <charset val="1"/>
      <scheme val="minor"/>
    </font>
    <font>
      <sz val="11"/>
      <name val="Sylfaen"/>
      <family val="1"/>
    </font>
    <font>
      <b/>
      <sz val="11"/>
      <name val="Sylfaen"/>
      <family val="1"/>
    </font>
    <font>
      <b/>
      <sz val="11"/>
      <name val="Sylfaen"/>
      <family val="1"/>
      <charset val="204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name val="Sylfaen"/>
      <family val="1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cadNusx"/>
    </font>
    <font>
      <i/>
      <sz val="10"/>
      <color theme="1"/>
      <name val="AcadNusx"/>
    </font>
    <font>
      <b/>
      <i/>
      <sz val="10"/>
      <color indexed="8"/>
      <name val="AcadNusx"/>
    </font>
    <font>
      <sz val="10"/>
      <name val="AcadNusx"/>
    </font>
    <font>
      <b/>
      <sz val="10"/>
      <name val="AcadNusx"/>
    </font>
    <font>
      <b/>
      <sz val="10"/>
      <color theme="1"/>
      <name val="AcadNusx"/>
    </font>
    <font>
      <b/>
      <sz val="10"/>
      <color rgb="FF000000"/>
      <name val="AcadNusx"/>
    </font>
    <font>
      <b/>
      <sz val="11"/>
      <color theme="1"/>
      <name val="AcadNusx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AcadNusx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Calibri"/>
      <family val="2"/>
      <scheme val="minor"/>
    </font>
    <font>
      <vertAlign val="superscript"/>
      <sz val="10"/>
      <name val="AcadNusx"/>
    </font>
    <font>
      <sz val="11"/>
      <name val="AcadNusx"/>
    </font>
    <font>
      <sz val="11"/>
      <color indexed="8"/>
      <name val="Arial"/>
      <family val="2"/>
      <charset val="204"/>
    </font>
    <font>
      <sz val="11"/>
      <color indexed="8"/>
      <name val="AcadNusx"/>
    </font>
    <font>
      <b/>
      <sz val="11"/>
      <color indexed="8"/>
      <name val="Arial"/>
      <family val="2"/>
      <charset val="204"/>
    </font>
    <font>
      <b/>
      <sz val="11"/>
      <color indexed="8"/>
      <name val="AcadNusx"/>
    </font>
    <font>
      <sz val="10"/>
      <color indexed="8"/>
      <name val="Arial"/>
      <family val="2"/>
      <charset val="204"/>
    </font>
    <font>
      <sz val="10"/>
      <color indexed="8"/>
      <name val="AcadNusx"/>
    </font>
    <font>
      <sz val="10"/>
      <name val="Arial Cyr"/>
      <family val="2"/>
      <charset val="204"/>
    </font>
    <font>
      <b/>
      <i/>
      <sz val="11"/>
      <color theme="1"/>
      <name val="AcadNusx"/>
    </font>
    <font>
      <sz val="11"/>
      <color rgb="FF000000"/>
      <name val="AcadNusx"/>
    </font>
    <font>
      <b/>
      <i/>
      <sz val="11"/>
      <color indexed="8"/>
      <name val="AcadNusx"/>
    </font>
    <font>
      <b/>
      <sz val="12"/>
      <name val="AcadNusx"/>
    </font>
    <font>
      <b/>
      <sz val="9"/>
      <name val="Sylfaen"/>
      <family val="1"/>
      <charset val="204"/>
    </font>
    <font>
      <sz val="10"/>
      <color indexed="8"/>
      <name val="Arial"/>
      <family val="2"/>
    </font>
    <font>
      <b/>
      <sz val="11"/>
      <color theme="1"/>
      <name val="Sylfaen"/>
      <family val="1"/>
      <charset val="204"/>
    </font>
    <font>
      <b/>
      <sz val="11"/>
      <color theme="1"/>
      <name val="Calibri"/>
      <family val="1"/>
      <charset val="204"/>
      <scheme val="minor"/>
    </font>
    <font>
      <b/>
      <sz val="10"/>
      <name val="Arial"/>
      <family val="2"/>
      <charset val="204"/>
    </font>
    <font>
      <b/>
      <sz val="11"/>
      <color rgb="FF000000"/>
      <name val="Sylfaen"/>
      <family val="1"/>
    </font>
    <font>
      <b/>
      <sz val="10"/>
      <color theme="1"/>
      <name val="Arial"/>
      <family val="2"/>
      <charset val="204"/>
    </font>
    <font>
      <b/>
      <vertAlign val="superscript"/>
      <sz val="10"/>
      <color theme="1"/>
      <name val="AcadNusx"/>
    </font>
    <font>
      <b/>
      <sz val="10"/>
      <color theme="1"/>
      <name val="Times New Roman"/>
      <family val="1"/>
      <charset val="204"/>
    </font>
    <font>
      <b/>
      <u/>
      <sz val="12"/>
      <name val="AcadNusx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AcadNusx"/>
    </font>
    <font>
      <b/>
      <sz val="11"/>
      <color rgb="FFFF0000"/>
      <name val="AcadNusx"/>
    </font>
    <font>
      <sz val="10"/>
      <color theme="1"/>
      <name val="Merriweathe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7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4" fillId="0" borderId="0"/>
    <xf numFmtId="0" fontId="6" fillId="0" borderId="0"/>
    <xf numFmtId="0" fontId="21" fillId="0" borderId="0"/>
    <xf numFmtId="166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22" fillId="0" borderId="0"/>
    <xf numFmtId="0" fontId="2" fillId="0" borderId="0"/>
    <xf numFmtId="171" fontId="22" fillId="0" borderId="0" applyFont="0" applyFill="0" applyBorder="0" applyAlignment="0" applyProtection="0"/>
    <xf numFmtId="0" fontId="47" fillId="0" borderId="0"/>
    <xf numFmtId="0" fontId="2" fillId="0" borderId="0"/>
    <xf numFmtId="0" fontId="7" fillId="0" borderId="0"/>
    <xf numFmtId="0" fontId="2" fillId="0" borderId="0"/>
    <xf numFmtId="0" fontId="63" fillId="0" borderId="0" applyNumberFormat="0" applyFill="0" applyBorder="0" applyAlignment="0" applyProtection="0"/>
  </cellStyleXfs>
  <cellXfs count="374">
    <xf numFmtId="0" fontId="0" fillId="0" borderId="0" xfId="0"/>
    <xf numFmtId="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171" fontId="36" fillId="0" borderId="1" xfId="31" applyFont="1" applyFill="1" applyBorder="1" applyAlignment="1" applyProtection="1">
      <alignment horizontal="center" vertical="center" wrapText="1"/>
    </xf>
    <xf numFmtId="0" fontId="51" fillId="0" borderId="1" xfId="4" applyFont="1" applyFill="1" applyBorder="1" applyAlignment="1">
      <alignment horizontal="center" vertical="center" wrapText="1"/>
    </xf>
    <xf numFmtId="4" fontId="51" fillId="0" borderId="1" xfId="4" applyNumberFormat="1" applyFont="1" applyFill="1" applyBorder="1" applyAlignment="1">
      <alignment horizontal="center" vertical="center" wrapText="1"/>
    </xf>
    <xf numFmtId="2" fontId="51" fillId="0" borderId="1" xfId="4" applyNumberFormat="1" applyFont="1" applyFill="1" applyBorder="1" applyAlignment="1">
      <alignment horizontal="center" vertical="center" wrapText="1"/>
    </xf>
    <xf numFmtId="0" fontId="51" fillId="0" borderId="0" xfId="4" applyFont="1" applyFill="1" applyAlignment="1">
      <alignment vertical="center" wrapText="1"/>
    </xf>
    <xf numFmtId="0" fontId="28" fillId="0" borderId="1" xfId="18" applyFont="1" applyFill="1" applyBorder="1" applyAlignment="1">
      <alignment vertical="center" wrapText="1"/>
    </xf>
    <xf numFmtId="0" fontId="28" fillId="0" borderId="1" xfId="18" applyFont="1" applyFill="1" applyBorder="1" applyAlignment="1">
      <alignment horizontal="center" vertical="center" wrapText="1"/>
    </xf>
    <xf numFmtId="2" fontId="28" fillId="0" borderId="1" xfId="4" applyNumberFormat="1" applyFont="1" applyFill="1" applyBorder="1" applyAlignment="1">
      <alignment horizontal="center" vertical="center" wrapText="1"/>
    </xf>
    <xf numFmtId="2" fontId="28" fillId="0" borderId="1" xfId="18" applyNumberFormat="1" applyFont="1" applyFill="1" applyBorder="1" applyAlignment="1">
      <alignment horizontal="center" vertical="center" wrapText="1"/>
    </xf>
    <xf numFmtId="0" fontId="28" fillId="0" borderId="0" xfId="4" applyFont="1" applyFill="1" applyAlignment="1">
      <alignment vertical="center" wrapText="1"/>
    </xf>
    <xf numFmtId="0" fontId="28" fillId="0" borderId="0" xfId="18" applyFont="1" applyFill="1" applyAlignment="1">
      <alignment vertical="center" wrapText="1"/>
    </xf>
    <xf numFmtId="0" fontId="28" fillId="0" borderId="1" xfId="4" applyFont="1" applyFill="1" applyBorder="1" applyAlignment="1">
      <alignment vertical="center" wrapText="1"/>
    </xf>
    <xf numFmtId="0" fontId="28" fillId="0" borderId="1" xfId="4" applyFont="1" applyFill="1" applyBorder="1" applyAlignment="1">
      <alignment horizontal="center" vertical="center" wrapText="1"/>
    </xf>
    <xf numFmtId="0" fontId="29" fillId="0" borderId="0" xfId="4" applyFont="1" applyFill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4" applyFont="1" applyFill="1" applyBorder="1" applyAlignment="1">
      <alignment horizontal="center" vertical="center" wrapText="1"/>
    </xf>
    <xf numFmtId="2" fontId="29" fillId="0" borderId="1" xfId="4" applyNumberFormat="1" applyFont="1" applyFill="1" applyBorder="1" applyAlignment="1">
      <alignment horizontal="center" vertical="center"/>
    </xf>
    <xf numFmtId="2" fontId="30" fillId="0" borderId="1" xfId="4" applyNumberFormat="1" applyFont="1" applyFill="1" applyBorder="1" applyAlignment="1">
      <alignment horizontal="center" vertical="center"/>
    </xf>
    <xf numFmtId="2" fontId="31" fillId="0" borderId="1" xfId="4" applyNumberFormat="1" applyFont="1" applyFill="1" applyBorder="1" applyAlignment="1">
      <alignment horizontal="center" vertical="center" wrapText="1"/>
    </xf>
    <xf numFmtId="0" fontId="32" fillId="0" borderId="0" xfId="4" applyFont="1" applyFill="1"/>
    <xf numFmtId="0" fontId="28" fillId="0" borderId="1" xfId="10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center" vertical="center"/>
    </xf>
    <xf numFmtId="168" fontId="28" fillId="0" borderId="1" xfId="4" applyNumberFormat="1" applyFont="1" applyFill="1" applyBorder="1" applyAlignment="1">
      <alignment horizontal="center" vertical="center"/>
    </xf>
    <xf numFmtId="2" fontId="28" fillId="0" borderId="1" xfId="4" applyNumberFormat="1" applyFont="1" applyFill="1" applyBorder="1" applyAlignment="1">
      <alignment horizontal="center" vertical="center"/>
    </xf>
    <xf numFmtId="2" fontId="25" fillId="0" borderId="1" xfId="4" applyNumberFormat="1" applyFont="1" applyFill="1" applyBorder="1" applyAlignment="1">
      <alignment horizontal="center" vertical="center" wrapText="1"/>
    </xf>
    <xf numFmtId="2" fontId="5" fillId="0" borderId="1" xfId="4" applyNumberFormat="1" applyFont="1" applyFill="1" applyBorder="1" applyAlignment="1">
      <alignment horizontal="center" vertical="center" wrapText="1"/>
    </xf>
    <xf numFmtId="0" fontId="8" fillId="0" borderId="0" xfId="4" applyFont="1" applyFill="1"/>
    <xf numFmtId="0" fontId="35" fillId="0" borderId="3" xfId="0" applyFont="1" applyFill="1" applyBorder="1" applyAlignment="1">
      <alignment horizontal="center" vertical="center" wrapText="1"/>
    </xf>
    <xf numFmtId="0" fontId="29" fillId="0" borderId="1" xfId="33" applyFont="1" applyFill="1" applyBorder="1" applyAlignment="1">
      <alignment horizontal="center" vertical="center"/>
    </xf>
    <xf numFmtId="2" fontId="28" fillId="0" borderId="1" xfId="33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 wrapText="1"/>
    </xf>
    <xf numFmtId="2" fontId="25" fillId="0" borderId="1" xfId="33" applyNumberFormat="1" applyFont="1" applyFill="1" applyBorder="1" applyAlignment="1">
      <alignment horizontal="center" vertical="center" wrapText="1"/>
    </xf>
    <xf numFmtId="2" fontId="5" fillId="0" borderId="1" xfId="33" applyNumberFormat="1" applyFont="1" applyFill="1" applyBorder="1" applyAlignment="1">
      <alignment horizontal="center" vertical="center" wrapText="1"/>
    </xf>
    <xf numFmtId="0" fontId="8" fillId="0" borderId="0" xfId="33" applyFont="1" applyFill="1"/>
    <xf numFmtId="0" fontId="40" fillId="0" borderId="3" xfId="0" applyFont="1" applyFill="1" applyBorder="1" applyAlignment="1">
      <alignment horizontal="center" vertical="center" wrapText="1"/>
    </xf>
    <xf numFmtId="0" fontId="28" fillId="0" borderId="1" xfId="33" applyFont="1" applyFill="1" applyBorder="1" applyAlignment="1">
      <alignment horizontal="left" vertical="center" wrapText="1"/>
    </xf>
    <xf numFmtId="0" fontId="28" fillId="0" borderId="1" xfId="33" applyFont="1" applyFill="1" applyBorder="1" applyAlignment="1">
      <alignment horizontal="center" vertical="center" wrapText="1"/>
    </xf>
    <xf numFmtId="0" fontId="28" fillId="0" borderId="1" xfId="10" applyFont="1" applyFill="1" applyBorder="1" applyAlignment="1">
      <alignment horizontal="center" vertical="center" wrapText="1"/>
    </xf>
    <xf numFmtId="2" fontId="5" fillId="0" borderId="1" xfId="4" applyNumberFormat="1" applyFont="1" applyFill="1" applyBorder="1" applyAlignment="1">
      <alignment horizontal="center" vertical="center"/>
    </xf>
    <xf numFmtId="0" fontId="35" fillId="0" borderId="3" xfId="24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/>
    </xf>
    <xf numFmtId="2" fontId="28" fillId="0" borderId="1" xfId="10" applyNumberFormat="1" applyFont="1" applyFill="1" applyBorder="1" applyAlignment="1">
      <alignment horizontal="center" vertical="center" wrapText="1"/>
    </xf>
    <xf numFmtId="0" fontId="29" fillId="0" borderId="1" xfId="11" applyFont="1" applyFill="1" applyBorder="1" applyAlignment="1">
      <alignment horizontal="center" vertical="center" wrapText="1"/>
    </xf>
    <xf numFmtId="2" fontId="29" fillId="0" borderId="1" xfId="11" applyNumberFormat="1" applyFont="1" applyFill="1" applyBorder="1" applyAlignment="1">
      <alignment horizontal="center" vertical="center"/>
    </xf>
    <xf numFmtId="2" fontId="29" fillId="0" borderId="1" xfId="11" applyNumberFormat="1" applyFont="1" applyFill="1" applyBorder="1" applyAlignment="1">
      <alignment horizontal="center" vertical="center" wrapText="1"/>
    </xf>
    <xf numFmtId="0" fontId="28" fillId="0" borderId="1" xfId="29" applyFont="1" applyFill="1" applyBorder="1" applyAlignment="1">
      <alignment horizontal="left" vertical="center" wrapText="1"/>
    </xf>
    <xf numFmtId="0" fontId="28" fillId="0" borderId="1" xfId="29" applyFont="1" applyFill="1" applyBorder="1" applyAlignment="1">
      <alignment horizontal="center" vertical="center" wrapText="1"/>
    </xf>
    <xf numFmtId="2" fontId="28" fillId="0" borderId="1" xfId="11" applyNumberFormat="1" applyFont="1" applyFill="1" applyBorder="1" applyAlignment="1">
      <alignment horizontal="center" vertical="center"/>
    </xf>
    <xf numFmtId="2" fontId="5" fillId="0" borderId="1" xfId="11" applyNumberFormat="1" applyFont="1" applyFill="1" applyBorder="1" applyAlignment="1">
      <alignment horizontal="center" vertical="center"/>
    </xf>
    <xf numFmtId="2" fontId="25" fillId="0" borderId="1" xfId="11" applyNumberFormat="1" applyFont="1" applyFill="1" applyBorder="1" applyAlignment="1">
      <alignment horizontal="center" vertical="center" wrapText="1"/>
    </xf>
    <xf numFmtId="0" fontId="28" fillId="0" borderId="1" xfId="11" applyFont="1" applyFill="1" applyBorder="1" applyAlignment="1">
      <alignment horizontal="center" vertical="center"/>
    </xf>
    <xf numFmtId="2" fontId="5" fillId="0" borderId="1" xfId="11" applyNumberFormat="1" applyFont="1" applyFill="1" applyBorder="1" applyAlignment="1">
      <alignment horizontal="center" vertical="center" wrapText="1"/>
    </xf>
    <xf numFmtId="165" fontId="28" fillId="0" borderId="1" xfId="1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2" fontId="28" fillId="0" borderId="1" xfId="22" applyNumberFormat="1" applyFont="1" applyFill="1" applyBorder="1" applyAlignment="1">
      <alignment horizontal="center" vertical="center" wrapText="1"/>
    </xf>
    <xf numFmtId="0" fontId="28" fillId="0" borderId="1" xfId="23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168" fontId="29" fillId="0" borderId="1" xfId="4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left" vertical="center" wrapText="1"/>
    </xf>
    <xf numFmtId="0" fontId="56" fillId="0" borderId="1" xfId="4" applyFont="1" applyFill="1" applyBorder="1" applyAlignment="1">
      <alignment horizontal="center" vertical="center" wrapText="1"/>
    </xf>
    <xf numFmtId="168" fontId="29" fillId="0" borderId="1" xfId="4" applyNumberFormat="1" applyFont="1" applyFill="1" applyBorder="1" applyAlignment="1">
      <alignment horizontal="center" vertical="center" wrapText="1"/>
    </xf>
    <xf numFmtId="2" fontId="30" fillId="0" borderId="1" xfId="4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32" fillId="0" borderId="3" xfId="25" applyFont="1" applyFill="1" applyBorder="1" applyAlignment="1">
      <alignment horizontal="center"/>
    </xf>
    <xf numFmtId="0" fontId="28" fillId="0" borderId="1" xfId="26" applyFont="1" applyFill="1" applyBorder="1" applyAlignment="1">
      <alignment horizontal="center" vertical="center" wrapText="1"/>
    </xf>
    <xf numFmtId="0" fontId="35" fillId="0" borderId="3" xfId="30" applyFont="1" applyFill="1" applyBorder="1" applyAlignment="1">
      <alignment horizontal="center" vertical="center" wrapText="1"/>
    </xf>
    <xf numFmtId="0" fontId="35" fillId="0" borderId="3" xfId="2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5" fillId="0" borderId="3" xfId="25" applyFont="1" applyFill="1" applyBorder="1" applyAlignment="1">
      <alignment horizontal="center" vertical="center"/>
    </xf>
    <xf numFmtId="0" fontId="29" fillId="0" borderId="1" xfId="35" applyFont="1" applyFill="1" applyBorder="1" applyAlignment="1">
      <alignment horizontal="center" vertical="center" wrapText="1"/>
    </xf>
    <xf numFmtId="2" fontId="29" fillId="0" borderId="1" xfId="35" applyNumberFormat="1" applyFont="1" applyFill="1" applyBorder="1" applyAlignment="1">
      <alignment horizontal="center" vertical="center"/>
    </xf>
    <xf numFmtId="2" fontId="29" fillId="0" borderId="1" xfId="35" applyNumberFormat="1" applyFont="1" applyFill="1" applyBorder="1" applyAlignment="1">
      <alignment horizontal="center" vertical="center" wrapText="1"/>
    </xf>
    <xf numFmtId="2" fontId="28" fillId="0" borderId="1" xfId="35" applyNumberFormat="1" applyFont="1" applyFill="1" applyBorder="1" applyAlignment="1">
      <alignment horizontal="center" vertical="center" wrapText="1"/>
    </xf>
    <xf numFmtId="2" fontId="5" fillId="0" borderId="1" xfId="35" applyNumberFormat="1" applyFont="1" applyFill="1" applyBorder="1" applyAlignment="1">
      <alignment horizontal="center" vertical="center"/>
    </xf>
    <xf numFmtId="2" fontId="25" fillId="0" borderId="1" xfId="35" applyNumberFormat="1" applyFont="1" applyFill="1" applyBorder="1" applyAlignment="1">
      <alignment horizontal="center" vertical="center" wrapText="1"/>
    </xf>
    <xf numFmtId="2" fontId="28" fillId="0" borderId="1" xfId="35" applyNumberFormat="1" applyFont="1" applyFill="1" applyBorder="1" applyAlignment="1">
      <alignment horizontal="center" vertical="center"/>
    </xf>
    <xf numFmtId="2" fontId="5" fillId="0" borderId="1" xfId="35" applyNumberFormat="1" applyFont="1" applyFill="1" applyBorder="1" applyAlignment="1">
      <alignment horizontal="center" vertical="center" wrapText="1"/>
    </xf>
    <xf numFmtId="0" fontId="28" fillId="0" borderId="1" xfId="26" applyFont="1" applyFill="1" applyBorder="1" applyAlignment="1">
      <alignment horizontal="left" vertical="center" wrapText="1"/>
    </xf>
    <xf numFmtId="2" fontId="28" fillId="0" borderId="1" xfId="27" quotePrefix="1" applyNumberFormat="1" applyFont="1" applyFill="1" applyBorder="1" applyAlignment="1">
      <alignment horizontal="center" vertical="top" wrapText="1"/>
    </xf>
    <xf numFmtId="2" fontId="32" fillId="0" borderId="1" xfId="10" applyNumberFormat="1" applyFont="1" applyFill="1" applyBorder="1" applyAlignment="1">
      <alignment horizontal="center" vertical="center"/>
    </xf>
    <xf numFmtId="2" fontId="29" fillId="0" borderId="1" xfId="33" applyNumberFormat="1" applyFont="1" applyFill="1" applyBorder="1" applyAlignment="1">
      <alignment horizontal="center" vertical="center"/>
    </xf>
    <xf numFmtId="2" fontId="29" fillId="0" borderId="1" xfId="33" applyNumberFormat="1" applyFont="1" applyFill="1" applyBorder="1" applyAlignment="1">
      <alignment horizontal="center" vertical="center" wrapText="1"/>
    </xf>
    <xf numFmtId="2" fontId="5" fillId="0" borderId="1" xfId="33" applyNumberFormat="1" applyFont="1" applyFill="1" applyBorder="1" applyAlignment="1">
      <alignment horizontal="center" vertical="center"/>
    </xf>
    <xf numFmtId="0" fontId="28" fillId="0" borderId="1" xfId="33" applyFont="1" applyFill="1" applyBorder="1" applyAlignment="1">
      <alignment horizontal="center" vertical="center"/>
    </xf>
    <xf numFmtId="168" fontId="28" fillId="0" borderId="1" xfId="11" applyNumberFormat="1" applyFont="1" applyFill="1" applyBorder="1" applyAlignment="1">
      <alignment horizontal="center" vertical="center"/>
    </xf>
    <xf numFmtId="0" fontId="32" fillId="0" borderId="0" xfId="33" applyFont="1" applyFill="1"/>
    <xf numFmtId="2" fontId="28" fillId="0" borderId="1" xfId="33" applyNumberFormat="1" applyFont="1" applyFill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left" vertical="center" wrapText="1"/>
    </xf>
    <xf numFmtId="0" fontId="29" fillId="0" borderId="1" xfId="33" applyFont="1" applyFill="1" applyBorder="1" applyAlignment="1">
      <alignment horizontal="center" vertical="center" wrapText="1"/>
    </xf>
    <xf numFmtId="0" fontId="28" fillId="0" borderId="1" xfId="33" applyFont="1" applyFill="1" applyBorder="1" applyAlignment="1">
      <alignment horizontal="left" vertical="center" wrapText="1" indent="1"/>
    </xf>
    <xf numFmtId="0" fontId="30" fillId="0" borderId="1" xfId="3" applyFont="1" applyFill="1" applyBorder="1" applyAlignment="1">
      <alignment horizontal="left" vertical="center" wrapText="1"/>
    </xf>
    <xf numFmtId="2" fontId="30" fillId="0" borderId="1" xfId="10" applyNumberFormat="1" applyFont="1" applyFill="1" applyBorder="1" applyAlignment="1">
      <alignment horizontal="center" vertical="center"/>
    </xf>
    <xf numFmtId="2" fontId="30" fillId="0" borderId="1" xfId="33" applyNumberFormat="1" applyFont="1" applyFill="1" applyBorder="1" applyAlignment="1">
      <alignment horizontal="center" vertical="center"/>
    </xf>
    <xf numFmtId="0" fontId="22" fillId="0" borderId="0" xfId="10" applyFill="1"/>
    <xf numFmtId="0" fontId="32" fillId="0" borderId="1" xfId="23" applyFont="1" applyFill="1" applyBorder="1" applyAlignment="1">
      <alignment horizontal="left" vertical="center" wrapText="1"/>
    </xf>
    <xf numFmtId="168" fontId="28" fillId="0" borderId="1" xfId="33" applyNumberFormat="1" applyFont="1" applyFill="1" applyBorder="1" applyAlignment="1">
      <alignment horizontal="center" vertical="center" wrapText="1"/>
    </xf>
    <xf numFmtId="0" fontId="40" fillId="0" borderId="1" xfId="33" applyFont="1" applyFill="1" applyBorder="1" applyAlignment="1">
      <alignment horizontal="center" vertical="center" wrapText="1"/>
    </xf>
    <xf numFmtId="0" fontId="40" fillId="0" borderId="1" xfId="33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2" fontId="30" fillId="0" borderId="1" xfId="33" applyNumberFormat="1" applyFont="1" applyFill="1" applyBorder="1" applyAlignment="1">
      <alignment horizontal="center" vertical="center" wrapText="1"/>
    </xf>
    <xf numFmtId="0" fontId="40" fillId="0" borderId="1" xfId="18" applyFont="1" applyFill="1" applyBorder="1" applyAlignment="1">
      <alignment horizontal="left" vertical="center" wrapText="1"/>
    </xf>
    <xf numFmtId="0" fontId="5" fillId="0" borderId="1" xfId="32" applyFont="1" applyFill="1" applyBorder="1" applyAlignment="1">
      <alignment horizontal="left" vertical="center" wrapText="1"/>
    </xf>
    <xf numFmtId="0" fontId="29" fillId="0" borderId="1" xfId="29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2" fontId="29" fillId="0" borderId="1" xfId="22" applyNumberFormat="1" applyFont="1" applyFill="1" applyBorder="1" applyAlignment="1">
      <alignment horizontal="center" vertical="center" wrapText="1"/>
    </xf>
    <xf numFmtId="0" fontId="28" fillId="0" borderId="1" xfId="22" applyFont="1" applyFill="1" applyBorder="1" applyAlignment="1">
      <alignment horizontal="center" vertical="center" wrapText="1"/>
    </xf>
    <xf numFmtId="2" fontId="5" fillId="0" borderId="1" xfId="22" applyNumberFormat="1" applyFont="1" applyFill="1" applyBorder="1" applyAlignment="1">
      <alignment horizontal="center" vertical="center" wrapText="1"/>
    </xf>
    <xf numFmtId="2" fontId="25" fillId="0" borderId="1" xfId="22" applyNumberFormat="1" applyFont="1" applyFill="1" applyBorder="1" applyAlignment="1">
      <alignment horizontal="center" vertical="center" wrapText="1"/>
    </xf>
    <xf numFmtId="2" fontId="28" fillId="0" borderId="1" xfId="22" applyNumberFormat="1" applyFont="1" applyFill="1" applyBorder="1" applyAlignment="1">
      <alignment horizontal="center" vertical="center"/>
    </xf>
    <xf numFmtId="0" fontId="28" fillId="0" borderId="1" xfId="22" applyFont="1" applyFill="1" applyBorder="1" applyAlignment="1">
      <alignment horizontal="center" vertical="center"/>
    </xf>
    <xf numFmtId="0" fontId="28" fillId="0" borderId="1" xfId="2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0" fontId="29" fillId="0" borderId="1" xfId="22" applyFont="1" applyFill="1" applyBorder="1" applyAlignment="1">
      <alignment horizontal="center" vertical="center" wrapText="1"/>
    </xf>
    <xf numFmtId="2" fontId="29" fillId="0" borderId="1" xfId="22" applyNumberFormat="1" applyFont="1" applyFill="1" applyBorder="1" applyAlignment="1">
      <alignment horizontal="center" vertical="center"/>
    </xf>
    <xf numFmtId="2" fontId="30" fillId="0" borderId="1" xfId="22" applyNumberFormat="1" applyFont="1" applyFill="1" applyBorder="1" applyAlignment="1">
      <alignment horizontal="center" vertical="center"/>
    </xf>
    <xf numFmtId="2" fontId="31" fillId="0" borderId="1" xfId="22" applyNumberFormat="1" applyFont="1" applyFill="1" applyBorder="1" applyAlignment="1">
      <alignment horizontal="center" vertical="center" wrapText="1"/>
    </xf>
    <xf numFmtId="168" fontId="28" fillId="0" borderId="1" xfId="22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169" fontId="36" fillId="0" borderId="1" xfId="21" applyNumberFormat="1" applyFont="1" applyFill="1" applyBorder="1" applyAlignment="1">
      <alignment horizontal="right" vertical="center" wrapText="1"/>
    </xf>
    <xf numFmtId="170" fontId="36" fillId="0" borderId="1" xfId="21" applyNumberFormat="1" applyFont="1" applyFill="1" applyBorder="1" applyAlignment="1" applyProtection="1">
      <alignment horizontal="right" vertical="center" wrapText="1"/>
    </xf>
    <xf numFmtId="0" fontId="29" fillId="0" borderId="1" xfId="22" applyFont="1" applyFill="1" applyBorder="1" applyAlignment="1">
      <alignment horizontal="center" vertical="center"/>
    </xf>
    <xf numFmtId="168" fontId="29" fillId="0" borderId="1" xfId="22" applyNumberFormat="1" applyFont="1" applyFill="1" applyBorder="1" applyAlignment="1">
      <alignment horizontal="center" vertical="center"/>
    </xf>
    <xf numFmtId="0" fontId="28" fillId="0" borderId="1" xfId="22" applyFont="1" applyFill="1" applyBorder="1" applyAlignment="1">
      <alignment horizontal="left" vertical="center" wrapText="1" indent="1"/>
    </xf>
    <xf numFmtId="168" fontId="28" fillId="0" borderId="1" xfId="22" applyNumberFormat="1" applyFont="1" applyFill="1" applyBorder="1" applyAlignment="1">
      <alignment horizontal="center" vertical="center" wrapText="1"/>
    </xf>
    <xf numFmtId="168" fontId="5" fillId="0" borderId="1" xfId="35" applyNumberFormat="1" applyFont="1" applyFill="1" applyBorder="1" applyAlignment="1">
      <alignment horizontal="center" vertical="center" wrapText="1"/>
    </xf>
    <xf numFmtId="0" fontId="35" fillId="0" borderId="1" xfId="28" applyFont="1" applyFill="1" applyBorder="1" applyAlignment="1">
      <alignment horizontal="center" vertical="center" wrapText="1"/>
    </xf>
    <xf numFmtId="2" fontId="29" fillId="0" borderId="1" xfId="28" applyNumberFormat="1" applyFont="1" applyFill="1" applyBorder="1" applyAlignment="1">
      <alignment horizontal="right" vertical="center"/>
    </xf>
    <xf numFmtId="2" fontId="29" fillId="0" borderId="1" xfId="28" applyNumberFormat="1" applyFont="1" applyFill="1" applyBorder="1" applyAlignment="1">
      <alignment horizontal="right" vertical="center" wrapText="1"/>
    </xf>
    <xf numFmtId="2" fontId="5" fillId="0" borderId="1" xfId="22" applyNumberFormat="1" applyFont="1" applyFill="1" applyBorder="1" applyAlignment="1">
      <alignment horizontal="center" vertical="center"/>
    </xf>
    <xf numFmtId="0" fontId="28" fillId="0" borderId="1" xfId="28" applyFont="1" applyFill="1" applyBorder="1" applyAlignment="1">
      <alignment horizontal="center" vertical="center"/>
    </xf>
    <xf numFmtId="0" fontId="29" fillId="0" borderId="1" xfId="28" applyFont="1" applyFill="1" applyBorder="1" applyAlignment="1">
      <alignment horizontal="center" vertical="center" wrapText="1"/>
    </xf>
    <xf numFmtId="2" fontId="29" fillId="0" borderId="1" xfId="28" applyNumberFormat="1" applyFont="1" applyFill="1" applyBorder="1" applyAlignment="1">
      <alignment horizontal="center" vertical="center"/>
    </xf>
    <xf numFmtId="2" fontId="29" fillId="0" borderId="1" xfId="28" applyNumberFormat="1" applyFont="1" applyFill="1" applyBorder="1" applyAlignment="1">
      <alignment horizontal="center" vertical="center" wrapText="1"/>
    </xf>
    <xf numFmtId="2" fontId="28" fillId="0" borderId="1" xfId="28" applyNumberFormat="1" applyFont="1" applyFill="1" applyBorder="1" applyAlignment="1">
      <alignment horizontal="center" vertical="center"/>
    </xf>
    <xf numFmtId="2" fontId="5" fillId="0" borderId="1" xfId="28" applyNumberFormat="1" applyFont="1" applyFill="1" applyBorder="1" applyAlignment="1">
      <alignment horizontal="center" vertical="center"/>
    </xf>
    <xf numFmtId="2" fontId="25" fillId="0" borderId="1" xfId="28" applyNumberFormat="1" applyFont="1" applyFill="1" applyBorder="1" applyAlignment="1">
      <alignment horizontal="center" vertical="center" wrapText="1"/>
    </xf>
    <xf numFmtId="165" fontId="28" fillId="0" borderId="1" xfId="28" applyNumberFormat="1" applyFont="1" applyFill="1" applyBorder="1" applyAlignment="1">
      <alignment horizontal="center" vertical="center"/>
    </xf>
    <xf numFmtId="2" fontId="5" fillId="0" borderId="1" xfId="28" applyNumberFormat="1" applyFont="1" applyFill="1" applyBorder="1" applyAlignment="1">
      <alignment horizontal="center" vertical="center" wrapText="1"/>
    </xf>
    <xf numFmtId="2" fontId="32" fillId="0" borderId="1" xfId="22" applyNumberFormat="1" applyFont="1" applyFill="1" applyBorder="1" applyAlignment="1">
      <alignment horizontal="center" vertical="center" wrapText="1"/>
    </xf>
    <xf numFmtId="0" fontId="52" fillId="0" borderId="1" xfId="34" applyFont="1" applyFill="1" applyBorder="1" applyAlignment="1">
      <alignment horizontal="left" vertical="center" wrapText="1"/>
    </xf>
    <xf numFmtId="4" fontId="28" fillId="0" borderId="1" xfId="0" applyNumberFormat="1" applyFont="1" applyFill="1" applyBorder="1" applyAlignment="1">
      <alignment horizontal="center" vertical="center"/>
    </xf>
    <xf numFmtId="2" fontId="30" fillId="0" borderId="1" xfId="22" applyNumberFormat="1" applyFont="1" applyFill="1" applyBorder="1" applyAlignment="1">
      <alignment horizontal="center" vertical="center" wrapText="1"/>
    </xf>
    <xf numFmtId="4" fontId="51" fillId="0" borderId="1" xfId="9" applyNumberFormat="1" applyFont="1" applyFill="1" applyBorder="1" applyAlignment="1">
      <alignment horizontal="center" vertical="center" wrapText="1"/>
    </xf>
    <xf numFmtId="0" fontId="28" fillId="0" borderId="1" xfId="9" applyFont="1" applyFill="1" applyBorder="1" applyAlignment="1">
      <alignment horizontal="left" vertical="center" wrapText="1" indent="1"/>
    </xf>
    <xf numFmtId="0" fontId="28" fillId="0" borderId="1" xfId="9" applyFont="1" applyFill="1" applyBorder="1" applyAlignment="1">
      <alignment horizontal="center" vertical="center" wrapText="1"/>
    </xf>
    <xf numFmtId="2" fontId="28" fillId="0" borderId="1" xfId="9" applyNumberFormat="1" applyFont="1" applyFill="1" applyBorder="1" applyAlignment="1">
      <alignment horizontal="center" vertical="center" wrapText="1"/>
    </xf>
    <xf numFmtId="0" fontId="19" fillId="0" borderId="1" xfId="19" applyFont="1" applyFill="1" applyBorder="1" applyAlignment="1">
      <alignment horizontal="left" vertical="center" wrapText="1" readingOrder="1"/>
    </xf>
    <xf numFmtId="0" fontId="19" fillId="0" borderId="1" xfId="19" applyFont="1" applyFill="1" applyBorder="1" applyAlignment="1" applyProtection="1">
      <alignment vertical="center" wrapText="1"/>
      <protection locked="0"/>
    </xf>
    <xf numFmtId="0" fontId="8" fillId="0" borderId="1" xfId="22" applyFont="1" applyFill="1" applyBorder="1"/>
    <xf numFmtId="0" fontId="51" fillId="0" borderId="1" xfId="0" applyFont="1" applyFill="1" applyBorder="1" applyAlignment="1">
      <alignment horizontal="center" vertical="center" wrapText="1"/>
    </xf>
    <xf numFmtId="164" fontId="51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172" fontId="28" fillId="0" borderId="1" xfId="22" applyNumberFormat="1" applyFont="1" applyFill="1" applyBorder="1" applyAlignment="1">
      <alignment horizontal="center" vertical="center" wrapText="1"/>
    </xf>
    <xf numFmtId="0" fontId="29" fillId="0" borderId="1" xfId="22" applyFont="1" applyFill="1" applyBorder="1" applyAlignment="1">
      <alignment horizontal="left" vertical="center" wrapText="1"/>
    </xf>
    <xf numFmtId="168" fontId="29" fillId="0" borderId="1" xfId="35" applyNumberFormat="1" applyFont="1" applyFill="1" applyBorder="1" applyAlignment="1">
      <alignment horizontal="center" vertical="center"/>
    </xf>
    <xf numFmtId="172" fontId="5" fillId="0" borderId="1" xfId="35" applyNumberFormat="1" applyFont="1" applyFill="1" applyBorder="1" applyAlignment="1">
      <alignment horizontal="center" vertical="center" wrapText="1"/>
    </xf>
    <xf numFmtId="0" fontId="28" fillId="0" borderId="1" xfId="23" applyFont="1" applyFill="1" applyBorder="1" applyAlignment="1">
      <alignment horizontal="center" vertical="center" wrapText="1"/>
    </xf>
    <xf numFmtId="172" fontId="28" fillId="0" borderId="1" xfId="22" applyNumberFormat="1" applyFont="1" applyFill="1" applyBorder="1" applyAlignment="1">
      <alignment horizontal="center" vertical="center"/>
    </xf>
    <xf numFmtId="0" fontId="28" fillId="0" borderId="1" xfId="28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168" fontId="29" fillId="0" borderId="1" xfId="28" applyNumberFormat="1" applyFont="1" applyFill="1" applyBorder="1" applyAlignment="1">
      <alignment horizontal="right" vertical="center"/>
    </xf>
    <xf numFmtId="2" fontId="31" fillId="0" borderId="1" xfId="28" applyNumberFormat="1" applyFont="1" applyFill="1" applyBorder="1" applyAlignment="1">
      <alignment horizontal="right" vertical="center" wrapText="1"/>
    </xf>
    <xf numFmtId="173" fontId="28" fillId="0" borderId="1" xfId="22" applyNumberFormat="1" applyFont="1" applyFill="1" applyBorder="1" applyAlignment="1">
      <alignment horizontal="center" vertical="center" wrapText="1"/>
    </xf>
    <xf numFmtId="4" fontId="55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9" applyFont="1" applyFill="1" applyBorder="1" applyAlignment="1">
      <alignment horizontal="center" vertical="center"/>
    </xf>
    <xf numFmtId="168" fontId="29" fillId="0" borderId="1" xfId="9" applyNumberFormat="1" applyFont="1" applyFill="1" applyBorder="1" applyAlignment="1">
      <alignment horizontal="center" vertical="center"/>
    </xf>
    <xf numFmtId="2" fontId="30" fillId="0" borderId="1" xfId="9" applyNumberFormat="1" applyFont="1" applyFill="1" applyBorder="1" applyAlignment="1">
      <alignment horizontal="center" vertical="center"/>
    </xf>
    <xf numFmtId="2" fontId="31" fillId="0" borderId="1" xfId="9" applyNumberFormat="1" applyFont="1" applyFill="1" applyBorder="1" applyAlignment="1">
      <alignment horizontal="center" vertical="center" wrapText="1"/>
    </xf>
    <xf numFmtId="2" fontId="29" fillId="0" borderId="1" xfId="9" applyNumberFormat="1" applyFont="1" applyFill="1" applyBorder="1" applyAlignment="1">
      <alignment horizontal="center" vertical="center"/>
    </xf>
    <xf numFmtId="2" fontId="30" fillId="0" borderId="1" xfId="9" applyNumberFormat="1" applyFont="1" applyFill="1" applyBorder="1" applyAlignment="1">
      <alignment horizontal="center" vertical="center" wrapText="1"/>
    </xf>
    <xf numFmtId="2" fontId="28" fillId="0" borderId="1" xfId="9" applyNumberFormat="1" applyFont="1" applyFill="1" applyBorder="1" applyAlignment="1">
      <alignment horizontal="center" vertical="center"/>
    </xf>
    <xf numFmtId="2" fontId="5" fillId="0" borderId="1" xfId="9" applyNumberFormat="1" applyFont="1" applyFill="1" applyBorder="1" applyAlignment="1">
      <alignment horizontal="center" vertical="center"/>
    </xf>
    <xf numFmtId="2" fontId="25" fillId="0" borderId="1" xfId="9" applyNumberFormat="1" applyFont="1" applyFill="1" applyBorder="1" applyAlignment="1">
      <alignment horizontal="center" vertical="center" wrapText="1"/>
    </xf>
    <xf numFmtId="2" fontId="5" fillId="0" borderId="1" xfId="9" applyNumberFormat="1" applyFont="1" applyFill="1" applyBorder="1" applyAlignment="1">
      <alignment horizontal="center" vertical="center" wrapText="1"/>
    </xf>
    <xf numFmtId="0" fontId="28" fillId="0" borderId="1" xfId="9" applyFont="1" applyFill="1" applyBorder="1" applyAlignment="1">
      <alignment horizontal="left" vertical="center" wrapText="1"/>
    </xf>
    <xf numFmtId="0" fontId="28" fillId="0" borderId="1" xfId="9" applyFont="1" applyFill="1" applyBorder="1" applyAlignment="1">
      <alignment horizontal="center" vertical="center"/>
    </xf>
    <xf numFmtId="0" fontId="35" fillId="0" borderId="3" xfId="25" applyNumberFormat="1" applyFont="1" applyFill="1" applyBorder="1" applyAlignment="1">
      <alignment horizontal="center" vertical="center"/>
    </xf>
    <xf numFmtId="0" fontId="54" fillId="0" borderId="1" xfId="22" applyNumberFormat="1" applyFont="1" applyFill="1" applyBorder="1" applyAlignment="1">
      <alignment horizontal="left" vertical="center" wrapText="1"/>
    </xf>
    <xf numFmtId="0" fontId="29" fillId="0" borderId="1" xfId="35" applyNumberFormat="1" applyFont="1" applyFill="1" applyBorder="1" applyAlignment="1">
      <alignment horizontal="center" vertical="center" wrapText="1"/>
    </xf>
    <xf numFmtId="0" fontId="28" fillId="0" borderId="1" xfId="22" applyNumberFormat="1" applyFont="1" applyFill="1" applyBorder="1" applyAlignment="1">
      <alignment horizontal="left" vertical="center" wrapText="1"/>
    </xf>
    <xf numFmtId="0" fontId="28" fillId="0" borderId="1" xfId="22" applyNumberFormat="1" applyFont="1" applyFill="1" applyBorder="1" applyAlignment="1">
      <alignment horizontal="center" vertical="center" wrapText="1"/>
    </xf>
    <xf numFmtId="0" fontId="32" fillId="0" borderId="3" xfId="25" applyNumberFormat="1" applyFont="1" applyFill="1" applyBorder="1" applyAlignment="1">
      <alignment horizontal="center"/>
    </xf>
    <xf numFmtId="0" fontId="28" fillId="0" borderId="1" xfId="26" applyNumberFormat="1" applyFont="1" applyFill="1" applyBorder="1" applyAlignment="1">
      <alignment horizontal="center" vertical="center" wrapText="1"/>
    </xf>
    <xf numFmtId="0" fontId="40" fillId="0" borderId="3" xfId="22" applyNumberFormat="1" applyFont="1" applyFill="1" applyBorder="1" applyAlignment="1">
      <alignment horizontal="center" vertical="center" wrapText="1"/>
    </xf>
    <xf numFmtId="0" fontId="28" fillId="0" borderId="1" xfId="26" applyNumberFormat="1" applyFont="1" applyFill="1" applyBorder="1" applyAlignment="1">
      <alignment horizontal="left" vertical="center" wrapText="1"/>
    </xf>
    <xf numFmtId="0" fontId="28" fillId="0" borderId="1" xfId="27" quotePrefix="1" applyNumberFormat="1" applyFont="1" applyFill="1" applyBorder="1" applyAlignment="1">
      <alignment horizontal="center" vertical="top" wrapText="1"/>
    </xf>
    <xf numFmtId="0" fontId="62" fillId="0" borderId="1" xfId="0" applyFont="1" applyFill="1" applyBorder="1" applyAlignment="1">
      <alignment vertical="center" wrapText="1"/>
    </xf>
    <xf numFmtId="0" fontId="28" fillId="0" borderId="1" xfId="23" applyNumberFormat="1" applyFont="1" applyFill="1" applyBorder="1" applyAlignment="1">
      <alignment horizontal="left" vertical="center" wrapText="1"/>
    </xf>
    <xf numFmtId="49" fontId="49" fillId="0" borderId="0" xfId="22" applyNumberFormat="1" applyFont="1" applyFill="1" applyAlignment="1">
      <alignment vertical="top"/>
    </xf>
    <xf numFmtId="49" fontId="25" fillId="0" borderId="0" xfId="22" applyNumberFormat="1" applyFont="1" applyFill="1" applyAlignment="1">
      <alignment vertical="top"/>
    </xf>
    <xf numFmtId="0" fontId="26" fillId="0" borderId="0" xfId="22" applyFont="1" applyFill="1" applyAlignment="1">
      <alignment vertical="center" wrapText="1"/>
    </xf>
    <xf numFmtId="2" fontId="5" fillId="0" borderId="0" xfId="22" applyNumberFormat="1" applyFont="1" applyFill="1" applyAlignment="1">
      <alignment horizontal="left" vertical="center" wrapText="1"/>
    </xf>
    <xf numFmtId="0" fontId="8" fillId="0" borderId="0" xfId="22" applyFont="1" applyFill="1"/>
    <xf numFmtId="0" fontId="27" fillId="0" borderId="1" xfId="23" applyFont="1" applyFill="1" applyBorder="1" applyAlignment="1">
      <alignment horizontal="center" vertical="center" wrapText="1"/>
    </xf>
    <xf numFmtId="2" fontId="27" fillId="0" borderId="1" xfId="23" applyNumberFormat="1" applyFont="1" applyFill="1" applyBorder="1" applyAlignment="1">
      <alignment horizontal="center" vertical="center" wrapText="1"/>
    </xf>
    <xf numFmtId="0" fontId="32" fillId="0" borderId="0" xfId="22" applyFont="1" applyFill="1"/>
    <xf numFmtId="0" fontId="32" fillId="0" borderId="0" xfId="28" applyFont="1" applyFill="1"/>
    <xf numFmtId="0" fontId="8" fillId="0" borderId="0" xfId="28" applyFont="1" applyFill="1"/>
    <xf numFmtId="2" fontId="0" fillId="0" borderId="0" xfId="0" applyNumberFormat="1" applyFill="1"/>
    <xf numFmtId="0" fontId="13" fillId="0" borderId="0" xfId="0" applyFont="1" applyFill="1"/>
    <xf numFmtId="0" fontId="2" fillId="0" borderId="0" xfId="22" applyNumberFormat="1" applyFill="1"/>
    <xf numFmtId="0" fontId="29" fillId="0" borderId="1" xfId="26" applyNumberFormat="1" applyFont="1" applyFill="1" applyBorder="1" applyAlignment="1">
      <alignment horizontal="center" vertical="center" wrapText="1"/>
    </xf>
    <xf numFmtId="0" fontId="28" fillId="0" borderId="1" xfId="23" applyNumberFormat="1" applyFont="1" applyFill="1" applyBorder="1" applyAlignment="1">
      <alignment horizontal="center" vertical="center" wrapText="1"/>
    </xf>
    <xf numFmtId="0" fontId="8" fillId="0" borderId="0" xfId="22" applyNumberFormat="1" applyFont="1" applyFill="1"/>
    <xf numFmtId="0" fontId="28" fillId="0" borderId="1" xfId="22" applyNumberFormat="1" applyFont="1" applyFill="1" applyBorder="1" applyAlignment="1">
      <alignment horizontal="center" vertical="center"/>
    </xf>
    <xf numFmtId="0" fontId="12" fillId="0" borderId="1" xfId="22" applyNumberFormat="1" applyFont="1" applyFill="1" applyBorder="1" applyAlignment="1">
      <alignment horizontal="left" vertical="center" wrapText="1"/>
    </xf>
    <xf numFmtId="0" fontId="12" fillId="0" borderId="1" xfId="22" applyNumberFormat="1" applyFont="1" applyFill="1" applyBorder="1" applyAlignment="1">
      <alignment horizontal="center" vertical="center" wrapText="1"/>
    </xf>
    <xf numFmtId="2" fontId="12" fillId="0" borderId="1" xfId="22" applyNumberFormat="1" applyFont="1" applyFill="1" applyBorder="1" applyAlignment="1">
      <alignment horizontal="center" vertical="center" wrapText="1"/>
    </xf>
    <xf numFmtId="0" fontId="63" fillId="0" borderId="0" xfId="36" applyNumberFormat="1" applyFill="1"/>
    <xf numFmtId="0" fontId="29" fillId="0" borderId="1" xfId="22" applyNumberFormat="1" applyFont="1" applyFill="1" applyBorder="1" applyAlignment="1">
      <alignment horizontal="center" vertical="center" wrapText="1"/>
    </xf>
    <xf numFmtId="0" fontId="32" fillId="0" borderId="0" xfId="22" applyNumberFormat="1" applyFont="1" applyFill="1"/>
    <xf numFmtId="0" fontId="8" fillId="0" borderId="1" xfId="22" applyNumberFormat="1" applyFont="1" applyFill="1" applyBorder="1"/>
    <xf numFmtId="49" fontId="8" fillId="0" borderId="0" xfId="22" applyNumberFormat="1" applyFont="1" applyFill="1"/>
    <xf numFmtId="0" fontId="28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0" fontId="60" fillId="0" borderId="1" xfId="4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4" borderId="1" xfId="22" applyFont="1" applyFill="1" applyBorder="1" applyAlignment="1">
      <alignment horizontal="center" vertical="center"/>
    </xf>
    <xf numFmtId="2" fontId="30" fillId="4" borderId="1" xfId="22" applyNumberFormat="1" applyFont="1" applyFill="1" applyBorder="1" applyAlignment="1">
      <alignment horizontal="center" vertical="center"/>
    </xf>
    <xf numFmtId="0" fontId="40" fillId="2" borderId="1" xfId="33" applyFont="1" applyFill="1" applyBorder="1" applyAlignment="1">
      <alignment horizontal="center" vertical="center"/>
    </xf>
    <xf numFmtId="0" fontId="35" fillId="4" borderId="1" xfId="22" applyFont="1" applyFill="1" applyBorder="1" applyAlignment="1">
      <alignment horizontal="center" vertical="center" wrapText="1"/>
    </xf>
    <xf numFmtId="0" fontId="32" fillId="0" borderId="1" xfId="22" applyNumberFormat="1" applyFont="1" applyFill="1" applyBorder="1" applyAlignment="1">
      <alignment vertical="center" wrapText="1"/>
    </xf>
    <xf numFmtId="0" fontId="28" fillId="0" borderId="1" xfId="4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8" fillId="0" borderId="1" xfId="10" applyFont="1" applyFill="1" applyBorder="1" applyAlignment="1">
      <alignment horizontal="left" vertical="center" wrapText="1"/>
    </xf>
    <xf numFmtId="0" fontId="28" fillId="0" borderId="1" xfId="11" applyFont="1" applyFill="1" applyBorder="1" applyAlignment="1">
      <alignment horizontal="left" vertical="center" wrapText="1"/>
    </xf>
    <xf numFmtId="0" fontId="29" fillId="0" borderId="1" xfId="9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vertical="center" wrapText="1"/>
    </xf>
    <xf numFmtId="2" fontId="28" fillId="0" borderId="1" xfId="27" quotePrefix="1" applyNumberFormat="1" applyFont="1" applyFill="1" applyBorder="1" applyAlignment="1">
      <alignment horizontal="center" vertical="center" wrapText="1"/>
    </xf>
    <xf numFmtId="0" fontId="40" fillId="0" borderId="1" xfId="33" applyFont="1" applyFill="1" applyBorder="1" applyAlignment="1">
      <alignment horizontal="left" vertical="center" wrapText="1"/>
    </xf>
    <xf numFmtId="168" fontId="30" fillId="0" borderId="2" xfId="22" applyNumberFormat="1" applyFont="1" applyFill="1" applyBorder="1" applyAlignment="1">
      <alignment horizontal="center" vertical="center"/>
    </xf>
    <xf numFmtId="49" fontId="35" fillId="0" borderId="3" xfId="22" applyNumberFormat="1" applyFont="1" applyFill="1" applyBorder="1" applyAlignment="1">
      <alignment horizontal="center" vertical="center" wrapText="1"/>
    </xf>
    <xf numFmtId="0" fontId="29" fillId="0" borderId="7" xfId="22" applyNumberFormat="1" applyFont="1" applyFill="1" applyBorder="1" applyAlignment="1">
      <alignment horizontal="center" vertical="center" wrapText="1"/>
    </xf>
    <xf numFmtId="0" fontId="35" fillId="0" borderId="3" xfId="22" applyNumberFormat="1" applyFont="1" applyFill="1" applyBorder="1" applyAlignment="1">
      <alignment horizontal="center" vertical="center"/>
    </xf>
    <xf numFmtId="2" fontId="29" fillId="0" borderId="7" xfId="22" applyNumberFormat="1" applyFont="1" applyFill="1" applyBorder="1" applyAlignment="1">
      <alignment horizontal="center" vertical="center"/>
    </xf>
    <xf numFmtId="49" fontId="40" fillId="0" borderId="3" xfId="22" applyNumberFormat="1" applyFont="1" applyFill="1" applyBorder="1" applyAlignment="1">
      <alignment vertical="center"/>
    </xf>
    <xf numFmtId="2" fontId="28" fillId="0" borderId="7" xfId="22" applyNumberFormat="1" applyFont="1" applyFill="1" applyBorder="1" applyAlignment="1">
      <alignment horizontal="center" vertical="center"/>
    </xf>
    <xf numFmtId="0" fontId="35" fillId="0" borderId="3" xfId="4" applyNumberFormat="1" applyFont="1" applyFill="1" applyBorder="1" applyAlignment="1">
      <alignment horizontal="center" vertical="center" wrapText="1"/>
    </xf>
    <xf numFmtId="2" fontId="51" fillId="0" borderId="7" xfId="4" applyNumberFormat="1" applyFont="1" applyFill="1" applyBorder="1" applyAlignment="1">
      <alignment horizontal="center" vertical="center" wrapText="1"/>
    </xf>
    <xf numFmtId="0" fontId="40" fillId="0" borderId="3" xfId="4" applyFont="1" applyFill="1" applyBorder="1" applyAlignment="1">
      <alignment horizontal="center" vertical="center" wrapText="1"/>
    </xf>
    <xf numFmtId="2" fontId="28" fillId="0" borderId="7" xfId="18" applyNumberFormat="1" applyFont="1" applyFill="1" applyBorder="1" applyAlignment="1">
      <alignment horizontal="center" vertical="center" wrapText="1"/>
    </xf>
    <xf numFmtId="0" fontId="40" fillId="0" borderId="3" xfId="18" applyFont="1" applyFill="1" applyBorder="1" applyAlignment="1">
      <alignment horizontal="center" vertical="center" wrapText="1"/>
    </xf>
    <xf numFmtId="0" fontId="35" fillId="0" borderId="3" xfId="8" applyFont="1" applyFill="1" applyBorder="1" applyAlignment="1">
      <alignment horizontal="center" vertical="center"/>
    </xf>
    <xf numFmtId="2" fontId="28" fillId="0" borderId="7" xfId="4" applyNumberFormat="1" applyFont="1" applyFill="1" applyBorder="1" applyAlignment="1">
      <alignment horizontal="center" vertical="center" wrapText="1"/>
    </xf>
    <xf numFmtId="0" fontId="29" fillId="0" borderId="3" xfId="4" applyNumberFormat="1" applyFont="1" applyFill="1" applyBorder="1" applyAlignment="1">
      <alignment horizontal="center" vertical="center"/>
    </xf>
    <xf numFmtId="2" fontId="29" fillId="0" borderId="7" xfId="4" applyNumberFormat="1" applyFont="1" applyFill="1" applyBorder="1" applyAlignment="1">
      <alignment horizontal="center" vertical="center"/>
    </xf>
    <xf numFmtId="49" fontId="28" fillId="0" borderId="3" xfId="4" applyNumberFormat="1" applyFont="1" applyFill="1" applyBorder="1" applyAlignment="1">
      <alignment vertical="center"/>
    </xf>
    <xf numFmtId="2" fontId="28" fillId="0" borderId="7" xfId="4" applyNumberFormat="1" applyFont="1" applyFill="1" applyBorder="1" applyAlignment="1">
      <alignment horizontal="center" vertical="center"/>
    </xf>
    <xf numFmtId="2" fontId="28" fillId="0" borderId="7" xfId="33" applyNumberFormat="1" applyFont="1" applyFill="1" applyBorder="1" applyAlignment="1">
      <alignment horizontal="center" vertical="center"/>
    </xf>
    <xf numFmtId="0" fontId="29" fillId="0" borderId="3" xfId="28" applyNumberFormat="1" applyFont="1" applyFill="1" applyBorder="1" applyAlignment="1">
      <alignment horizontal="center" vertical="center"/>
    </xf>
    <xf numFmtId="2" fontId="29" fillId="0" borderId="7" xfId="28" applyNumberFormat="1" applyFont="1" applyFill="1" applyBorder="1" applyAlignment="1">
      <alignment horizontal="right" vertical="center"/>
    </xf>
    <xf numFmtId="49" fontId="28" fillId="0" borderId="3" xfId="22" applyNumberFormat="1" applyFont="1" applyFill="1" applyBorder="1" applyAlignment="1">
      <alignment horizontal="center" vertical="center"/>
    </xf>
    <xf numFmtId="49" fontId="28" fillId="0" borderId="3" xfId="22" applyNumberFormat="1" applyFont="1" applyFill="1" applyBorder="1" applyAlignment="1">
      <alignment vertical="center"/>
    </xf>
    <xf numFmtId="49" fontId="35" fillId="0" borderId="3" xfId="22" applyNumberFormat="1" applyFont="1" applyFill="1" applyBorder="1" applyAlignment="1">
      <alignment horizontal="center" vertical="center"/>
    </xf>
    <xf numFmtId="49" fontId="40" fillId="0" borderId="3" xfId="22" applyNumberFormat="1" applyFont="1" applyFill="1" applyBorder="1" applyAlignment="1">
      <alignment horizontal="center" vertical="center"/>
    </xf>
    <xf numFmtId="0" fontId="29" fillId="0" borderId="3" xfId="22" applyNumberFormat="1" applyFont="1" applyFill="1" applyBorder="1" applyAlignment="1">
      <alignment horizontal="center" vertical="center"/>
    </xf>
    <xf numFmtId="0" fontId="35" fillId="0" borderId="3" xfId="28" applyNumberFormat="1" applyFont="1" applyFill="1" applyBorder="1" applyAlignment="1">
      <alignment horizontal="center" vertical="center"/>
    </xf>
    <xf numFmtId="49" fontId="40" fillId="0" borderId="3" xfId="28" applyNumberFormat="1" applyFont="1" applyFill="1" applyBorder="1" applyAlignment="1">
      <alignment horizontal="center" vertical="center"/>
    </xf>
    <xf numFmtId="49" fontId="40" fillId="0" borderId="3" xfId="28" applyNumberFormat="1" applyFont="1" applyFill="1" applyBorder="1" applyAlignment="1">
      <alignment vertical="center"/>
    </xf>
    <xf numFmtId="2" fontId="29" fillId="0" borderId="7" xfId="28" applyNumberFormat="1" applyFont="1" applyFill="1" applyBorder="1" applyAlignment="1">
      <alignment horizontal="center" vertical="center"/>
    </xf>
    <xf numFmtId="2" fontId="28" fillId="0" borderId="7" xfId="28" applyNumberFormat="1" applyFont="1" applyFill="1" applyBorder="1" applyAlignment="1">
      <alignment horizontal="center" vertical="center"/>
    </xf>
    <xf numFmtId="0" fontId="35" fillId="0" borderId="3" xfId="11" applyNumberFormat="1" applyFont="1" applyFill="1" applyBorder="1" applyAlignment="1">
      <alignment horizontal="center" vertical="center"/>
    </xf>
    <xf numFmtId="2" fontId="29" fillId="0" borderId="7" xfId="11" applyNumberFormat="1" applyFont="1" applyFill="1" applyBorder="1" applyAlignment="1">
      <alignment horizontal="center" vertical="center"/>
    </xf>
    <xf numFmtId="49" fontId="40" fillId="0" borderId="3" xfId="11" applyNumberFormat="1" applyFont="1" applyFill="1" applyBorder="1" applyAlignment="1">
      <alignment horizontal="center" vertical="center"/>
    </xf>
    <xf numFmtId="2" fontId="28" fillId="0" borderId="7" xfId="11" applyNumberFormat="1" applyFont="1" applyFill="1" applyBorder="1" applyAlignment="1">
      <alignment horizontal="center" vertical="center"/>
    </xf>
    <xf numFmtId="49" fontId="40" fillId="0" borderId="3" xfId="11" applyNumberFormat="1" applyFont="1" applyFill="1" applyBorder="1" applyAlignment="1">
      <alignment vertical="center"/>
    </xf>
    <xf numFmtId="2" fontId="29" fillId="0" borderId="7" xfId="35" applyNumberFormat="1" applyFont="1" applyFill="1" applyBorder="1" applyAlignment="1">
      <alignment horizontal="center" vertical="center"/>
    </xf>
    <xf numFmtId="2" fontId="28" fillId="0" borderId="7" xfId="35" applyNumberFormat="1" applyFont="1" applyFill="1" applyBorder="1" applyAlignment="1">
      <alignment horizontal="center" vertical="center"/>
    </xf>
    <xf numFmtId="0" fontId="40" fillId="0" borderId="3" xfId="25" applyFont="1" applyFill="1" applyBorder="1" applyAlignment="1">
      <alignment horizontal="center" vertical="center"/>
    </xf>
    <xf numFmtId="2" fontId="28" fillId="0" borderId="7" xfId="9" applyNumberFormat="1" applyFont="1" applyFill="1" applyBorder="1" applyAlignment="1">
      <alignment horizontal="center" vertical="center"/>
    </xf>
    <xf numFmtId="2" fontId="29" fillId="0" borderId="7" xfId="9" applyNumberFormat="1" applyFont="1" applyFill="1" applyBorder="1" applyAlignment="1">
      <alignment horizontal="center" vertical="center"/>
    </xf>
    <xf numFmtId="2" fontId="29" fillId="0" borderId="7" xfId="22" applyNumberFormat="1" applyFont="1" applyFill="1" applyBorder="1" applyAlignment="1">
      <alignment horizontal="center" vertical="center" wrapText="1"/>
    </xf>
    <xf numFmtId="0" fontId="35" fillId="0" borderId="3" xfId="4" applyNumberFormat="1" applyFont="1" applyFill="1" applyBorder="1" applyAlignment="1">
      <alignment horizontal="center" vertical="center"/>
    </xf>
    <xf numFmtId="49" fontId="40" fillId="0" borderId="3" xfId="4" applyNumberFormat="1" applyFont="1" applyFill="1" applyBorder="1" applyAlignment="1">
      <alignment horizontal="center" vertical="center"/>
    </xf>
    <xf numFmtId="49" fontId="35" fillId="0" borderId="3" xfId="4" applyNumberFormat="1" applyFont="1" applyFill="1" applyBorder="1" applyAlignment="1">
      <alignment horizontal="center" vertical="center"/>
    </xf>
    <xf numFmtId="0" fontId="29" fillId="0" borderId="3" xfId="33" applyNumberFormat="1" applyFont="1" applyFill="1" applyBorder="1" applyAlignment="1">
      <alignment horizontal="center" vertical="center"/>
    </xf>
    <xf numFmtId="2" fontId="29" fillId="0" borderId="7" xfId="33" applyNumberFormat="1" applyFont="1" applyFill="1" applyBorder="1" applyAlignment="1">
      <alignment horizontal="center" vertical="center"/>
    </xf>
    <xf numFmtId="49" fontId="28" fillId="0" borderId="3" xfId="33" applyNumberFormat="1" applyFont="1" applyFill="1" applyBorder="1" applyAlignment="1">
      <alignment horizontal="center" vertical="center"/>
    </xf>
    <xf numFmtId="49" fontId="28" fillId="0" borderId="3" xfId="33" applyNumberFormat="1" applyFont="1" applyFill="1" applyBorder="1" applyAlignment="1">
      <alignment vertical="center"/>
    </xf>
    <xf numFmtId="0" fontId="35" fillId="0" borderId="3" xfId="22" applyNumberFormat="1" applyFont="1" applyFill="1" applyBorder="1" applyAlignment="1">
      <alignment horizontal="center" vertical="center" wrapText="1"/>
    </xf>
    <xf numFmtId="0" fontId="40" fillId="0" borderId="3" xfId="22" applyNumberFormat="1" applyFont="1" applyFill="1" applyBorder="1" applyAlignment="1">
      <alignment horizontal="center" vertical="center"/>
    </xf>
    <xf numFmtId="0" fontId="28" fillId="0" borderId="3" xfId="22" applyNumberFormat="1" applyFont="1" applyFill="1" applyBorder="1" applyAlignment="1">
      <alignment vertical="center"/>
    </xf>
    <xf numFmtId="49" fontId="32" fillId="2" borderId="3" xfId="33" applyNumberFormat="1" applyFont="1" applyFill="1" applyBorder="1" applyAlignment="1">
      <alignment horizontal="center" vertical="center"/>
    </xf>
    <xf numFmtId="49" fontId="32" fillId="3" borderId="3" xfId="33" applyNumberFormat="1" applyFont="1" applyFill="1" applyBorder="1" applyAlignment="1">
      <alignment horizontal="center" vertical="center"/>
    </xf>
    <xf numFmtId="49" fontId="32" fillId="4" borderId="3" xfId="22" applyNumberFormat="1" applyFont="1" applyFill="1" applyBorder="1" applyAlignment="1">
      <alignment horizontal="center" vertical="center"/>
    </xf>
    <xf numFmtId="49" fontId="30" fillId="4" borderId="3" xfId="22" applyNumberFormat="1" applyFont="1" applyFill="1" applyBorder="1" applyAlignment="1">
      <alignment horizontal="center" vertical="center"/>
    </xf>
    <xf numFmtId="2" fontId="32" fillId="4" borderId="7" xfId="22" applyNumberFormat="1" applyFont="1" applyFill="1" applyBorder="1" applyAlignment="1">
      <alignment horizontal="center" vertical="center"/>
    </xf>
    <xf numFmtId="0" fontId="32" fillId="0" borderId="3" xfId="22" applyNumberFormat="1" applyFont="1" applyFill="1" applyBorder="1" applyAlignment="1">
      <alignment vertical="center" wrapText="1"/>
    </xf>
    <xf numFmtId="0" fontId="8" fillId="0" borderId="7" xfId="22" applyNumberFormat="1" applyFont="1" applyFill="1" applyBorder="1" applyAlignment="1">
      <alignment horizontal="center" vertical="center"/>
    </xf>
    <xf numFmtId="0" fontId="8" fillId="4" borderId="9" xfId="22" applyNumberFormat="1" applyFont="1" applyFill="1" applyBorder="1"/>
    <xf numFmtId="2" fontId="32" fillId="4" borderId="10" xfId="22" applyNumberFormat="1" applyFont="1" applyFill="1" applyBorder="1" applyAlignment="1">
      <alignment horizontal="center" vertical="center"/>
    </xf>
    <xf numFmtId="49" fontId="48" fillId="2" borderId="3" xfId="33" applyNumberFormat="1" applyFont="1" applyFill="1" applyBorder="1" applyAlignment="1">
      <alignment horizontal="center" vertical="center"/>
    </xf>
    <xf numFmtId="0" fontId="35" fillId="2" borderId="1" xfId="33" applyFont="1" applyFill="1" applyBorder="1" applyAlignment="1">
      <alignment horizontal="center" vertical="center" wrapText="1"/>
    </xf>
    <xf numFmtId="0" fontId="32" fillId="2" borderId="1" xfId="33" applyFont="1" applyFill="1" applyBorder="1" applyAlignment="1">
      <alignment horizontal="center" vertical="center"/>
    </xf>
    <xf numFmtId="2" fontId="32" fillId="2" borderId="1" xfId="33" applyNumberFormat="1" applyFont="1" applyFill="1" applyBorder="1" applyAlignment="1">
      <alignment horizontal="center" vertical="center"/>
    </xf>
    <xf numFmtId="2" fontId="32" fillId="2" borderId="7" xfId="33" applyNumberFormat="1" applyFont="1" applyFill="1" applyBorder="1" applyAlignment="1">
      <alignment horizontal="center" vertical="center"/>
    </xf>
    <xf numFmtId="9" fontId="32" fillId="2" borderId="1" xfId="33" applyNumberFormat="1" applyFont="1" applyFill="1" applyBorder="1" applyAlignment="1">
      <alignment horizontal="center" vertical="center"/>
    </xf>
    <xf numFmtId="49" fontId="48" fillId="3" borderId="3" xfId="33" applyNumberFormat="1" applyFont="1" applyFill="1" applyBorder="1" applyAlignment="1">
      <alignment horizontal="center" vertical="center"/>
    </xf>
    <xf numFmtId="0" fontId="35" fillId="3" borderId="1" xfId="33" applyFont="1" applyFill="1" applyBorder="1" applyAlignment="1">
      <alignment horizontal="center" vertical="center" wrapText="1"/>
    </xf>
    <xf numFmtId="0" fontId="32" fillId="3" borderId="1" xfId="33" applyFont="1" applyFill="1" applyBorder="1" applyAlignment="1">
      <alignment horizontal="center" vertical="center"/>
    </xf>
    <xf numFmtId="2" fontId="32" fillId="3" borderId="1" xfId="33" applyNumberFormat="1" applyFont="1" applyFill="1" applyBorder="1" applyAlignment="1">
      <alignment horizontal="center" vertical="center"/>
    </xf>
    <xf numFmtId="2" fontId="32" fillId="3" borderId="7" xfId="33" applyNumberFormat="1" applyFont="1" applyFill="1" applyBorder="1" applyAlignment="1">
      <alignment horizontal="center" vertical="center"/>
    </xf>
    <xf numFmtId="49" fontId="40" fillId="2" borderId="3" xfId="33" applyNumberFormat="1" applyFont="1" applyFill="1" applyBorder="1" applyAlignment="1">
      <alignment vertical="center"/>
    </xf>
    <xf numFmtId="2" fontId="40" fillId="2" borderId="1" xfId="33" applyNumberFormat="1" applyFont="1" applyFill="1" applyBorder="1" applyAlignment="1">
      <alignment horizontal="center" vertical="center"/>
    </xf>
    <xf numFmtId="2" fontId="8" fillId="2" borderId="1" xfId="33" applyNumberFormat="1" applyFont="1" applyFill="1" applyBorder="1" applyAlignment="1">
      <alignment horizontal="center" vertical="center"/>
    </xf>
    <xf numFmtId="2" fontId="49" fillId="2" borderId="1" xfId="33" applyNumberFormat="1" applyFont="1" applyFill="1" applyBorder="1" applyAlignment="1">
      <alignment horizontal="center" vertical="center" wrapText="1"/>
    </xf>
    <xf numFmtId="2" fontId="8" fillId="2" borderId="1" xfId="33" applyNumberFormat="1" applyFont="1" applyFill="1" applyBorder="1" applyAlignment="1">
      <alignment horizontal="center" vertical="center" wrapText="1"/>
    </xf>
    <xf numFmtId="2" fontId="40" fillId="2" borderId="7" xfId="33" applyNumberFormat="1" applyFont="1" applyFill="1" applyBorder="1" applyAlignment="1">
      <alignment horizontal="center" vertical="center"/>
    </xf>
    <xf numFmtId="0" fontId="35" fillId="2" borderId="1" xfId="33" applyFont="1" applyFill="1" applyBorder="1" applyAlignment="1">
      <alignment horizontal="center" vertical="center"/>
    </xf>
    <xf numFmtId="0" fontId="32" fillId="4" borderId="1" xfId="22" applyFont="1" applyFill="1" applyBorder="1" applyAlignment="1">
      <alignment horizontal="center" vertical="center"/>
    </xf>
    <xf numFmtId="2" fontId="32" fillId="4" borderId="1" xfId="22" applyNumberFormat="1" applyFont="1" applyFill="1" applyBorder="1" applyAlignment="1">
      <alignment horizontal="center" vertical="center"/>
    </xf>
    <xf numFmtId="49" fontId="32" fillId="2" borderId="3" xfId="22" applyNumberFormat="1" applyFont="1" applyFill="1" applyBorder="1" applyAlignment="1">
      <alignment horizontal="center" vertical="center"/>
    </xf>
    <xf numFmtId="0" fontId="35" fillId="2" borderId="1" xfId="22" applyFont="1" applyFill="1" applyBorder="1" applyAlignment="1">
      <alignment horizontal="center" vertical="center" wrapText="1"/>
    </xf>
    <xf numFmtId="9" fontId="32" fillId="2" borderId="1" xfId="22" applyNumberFormat="1" applyFont="1" applyFill="1" applyBorder="1" applyAlignment="1">
      <alignment horizontal="center" vertical="center"/>
    </xf>
    <xf numFmtId="2" fontId="32" fillId="2" borderId="1" xfId="22" applyNumberFormat="1" applyFont="1" applyFill="1" applyBorder="1" applyAlignment="1">
      <alignment horizontal="center" vertical="center"/>
    </xf>
    <xf numFmtId="2" fontId="32" fillId="2" borderId="7" xfId="22" applyNumberFormat="1" applyFont="1" applyFill="1" applyBorder="1" applyAlignment="1">
      <alignment horizontal="center" vertical="center"/>
    </xf>
    <xf numFmtId="0" fontId="32" fillId="2" borderId="1" xfId="22" applyFont="1" applyFill="1" applyBorder="1" applyAlignment="1">
      <alignment horizontal="center" vertical="center"/>
    </xf>
    <xf numFmtId="0" fontId="35" fillId="2" borderId="1" xfId="22" applyFont="1" applyFill="1" applyBorder="1" applyAlignment="1">
      <alignment horizontal="center" vertical="center"/>
    </xf>
    <xf numFmtId="2" fontId="65" fillId="3" borderId="1" xfId="33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19" fillId="0" borderId="1" xfId="33" applyFont="1" applyFill="1" applyBorder="1" applyAlignment="1">
      <alignment vertical="center" wrapText="1"/>
    </xf>
    <xf numFmtId="0" fontId="35" fillId="0" borderId="3" xfId="0" applyNumberFormat="1" applyFont="1" applyFill="1" applyBorder="1" applyAlignment="1">
      <alignment horizontal="center" vertical="center" wrapText="1"/>
    </xf>
    <xf numFmtId="0" fontId="32" fillId="0" borderId="0" xfId="22" applyFont="1" applyFill="1" applyAlignment="1">
      <alignment horizontal="left" vertical="center" wrapText="1"/>
    </xf>
    <xf numFmtId="0" fontId="32" fillId="0" borderId="0" xfId="22" applyFont="1" applyFill="1" applyAlignment="1">
      <alignment horizontal="left" vertical="center"/>
    </xf>
    <xf numFmtId="0" fontId="64" fillId="0" borderId="0" xfId="22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50" fillId="0" borderId="3" xfId="23" applyNumberFormat="1" applyFont="1" applyFill="1" applyBorder="1" applyAlignment="1">
      <alignment horizontal="center" vertical="center" wrapText="1"/>
    </xf>
    <xf numFmtId="0" fontId="27" fillId="0" borderId="1" xfId="23" applyFont="1" applyFill="1" applyBorder="1" applyAlignment="1">
      <alignment horizontal="center" vertical="center" wrapText="1"/>
    </xf>
    <xf numFmtId="2" fontId="27" fillId="0" borderId="1" xfId="23" applyNumberFormat="1" applyFont="1" applyFill="1" applyBorder="1" applyAlignment="1">
      <alignment horizontal="center" vertical="center" wrapText="1"/>
    </xf>
    <xf numFmtId="2" fontId="27" fillId="0" borderId="7" xfId="23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64" fillId="4" borderId="8" xfId="22" applyNumberFormat="1" applyFont="1" applyFill="1" applyBorder="1" applyAlignment="1">
      <alignment horizontal="center" vertical="center"/>
    </xf>
    <xf numFmtId="0" fontId="64" fillId="4" borderId="9" xfId="22" applyNumberFormat="1" applyFont="1" applyFill="1" applyBorder="1" applyAlignment="1">
      <alignment horizontal="center" vertical="center"/>
    </xf>
    <xf numFmtId="0" fontId="32" fillId="0" borderId="1" xfId="22" applyNumberFormat="1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61" fillId="2" borderId="3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29" fillId="2" borderId="1" xfId="33" applyFont="1" applyFill="1" applyBorder="1" applyAlignment="1">
      <alignment horizontal="left" vertical="center" wrapText="1"/>
    </xf>
    <xf numFmtId="2" fontId="35" fillId="0" borderId="1" xfId="33" applyNumberFormat="1" applyFont="1" applyFill="1" applyBorder="1" applyAlignment="1">
      <alignment horizontal="center" vertical="center"/>
    </xf>
    <xf numFmtId="2" fontId="32" fillId="0" borderId="1" xfId="33" applyNumberFormat="1" applyFont="1" applyFill="1" applyBorder="1" applyAlignment="1">
      <alignment horizontal="center" vertical="center"/>
    </xf>
    <xf numFmtId="0" fontId="28" fillId="0" borderId="1" xfId="18" applyFont="1" applyFill="1" applyBorder="1" applyAlignment="1">
      <alignment horizontal="left" vertical="center" wrapText="1"/>
    </xf>
  </cellXfs>
  <cellStyles count="37">
    <cellStyle name="Comma" xfId="21" builtinId="3"/>
    <cellStyle name="Comma 2" xfId="20"/>
    <cellStyle name="Comma 3" xfId="31"/>
    <cellStyle name="Excel Built-in Normal 1" xfId="17"/>
    <cellStyle name="Hyperlink" xfId="36" builtinId="8"/>
    <cellStyle name="Normal" xfId="0" builtinId="0"/>
    <cellStyle name="Normal 12" xfId="8"/>
    <cellStyle name="Normal 12 2 3 2" xfId="15"/>
    <cellStyle name="Normal 12 5" xfId="16"/>
    <cellStyle name="Normal 12 6 2" xfId="14"/>
    <cellStyle name="Normal 12 7" xfId="13"/>
    <cellStyle name="Normal 13" xfId="7"/>
    <cellStyle name="Normal 13 3 3" xfId="30"/>
    <cellStyle name="Normal 13 5" xfId="23"/>
    <cellStyle name="Normal 2" xfId="4"/>
    <cellStyle name="Normal 2 2" xfId="9"/>
    <cellStyle name="Normal 2 2 2" xfId="18"/>
    <cellStyle name="Normal 2 3" xfId="6"/>
    <cellStyle name="Normal 2 4" xfId="22"/>
    <cellStyle name="Normal 2 5" xfId="11"/>
    <cellStyle name="Normal 2 5 2" xfId="28"/>
    <cellStyle name="Normal 2 5 3" xfId="33"/>
    <cellStyle name="Normal 2 6" xfId="35"/>
    <cellStyle name="Normal 3" xfId="10"/>
    <cellStyle name="Normal 3 2" xfId="29"/>
    <cellStyle name="Normal 37" xfId="2"/>
    <cellStyle name="Normal 4" xfId="5"/>
    <cellStyle name="Normal 4 2" xfId="12"/>
    <cellStyle name="Normal 4 2 2" xfId="32"/>
    <cellStyle name="Normal 44" xfId="26"/>
    <cellStyle name="Normal 8" xfId="34"/>
    <cellStyle name="Normal_1 axali Fasebi" xfId="3"/>
    <cellStyle name="Normal_gare wyalsadfenigagarini 2 2" xfId="24"/>
    <cellStyle name="Normal_stadion-1" xfId="27"/>
    <cellStyle name="Обычный 2" xfId="19"/>
    <cellStyle name="Обычный 2 2" xfId="1"/>
    <cellStyle name="Обычный 4 2" xfId="25"/>
  </cellStyles>
  <dxfs count="4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57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838325" y="1287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1838325" y="1765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838325" y="992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838325" y="16459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160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1838325" y="3416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838325" y="57426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461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838325" y="98907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465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838325" y="100031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469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1838325" y="10115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473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1838325" y="10208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477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838325" y="102831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481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838325" y="10395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485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838325" y="10507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489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1838325" y="10620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493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1838325" y="10732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666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1838325" y="14343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662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1838325" y="14271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555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1838325" y="12136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550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1838325" y="12046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127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1838325" y="267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220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1838325" y="47291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223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1838325" y="48186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230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1838325" y="49749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1838325" y="4111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199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1838325" y="42681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206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1838325" y="44243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374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1838325" y="79362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381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1838325" y="80924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1838325" y="7258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457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1838325" y="9778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436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838325" y="92906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427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1838325" y="9077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454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1838325" y="9685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497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1838325" y="108451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612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1838325" y="131025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C28547D6-92FF-4DD5-9AF7-20E3D4EEE686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26CB00B6-1A6E-410F-940A-210048A0E0A1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A15210CF-4DDD-42ED-8C02-321B88F8CD3C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13BA77E4-7C61-41C9-9438-F72B0A0AFA0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90AC1B2E-6435-404E-80A0-DE450B7ACF6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B0940948-8455-4BA6-95E6-514D1725FDA7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4D247CEA-DB3F-4789-A7F3-609D7734E158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2F2913DB-1A35-44B3-BB6B-41D1EF6B7855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3DDAFE6E-C4DE-4EFD-B329-0881027342D7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2F83466C-C5C2-40F2-8AC6-0EBA9EB59B7E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0D390349-EF56-42C2-AD52-2B159D993538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D46148F4-BB69-49ED-BBBD-31DFA70A318D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23D194D4-9891-48CA-9C25-013CD75C1488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3A07EF7E-662F-439E-9D4C-E93952A19024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CE676756-B739-406D-9CFE-95D6E6EF2844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C3B255E4-1E16-4A78-8CF5-072838E9D2D1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7E9CBD72-531A-4623-86CE-697BD9EB6ACA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EA87003D-2A34-4288-9C04-42CBD63033F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85317040-B188-4FFD-9BF8-9E5B428CDD23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00546CF0-C911-4EB6-B3B6-065CD260070A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702E6333-17E2-463F-BB63-5D937076F854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DDCDCD1E-1085-4A6D-BA31-CB5FFAC60C6A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B58DC68D-D819-47B8-A774-81157A65E276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8FA76C69-BAA1-42EB-8CE6-C40188F21203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61141A3C-B116-43DF-9455-94F1405F7358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C8A755B0-1B7E-4B8C-B9D1-78FDE50F05B5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DE665B9B-AAB4-4B12-B6EA-E220DAB6EE6D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39C560E0-DDED-4170-955A-BCAAD1F0B87A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A38D5D1-9B66-4525-BF96-7E3090283591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2420AC9E-DA0A-4622-8B59-E626D4478347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ED83396D-CFAA-4EA2-95F0-5D352887A631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870302EB-26C0-4DB1-8090-711D2B07307E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F867E188-41B1-42F7-89ED-63E7CAF7B6C8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9729F393-6A81-4DCE-9CFC-976A83C4E28F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D4032DAE-692C-472E-A0D6-87267199569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DE02F57D-F149-4CF2-9A94-29C674987C27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8613E0BC-A1ED-40D1-8F66-5A4B370A6358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E46244AE-6DCD-4A72-97B2-D7887D266B9D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EAD84EB1-544B-4DF7-8A92-C89032A453FF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0D21A8D4-EEAD-429E-8063-B32A5EB7E4F1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2EA8F73F-CC7F-45CD-9FB0-6BD763FAB93D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57866348-FB31-420E-B9C3-99ECF7CE6078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AD9D174C-C185-4D8A-9D9A-73A31BD48C06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1FFEE9BC-D236-40B9-9ACA-F093FDBC5F87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A5B38B7D-063C-457C-B4DB-51C11DEE6A01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AA5C7F8D-EF41-4BC1-97A0-52E32466C9A8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27DA5730-D109-4BED-803F-73591BEE8796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5A8D9E84-5642-49FE-8869-A32E3E009E8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299B453B-4182-43F9-A5CE-4CF80D5F96BA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1B11927F-C764-452C-A30F-AC53F88736DC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F52AC2B3-DBE5-4F19-94F4-B5DD95E32D3C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5895EDD8-BB37-4047-A292-2FB3F7B57F79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F153A028-77F0-4653-ABC4-5A174D25A2EF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22312E54-4288-4D0F-9F57-8317F852D827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8C2B7F6D-0B55-48EB-B126-9758466DC63A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604ABA25-9312-4532-94F9-234BB153F44A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8D1C80A8-4A95-400E-9413-9280EA81ED5E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442DA75B-EA91-47B3-9CB4-CBF02B6D2535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FCD505DE-C4FE-4809-BE95-B9BD1389C34B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9D35B54C-2416-4D81-B837-BC8787E24186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3A375EA6-1702-4701-A7B5-1E20DDD882E2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40C59392-AA8C-40B8-A473-18CE9ED9477C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38AFCCEC-3007-446F-8117-2111CD656B6F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B7287040-8E00-401F-B1AA-9686FE6F06F5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DFB03326-6D6E-467D-860B-7DEA90847A18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8BFC3643-A147-4BFC-A39F-1CF18689E1A6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1851A8CA-6BF3-4825-91D5-E70D41057B52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FD701F47-A786-4D9F-9255-183807184BFD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B69F5439-FC86-4F3D-AF58-A154B6DC2064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28F620A0-9B58-4890-8E7A-A8611DD2E762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1F387CA9-A976-478B-826F-4F690FF2ACEA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033A4216-424E-4107-A7AE-5E7D45A631F2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FA8526C8-D65B-4BBC-8CC0-BBB73A60A5CB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67D9AD2F-49EE-4C70-BD74-C8C1022C17CA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C4A2BF96-C4DC-45EF-90AB-DA75A65D4EDF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CC12F3D8-7247-49EF-9E91-7276C522D2B8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9B06B4B5-6D14-41F5-B371-432361248923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7307D45E-540B-4DDA-9789-D0CB6F06E622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6324CC8A-2F11-4AA0-993B-479B4351670D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8E355423-CBB4-4B08-910A-222CD899FD5A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B42E74F6-31BA-48DA-90A9-CE72EF1832E9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1FB5AF3A-9516-41DC-AC1A-1393D48F05CB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2C6338BF-FD9A-4513-BF33-B07203851CDB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4F176477-2481-4435-B965-30CAB53AC6B1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52D2D9A5-C581-4B7D-B3A6-11AE13FB0B5E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D9A59555-B7AF-48E1-A8AF-61C39341E2CD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E871DC6C-836F-4C39-AEF0-C0FE8BA5B098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F1B5A3A7-8024-4276-BE9C-C1FE58C2532B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D982EC5B-9377-4046-9417-43E869FAE66F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41FCCC6A-D1BC-4D6D-910B-3D87B79305E4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9B76EA1D-AAFB-499D-83B0-496D89028291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ADC22780-0D5A-4915-8248-7C8302F97020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71FD0075-B128-48F7-AA37-BFFA0454CDAF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F5591852-A146-4512-B3D0-410CFA4F278B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B3E1DE5C-AA79-4174-B5C8-A698199A3BE2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671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28B488C9-1DC4-4A96-AE68-90995FDE4837}"/>
            </a:ext>
          </a:extLst>
        </xdr:cNvPr>
        <xdr:cNvSpPr txBox="1">
          <a:spLocks noChangeArrowheads="1"/>
        </xdr:cNvSpPr>
      </xdr:nvSpPr>
      <xdr:spPr bwMode="auto">
        <a:xfrm>
          <a:off x="1838325" y="14434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HIBA\Users\Proys\El%20Tinto%20-%20San%20Jose\01_Etsj\01_CO_ETSJ01_200512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_pte_flex"/>
      <sheetName val="PU_pte_rig"/>
      <sheetName val="PU_flex"/>
      <sheetName val="PU"/>
      <sheetName val="DATOS "/>
      <sheetName val="RESUMEN"/>
      <sheetName val="PRE_ASF"/>
      <sheetName val="PRE_RIG"/>
      <sheetName val="MT_ASF"/>
      <sheetName val="MT_RIG"/>
      <sheetName val="PV_ASF"/>
      <sheetName val="PV_RIG"/>
      <sheetName val="DR"/>
      <sheetName val="PTES"/>
      <sheetName val="PTEI"/>
      <sheetName val="OCP"/>
      <sheetName val="OCC"/>
      <sheetName val="SNL"/>
      <sheetName val="AMB"/>
      <sheetName val="SUP"/>
      <sheetName val="PES"/>
      <sheetName val="PEA"/>
      <sheetName val="CAMP"/>
      <sheetName val="CANT_ASF"/>
      <sheetName val="CANT_RIG"/>
      <sheetName val="P_ASF"/>
      <sheetName val="P_RIG"/>
      <sheetName val="Form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A12">
            <v>1</v>
          </cell>
          <cell r="B12" t="str">
            <v>X</v>
          </cell>
          <cell r="D12">
            <v>1</v>
          </cell>
          <cell r="E12" t="str">
            <v>MOVIMIENTO DE TIERRAS</v>
          </cell>
          <cell r="I12" t="str">
            <v>Imprevistos</v>
          </cell>
          <cell r="K12">
            <v>0.1</v>
          </cell>
        </row>
        <row r="13">
          <cell r="A13">
            <v>2</v>
          </cell>
          <cell r="B13">
            <v>2</v>
          </cell>
          <cell r="C13">
            <v>1</v>
          </cell>
          <cell r="D13" t="str">
            <v>1.1.</v>
          </cell>
          <cell r="E13" t="str">
            <v>Desbosque, Desbroce, Destronque, Limpieza y Remoción de Capa Vegetal</v>
          </cell>
          <cell r="F13" t="str">
            <v>[ha]</v>
          </cell>
          <cell r="H13">
            <v>0</v>
          </cell>
          <cell r="I13">
            <v>0</v>
          </cell>
          <cell r="N13">
            <v>80</v>
          </cell>
          <cell r="Q13">
            <v>719</v>
          </cell>
          <cell r="R13">
            <v>816.44200000000001</v>
          </cell>
          <cell r="S13">
            <v>587021.80000000005</v>
          </cell>
          <cell r="U13">
            <v>30</v>
          </cell>
          <cell r="X13">
            <v>9</v>
          </cell>
          <cell r="Y13">
            <v>816.44200000000001</v>
          </cell>
          <cell r="Z13">
            <v>7347.98</v>
          </cell>
          <cell r="AB13">
            <v>30</v>
          </cell>
          <cell r="AE13">
            <v>2</v>
          </cell>
          <cell r="AF13">
            <v>816.44200000000001</v>
          </cell>
          <cell r="AG13">
            <v>1632.88</v>
          </cell>
          <cell r="AL13">
            <v>0</v>
          </cell>
          <cell r="AM13">
            <v>0</v>
          </cell>
          <cell r="AN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730</v>
          </cell>
          <cell r="AX13" t="e">
            <v>#N/A</v>
          </cell>
          <cell r="AY13">
            <v>596002.66</v>
          </cell>
        </row>
        <row r="14">
          <cell r="A14">
            <v>3</v>
          </cell>
          <cell r="B14">
            <v>3</v>
          </cell>
          <cell r="C14">
            <v>2</v>
          </cell>
          <cell r="D14" t="str">
            <v>1.2.1.</v>
          </cell>
          <cell r="E14" t="str">
            <v>Excavación No Clasificada Distancia &lt;= 1000 m</v>
          </cell>
          <cell r="F14" t="str">
            <v>[m³]</v>
          </cell>
          <cell r="N14">
            <v>554449</v>
          </cell>
          <cell r="Q14">
            <v>609894</v>
          </cell>
          <cell r="R14">
            <v>2.2999999999999998</v>
          </cell>
          <cell r="S14">
            <v>1402756.2</v>
          </cell>
          <cell r="U14">
            <v>38209.050000000003</v>
          </cell>
          <cell r="X14">
            <v>42030</v>
          </cell>
          <cell r="Y14">
            <v>2.2999999999999998</v>
          </cell>
          <cell r="Z14">
            <v>96669</v>
          </cell>
          <cell r="AB14">
            <v>5102.51</v>
          </cell>
          <cell r="AE14">
            <v>5613</v>
          </cell>
          <cell r="AF14">
            <v>2.2999999999999998</v>
          </cell>
          <cell r="AG14">
            <v>12909.9</v>
          </cell>
          <cell r="AL14">
            <v>0</v>
          </cell>
          <cell r="AM14">
            <v>0</v>
          </cell>
          <cell r="AN14">
            <v>0</v>
          </cell>
          <cell r="AS14">
            <v>0</v>
          </cell>
          <cell r="AT14">
            <v>0</v>
          </cell>
          <cell r="AU14">
            <v>0</v>
          </cell>
          <cell r="AW14">
            <v>657537</v>
          </cell>
          <cell r="AX14" t="e">
            <v>#N/A</v>
          </cell>
          <cell r="AY14">
            <v>1512335.0999999999</v>
          </cell>
        </row>
        <row r="15">
          <cell r="A15">
            <v>4</v>
          </cell>
          <cell r="B15">
            <v>4</v>
          </cell>
          <cell r="C15">
            <v>3</v>
          </cell>
          <cell r="D15" t="str">
            <v>1.3.</v>
          </cell>
          <cell r="E15" t="str">
            <v>Terraplén con Material de Acopio</v>
          </cell>
          <cell r="F15" t="str">
            <v>[m³]</v>
          </cell>
          <cell r="H15">
            <v>0.75</v>
          </cell>
          <cell r="N15">
            <v>2759698</v>
          </cell>
          <cell r="O15">
            <v>0</v>
          </cell>
          <cell r="Q15">
            <v>2578248</v>
          </cell>
          <cell r="R15">
            <v>2.1589999999999998</v>
          </cell>
          <cell r="S15">
            <v>5566437.4299999997</v>
          </cell>
          <cell r="U15">
            <v>50499.12</v>
          </cell>
          <cell r="V15">
            <v>0</v>
          </cell>
          <cell r="X15">
            <v>24027</v>
          </cell>
          <cell r="Y15">
            <v>2.1589999999999998</v>
          </cell>
          <cell r="Z15">
            <v>51874.29</v>
          </cell>
          <cell r="AB15">
            <v>13270.29</v>
          </cell>
          <cell r="AC15">
            <v>0</v>
          </cell>
          <cell r="AE15">
            <v>10388</v>
          </cell>
          <cell r="AF15">
            <v>2.1589999999999998</v>
          </cell>
          <cell r="AG15">
            <v>22427.69</v>
          </cell>
          <cell r="AJ15">
            <v>0</v>
          </cell>
          <cell r="AL15">
            <v>0</v>
          </cell>
          <cell r="AM15">
            <v>0</v>
          </cell>
          <cell r="AN15">
            <v>0</v>
          </cell>
          <cell r="AS15">
            <v>0</v>
          </cell>
          <cell r="AT15">
            <v>0</v>
          </cell>
          <cell r="AU15">
            <v>0</v>
          </cell>
          <cell r="AW15">
            <v>2612663</v>
          </cell>
          <cell r="AX15" t="e">
            <v>#N/A</v>
          </cell>
          <cell r="AY15">
            <v>5640739.4100000001</v>
          </cell>
        </row>
        <row r="16">
          <cell r="A16">
            <v>5</v>
          </cell>
          <cell r="B16">
            <v>5</v>
          </cell>
          <cell r="C16">
            <v>4</v>
          </cell>
          <cell r="D16" t="str">
            <v>1.4.</v>
          </cell>
          <cell r="E16" t="str">
            <v>Terraplén con Material de Corte</v>
          </cell>
          <cell r="F16" t="str">
            <v>[m³]</v>
          </cell>
          <cell r="Q16">
            <v>457421</v>
          </cell>
          <cell r="R16">
            <v>0.91300000000000003</v>
          </cell>
          <cell r="S16">
            <v>417625.37</v>
          </cell>
          <cell r="X16">
            <v>31523</v>
          </cell>
          <cell r="Y16">
            <v>0.91300000000000003</v>
          </cell>
          <cell r="Z16">
            <v>28780.5</v>
          </cell>
          <cell r="AE16">
            <v>4210</v>
          </cell>
          <cell r="AF16">
            <v>0.91300000000000003</v>
          </cell>
          <cell r="AG16">
            <v>3843.73</v>
          </cell>
          <cell r="AL16">
            <v>0</v>
          </cell>
          <cell r="AM16">
            <v>0</v>
          </cell>
          <cell r="AN16">
            <v>0</v>
          </cell>
          <cell r="AS16">
            <v>0</v>
          </cell>
          <cell r="AT16">
            <v>0</v>
          </cell>
          <cell r="AU16">
            <v>0</v>
          </cell>
          <cell r="AW16">
            <v>493154</v>
          </cell>
          <cell r="AX16" t="e">
            <v>#N/A</v>
          </cell>
          <cell r="AY16">
            <v>450249.6</v>
          </cell>
        </row>
        <row r="17">
          <cell r="A17">
            <v>6</v>
          </cell>
          <cell r="B17">
            <v>6</v>
          </cell>
          <cell r="C17">
            <v>5</v>
          </cell>
          <cell r="D17" t="str">
            <v>1.5.</v>
          </cell>
          <cell r="E17" t="str">
            <v>Relleno Compactado en Áreas de Depósito</v>
          </cell>
          <cell r="F17" t="str">
            <v>[m³]</v>
          </cell>
          <cell r="O17">
            <v>0</v>
          </cell>
          <cell r="Q17">
            <v>30495</v>
          </cell>
          <cell r="R17">
            <v>0.56299999999999994</v>
          </cell>
          <cell r="S17">
            <v>17168.689999999999</v>
          </cell>
          <cell r="V17">
            <v>0</v>
          </cell>
          <cell r="X17">
            <v>2102</v>
          </cell>
          <cell r="Y17">
            <v>0.56299999999999994</v>
          </cell>
          <cell r="Z17">
            <v>1183.43</v>
          </cell>
          <cell r="AC17">
            <v>0</v>
          </cell>
          <cell r="AE17">
            <v>281</v>
          </cell>
          <cell r="AF17">
            <v>0.56299999999999994</v>
          </cell>
          <cell r="AG17">
            <v>158.19999999999999</v>
          </cell>
          <cell r="AJ17">
            <v>0</v>
          </cell>
          <cell r="AL17">
            <v>0</v>
          </cell>
          <cell r="AM17">
            <v>0</v>
          </cell>
          <cell r="AN17">
            <v>0</v>
          </cell>
          <cell r="AS17">
            <v>0</v>
          </cell>
          <cell r="AT17">
            <v>0</v>
          </cell>
          <cell r="AU17">
            <v>0</v>
          </cell>
          <cell r="AW17">
            <v>32878</v>
          </cell>
          <cell r="AX17" t="e">
            <v>#N/A</v>
          </cell>
          <cell r="AY17">
            <v>18510.32</v>
          </cell>
        </row>
        <row r="18">
          <cell r="A18">
            <v>7</v>
          </cell>
          <cell r="B18">
            <v>7</v>
          </cell>
          <cell r="C18">
            <v>6</v>
          </cell>
          <cell r="D18" t="str">
            <v>1.6.</v>
          </cell>
          <cell r="E18" t="str">
            <v>Remoción de Derrumbes</v>
          </cell>
          <cell r="F18" t="str">
            <v>[m³]</v>
          </cell>
          <cell r="H18">
            <v>0.05</v>
          </cell>
          <cell r="Q18">
            <v>30495</v>
          </cell>
          <cell r="R18">
            <v>1.881</v>
          </cell>
          <cell r="S18">
            <v>57361.1</v>
          </cell>
          <cell r="X18">
            <v>2102</v>
          </cell>
          <cell r="Y18">
            <v>1.881</v>
          </cell>
          <cell r="Z18">
            <v>3953.86</v>
          </cell>
          <cell r="AE18">
            <v>281</v>
          </cell>
          <cell r="AF18">
            <v>1.881</v>
          </cell>
          <cell r="AG18">
            <v>528.55999999999995</v>
          </cell>
          <cell r="AL18">
            <v>0</v>
          </cell>
          <cell r="AM18">
            <v>0</v>
          </cell>
          <cell r="AN18">
            <v>0</v>
          </cell>
          <cell r="AS18">
            <v>0</v>
          </cell>
          <cell r="AT18">
            <v>0</v>
          </cell>
          <cell r="AU18">
            <v>0</v>
          </cell>
          <cell r="AW18">
            <v>32878</v>
          </cell>
          <cell r="AX18" t="e">
            <v>#N/A</v>
          </cell>
          <cell r="AY18">
            <v>61843.519999999997</v>
          </cell>
        </row>
        <row r="19">
          <cell r="A19">
            <v>8</v>
          </cell>
          <cell r="B19">
            <v>8</v>
          </cell>
          <cell r="C19">
            <v>7</v>
          </cell>
          <cell r="D19" t="str">
            <v>1.7.1.</v>
          </cell>
          <cell r="E19" t="str">
            <v>Sobreacarreo para Distancias &gt; 1000 m</v>
          </cell>
          <cell r="F19" t="str">
            <v>[m³ - km]</v>
          </cell>
          <cell r="H19">
            <v>2.5</v>
          </cell>
          <cell r="I19">
            <v>0.80800000000000005</v>
          </cell>
          <cell r="J19">
            <v>0.34899999999999998</v>
          </cell>
          <cell r="K19">
            <v>0.1</v>
          </cell>
          <cell r="L19">
            <v>3</v>
          </cell>
          <cell r="N19">
            <v>344100</v>
          </cell>
          <cell r="Q19">
            <v>469995</v>
          </cell>
          <cell r="R19">
            <v>0.245</v>
          </cell>
          <cell r="S19">
            <v>115148.78</v>
          </cell>
          <cell r="U19">
            <v>0</v>
          </cell>
          <cell r="X19">
            <v>6305</v>
          </cell>
          <cell r="Y19">
            <v>0.245</v>
          </cell>
          <cell r="Z19">
            <v>1544.73</v>
          </cell>
          <cell r="AB19">
            <v>0</v>
          </cell>
          <cell r="AE19">
            <v>842</v>
          </cell>
          <cell r="AF19">
            <v>0.245</v>
          </cell>
          <cell r="AG19">
            <v>206.29</v>
          </cell>
          <cell r="AL19">
            <v>0</v>
          </cell>
          <cell r="AM19">
            <v>0</v>
          </cell>
          <cell r="AN19">
            <v>0</v>
          </cell>
          <cell r="AS19">
            <v>0</v>
          </cell>
          <cell r="AT19">
            <v>0</v>
          </cell>
          <cell r="AU19">
            <v>0</v>
          </cell>
          <cell r="AW19">
            <v>477142</v>
          </cell>
          <cell r="AX19" t="e">
            <v>#N/A</v>
          </cell>
          <cell r="AY19">
            <v>116899.79999999999</v>
          </cell>
        </row>
        <row r="20">
          <cell r="A20">
            <v>9</v>
          </cell>
          <cell r="B20">
            <v>9</v>
          </cell>
          <cell r="C20">
            <v>8</v>
          </cell>
          <cell r="D20" t="str">
            <v>1.7.2.</v>
          </cell>
          <cell r="E20" t="str">
            <v>Transporte de Material de Acopios</v>
          </cell>
          <cell r="F20" t="str">
            <v>[m³ - km]</v>
          </cell>
          <cell r="N20">
            <v>23130910</v>
          </cell>
          <cell r="Q20">
            <v>25444001</v>
          </cell>
          <cell r="R20">
            <v>0.27500000000000002</v>
          </cell>
          <cell r="S20">
            <v>6997100.2800000003</v>
          </cell>
          <cell r="X20">
            <v>0</v>
          </cell>
          <cell r="Y20">
            <v>0.27500000000000002</v>
          </cell>
          <cell r="Z20">
            <v>0</v>
          </cell>
          <cell r="AE20">
            <v>0</v>
          </cell>
          <cell r="AF20">
            <v>0.27500000000000002</v>
          </cell>
          <cell r="AG20">
            <v>0</v>
          </cell>
          <cell r="AL20">
            <v>0</v>
          </cell>
          <cell r="AM20">
            <v>0</v>
          </cell>
          <cell r="AN20">
            <v>0</v>
          </cell>
          <cell r="AS20">
            <v>0</v>
          </cell>
          <cell r="AT20">
            <v>0</v>
          </cell>
          <cell r="AU20">
            <v>0</v>
          </cell>
          <cell r="AW20">
            <v>25444001</v>
          </cell>
          <cell r="AX20" t="e">
            <v>#N/A</v>
          </cell>
          <cell r="AY20">
            <v>6997100.2800000003</v>
          </cell>
        </row>
        <row r="21">
          <cell r="A21">
            <v>10</v>
          </cell>
          <cell r="B21">
            <v>10</v>
          </cell>
          <cell r="C21">
            <v>9</v>
          </cell>
          <cell r="D21" t="str">
            <v>1.8.</v>
          </cell>
          <cell r="E21" t="str">
            <v>Pedraplén para Estabilización de Plataforma</v>
          </cell>
          <cell r="F21" t="str">
            <v>[m³]</v>
          </cell>
          <cell r="H21">
            <v>20</v>
          </cell>
          <cell r="I21">
            <v>1</v>
          </cell>
          <cell r="J21">
            <v>0.02</v>
          </cell>
          <cell r="Q21">
            <v>35913</v>
          </cell>
          <cell r="R21">
            <v>16.718</v>
          </cell>
          <cell r="S21">
            <v>600393.53</v>
          </cell>
          <cell r="X21">
            <v>2024</v>
          </cell>
          <cell r="Y21">
            <v>16.718</v>
          </cell>
          <cell r="Z21">
            <v>33837.230000000003</v>
          </cell>
          <cell r="AE21">
            <v>652</v>
          </cell>
          <cell r="AF21">
            <v>16.718</v>
          </cell>
          <cell r="AG21">
            <v>10900.14</v>
          </cell>
          <cell r="AL21">
            <v>0</v>
          </cell>
          <cell r="AM21">
            <v>0</v>
          </cell>
          <cell r="AN21">
            <v>0</v>
          </cell>
          <cell r="AS21">
            <v>0</v>
          </cell>
          <cell r="AT21">
            <v>0</v>
          </cell>
          <cell r="AU21">
            <v>0</v>
          </cell>
          <cell r="AW21">
            <v>38589</v>
          </cell>
          <cell r="AX21" t="e">
            <v>#N/A</v>
          </cell>
          <cell r="AY21">
            <v>645130.9</v>
          </cell>
        </row>
        <row r="22">
          <cell r="A22">
            <v>11</v>
          </cell>
          <cell r="B22">
            <v>11</v>
          </cell>
          <cell r="C22">
            <v>10</v>
          </cell>
          <cell r="D22" t="str">
            <v>1.9.</v>
          </cell>
          <cell r="E22" t="str">
            <v>Geomalla</v>
          </cell>
          <cell r="F22" t="str">
            <v>[m²]</v>
          </cell>
          <cell r="H22">
            <v>0.15</v>
          </cell>
          <cell r="Q22">
            <v>269346</v>
          </cell>
          <cell r="R22">
            <v>3.407</v>
          </cell>
          <cell r="S22">
            <v>917661.82</v>
          </cell>
          <cell r="X22">
            <v>0</v>
          </cell>
          <cell r="Y22">
            <v>3.407</v>
          </cell>
          <cell r="Z22">
            <v>0</v>
          </cell>
          <cell r="AE22">
            <v>0</v>
          </cell>
          <cell r="AF22">
            <v>3.407</v>
          </cell>
          <cell r="AG22">
            <v>0</v>
          </cell>
          <cell r="AL22">
            <v>0</v>
          </cell>
          <cell r="AM22">
            <v>0</v>
          </cell>
          <cell r="AN22">
            <v>0</v>
          </cell>
          <cell r="AS22">
            <v>0</v>
          </cell>
          <cell r="AT22">
            <v>0</v>
          </cell>
          <cell r="AU22">
            <v>0</v>
          </cell>
          <cell r="AW22">
            <v>269346</v>
          </cell>
          <cell r="AX22" t="e">
            <v>#N/A</v>
          </cell>
          <cell r="AY22">
            <v>917661.82</v>
          </cell>
        </row>
        <row r="23">
          <cell r="A23">
            <v>12</v>
          </cell>
          <cell r="B23" t="str">
            <v>X</v>
          </cell>
          <cell r="C23">
            <v>10</v>
          </cell>
          <cell r="D23">
            <v>2</v>
          </cell>
          <cell r="E23" t="str">
            <v>PAVIMENTACIÓN</v>
          </cell>
          <cell r="I23" t="str">
            <v>Imprevistos</v>
          </cell>
          <cell r="K23">
            <v>0.03</v>
          </cell>
          <cell r="S23">
            <v>16678675</v>
          </cell>
          <cell r="Z23">
            <v>225191.02</v>
          </cell>
          <cell r="AG23">
            <v>52607.39</v>
          </cell>
          <cell r="AN23">
            <v>0</v>
          </cell>
          <cell r="AU23">
            <v>0</v>
          </cell>
          <cell r="AY23">
            <v>16956473.41</v>
          </cell>
        </row>
        <row r="24">
          <cell r="A24">
            <v>13</v>
          </cell>
          <cell r="B24">
            <v>13</v>
          </cell>
          <cell r="C24">
            <v>11</v>
          </cell>
          <cell r="D24" t="str">
            <v>2.1.1.</v>
          </cell>
          <cell r="E24" t="str">
            <v>Sub Base de Material Granular para Pavimento Flexible</v>
          </cell>
          <cell r="F24" t="str">
            <v>[m³]</v>
          </cell>
          <cell r="H24">
            <v>0</v>
          </cell>
          <cell r="I24">
            <v>0</v>
          </cell>
          <cell r="O24">
            <v>5.0490000000000004</v>
          </cell>
          <cell r="Q24">
            <v>0</v>
          </cell>
          <cell r="R24">
            <v>13.066000000000001</v>
          </cell>
          <cell r="S24">
            <v>0</v>
          </cell>
          <cell r="V24">
            <v>5.0490000000000004</v>
          </cell>
          <cell r="X24">
            <v>0</v>
          </cell>
          <cell r="Y24">
            <v>13.066000000000001</v>
          </cell>
          <cell r="Z24">
            <v>0</v>
          </cell>
          <cell r="AC24">
            <v>5.0490000000000004</v>
          </cell>
          <cell r="AE24">
            <v>0</v>
          </cell>
          <cell r="AF24">
            <v>13.066000000000001</v>
          </cell>
          <cell r="AG24">
            <v>0</v>
          </cell>
          <cell r="AJ24">
            <v>5.0490000000000004</v>
          </cell>
          <cell r="AL24">
            <v>0</v>
          </cell>
          <cell r="AM24">
            <v>0</v>
          </cell>
          <cell r="AN24">
            <v>0</v>
          </cell>
          <cell r="AS24">
            <v>0</v>
          </cell>
          <cell r="AT24">
            <v>0</v>
          </cell>
          <cell r="AU24">
            <v>0</v>
          </cell>
          <cell r="AW24">
            <v>0</v>
          </cell>
          <cell r="AX24" t="e">
            <v>#N/A</v>
          </cell>
          <cell r="AY24">
            <v>0</v>
          </cell>
        </row>
        <row r="25">
          <cell r="A25">
            <v>14</v>
          </cell>
          <cell r="B25">
            <v>14</v>
          </cell>
          <cell r="C25">
            <v>12</v>
          </cell>
          <cell r="D25" t="str">
            <v>2.1.2.</v>
          </cell>
          <cell r="E25" t="str">
            <v>Sub Base de Suelo Cemento para Pavimento Rígido</v>
          </cell>
          <cell r="F25" t="str">
            <v>[m³]</v>
          </cell>
          <cell r="N25">
            <v>188594</v>
          </cell>
          <cell r="O25">
            <v>5.0490000000000004</v>
          </cell>
          <cell r="Q25">
            <v>194252</v>
          </cell>
          <cell r="R25">
            <v>24.484000000000002</v>
          </cell>
          <cell r="S25">
            <v>4756065.97</v>
          </cell>
          <cell r="U25">
            <v>11395.25</v>
          </cell>
          <cell r="V25">
            <v>5.0490000000000004</v>
          </cell>
          <cell r="X25">
            <v>11738</v>
          </cell>
          <cell r="Y25">
            <v>24.484000000000002</v>
          </cell>
          <cell r="Z25">
            <v>287393.19</v>
          </cell>
          <cell r="AB25">
            <v>3600.84</v>
          </cell>
          <cell r="AC25">
            <v>5.0490000000000004</v>
          </cell>
          <cell r="AE25">
            <v>3709</v>
          </cell>
          <cell r="AF25">
            <v>24.484000000000002</v>
          </cell>
          <cell r="AG25">
            <v>90811.16</v>
          </cell>
          <cell r="AJ25">
            <v>5.0490000000000004</v>
          </cell>
          <cell r="AL25">
            <v>0</v>
          </cell>
          <cell r="AM25">
            <v>0</v>
          </cell>
          <cell r="AN25">
            <v>0</v>
          </cell>
          <cell r="AS25">
            <v>0</v>
          </cell>
          <cell r="AT25">
            <v>0</v>
          </cell>
          <cell r="AU25">
            <v>0</v>
          </cell>
          <cell r="AW25">
            <v>209699</v>
          </cell>
          <cell r="AX25" t="e">
            <v>#N/A</v>
          </cell>
          <cell r="AY25">
            <v>5134270.32</v>
          </cell>
        </row>
        <row r="26">
          <cell r="A26">
            <v>15</v>
          </cell>
          <cell r="B26">
            <v>15</v>
          </cell>
          <cell r="C26">
            <v>13</v>
          </cell>
          <cell r="D26" t="str">
            <v>2.2.1.</v>
          </cell>
          <cell r="E26" t="str">
            <v>Base de Material Granular para Pavimento Flexible</v>
          </cell>
          <cell r="F26" t="str">
            <v>[m³]</v>
          </cell>
          <cell r="O26">
            <v>4.2</v>
          </cell>
          <cell r="Q26">
            <v>0</v>
          </cell>
          <cell r="R26">
            <v>16.632000000000001</v>
          </cell>
          <cell r="S26">
            <v>0</v>
          </cell>
          <cell r="V26">
            <v>4.2</v>
          </cell>
          <cell r="X26">
            <v>0</v>
          </cell>
          <cell r="Y26">
            <v>16.632000000000001</v>
          </cell>
          <cell r="Z26">
            <v>0</v>
          </cell>
          <cell r="AC26">
            <v>4.2</v>
          </cell>
          <cell r="AE26">
            <v>0</v>
          </cell>
          <cell r="AF26">
            <v>16.632000000000001</v>
          </cell>
          <cell r="AG26">
            <v>0</v>
          </cell>
          <cell r="AJ26">
            <v>4.2</v>
          </cell>
          <cell r="AL26">
            <v>0</v>
          </cell>
          <cell r="AM26">
            <v>0</v>
          </cell>
          <cell r="AN26">
            <v>0</v>
          </cell>
          <cell r="AS26">
            <v>0</v>
          </cell>
          <cell r="AT26">
            <v>0</v>
          </cell>
          <cell r="AU26">
            <v>0</v>
          </cell>
          <cell r="AW26">
            <v>0</v>
          </cell>
          <cell r="AX26" t="e">
            <v>#N/A</v>
          </cell>
          <cell r="AY26">
            <v>0</v>
          </cell>
        </row>
        <row r="27">
          <cell r="A27">
            <v>16</v>
          </cell>
          <cell r="B27">
            <v>16</v>
          </cell>
          <cell r="C27">
            <v>14</v>
          </cell>
          <cell r="D27" t="str">
            <v>2.2.2.</v>
          </cell>
          <cell r="E27" t="str">
            <v>Base Asfáltica</v>
          </cell>
          <cell r="F27" t="str">
            <v>[m³]</v>
          </cell>
          <cell r="O27">
            <v>4.2</v>
          </cell>
          <cell r="Q27">
            <v>0</v>
          </cell>
          <cell r="R27">
            <v>33.631</v>
          </cell>
          <cell r="S27">
            <v>0</v>
          </cell>
          <cell r="V27">
            <v>4.2</v>
          </cell>
          <cell r="X27">
            <v>0</v>
          </cell>
          <cell r="Y27">
            <v>33.631</v>
          </cell>
          <cell r="Z27">
            <v>0</v>
          </cell>
          <cell r="AC27">
            <v>4.2</v>
          </cell>
          <cell r="AE27">
            <v>0</v>
          </cell>
          <cell r="AF27">
            <v>33.631</v>
          </cell>
          <cell r="AG27">
            <v>0</v>
          </cell>
          <cell r="AJ27">
            <v>4.2</v>
          </cell>
          <cell r="AL27">
            <v>0</v>
          </cell>
          <cell r="AM27">
            <v>0</v>
          </cell>
          <cell r="AN27">
            <v>0</v>
          </cell>
          <cell r="AS27">
            <v>0</v>
          </cell>
          <cell r="AT27">
            <v>0</v>
          </cell>
          <cell r="AU27">
            <v>0</v>
          </cell>
          <cell r="AW27">
            <v>0</v>
          </cell>
          <cell r="AX27" t="e">
            <v>#N/A</v>
          </cell>
          <cell r="AY27">
            <v>0</v>
          </cell>
        </row>
        <row r="28">
          <cell r="A28">
            <v>17</v>
          </cell>
          <cell r="B28">
            <v>17</v>
          </cell>
          <cell r="C28">
            <v>15</v>
          </cell>
          <cell r="D28" t="str">
            <v>2.2.3.</v>
          </cell>
          <cell r="E28" t="str">
            <v>Conformación de Berma con Material de Capa Base (pavimento flexible)</v>
          </cell>
          <cell r="F28" t="str">
            <v>[m³]</v>
          </cell>
          <cell r="O28">
            <v>4.2</v>
          </cell>
          <cell r="Q28">
            <v>0</v>
          </cell>
          <cell r="R28">
            <v>18.925999999999998</v>
          </cell>
          <cell r="S28">
            <v>0</v>
          </cell>
          <cell r="V28">
            <v>4.2</v>
          </cell>
          <cell r="X28">
            <v>0</v>
          </cell>
          <cell r="Y28">
            <v>18.925999999999998</v>
          </cell>
          <cell r="Z28">
            <v>0</v>
          </cell>
          <cell r="AC28">
            <v>4.2</v>
          </cell>
          <cell r="AE28">
            <v>0</v>
          </cell>
          <cell r="AF28">
            <v>18.925999999999998</v>
          </cell>
          <cell r="AG28">
            <v>0</v>
          </cell>
          <cell r="AJ28">
            <v>4.2</v>
          </cell>
          <cell r="AL28">
            <v>0</v>
          </cell>
          <cell r="AM28">
            <v>0</v>
          </cell>
          <cell r="AN28">
            <v>0</v>
          </cell>
          <cell r="AS28">
            <v>0</v>
          </cell>
          <cell r="AT28">
            <v>0</v>
          </cell>
          <cell r="AU28">
            <v>0</v>
          </cell>
          <cell r="AW28">
            <v>0</v>
          </cell>
          <cell r="AX28" t="e">
            <v>#N/A</v>
          </cell>
          <cell r="AY28">
            <v>0</v>
          </cell>
        </row>
        <row r="29">
          <cell r="A29">
            <v>18</v>
          </cell>
          <cell r="B29">
            <v>18</v>
          </cell>
          <cell r="C29">
            <v>16</v>
          </cell>
          <cell r="D29" t="str">
            <v>2.2.4.</v>
          </cell>
          <cell r="E29" t="str">
            <v>Conformación de Berma con Suelo Cemento (pavimento rígido)</v>
          </cell>
          <cell r="F29" t="str">
            <v>[m³]</v>
          </cell>
          <cell r="N29">
            <v>103905.60000000001</v>
          </cell>
          <cell r="O29">
            <v>4.2</v>
          </cell>
          <cell r="Q29">
            <v>107023</v>
          </cell>
          <cell r="R29">
            <v>25.09</v>
          </cell>
          <cell r="S29">
            <v>2685207.07</v>
          </cell>
          <cell r="U29">
            <v>3690</v>
          </cell>
          <cell r="V29">
            <v>4.2</v>
          </cell>
          <cell r="X29">
            <v>3801</v>
          </cell>
          <cell r="Y29">
            <v>25.09</v>
          </cell>
          <cell r="Z29">
            <v>95367.09</v>
          </cell>
          <cell r="AB29">
            <v>1086</v>
          </cell>
          <cell r="AC29">
            <v>4.2</v>
          </cell>
          <cell r="AE29">
            <v>1119</v>
          </cell>
          <cell r="AF29">
            <v>25.09</v>
          </cell>
          <cell r="AG29">
            <v>28075.71</v>
          </cell>
          <cell r="AJ29">
            <v>4.2</v>
          </cell>
          <cell r="AL29">
            <v>0</v>
          </cell>
          <cell r="AM29">
            <v>0</v>
          </cell>
          <cell r="AN29">
            <v>0</v>
          </cell>
          <cell r="AS29">
            <v>0</v>
          </cell>
          <cell r="AT29">
            <v>0</v>
          </cell>
          <cell r="AU29">
            <v>0</v>
          </cell>
          <cell r="AW29">
            <v>111943</v>
          </cell>
          <cell r="AX29" t="e">
            <v>#N/A</v>
          </cell>
          <cell r="AY29">
            <v>2808649.8699999996</v>
          </cell>
        </row>
        <row r="30">
          <cell r="A30">
            <v>19</v>
          </cell>
          <cell r="B30">
            <v>19</v>
          </cell>
          <cell r="C30">
            <v>17</v>
          </cell>
          <cell r="D30" t="str">
            <v>2.3.1.</v>
          </cell>
          <cell r="E30" t="str">
            <v>Imprimación - Ejecución</v>
          </cell>
          <cell r="F30" t="str">
            <v>[m²]</v>
          </cell>
          <cell r="N30">
            <v>8.3000000000000007</v>
          </cell>
          <cell r="O30">
            <v>5</v>
          </cell>
          <cell r="Q30">
            <v>1675994</v>
          </cell>
          <cell r="R30">
            <v>8.3000000000000004E-2</v>
          </cell>
          <cell r="S30">
            <v>139107.5</v>
          </cell>
          <cell r="U30">
            <v>7</v>
          </cell>
          <cell r="V30">
            <v>2.33</v>
          </cell>
          <cell r="X30">
            <v>63469</v>
          </cell>
          <cell r="Y30">
            <v>8.3000000000000004E-2</v>
          </cell>
          <cell r="Z30">
            <v>5267.93</v>
          </cell>
          <cell r="AB30">
            <v>7</v>
          </cell>
          <cell r="AC30">
            <v>2.33</v>
          </cell>
          <cell r="AE30">
            <v>24711</v>
          </cell>
          <cell r="AF30">
            <v>8.3000000000000004E-2</v>
          </cell>
          <cell r="AG30">
            <v>2051.0100000000002</v>
          </cell>
          <cell r="AJ30">
            <v>2.33</v>
          </cell>
          <cell r="AL30">
            <v>0</v>
          </cell>
          <cell r="AM30">
            <v>0</v>
          </cell>
          <cell r="AN30">
            <v>0</v>
          </cell>
          <cell r="AS30">
            <v>0</v>
          </cell>
          <cell r="AT30">
            <v>0</v>
          </cell>
          <cell r="AU30">
            <v>0</v>
          </cell>
          <cell r="AW30">
            <v>1764174</v>
          </cell>
          <cell r="AX30" t="e">
            <v>#N/A</v>
          </cell>
          <cell r="AY30">
            <v>146426.44</v>
          </cell>
        </row>
        <row r="31">
          <cell r="A31">
            <v>20</v>
          </cell>
          <cell r="B31">
            <v>20</v>
          </cell>
          <cell r="C31">
            <v>18</v>
          </cell>
          <cell r="D31" t="str">
            <v>2.3.2.</v>
          </cell>
          <cell r="E31" t="str">
            <v>Riego de Liga - Ejecución</v>
          </cell>
          <cell r="F31" t="str">
            <v>[m²]</v>
          </cell>
          <cell r="H31">
            <v>0.2</v>
          </cell>
          <cell r="Q31">
            <v>335199</v>
          </cell>
          <cell r="R31">
            <v>8.3000000000000004E-2</v>
          </cell>
          <cell r="S31">
            <v>27821.52</v>
          </cell>
          <cell r="X31">
            <v>12694</v>
          </cell>
          <cell r="Y31">
            <v>8.3000000000000004E-2</v>
          </cell>
          <cell r="Z31">
            <v>1053.5999999999999</v>
          </cell>
          <cell r="AE31">
            <v>4943</v>
          </cell>
          <cell r="AF31">
            <v>8.3000000000000004E-2</v>
          </cell>
          <cell r="AG31">
            <v>410.27</v>
          </cell>
          <cell r="AL31">
            <v>0</v>
          </cell>
          <cell r="AM31">
            <v>0</v>
          </cell>
          <cell r="AN31">
            <v>0</v>
          </cell>
          <cell r="AS31">
            <v>0</v>
          </cell>
          <cell r="AT31">
            <v>0</v>
          </cell>
          <cell r="AU31">
            <v>0</v>
          </cell>
          <cell r="AW31">
            <v>352836</v>
          </cell>
          <cell r="AX31" t="e">
            <v>#N/A</v>
          </cell>
          <cell r="AY31">
            <v>29285.39</v>
          </cell>
        </row>
        <row r="32">
          <cell r="A32">
            <v>21</v>
          </cell>
          <cell r="B32">
            <v>21</v>
          </cell>
          <cell r="C32">
            <v>19</v>
          </cell>
          <cell r="D32" t="str">
            <v>2.4.1.</v>
          </cell>
          <cell r="E32" t="str">
            <v>Tratamiento Superficial Doble - Ejecución</v>
          </cell>
          <cell r="F32" t="str">
            <v>[m²]</v>
          </cell>
          <cell r="O32">
            <v>4.2</v>
          </cell>
          <cell r="Q32">
            <v>0</v>
          </cell>
          <cell r="R32">
            <v>0.65100000000000002</v>
          </cell>
          <cell r="S32">
            <v>0</v>
          </cell>
          <cell r="V32">
            <v>4.2</v>
          </cell>
          <cell r="X32">
            <v>0</v>
          </cell>
          <cell r="Y32">
            <v>0.65100000000000002</v>
          </cell>
          <cell r="Z32">
            <v>0</v>
          </cell>
          <cell r="AC32">
            <v>4.2</v>
          </cell>
          <cell r="AE32">
            <v>0</v>
          </cell>
          <cell r="AF32">
            <v>0.65100000000000002</v>
          </cell>
          <cell r="AG32">
            <v>0</v>
          </cell>
          <cell r="AJ32">
            <v>4.2</v>
          </cell>
          <cell r="AL32">
            <v>0</v>
          </cell>
          <cell r="AM32">
            <v>0</v>
          </cell>
          <cell r="AN32">
            <v>0</v>
          </cell>
          <cell r="AS32">
            <v>0</v>
          </cell>
          <cell r="AT32">
            <v>0</v>
          </cell>
          <cell r="AU32">
            <v>0</v>
          </cell>
          <cell r="AW32">
            <v>0</v>
          </cell>
          <cell r="AX32" t="e">
            <v>#N/A</v>
          </cell>
          <cell r="AY32">
            <v>0</v>
          </cell>
        </row>
        <row r="33">
          <cell r="A33">
            <v>22</v>
          </cell>
          <cell r="B33">
            <v>22</v>
          </cell>
          <cell r="C33">
            <v>20</v>
          </cell>
          <cell r="D33" t="str">
            <v>2.4.2.</v>
          </cell>
          <cell r="E33" t="str">
            <v>Tratamiento Superficial Simple - Ejecución</v>
          </cell>
          <cell r="F33" t="str">
            <v>[m²]</v>
          </cell>
          <cell r="N33">
            <v>415238</v>
          </cell>
          <cell r="O33">
            <v>4.2</v>
          </cell>
          <cell r="Q33">
            <v>435048</v>
          </cell>
          <cell r="R33">
            <v>0.47299999999999998</v>
          </cell>
          <cell r="S33">
            <v>205777.7</v>
          </cell>
          <cell r="U33">
            <v>14225.36</v>
          </cell>
          <cell r="V33">
            <v>4.2</v>
          </cell>
          <cell r="X33">
            <v>14653</v>
          </cell>
          <cell r="Y33">
            <v>0.47299999999999998</v>
          </cell>
          <cell r="Z33">
            <v>6930.87</v>
          </cell>
          <cell r="AB33">
            <v>19805.934000000001</v>
          </cell>
          <cell r="AC33">
            <v>4.2</v>
          </cell>
          <cell r="AD33">
            <v>19805.934000000001</v>
          </cell>
          <cell r="AE33">
            <v>20401</v>
          </cell>
          <cell r="AF33">
            <v>0.47299999999999998</v>
          </cell>
          <cell r="AG33">
            <v>9649.67</v>
          </cell>
          <cell r="AJ33">
            <v>4.2</v>
          </cell>
          <cell r="AL33">
            <v>0</v>
          </cell>
          <cell r="AM33">
            <v>0</v>
          </cell>
          <cell r="AN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470102</v>
          </cell>
          <cell r="AX33" t="e">
            <v>#N/A</v>
          </cell>
          <cell r="AY33">
            <v>222358.24000000002</v>
          </cell>
        </row>
        <row r="34">
          <cell r="A34">
            <v>23</v>
          </cell>
          <cell r="B34">
            <v>23</v>
          </cell>
          <cell r="C34">
            <v>21</v>
          </cell>
          <cell r="D34" t="str">
            <v>2.5.1.</v>
          </cell>
          <cell r="E34" t="str">
            <v>Carpeta de Concreto Asfáltico en Caliente</v>
          </cell>
          <cell r="F34" t="str">
            <v>[m³]</v>
          </cell>
          <cell r="O34">
            <v>4.2</v>
          </cell>
          <cell r="Q34">
            <v>0</v>
          </cell>
          <cell r="R34">
            <v>38.523000000000003</v>
          </cell>
          <cell r="S34">
            <v>0</v>
          </cell>
          <cell r="V34">
            <v>4.2</v>
          </cell>
          <cell r="X34">
            <v>0</v>
          </cell>
          <cell r="Y34">
            <v>38.523000000000003</v>
          </cell>
          <cell r="Z34">
            <v>0</v>
          </cell>
          <cell r="AC34">
            <v>4.2</v>
          </cell>
          <cell r="AE34">
            <v>0</v>
          </cell>
          <cell r="AF34">
            <v>38.523000000000003</v>
          </cell>
          <cell r="AG34">
            <v>0</v>
          </cell>
          <cell r="AJ34">
            <v>4.2</v>
          </cell>
          <cell r="AL34">
            <v>0</v>
          </cell>
          <cell r="AM34">
            <v>0</v>
          </cell>
          <cell r="AN34">
            <v>0</v>
          </cell>
          <cell r="AS34">
            <v>0</v>
          </cell>
          <cell r="AT34">
            <v>0</v>
          </cell>
          <cell r="AU34">
            <v>0</v>
          </cell>
          <cell r="AW34">
            <v>0</v>
          </cell>
          <cell r="AX34" t="e">
            <v>#N/A</v>
          </cell>
          <cell r="AY34">
            <v>0</v>
          </cell>
        </row>
        <row r="35">
          <cell r="A35">
            <v>24</v>
          </cell>
          <cell r="B35">
            <v>24</v>
          </cell>
          <cell r="C35">
            <v>22</v>
          </cell>
          <cell r="D35" t="str">
            <v>2.5.2.</v>
          </cell>
          <cell r="E35" t="str">
            <v>Calzada de Hormigón Hidraúlico</v>
          </cell>
          <cell r="F35" t="str">
            <v>[m³]</v>
          </cell>
          <cell r="N35">
            <v>150997.18</v>
          </cell>
          <cell r="Q35">
            <v>155528</v>
          </cell>
          <cell r="R35">
            <v>93.302000000000007</v>
          </cell>
          <cell r="S35">
            <v>14511073.460000001</v>
          </cell>
          <cell r="U35">
            <v>4803</v>
          </cell>
          <cell r="X35">
            <v>4948</v>
          </cell>
          <cell r="Y35">
            <v>93.302000000000007</v>
          </cell>
          <cell r="Z35">
            <v>461658.3</v>
          </cell>
          <cell r="AB35">
            <v>1171</v>
          </cell>
          <cell r="AE35">
            <v>1207</v>
          </cell>
          <cell r="AF35">
            <v>93.302000000000007</v>
          </cell>
          <cell r="AG35">
            <v>112615.51</v>
          </cell>
          <cell r="AL35">
            <v>0</v>
          </cell>
          <cell r="AM35">
            <v>0</v>
          </cell>
          <cell r="AN35">
            <v>0</v>
          </cell>
          <cell r="AS35">
            <v>0</v>
          </cell>
          <cell r="AT35">
            <v>0</v>
          </cell>
          <cell r="AU35">
            <v>0</v>
          </cell>
          <cell r="AW35">
            <v>161683</v>
          </cell>
          <cell r="AX35" t="e">
            <v>#N/A</v>
          </cell>
          <cell r="AY35">
            <v>15085347.270000001</v>
          </cell>
        </row>
        <row r="36">
          <cell r="A36">
            <v>25</v>
          </cell>
          <cell r="B36">
            <v>25</v>
          </cell>
          <cell r="C36">
            <v>23</v>
          </cell>
          <cell r="D36" t="str">
            <v>2.5.3.</v>
          </cell>
          <cell r="E36" t="str">
            <v>Pavimento Articulado Incluye Cama de Arena</v>
          </cell>
          <cell r="F36" t="str">
            <v>[m²]</v>
          </cell>
          <cell r="N36">
            <v>0</v>
          </cell>
          <cell r="Q36">
            <v>0</v>
          </cell>
          <cell r="R36">
            <v>15</v>
          </cell>
          <cell r="S36">
            <v>0</v>
          </cell>
          <cell r="U36">
            <v>33169.56</v>
          </cell>
          <cell r="V36">
            <v>32936.550000000003</v>
          </cell>
          <cell r="X36">
            <v>34165</v>
          </cell>
          <cell r="Y36">
            <v>15</v>
          </cell>
          <cell r="Z36">
            <v>512475</v>
          </cell>
          <cell r="AB36">
            <v>17991.324000000001</v>
          </cell>
          <cell r="AE36">
            <v>18532</v>
          </cell>
          <cell r="AF36">
            <v>15</v>
          </cell>
          <cell r="AG36">
            <v>277980</v>
          </cell>
          <cell r="AL36">
            <v>0</v>
          </cell>
          <cell r="AM36">
            <v>0</v>
          </cell>
          <cell r="AN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52697</v>
          </cell>
          <cell r="AX36" t="e">
            <v>#N/A</v>
          </cell>
          <cell r="AY36">
            <v>790455</v>
          </cell>
        </row>
        <row r="37">
          <cell r="A37">
            <v>26</v>
          </cell>
          <cell r="B37">
            <v>26</v>
          </cell>
          <cell r="C37">
            <v>24</v>
          </cell>
          <cell r="D37" t="str">
            <v>2.6.2.</v>
          </cell>
          <cell r="E37" t="str">
            <v>Suministro de Asfalto Diluido para la Imprimación</v>
          </cell>
          <cell r="F37" t="str">
            <v>[lt]</v>
          </cell>
          <cell r="H37">
            <v>0.6</v>
          </cell>
          <cell r="Q37">
            <v>1005597</v>
          </cell>
          <cell r="R37">
            <v>0.53500000000000003</v>
          </cell>
          <cell r="S37">
            <v>537994.4</v>
          </cell>
          <cell r="X37">
            <v>38082</v>
          </cell>
          <cell r="Y37">
            <v>0.53500000000000003</v>
          </cell>
          <cell r="Z37">
            <v>20373.87</v>
          </cell>
          <cell r="AE37">
            <v>14827</v>
          </cell>
          <cell r="AF37">
            <v>0.53500000000000003</v>
          </cell>
          <cell r="AG37">
            <v>7932.45</v>
          </cell>
          <cell r="AL37">
            <v>0</v>
          </cell>
          <cell r="AM37">
            <v>0</v>
          </cell>
          <cell r="AN37">
            <v>0</v>
          </cell>
          <cell r="AS37">
            <v>0</v>
          </cell>
          <cell r="AT37">
            <v>0</v>
          </cell>
          <cell r="AU37">
            <v>0</v>
          </cell>
          <cell r="AW37">
            <v>1058506</v>
          </cell>
          <cell r="AX37" t="e">
            <v>#N/A</v>
          </cell>
          <cell r="AY37">
            <v>566300.72</v>
          </cell>
        </row>
        <row r="38">
          <cell r="A38">
            <v>27</v>
          </cell>
          <cell r="B38">
            <v>27</v>
          </cell>
          <cell r="C38">
            <v>25</v>
          </cell>
          <cell r="D38" t="str">
            <v>2.6.3.</v>
          </cell>
          <cell r="E38" t="str">
            <v>Suministro de Asfalto Diluido/Emulsión para el Riego de Liga</v>
          </cell>
          <cell r="F38" t="str">
            <v>[lt]</v>
          </cell>
          <cell r="H38">
            <v>0.6</v>
          </cell>
          <cell r="Q38">
            <v>201120</v>
          </cell>
          <cell r="R38">
            <v>0.53500000000000003</v>
          </cell>
          <cell r="S38">
            <v>107599.2</v>
          </cell>
          <cell r="X38">
            <v>7617</v>
          </cell>
          <cell r="Y38">
            <v>0.53500000000000003</v>
          </cell>
          <cell r="Z38">
            <v>4075.1</v>
          </cell>
          <cell r="AE38">
            <v>2966</v>
          </cell>
          <cell r="AF38">
            <v>0.53500000000000003</v>
          </cell>
          <cell r="AG38">
            <v>1586.81</v>
          </cell>
          <cell r="AL38">
            <v>0</v>
          </cell>
          <cell r="AM38">
            <v>0</v>
          </cell>
          <cell r="AN38">
            <v>0</v>
          </cell>
          <cell r="AS38">
            <v>0</v>
          </cell>
          <cell r="AT38">
            <v>0</v>
          </cell>
          <cell r="AU38">
            <v>0</v>
          </cell>
          <cell r="AW38">
            <v>211703</v>
          </cell>
          <cell r="AX38" t="e">
            <v>#N/A</v>
          </cell>
          <cell r="AY38">
            <v>113261.11</v>
          </cell>
        </row>
        <row r="39">
          <cell r="A39">
            <v>28</v>
          </cell>
          <cell r="B39">
            <v>28</v>
          </cell>
          <cell r="C39">
            <v>26</v>
          </cell>
          <cell r="D39" t="str">
            <v>2.6.4.</v>
          </cell>
          <cell r="E39" t="str">
            <v>Suministro de Asfalto Diluido/Emulsión para Tratamiento Superficial</v>
          </cell>
          <cell r="F39" t="str">
            <v>[lt]</v>
          </cell>
          <cell r="H39">
            <v>1.8</v>
          </cell>
          <cell r="Q39">
            <v>783087</v>
          </cell>
          <cell r="R39">
            <v>0.59499999999999997</v>
          </cell>
          <cell r="S39">
            <v>465936.77</v>
          </cell>
          <cell r="X39">
            <v>26376</v>
          </cell>
          <cell r="Y39">
            <v>0.59499999999999997</v>
          </cell>
          <cell r="Z39">
            <v>15693.72</v>
          </cell>
          <cell r="AE39">
            <v>36722</v>
          </cell>
          <cell r="AF39">
            <v>0.59499999999999997</v>
          </cell>
          <cell r="AG39">
            <v>21849.59</v>
          </cell>
          <cell r="AL39">
            <v>0</v>
          </cell>
          <cell r="AM39">
            <v>0</v>
          </cell>
          <cell r="AN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846185</v>
          </cell>
          <cell r="AX39" t="e">
            <v>#N/A</v>
          </cell>
          <cell r="AY39">
            <v>503480.08</v>
          </cell>
        </row>
        <row r="40">
          <cell r="A40">
            <v>29</v>
          </cell>
          <cell r="B40">
            <v>29</v>
          </cell>
          <cell r="C40">
            <v>27</v>
          </cell>
          <cell r="D40" t="str">
            <v>2.6.5.</v>
          </cell>
          <cell r="E40" t="str">
            <v>Suministro de Cemento Asfáltico</v>
          </cell>
          <cell r="F40" t="str">
            <v>[ton]</v>
          </cell>
          <cell r="H40">
            <v>0.06</v>
          </cell>
          <cell r="I40">
            <v>2.4</v>
          </cell>
          <cell r="Q40">
            <v>0</v>
          </cell>
          <cell r="R40">
            <v>540.78399999999999</v>
          </cell>
          <cell r="S40">
            <v>0</v>
          </cell>
          <cell r="X40">
            <v>0</v>
          </cell>
          <cell r="Y40">
            <v>540.78399999999999</v>
          </cell>
          <cell r="Z40">
            <v>0</v>
          </cell>
          <cell r="AE40">
            <v>0</v>
          </cell>
          <cell r="AF40">
            <v>540.78399999999999</v>
          </cell>
          <cell r="AG40">
            <v>0</v>
          </cell>
          <cell r="AL40">
            <v>0</v>
          </cell>
          <cell r="AM40">
            <v>0</v>
          </cell>
          <cell r="AN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 t="e">
            <v>#N/A</v>
          </cell>
          <cell r="AY40">
            <v>0</v>
          </cell>
        </row>
        <row r="41">
          <cell r="A41">
            <v>30</v>
          </cell>
          <cell r="B41">
            <v>30</v>
          </cell>
          <cell r="C41">
            <v>28</v>
          </cell>
          <cell r="D41" t="str">
            <v>2.7.1.</v>
          </cell>
          <cell r="E41" t="str">
            <v>Transporte de Material Granular para Pavimentación</v>
          </cell>
          <cell r="F41" t="str">
            <v>[m³ - km]</v>
          </cell>
          <cell r="Q41">
            <v>7202271</v>
          </cell>
          <cell r="R41">
            <v>0.25800000000000001</v>
          </cell>
          <cell r="S41">
            <v>1858185.92</v>
          </cell>
          <cell r="X41">
            <v>371447</v>
          </cell>
          <cell r="Y41">
            <v>0.25800000000000001</v>
          </cell>
          <cell r="Z41">
            <v>95833.33</v>
          </cell>
          <cell r="AE41">
            <v>115405</v>
          </cell>
          <cell r="AF41">
            <v>0.25800000000000001</v>
          </cell>
          <cell r="AG41">
            <v>29774.49</v>
          </cell>
          <cell r="AL41">
            <v>0</v>
          </cell>
          <cell r="AM41">
            <v>0</v>
          </cell>
          <cell r="AN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7689123</v>
          </cell>
          <cell r="AX41" t="e">
            <v>#N/A</v>
          </cell>
          <cell r="AY41">
            <v>1983793.74</v>
          </cell>
        </row>
        <row r="42">
          <cell r="A42">
            <v>31</v>
          </cell>
          <cell r="B42" t="str">
            <v>X</v>
          </cell>
          <cell r="C42">
            <v>28</v>
          </cell>
          <cell r="D42">
            <v>3</v>
          </cell>
          <cell r="E42" t="str">
            <v>OBRAS DE DRENAJE</v>
          </cell>
          <cell r="I42" t="str">
            <v>Imprevistos</v>
          </cell>
          <cell r="K42">
            <v>0.05</v>
          </cell>
          <cell r="S42">
            <v>25294769.509999998</v>
          </cell>
          <cell r="Z42">
            <v>1506122.0000000002</v>
          </cell>
          <cell r="AG42">
            <v>582736.66999999993</v>
          </cell>
          <cell r="AN42">
            <v>0</v>
          </cell>
          <cell r="AU42">
            <v>0</v>
          </cell>
          <cell r="AY42">
            <v>27383628.179999996</v>
          </cell>
        </row>
        <row r="43">
          <cell r="A43">
            <v>32</v>
          </cell>
          <cell r="B43">
            <v>32</v>
          </cell>
          <cell r="C43">
            <v>29</v>
          </cell>
          <cell r="D43" t="str">
            <v>3.1.1.</v>
          </cell>
          <cell r="E43" t="str">
            <v>Zanjas de Coronamiento Revestidas, Incluye Excavación</v>
          </cell>
          <cell r="F43" t="str">
            <v>[m]</v>
          </cell>
          <cell r="N43">
            <v>6890</v>
          </cell>
          <cell r="Q43">
            <v>7235</v>
          </cell>
          <cell r="R43">
            <v>15.202</v>
          </cell>
          <cell r="S43">
            <v>109986.47</v>
          </cell>
          <cell r="U43">
            <v>0</v>
          </cell>
          <cell r="X43">
            <v>0</v>
          </cell>
          <cell r="Y43">
            <v>15.202</v>
          </cell>
          <cell r="Z43">
            <v>0</v>
          </cell>
          <cell r="AB43">
            <v>0</v>
          </cell>
          <cell r="AE43">
            <v>0</v>
          </cell>
          <cell r="AF43">
            <v>15.202</v>
          </cell>
          <cell r="AG43">
            <v>0</v>
          </cell>
          <cell r="AL43">
            <v>0</v>
          </cell>
          <cell r="AM43">
            <v>0</v>
          </cell>
          <cell r="AN43">
            <v>0</v>
          </cell>
          <cell r="AS43">
            <v>0</v>
          </cell>
          <cell r="AT43">
            <v>0</v>
          </cell>
          <cell r="AU43">
            <v>0</v>
          </cell>
          <cell r="AW43">
            <v>7235</v>
          </cell>
          <cell r="AX43" t="e">
            <v>#N/A</v>
          </cell>
          <cell r="AY43">
            <v>109986.47</v>
          </cell>
        </row>
        <row r="44">
          <cell r="A44">
            <v>33</v>
          </cell>
          <cell r="B44">
            <v>33</v>
          </cell>
          <cell r="C44">
            <v>30</v>
          </cell>
          <cell r="D44" t="str">
            <v>3.1.2.</v>
          </cell>
          <cell r="E44" t="str">
            <v>Zanjas de Coronamiento Sin Revestir</v>
          </cell>
          <cell r="F44" t="str">
            <v>[m]</v>
          </cell>
          <cell r="N44">
            <v>0</v>
          </cell>
          <cell r="Q44">
            <v>0</v>
          </cell>
          <cell r="R44">
            <v>2.8839999999999999</v>
          </cell>
          <cell r="S44">
            <v>0</v>
          </cell>
          <cell r="U44">
            <v>0</v>
          </cell>
          <cell r="X44">
            <v>0</v>
          </cell>
          <cell r="Y44">
            <v>2.8839999999999999</v>
          </cell>
          <cell r="Z44">
            <v>0</v>
          </cell>
          <cell r="AB44">
            <v>0</v>
          </cell>
          <cell r="AE44">
            <v>0</v>
          </cell>
          <cell r="AF44">
            <v>2.8839999999999999</v>
          </cell>
          <cell r="AG44">
            <v>0</v>
          </cell>
          <cell r="AL44">
            <v>0</v>
          </cell>
          <cell r="AM44">
            <v>0</v>
          </cell>
          <cell r="AN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0</v>
          </cell>
          <cell r="AX44" t="e">
            <v>#N/A</v>
          </cell>
          <cell r="AY44">
            <v>0</v>
          </cell>
        </row>
        <row r="45">
          <cell r="A45">
            <v>34</v>
          </cell>
          <cell r="B45">
            <v>34</v>
          </cell>
          <cell r="C45">
            <v>31</v>
          </cell>
          <cell r="D45" t="str">
            <v>3.2.1.</v>
          </cell>
          <cell r="E45" t="str">
            <v>Cuneta en Corte Revestidas,  Incluye Excavación</v>
          </cell>
          <cell r="F45" t="str">
            <v>[m]</v>
          </cell>
          <cell r="N45">
            <v>21550</v>
          </cell>
          <cell r="Q45">
            <v>22628</v>
          </cell>
          <cell r="R45">
            <v>22.082999999999998</v>
          </cell>
          <cell r="S45">
            <v>499694.12</v>
          </cell>
          <cell r="U45">
            <v>4180</v>
          </cell>
          <cell r="X45">
            <v>4389</v>
          </cell>
          <cell r="Y45">
            <v>22.082999999999998</v>
          </cell>
          <cell r="Z45">
            <v>96922.29</v>
          </cell>
          <cell r="AB45">
            <v>1900</v>
          </cell>
          <cell r="AE45">
            <v>1995</v>
          </cell>
          <cell r="AF45">
            <v>22.082999999999998</v>
          </cell>
          <cell r="AG45">
            <v>44055.59</v>
          </cell>
          <cell r="AL45">
            <v>0</v>
          </cell>
          <cell r="AM45">
            <v>0</v>
          </cell>
          <cell r="AN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29012</v>
          </cell>
          <cell r="AX45" t="e">
            <v>#N/A</v>
          </cell>
          <cell r="AY45">
            <v>640672</v>
          </cell>
        </row>
        <row r="46">
          <cell r="A46">
            <v>35</v>
          </cell>
          <cell r="B46">
            <v>35</v>
          </cell>
          <cell r="C46">
            <v>32</v>
          </cell>
          <cell r="D46" t="str">
            <v>3.2.2.</v>
          </cell>
          <cell r="E46" t="str">
            <v>Cuneta de Pie de Terraplén Revestida, Incluye Excavación</v>
          </cell>
          <cell r="F46" t="str">
            <v>[m]</v>
          </cell>
          <cell r="N46">
            <v>5190</v>
          </cell>
          <cell r="Q46">
            <v>5450</v>
          </cell>
          <cell r="R46">
            <v>18.72</v>
          </cell>
          <cell r="S46">
            <v>102024</v>
          </cell>
          <cell r="U46">
            <v>0</v>
          </cell>
          <cell r="X46">
            <v>0</v>
          </cell>
          <cell r="Y46">
            <v>18.72</v>
          </cell>
          <cell r="Z46">
            <v>0</v>
          </cell>
          <cell r="AB46">
            <v>0</v>
          </cell>
          <cell r="AE46">
            <v>0</v>
          </cell>
          <cell r="AF46">
            <v>18.72</v>
          </cell>
          <cell r="AG46">
            <v>0</v>
          </cell>
          <cell r="AL46">
            <v>0</v>
          </cell>
          <cell r="AM46">
            <v>0</v>
          </cell>
          <cell r="AN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5450</v>
          </cell>
          <cell r="AX46" t="e">
            <v>#N/A</v>
          </cell>
          <cell r="AY46">
            <v>102024</v>
          </cell>
        </row>
        <row r="47">
          <cell r="A47">
            <v>36</v>
          </cell>
          <cell r="B47">
            <v>36</v>
          </cell>
          <cell r="C47">
            <v>33</v>
          </cell>
          <cell r="D47" t="str">
            <v>3.2.3.</v>
          </cell>
          <cell r="E47" t="str">
            <v>Cuneta de Pie de Terraplén Sin Revestir</v>
          </cell>
          <cell r="F47" t="str">
            <v>[m]</v>
          </cell>
          <cell r="N47">
            <v>13240</v>
          </cell>
          <cell r="Q47">
            <v>13902</v>
          </cell>
          <cell r="R47">
            <v>2.1419999999999999</v>
          </cell>
          <cell r="S47">
            <v>29778.080000000002</v>
          </cell>
          <cell r="U47">
            <v>640</v>
          </cell>
          <cell r="X47">
            <v>672</v>
          </cell>
          <cell r="Y47">
            <v>2.1419999999999999</v>
          </cell>
          <cell r="Z47">
            <v>1439.42</v>
          </cell>
          <cell r="AB47">
            <v>0</v>
          </cell>
          <cell r="AE47">
            <v>0</v>
          </cell>
          <cell r="AF47">
            <v>2.1419999999999999</v>
          </cell>
          <cell r="AG47">
            <v>0</v>
          </cell>
          <cell r="AL47">
            <v>0</v>
          </cell>
          <cell r="AM47">
            <v>0</v>
          </cell>
          <cell r="AN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14574</v>
          </cell>
          <cell r="AX47" t="e">
            <v>#N/A</v>
          </cell>
          <cell r="AY47">
            <v>31217.5</v>
          </cell>
        </row>
        <row r="48">
          <cell r="A48">
            <v>37</v>
          </cell>
          <cell r="B48">
            <v>37</v>
          </cell>
          <cell r="C48">
            <v>34</v>
          </cell>
          <cell r="D48" t="str">
            <v>3.2.4.</v>
          </cell>
          <cell r="E48" t="str">
            <v>Cuneta de Banquina en Corte y Terraplén Revestida, Incluye Excavación</v>
          </cell>
          <cell r="F48" t="str">
            <v>[m]</v>
          </cell>
          <cell r="N48">
            <v>0</v>
          </cell>
          <cell r="Q48">
            <v>0</v>
          </cell>
          <cell r="R48">
            <v>15.202</v>
          </cell>
          <cell r="S48">
            <v>0</v>
          </cell>
          <cell r="U48">
            <v>0</v>
          </cell>
          <cell r="X48">
            <v>0</v>
          </cell>
          <cell r="Y48">
            <v>15.202</v>
          </cell>
          <cell r="Z48">
            <v>0</v>
          </cell>
          <cell r="AB48">
            <v>0</v>
          </cell>
          <cell r="AE48">
            <v>0</v>
          </cell>
          <cell r="AF48">
            <v>15.202</v>
          </cell>
          <cell r="AG48">
            <v>0</v>
          </cell>
          <cell r="AL48">
            <v>0</v>
          </cell>
          <cell r="AM48">
            <v>0</v>
          </cell>
          <cell r="AN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0</v>
          </cell>
          <cell r="AX48" t="e">
            <v>#N/A</v>
          </cell>
          <cell r="AY48">
            <v>0</v>
          </cell>
        </row>
        <row r="49">
          <cell r="A49">
            <v>38</v>
          </cell>
          <cell r="B49">
            <v>38</v>
          </cell>
          <cell r="C49">
            <v>35</v>
          </cell>
          <cell r="D49" t="str">
            <v>3.3.</v>
          </cell>
          <cell r="E49" t="str">
            <v>Cordón - Cuneta de Protección de Terraplén (Hormigón Tipo "B")</v>
          </cell>
          <cell r="F49" t="str">
            <v>[m]</v>
          </cell>
          <cell r="N49">
            <v>11840</v>
          </cell>
          <cell r="Q49">
            <v>12432</v>
          </cell>
          <cell r="R49">
            <v>14.237</v>
          </cell>
          <cell r="S49">
            <v>176994.38</v>
          </cell>
          <cell r="U49">
            <v>3572</v>
          </cell>
          <cell r="X49">
            <v>3751</v>
          </cell>
          <cell r="Y49">
            <v>14.237</v>
          </cell>
          <cell r="Z49">
            <v>53402.99</v>
          </cell>
          <cell r="AB49">
            <v>1222.44</v>
          </cell>
          <cell r="AE49">
            <v>1284</v>
          </cell>
          <cell r="AF49">
            <v>14.237</v>
          </cell>
          <cell r="AG49">
            <v>18280.310000000001</v>
          </cell>
          <cell r="AL49">
            <v>0</v>
          </cell>
          <cell r="AM49">
            <v>0</v>
          </cell>
          <cell r="AN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17467</v>
          </cell>
          <cell r="AX49" t="e">
            <v>#N/A</v>
          </cell>
          <cell r="AY49">
            <v>248677.68</v>
          </cell>
        </row>
        <row r="50">
          <cell r="A50">
            <v>39</v>
          </cell>
          <cell r="B50">
            <v>39</v>
          </cell>
          <cell r="C50">
            <v>36</v>
          </cell>
          <cell r="D50" t="str">
            <v>3.4.</v>
          </cell>
          <cell r="E50" t="str">
            <v>Armadura de Refuerzo para Obras de Drenaje  (fy = 4200 kg/cm²)</v>
          </cell>
          <cell r="F50" t="str">
            <v>[Kg]</v>
          </cell>
          <cell r="N50">
            <v>452133</v>
          </cell>
          <cell r="Q50">
            <v>474740</v>
          </cell>
          <cell r="R50">
            <v>1.0680000000000001</v>
          </cell>
          <cell r="S50">
            <v>507022.32</v>
          </cell>
          <cell r="U50">
            <v>33291</v>
          </cell>
          <cell r="X50">
            <v>34956</v>
          </cell>
          <cell r="Y50">
            <v>1.0680000000000001</v>
          </cell>
          <cell r="Z50">
            <v>37333.01</v>
          </cell>
          <cell r="AB50">
            <v>7622</v>
          </cell>
          <cell r="AE50">
            <v>8004</v>
          </cell>
          <cell r="AF50">
            <v>1.0680000000000001</v>
          </cell>
          <cell r="AG50">
            <v>8548.27</v>
          </cell>
          <cell r="AL50">
            <v>0</v>
          </cell>
          <cell r="AM50">
            <v>0</v>
          </cell>
          <cell r="AN50">
            <v>0</v>
          </cell>
          <cell r="AS50">
            <v>0</v>
          </cell>
          <cell r="AT50">
            <v>0</v>
          </cell>
          <cell r="AU50">
            <v>0</v>
          </cell>
          <cell r="AW50">
            <v>517700</v>
          </cell>
          <cell r="AX50" t="e">
            <v>#N/A</v>
          </cell>
          <cell r="AY50">
            <v>552903.6</v>
          </cell>
        </row>
        <row r="51">
          <cell r="A51">
            <v>40</v>
          </cell>
          <cell r="B51">
            <v>40</v>
          </cell>
          <cell r="C51">
            <v>37</v>
          </cell>
          <cell r="D51" t="str">
            <v>3.5.1.</v>
          </cell>
          <cell r="E51" t="str">
            <v>Hormigón Tipo "A" para Obras de Drenaje  (fck = 210 Kg/cm²)</v>
          </cell>
          <cell r="F51" t="str">
            <v>[m³]</v>
          </cell>
          <cell r="N51">
            <v>5775</v>
          </cell>
          <cell r="Q51">
            <v>6064</v>
          </cell>
          <cell r="R51">
            <v>117.34099999999999</v>
          </cell>
          <cell r="S51">
            <v>711555.82</v>
          </cell>
          <cell r="U51">
            <v>930.27348200000006</v>
          </cell>
          <cell r="X51">
            <v>977</v>
          </cell>
          <cell r="Y51">
            <v>117.34099999999999</v>
          </cell>
          <cell r="Z51">
            <v>114642.16</v>
          </cell>
          <cell r="AB51">
            <v>89</v>
          </cell>
          <cell r="AE51">
            <v>94</v>
          </cell>
          <cell r="AF51">
            <v>117.34099999999999</v>
          </cell>
          <cell r="AG51">
            <v>11030.05</v>
          </cell>
          <cell r="AL51">
            <v>0</v>
          </cell>
          <cell r="AM51">
            <v>0</v>
          </cell>
          <cell r="AN51">
            <v>0</v>
          </cell>
          <cell r="AS51">
            <v>0</v>
          </cell>
          <cell r="AT51">
            <v>0</v>
          </cell>
          <cell r="AU51">
            <v>0</v>
          </cell>
          <cell r="AW51">
            <v>7135</v>
          </cell>
          <cell r="AX51" t="e">
            <v>#N/A</v>
          </cell>
          <cell r="AY51">
            <v>837228.03</v>
          </cell>
        </row>
        <row r="52">
          <cell r="A52">
            <v>41</v>
          </cell>
          <cell r="B52">
            <v>41</v>
          </cell>
          <cell r="C52">
            <v>38</v>
          </cell>
          <cell r="D52" t="str">
            <v>3.5.2.</v>
          </cell>
          <cell r="E52" t="str">
            <v>Hormigón Tipo "C" para Obras de Drenaje  (fck = 160 Kg/cm²)</v>
          </cell>
          <cell r="F52" t="str">
            <v>[m³]</v>
          </cell>
          <cell r="N52">
            <v>0</v>
          </cell>
          <cell r="Q52">
            <v>0</v>
          </cell>
          <cell r="R52">
            <v>96.930999999999997</v>
          </cell>
          <cell r="S52">
            <v>0</v>
          </cell>
          <cell r="U52">
            <v>0</v>
          </cell>
          <cell r="X52">
            <v>0</v>
          </cell>
          <cell r="Y52">
            <v>96.930999999999997</v>
          </cell>
          <cell r="Z52">
            <v>0</v>
          </cell>
          <cell r="AB52">
            <v>0</v>
          </cell>
          <cell r="AE52">
            <v>0</v>
          </cell>
          <cell r="AF52">
            <v>96.930999999999997</v>
          </cell>
          <cell r="AG52">
            <v>0</v>
          </cell>
          <cell r="AL52">
            <v>0</v>
          </cell>
          <cell r="AM52">
            <v>0</v>
          </cell>
          <cell r="AN52">
            <v>0</v>
          </cell>
          <cell r="AS52">
            <v>0</v>
          </cell>
          <cell r="AT52">
            <v>0</v>
          </cell>
          <cell r="AU52">
            <v>0</v>
          </cell>
          <cell r="AW52">
            <v>0</v>
          </cell>
          <cell r="AX52" t="e">
            <v>#N/A</v>
          </cell>
          <cell r="AY52">
            <v>0</v>
          </cell>
        </row>
        <row r="53">
          <cell r="A53">
            <v>42</v>
          </cell>
          <cell r="B53">
            <v>42</v>
          </cell>
          <cell r="C53">
            <v>39</v>
          </cell>
          <cell r="D53" t="str">
            <v>3.5.3.</v>
          </cell>
          <cell r="E53" t="str">
            <v>Hormigón Tipo "E" para Obras de Drenaje  (fck = 110 Kg/cm²)</v>
          </cell>
          <cell r="F53" t="str">
            <v>[m³]</v>
          </cell>
          <cell r="N53">
            <v>1826</v>
          </cell>
          <cell r="Q53">
            <v>1918</v>
          </cell>
          <cell r="R53">
            <v>71.268000000000001</v>
          </cell>
          <cell r="S53">
            <v>136692.01999999999</v>
          </cell>
          <cell r="U53">
            <v>65</v>
          </cell>
          <cell r="X53">
            <v>69</v>
          </cell>
          <cell r="Y53">
            <v>71.268000000000001</v>
          </cell>
          <cell r="Z53">
            <v>4917.49</v>
          </cell>
          <cell r="AB53">
            <v>18</v>
          </cell>
          <cell r="AE53">
            <v>19</v>
          </cell>
          <cell r="AF53">
            <v>71.268000000000001</v>
          </cell>
          <cell r="AG53">
            <v>1354.09</v>
          </cell>
          <cell r="AL53">
            <v>0</v>
          </cell>
          <cell r="AM53">
            <v>0</v>
          </cell>
          <cell r="AN53">
            <v>0</v>
          </cell>
          <cell r="AS53">
            <v>0</v>
          </cell>
          <cell r="AT53">
            <v>0</v>
          </cell>
          <cell r="AU53">
            <v>0</v>
          </cell>
          <cell r="AW53">
            <v>2006</v>
          </cell>
          <cell r="AX53" t="e">
            <v>#N/A</v>
          </cell>
          <cell r="AY53">
            <v>142963.59999999998</v>
          </cell>
        </row>
        <row r="54">
          <cell r="A54">
            <v>43</v>
          </cell>
          <cell r="B54">
            <v>43</v>
          </cell>
          <cell r="C54">
            <v>40</v>
          </cell>
          <cell r="D54" t="str">
            <v>3.5.4.</v>
          </cell>
          <cell r="E54" t="str">
            <v xml:space="preserve">Hormigón Ciclópeo para Obras de Drenaje </v>
          </cell>
          <cell r="F54" t="str">
            <v>[m³]</v>
          </cell>
          <cell r="N54">
            <v>1332</v>
          </cell>
          <cell r="Q54">
            <v>1399</v>
          </cell>
          <cell r="R54">
            <v>94.5</v>
          </cell>
          <cell r="S54">
            <v>132205.5</v>
          </cell>
          <cell r="U54">
            <v>16.88</v>
          </cell>
          <cell r="X54">
            <v>18</v>
          </cell>
          <cell r="Y54">
            <v>94.5</v>
          </cell>
          <cell r="Z54">
            <v>1701</v>
          </cell>
          <cell r="AB54">
            <v>15</v>
          </cell>
          <cell r="AE54">
            <v>16</v>
          </cell>
          <cell r="AF54">
            <v>94.5</v>
          </cell>
          <cell r="AG54">
            <v>1512</v>
          </cell>
          <cell r="AL54">
            <v>0</v>
          </cell>
          <cell r="AM54">
            <v>0</v>
          </cell>
          <cell r="AN54">
            <v>0</v>
          </cell>
          <cell r="AS54">
            <v>0</v>
          </cell>
          <cell r="AT54">
            <v>0</v>
          </cell>
          <cell r="AU54">
            <v>0</v>
          </cell>
          <cell r="AW54">
            <v>1433</v>
          </cell>
          <cell r="AX54" t="e">
            <v>#N/A</v>
          </cell>
          <cell r="AY54">
            <v>135418.5</v>
          </cell>
        </row>
        <row r="55">
          <cell r="A55">
            <v>44</v>
          </cell>
          <cell r="B55">
            <v>44</v>
          </cell>
          <cell r="C55">
            <v>41</v>
          </cell>
          <cell r="D55" t="str">
            <v>3.6.1.</v>
          </cell>
          <cell r="E55" t="str">
            <v xml:space="preserve">Excavación No Clasificada para Obras de Drenaje </v>
          </cell>
          <cell r="F55" t="str">
            <v>[m³]</v>
          </cell>
          <cell r="N55">
            <v>30854</v>
          </cell>
          <cell r="Q55">
            <v>32397</v>
          </cell>
          <cell r="R55">
            <v>2.1859999999999999</v>
          </cell>
          <cell r="S55">
            <v>70819.839999999997</v>
          </cell>
          <cell r="U55">
            <v>4110</v>
          </cell>
          <cell r="X55">
            <v>4316</v>
          </cell>
          <cell r="Y55">
            <v>2.1859999999999999</v>
          </cell>
          <cell r="Z55">
            <v>9434.7800000000007</v>
          </cell>
          <cell r="AB55">
            <v>502</v>
          </cell>
          <cell r="AE55">
            <v>528</v>
          </cell>
          <cell r="AF55">
            <v>2.1859999999999999</v>
          </cell>
          <cell r="AG55">
            <v>1154.21</v>
          </cell>
          <cell r="AL55">
            <v>0</v>
          </cell>
          <cell r="AM55">
            <v>0</v>
          </cell>
          <cell r="AN55">
            <v>0</v>
          </cell>
          <cell r="AS55">
            <v>0</v>
          </cell>
          <cell r="AT55">
            <v>0</v>
          </cell>
          <cell r="AU55">
            <v>0</v>
          </cell>
          <cell r="AW55">
            <v>37241</v>
          </cell>
          <cell r="AX55" t="e">
            <v>#N/A</v>
          </cell>
          <cell r="AY55">
            <v>81408.83</v>
          </cell>
        </row>
        <row r="56">
          <cell r="A56">
            <v>45</v>
          </cell>
          <cell r="B56">
            <v>45</v>
          </cell>
          <cell r="C56">
            <v>42</v>
          </cell>
          <cell r="D56" t="str">
            <v>3.6.2.</v>
          </cell>
          <cell r="E56" t="str">
            <v>Excavación No Clasificada para Vasos de Regulación (Atajados)</v>
          </cell>
          <cell r="F56" t="str">
            <v>[m³]</v>
          </cell>
          <cell r="N56">
            <v>5700</v>
          </cell>
          <cell r="Q56">
            <v>5985</v>
          </cell>
          <cell r="R56">
            <v>2.3879999999999999</v>
          </cell>
          <cell r="S56">
            <v>14292.18</v>
          </cell>
          <cell r="U56">
            <v>0</v>
          </cell>
          <cell r="X56">
            <v>0</v>
          </cell>
          <cell r="Y56">
            <v>2.3879999999999999</v>
          </cell>
          <cell r="Z56">
            <v>0</v>
          </cell>
          <cell r="AB56">
            <v>0</v>
          </cell>
          <cell r="AE56">
            <v>0</v>
          </cell>
          <cell r="AF56">
            <v>2.3879999999999999</v>
          </cell>
          <cell r="AG56">
            <v>0</v>
          </cell>
          <cell r="AL56">
            <v>0</v>
          </cell>
          <cell r="AM56">
            <v>0</v>
          </cell>
          <cell r="AN56">
            <v>0</v>
          </cell>
          <cell r="AS56">
            <v>0</v>
          </cell>
          <cell r="AT56">
            <v>0</v>
          </cell>
          <cell r="AU56">
            <v>0</v>
          </cell>
          <cell r="AW56">
            <v>5985</v>
          </cell>
          <cell r="AX56" t="e">
            <v>#N/A</v>
          </cell>
          <cell r="AY56">
            <v>14292.18</v>
          </cell>
        </row>
        <row r="57">
          <cell r="A57">
            <v>46</v>
          </cell>
          <cell r="B57">
            <v>46</v>
          </cell>
          <cell r="C57">
            <v>43</v>
          </cell>
          <cell r="D57" t="str">
            <v>3.6.3.</v>
          </cell>
          <cell r="E57" t="str">
            <v xml:space="preserve">Excavación para Encauces y Canalizaciones en Obras de Drenaje </v>
          </cell>
          <cell r="F57" t="str">
            <v>[m³]</v>
          </cell>
          <cell r="N57">
            <v>6820</v>
          </cell>
          <cell r="Q57">
            <v>7161</v>
          </cell>
          <cell r="R57">
            <v>2.4830000000000001</v>
          </cell>
          <cell r="S57">
            <v>17780.759999999998</v>
          </cell>
          <cell r="U57">
            <v>487</v>
          </cell>
          <cell r="X57">
            <v>512</v>
          </cell>
          <cell r="Y57">
            <v>2.4830000000000001</v>
          </cell>
          <cell r="Z57">
            <v>1271.3</v>
          </cell>
          <cell r="AB57">
            <v>1</v>
          </cell>
          <cell r="AE57">
            <v>2</v>
          </cell>
          <cell r="AF57">
            <v>2.4830000000000001</v>
          </cell>
          <cell r="AG57">
            <v>4.97</v>
          </cell>
          <cell r="AL57">
            <v>0</v>
          </cell>
          <cell r="AM57">
            <v>0</v>
          </cell>
          <cell r="AN57">
            <v>0</v>
          </cell>
          <cell r="AS57">
            <v>0</v>
          </cell>
          <cell r="AT57">
            <v>0</v>
          </cell>
          <cell r="AU57">
            <v>0</v>
          </cell>
          <cell r="AW57">
            <v>7675</v>
          </cell>
          <cell r="AX57" t="e">
            <v>#N/A</v>
          </cell>
          <cell r="AY57">
            <v>19057.03</v>
          </cell>
        </row>
        <row r="58">
          <cell r="A58">
            <v>47</v>
          </cell>
          <cell r="B58">
            <v>47</v>
          </cell>
          <cell r="C58">
            <v>44</v>
          </cell>
          <cell r="D58" t="str">
            <v>3.6.4.</v>
          </cell>
          <cell r="E58" t="str">
            <v>Excavación en Encauces de Rios y Quebradas</v>
          </cell>
          <cell r="F58" t="str">
            <v>[m³]</v>
          </cell>
          <cell r="N58">
            <v>0</v>
          </cell>
          <cell r="Q58">
            <v>0</v>
          </cell>
          <cell r="R58">
            <v>2.4750000000000001</v>
          </cell>
          <cell r="S58">
            <v>0</v>
          </cell>
          <cell r="U58">
            <v>0</v>
          </cell>
          <cell r="X58">
            <v>0</v>
          </cell>
          <cell r="Y58">
            <v>2.4750000000000001</v>
          </cell>
          <cell r="Z58">
            <v>0</v>
          </cell>
          <cell r="AB58">
            <v>0</v>
          </cell>
          <cell r="AE58">
            <v>0</v>
          </cell>
          <cell r="AF58">
            <v>2.4750000000000001</v>
          </cell>
          <cell r="AG58">
            <v>0</v>
          </cell>
          <cell r="AL58">
            <v>0</v>
          </cell>
          <cell r="AM58">
            <v>0</v>
          </cell>
          <cell r="AN58">
            <v>0</v>
          </cell>
          <cell r="AS58">
            <v>0</v>
          </cell>
          <cell r="AT58">
            <v>0</v>
          </cell>
          <cell r="AU58">
            <v>0</v>
          </cell>
          <cell r="AW58">
            <v>0</v>
          </cell>
          <cell r="AX58" t="e">
            <v>#N/A</v>
          </cell>
          <cell r="AY58">
            <v>0</v>
          </cell>
        </row>
        <row r="59">
          <cell r="A59">
            <v>48</v>
          </cell>
          <cell r="B59">
            <v>48</v>
          </cell>
          <cell r="C59">
            <v>45</v>
          </cell>
          <cell r="D59" t="str">
            <v>3.7.1.</v>
          </cell>
          <cell r="E59" t="str">
            <v xml:space="preserve">Relleno para Cimentación de Obras de Drenaje </v>
          </cell>
          <cell r="F59" t="str">
            <v>[m³]</v>
          </cell>
          <cell r="N59">
            <v>12097</v>
          </cell>
          <cell r="Q59">
            <v>12702</v>
          </cell>
          <cell r="R59">
            <v>2.8239999999999998</v>
          </cell>
          <cell r="S59">
            <v>35870.449999999997</v>
          </cell>
          <cell r="U59">
            <v>795</v>
          </cell>
          <cell r="X59">
            <v>835</v>
          </cell>
          <cell r="Y59">
            <v>2.8239999999999998</v>
          </cell>
          <cell r="Z59">
            <v>2358.04</v>
          </cell>
          <cell r="AB59">
            <v>191</v>
          </cell>
          <cell r="AE59">
            <v>201</v>
          </cell>
          <cell r="AF59">
            <v>2.8239999999999998</v>
          </cell>
          <cell r="AG59">
            <v>567.62</v>
          </cell>
          <cell r="AL59">
            <v>0</v>
          </cell>
          <cell r="AM59">
            <v>0</v>
          </cell>
          <cell r="AN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13738</v>
          </cell>
          <cell r="AX59" t="e">
            <v>#N/A</v>
          </cell>
          <cell r="AY59">
            <v>38796.11</v>
          </cell>
        </row>
        <row r="60">
          <cell r="A60">
            <v>49</v>
          </cell>
          <cell r="B60">
            <v>49</v>
          </cell>
          <cell r="C60">
            <v>46</v>
          </cell>
          <cell r="D60" t="str">
            <v>3.7.2.</v>
          </cell>
          <cell r="E60" t="str">
            <v xml:space="preserve">Relleno Compactado para Obras de Drenaje </v>
          </cell>
          <cell r="F60" t="str">
            <v>[m³]</v>
          </cell>
          <cell r="N60">
            <v>6646</v>
          </cell>
          <cell r="Q60">
            <v>6979</v>
          </cell>
          <cell r="R60">
            <v>3.399</v>
          </cell>
          <cell r="S60">
            <v>23721.62</v>
          </cell>
          <cell r="U60">
            <v>329</v>
          </cell>
          <cell r="X60">
            <v>346</v>
          </cell>
          <cell r="Y60">
            <v>3.399</v>
          </cell>
          <cell r="Z60">
            <v>1176.05</v>
          </cell>
          <cell r="AB60">
            <v>122</v>
          </cell>
          <cell r="AE60">
            <v>129</v>
          </cell>
          <cell r="AF60">
            <v>3.399</v>
          </cell>
          <cell r="AG60">
            <v>438.47</v>
          </cell>
          <cell r="AL60">
            <v>0</v>
          </cell>
          <cell r="AM60">
            <v>0</v>
          </cell>
          <cell r="AN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7454</v>
          </cell>
          <cell r="AX60" t="e">
            <v>#N/A</v>
          </cell>
          <cell r="AY60">
            <v>25336.14</v>
          </cell>
        </row>
        <row r="61">
          <cell r="A61">
            <v>50</v>
          </cell>
          <cell r="B61">
            <v>50</v>
          </cell>
          <cell r="C61">
            <v>47</v>
          </cell>
          <cell r="D61" t="str">
            <v>3.8.1.</v>
          </cell>
          <cell r="E61" t="str">
            <v>Alcantarilla Simple con Tubos de Hormigón Armado ø = 1.0 m</v>
          </cell>
          <cell r="F61" t="str">
            <v>[m]</v>
          </cell>
          <cell r="N61">
            <v>2220</v>
          </cell>
          <cell r="Q61">
            <v>2331</v>
          </cell>
          <cell r="R61">
            <v>167.958</v>
          </cell>
          <cell r="S61">
            <v>391510.1</v>
          </cell>
          <cell r="U61">
            <v>0</v>
          </cell>
          <cell r="X61">
            <v>0</v>
          </cell>
          <cell r="Y61">
            <v>167.958</v>
          </cell>
          <cell r="Z61">
            <v>0</v>
          </cell>
          <cell r="AB61">
            <v>15</v>
          </cell>
          <cell r="AE61">
            <v>16</v>
          </cell>
          <cell r="AF61">
            <v>167.958</v>
          </cell>
          <cell r="AG61">
            <v>2687.33</v>
          </cell>
          <cell r="AL61">
            <v>0</v>
          </cell>
          <cell r="AM61">
            <v>0</v>
          </cell>
          <cell r="AN61">
            <v>0</v>
          </cell>
          <cell r="AS61">
            <v>0</v>
          </cell>
          <cell r="AT61">
            <v>0</v>
          </cell>
          <cell r="AU61">
            <v>0</v>
          </cell>
          <cell r="AW61">
            <v>2347</v>
          </cell>
          <cell r="AX61" t="e">
            <v>#N/A</v>
          </cell>
          <cell r="AY61">
            <v>394197.43</v>
          </cell>
        </row>
        <row r="62">
          <cell r="A62">
            <v>51</v>
          </cell>
          <cell r="B62">
            <v>51</v>
          </cell>
          <cell r="C62">
            <v>48</v>
          </cell>
          <cell r="D62" t="str">
            <v>3.9.</v>
          </cell>
          <cell r="E62" t="str">
            <v>Manto Geotextil 200 g/m²</v>
          </cell>
          <cell r="F62" t="str">
            <v>[m²]</v>
          </cell>
          <cell r="N62">
            <v>13360</v>
          </cell>
          <cell r="Q62">
            <v>14028</v>
          </cell>
          <cell r="R62">
            <v>2.6890000000000001</v>
          </cell>
          <cell r="S62">
            <v>37721.29</v>
          </cell>
          <cell r="U62">
            <v>4186.1820000000007</v>
          </cell>
          <cell r="X62">
            <v>4396</v>
          </cell>
          <cell r="Y62">
            <v>2.6890000000000001</v>
          </cell>
          <cell r="Z62">
            <v>11820.84</v>
          </cell>
          <cell r="AB62">
            <v>110</v>
          </cell>
          <cell r="AE62">
            <v>116</v>
          </cell>
          <cell r="AF62">
            <v>2.6890000000000001</v>
          </cell>
          <cell r="AG62">
            <v>311.92</v>
          </cell>
          <cell r="AL62">
            <v>0</v>
          </cell>
          <cell r="AM62">
            <v>0</v>
          </cell>
          <cell r="AN62">
            <v>0</v>
          </cell>
          <cell r="AS62">
            <v>0</v>
          </cell>
          <cell r="AT62">
            <v>0</v>
          </cell>
          <cell r="AU62">
            <v>0</v>
          </cell>
          <cell r="AW62">
            <v>18540</v>
          </cell>
          <cell r="AX62" t="e">
            <v>#N/A</v>
          </cell>
          <cell r="AY62">
            <v>49854.05</v>
          </cell>
        </row>
        <row r="63">
          <cell r="A63">
            <v>52</v>
          </cell>
          <cell r="B63">
            <v>52</v>
          </cell>
          <cell r="C63">
            <v>49</v>
          </cell>
          <cell r="D63" t="str">
            <v>3.10.1.</v>
          </cell>
          <cell r="E63" t="str">
            <v>Sub Dren Longitudinal Tipo 1 (0.60x0.80) , Incluye Excavación</v>
          </cell>
          <cell r="F63" t="str">
            <v>[m]</v>
          </cell>
          <cell r="N63">
            <v>21550</v>
          </cell>
          <cell r="Q63">
            <v>22628</v>
          </cell>
          <cell r="R63">
            <v>21.131</v>
          </cell>
          <cell r="S63">
            <v>478152.27</v>
          </cell>
          <cell r="U63">
            <v>0</v>
          </cell>
          <cell r="X63">
            <v>0</v>
          </cell>
          <cell r="Y63">
            <v>21.131</v>
          </cell>
          <cell r="Z63">
            <v>0</v>
          </cell>
          <cell r="AB63">
            <v>0</v>
          </cell>
          <cell r="AE63">
            <v>0</v>
          </cell>
          <cell r="AF63">
            <v>21.131</v>
          </cell>
          <cell r="AG63">
            <v>0</v>
          </cell>
          <cell r="AL63">
            <v>0</v>
          </cell>
          <cell r="AM63">
            <v>0</v>
          </cell>
          <cell r="AN63">
            <v>0</v>
          </cell>
          <cell r="AS63">
            <v>0</v>
          </cell>
          <cell r="AT63">
            <v>0</v>
          </cell>
          <cell r="AU63">
            <v>0</v>
          </cell>
          <cell r="AW63">
            <v>22628</v>
          </cell>
          <cell r="AX63" t="e">
            <v>#N/A</v>
          </cell>
          <cell r="AY63">
            <v>478152.27</v>
          </cell>
        </row>
        <row r="64">
          <cell r="A64">
            <v>53</v>
          </cell>
          <cell r="B64">
            <v>53</v>
          </cell>
          <cell r="C64">
            <v>50</v>
          </cell>
          <cell r="D64" t="str">
            <v>3.10.2.</v>
          </cell>
          <cell r="E64" t="str">
            <v>Sub Dren Transversal</v>
          </cell>
          <cell r="F64" t="str">
            <v>[m]</v>
          </cell>
          <cell r="N64">
            <v>590</v>
          </cell>
          <cell r="Q64">
            <v>620</v>
          </cell>
          <cell r="R64">
            <v>9.2189999999999994</v>
          </cell>
          <cell r="S64">
            <v>5715.78</v>
          </cell>
          <cell r="U64">
            <v>0</v>
          </cell>
          <cell r="X64">
            <v>0</v>
          </cell>
          <cell r="Y64">
            <v>9.2189999999999994</v>
          </cell>
          <cell r="Z64">
            <v>0</v>
          </cell>
          <cell r="AB64">
            <v>0</v>
          </cell>
          <cell r="AE64">
            <v>0</v>
          </cell>
          <cell r="AF64">
            <v>9.2189999999999994</v>
          </cell>
          <cell r="AG64">
            <v>0</v>
          </cell>
          <cell r="AL64">
            <v>0</v>
          </cell>
          <cell r="AM64">
            <v>0</v>
          </cell>
          <cell r="AN64">
            <v>0</v>
          </cell>
          <cell r="AS64">
            <v>0</v>
          </cell>
          <cell r="AT64">
            <v>0</v>
          </cell>
          <cell r="AU64">
            <v>0</v>
          </cell>
          <cell r="AW64">
            <v>620</v>
          </cell>
          <cell r="AX64" t="e">
            <v>#N/A</v>
          </cell>
          <cell r="AY64">
            <v>5715.78</v>
          </cell>
        </row>
        <row r="65">
          <cell r="A65">
            <v>54</v>
          </cell>
          <cell r="B65">
            <v>54</v>
          </cell>
          <cell r="C65">
            <v>51</v>
          </cell>
          <cell r="D65" t="str">
            <v>3.12.1.</v>
          </cell>
          <cell r="E65" t="str">
            <v>Capa Drenante (e=0.30 m)</v>
          </cell>
          <cell r="F65" t="str">
            <v>[m³]</v>
          </cell>
          <cell r="N65">
            <v>20640</v>
          </cell>
          <cell r="Q65">
            <v>21672</v>
          </cell>
          <cell r="R65">
            <v>18.323</v>
          </cell>
          <cell r="S65">
            <v>397096.06</v>
          </cell>
          <cell r="U65">
            <v>0</v>
          </cell>
          <cell r="X65">
            <v>0</v>
          </cell>
          <cell r="Y65">
            <v>18.323</v>
          </cell>
          <cell r="Z65">
            <v>0</v>
          </cell>
          <cell r="AB65">
            <v>0</v>
          </cell>
          <cell r="AE65">
            <v>0</v>
          </cell>
          <cell r="AF65">
            <v>18.323</v>
          </cell>
          <cell r="AG65">
            <v>0</v>
          </cell>
          <cell r="AL65">
            <v>0</v>
          </cell>
          <cell r="AM65">
            <v>0</v>
          </cell>
          <cell r="AN65">
            <v>0</v>
          </cell>
          <cell r="AS65">
            <v>0</v>
          </cell>
          <cell r="AT65">
            <v>0</v>
          </cell>
          <cell r="AU65">
            <v>0</v>
          </cell>
          <cell r="AW65">
            <v>21672</v>
          </cell>
          <cell r="AX65" t="e">
            <v>#N/A</v>
          </cell>
          <cell r="AY65">
            <v>397096.06</v>
          </cell>
        </row>
        <row r="66">
          <cell r="A66">
            <v>55</v>
          </cell>
          <cell r="B66">
            <v>55</v>
          </cell>
          <cell r="C66">
            <v>52</v>
          </cell>
          <cell r="D66" t="str">
            <v>3.12.2.</v>
          </cell>
          <cell r="E66" t="str">
            <v>Capa Geodrenante (e = 0.10 m)</v>
          </cell>
          <cell r="F66" t="str">
            <v>[m²]</v>
          </cell>
          <cell r="N66">
            <v>0</v>
          </cell>
          <cell r="Q66">
            <v>0</v>
          </cell>
          <cell r="R66">
            <v>5.8689999999999998</v>
          </cell>
          <cell r="S66">
            <v>0</v>
          </cell>
          <cell r="U66">
            <v>0</v>
          </cell>
          <cell r="X66">
            <v>0</v>
          </cell>
          <cell r="Y66">
            <v>5.8689999999999998</v>
          </cell>
          <cell r="Z66">
            <v>0</v>
          </cell>
          <cell r="AB66">
            <v>0</v>
          </cell>
          <cell r="AE66">
            <v>0</v>
          </cell>
          <cell r="AF66">
            <v>5.8689999999999998</v>
          </cell>
          <cell r="AG66">
            <v>0</v>
          </cell>
          <cell r="AL66">
            <v>0</v>
          </cell>
          <cell r="AM66">
            <v>0</v>
          </cell>
          <cell r="AN66">
            <v>0</v>
          </cell>
          <cell r="AS66">
            <v>0</v>
          </cell>
          <cell r="AT66">
            <v>0</v>
          </cell>
          <cell r="AU66">
            <v>0</v>
          </cell>
          <cell r="AW66">
            <v>0</v>
          </cell>
          <cell r="AX66" t="e">
            <v>#N/A</v>
          </cell>
          <cell r="AY66">
            <v>0</v>
          </cell>
        </row>
        <row r="67">
          <cell r="A67">
            <v>56</v>
          </cell>
          <cell r="B67">
            <v>56</v>
          </cell>
          <cell r="C67">
            <v>53</v>
          </cell>
          <cell r="D67" t="str">
            <v>3.13.1.</v>
          </cell>
          <cell r="E67" t="str">
            <v>Zampeado de Piedra con Mortero de Cemento (e = 0.30 m)</v>
          </cell>
          <cell r="F67" t="str">
            <v>[m²]</v>
          </cell>
          <cell r="N67">
            <v>10143</v>
          </cell>
          <cell r="Q67">
            <v>10651</v>
          </cell>
          <cell r="R67">
            <v>13.631</v>
          </cell>
          <cell r="S67">
            <v>145183.78</v>
          </cell>
          <cell r="U67">
            <v>566</v>
          </cell>
          <cell r="X67">
            <v>595</v>
          </cell>
          <cell r="Y67">
            <v>13.631</v>
          </cell>
          <cell r="Z67">
            <v>8110.45</v>
          </cell>
          <cell r="AB67">
            <v>125</v>
          </cell>
          <cell r="AE67">
            <v>132</v>
          </cell>
          <cell r="AF67">
            <v>13.631</v>
          </cell>
          <cell r="AG67">
            <v>1799.29</v>
          </cell>
          <cell r="AL67">
            <v>0</v>
          </cell>
          <cell r="AM67">
            <v>0</v>
          </cell>
          <cell r="AN67">
            <v>0</v>
          </cell>
          <cell r="AS67">
            <v>0</v>
          </cell>
          <cell r="AT67">
            <v>0</v>
          </cell>
          <cell r="AU67">
            <v>0</v>
          </cell>
          <cell r="AW67">
            <v>11378</v>
          </cell>
          <cell r="AX67" t="e">
            <v>#N/A</v>
          </cell>
          <cell r="AY67">
            <v>155093.52000000002</v>
          </cell>
        </row>
        <row r="68">
          <cell r="A68">
            <v>57</v>
          </cell>
          <cell r="B68">
            <v>57</v>
          </cell>
          <cell r="C68">
            <v>54</v>
          </cell>
          <cell r="D68" t="str">
            <v>3.13.2.</v>
          </cell>
          <cell r="E68" t="str">
            <v>Escollerado con Piedra Acomodada (e=0.30 m)</v>
          </cell>
          <cell r="F68" t="str">
            <v>[m²]</v>
          </cell>
          <cell r="N68">
            <v>4222.24</v>
          </cell>
          <cell r="Q68">
            <v>4434</v>
          </cell>
          <cell r="R68">
            <v>9.9670000000000005</v>
          </cell>
          <cell r="S68">
            <v>44193.68</v>
          </cell>
          <cell r="U68">
            <v>151.75</v>
          </cell>
          <cell r="X68">
            <v>160</v>
          </cell>
          <cell r="Y68">
            <v>9.9670000000000005</v>
          </cell>
          <cell r="Z68">
            <v>1594.72</v>
          </cell>
          <cell r="AB68">
            <v>54.67</v>
          </cell>
          <cell r="AE68">
            <v>58</v>
          </cell>
          <cell r="AF68">
            <v>9.9670000000000005</v>
          </cell>
          <cell r="AG68">
            <v>578.09</v>
          </cell>
          <cell r="AL68">
            <v>0</v>
          </cell>
          <cell r="AM68">
            <v>0</v>
          </cell>
          <cell r="AN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4652</v>
          </cell>
          <cell r="AX68" t="e">
            <v>#N/A</v>
          </cell>
          <cell r="AY68">
            <v>46366.49</v>
          </cell>
        </row>
        <row r="69">
          <cell r="A69">
            <v>58</v>
          </cell>
          <cell r="B69">
            <v>58</v>
          </cell>
          <cell r="C69">
            <v>55</v>
          </cell>
          <cell r="D69" t="str">
            <v>3.13.3.</v>
          </cell>
          <cell r="E69" t="str">
            <v>Gaviones Tipo Cajón</v>
          </cell>
          <cell r="F69" t="str">
            <v>[m³]</v>
          </cell>
          <cell r="N69">
            <v>0</v>
          </cell>
          <cell r="Q69">
            <v>0</v>
          </cell>
          <cell r="R69">
            <v>36.311999999999998</v>
          </cell>
          <cell r="S69">
            <v>0</v>
          </cell>
          <cell r="U69">
            <v>0</v>
          </cell>
          <cell r="X69">
            <v>0</v>
          </cell>
          <cell r="Y69">
            <v>36.311999999999998</v>
          </cell>
          <cell r="Z69">
            <v>0</v>
          </cell>
          <cell r="AB69">
            <v>0</v>
          </cell>
          <cell r="AE69">
            <v>0</v>
          </cell>
          <cell r="AF69">
            <v>36.311999999999998</v>
          </cell>
          <cell r="AG69">
            <v>0</v>
          </cell>
          <cell r="AL69">
            <v>0</v>
          </cell>
          <cell r="AM69">
            <v>0</v>
          </cell>
          <cell r="AN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 t="e">
            <v>#N/A</v>
          </cell>
          <cell r="AY69">
            <v>0</v>
          </cell>
        </row>
        <row r="70">
          <cell r="A70">
            <v>59</v>
          </cell>
          <cell r="B70">
            <v>59</v>
          </cell>
          <cell r="C70">
            <v>56</v>
          </cell>
          <cell r="D70" t="str">
            <v>3.13.4.</v>
          </cell>
          <cell r="E70" t="str">
            <v>Gaviones Tipo Colchoneta (e=0.23m)</v>
          </cell>
          <cell r="F70" t="str">
            <v>[m²]</v>
          </cell>
          <cell r="N70">
            <v>176</v>
          </cell>
          <cell r="Q70">
            <v>185</v>
          </cell>
          <cell r="R70">
            <v>10.781000000000001</v>
          </cell>
          <cell r="S70">
            <v>1994.49</v>
          </cell>
          <cell r="U70">
            <v>84</v>
          </cell>
          <cell r="X70">
            <v>89</v>
          </cell>
          <cell r="Y70">
            <v>10.781000000000001</v>
          </cell>
          <cell r="Z70">
            <v>959.51</v>
          </cell>
          <cell r="AB70">
            <v>12</v>
          </cell>
          <cell r="AE70">
            <v>13</v>
          </cell>
          <cell r="AF70">
            <v>10.781000000000001</v>
          </cell>
          <cell r="AG70">
            <v>140.15</v>
          </cell>
          <cell r="AL70">
            <v>0</v>
          </cell>
          <cell r="AM70">
            <v>0</v>
          </cell>
          <cell r="AN70">
            <v>0</v>
          </cell>
          <cell r="AS70">
            <v>0</v>
          </cell>
          <cell r="AT70">
            <v>0</v>
          </cell>
          <cell r="AU70">
            <v>0</v>
          </cell>
          <cell r="AW70">
            <v>287</v>
          </cell>
          <cell r="AX70" t="e">
            <v>#N/A</v>
          </cell>
          <cell r="AY70">
            <v>3094.15</v>
          </cell>
        </row>
        <row r="71">
          <cell r="A71">
            <v>60</v>
          </cell>
          <cell r="B71">
            <v>60</v>
          </cell>
          <cell r="C71">
            <v>57</v>
          </cell>
          <cell r="D71" t="str">
            <v>3.14.1.</v>
          </cell>
          <cell r="E71" t="str">
            <v>Remoción de Alcantarillas</v>
          </cell>
          <cell r="F71" t="str">
            <v>[m]</v>
          </cell>
          <cell r="N71">
            <v>132</v>
          </cell>
          <cell r="Q71">
            <v>139</v>
          </cell>
          <cell r="R71">
            <v>2.3130000000000002</v>
          </cell>
          <cell r="S71">
            <v>321.51</v>
          </cell>
          <cell r="X71">
            <v>0</v>
          </cell>
          <cell r="Y71">
            <v>2.3130000000000002</v>
          </cell>
          <cell r="Z71">
            <v>0</v>
          </cell>
          <cell r="AE71">
            <v>0</v>
          </cell>
          <cell r="AF71">
            <v>2.3130000000000002</v>
          </cell>
          <cell r="AG71">
            <v>0</v>
          </cell>
          <cell r="AL71">
            <v>0</v>
          </cell>
          <cell r="AM71">
            <v>0</v>
          </cell>
          <cell r="AN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139</v>
          </cell>
          <cell r="AX71" t="e">
            <v>#N/A</v>
          </cell>
          <cell r="AY71">
            <v>321.51</v>
          </cell>
        </row>
        <row r="72">
          <cell r="A72">
            <v>61</v>
          </cell>
          <cell r="B72">
            <v>61</v>
          </cell>
          <cell r="C72">
            <v>58</v>
          </cell>
          <cell r="D72" t="str">
            <v>3.14.2.</v>
          </cell>
          <cell r="E72" t="str">
            <v>Demolición de estructuras de hormigón existentes</v>
          </cell>
          <cell r="F72" t="str">
            <v>[m³]</v>
          </cell>
          <cell r="N72">
            <v>133</v>
          </cell>
          <cell r="Q72">
            <v>140</v>
          </cell>
          <cell r="R72">
            <v>5.7759999999999998</v>
          </cell>
          <cell r="S72">
            <v>808.64</v>
          </cell>
          <cell r="X72">
            <v>0</v>
          </cell>
          <cell r="Y72">
            <v>5.7759999999999998</v>
          </cell>
          <cell r="Z72">
            <v>0</v>
          </cell>
          <cell r="AE72">
            <v>0</v>
          </cell>
          <cell r="AF72">
            <v>5.7759999999999998</v>
          </cell>
          <cell r="AG72">
            <v>0</v>
          </cell>
          <cell r="AL72">
            <v>0</v>
          </cell>
          <cell r="AM72">
            <v>0</v>
          </cell>
          <cell r="AN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140</v>
          </cell>
          <cell r="AX72" t="e">
            <v>#N/A</v>
          </cell>
          <cell r="AY72">
            <v>808.64</v>
          </cell>
        </row>
        <row r="73">
          <cell r="A73">
            <v>62</v>
          </cell>
          <cell r="B73">
            <v>62</v>
          </cell>
          <cell r="C73">
            <v>59</v>
          </cell>
          <cell r="D73" t="str">
            <v>3.14.3.</v>
          </cell>
          <cell r="E73" t="str">
            <v>Remoción de estructuras de madera</v>
          </cell>
          <cell r="F73" t="str">
            <v>[und]</v>
          </cell>
          <cell r="N73">
            <v>10</v>
          </cell>
          <cell r="Q73">
            <v>10</v>
          </cell>
          <cell r="R73">
            <v>357.84699999999998</v>
          </cell>
          <cell r="S73">
            <v>3578.47</v>
          </cell>
          <cell r="U73">
            <v>7</v>
          </cell>
          <cell r="X73">
            <v>7</v>
          </cell>
          <cell r="Y73">
            <v>357.84699999999998</v>
          </cell>
          <cell r="Z73">
            <v>2504.9299999999998</v>
          </cell>
          <cell r="AB73">
            <v>1</v>
          </cell>
          <cell r="AE73">
            <v>1</v>
          </cell>
          <cell r="AF73">
            <v>357.84699999999998</v>
          </cell>
          <cell r="AG73">
            <v>357.85</v>
          </cell>
          <cell r="AL73">
            <v>0</v>
          </cell>
          <cell r="AM73">
            <v>0</v>
          </cell>
          <cell r="AN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18</v>
          </cell>
          <cell r="AX73" t="e">
            <v>#N/A</v>
          </cell>
          <cell r="AY73">
            <v>6441.25</v>
          </cell>
        </row>
        <row r="74">
          <cell r="A74">
            <v>63</v>
          </cell>
          <cell r="B74" t="str">
            <v>X</v>
          </cell>
          <cell r="C74">
            <v>59</v>
          </cell>
          <cell r="D74">
            <v>4</v>
          </cell>
          <cell r="E74" t="str">
            <v>PUENTES (SUPERESTRUCTURA)</v>
          </cell>
          <cell r="I74" t="str">
            <v>Imprevistos</v>
          </cell>
          <cell r="K74">
            <v>0.1</v>
          </cell>
          <cell r="S74">
            <v>4074713.6300000004</v>
          </cell>
          <cell r="Z74">
            <v>349588.98</v>
          </cell>
          <cell r="AG74">
            <v>92820.209999999992</v>
          </cell>
          <cell r="AN74">
            <v>0</v>
          </cell>
          <cell r="AU74">
            <v>0</v>
          </cell>
          <cell r="AY74">
            <v>4517122.8199999994</v>
          </cell>
        </row>
        <row r="75">
          <cell r="A75">
            <v>64</v>
          </cell>
          <cell r="B75">
            <v>64</v>
          </cell>
          <cell r="C75">
            <v>60</v>
          </cell>
          <cell r="D75" t="str">
            <v>4.1.</v>
          </cell>
          <cell r="E75" t="str">
            <v>Hormigon Simple Tipo A 1 - Superestructura</v>
          </cell>
          <cell r="F75" t="str">
            <v>[m³]</v>
          </cell>
          <cell r="Q75">
            <v>0</v>
          </cell>
          <cell r="R75">
            <v>139.27600000000001</v>
          </cell>
          <cell r="S75">
            <v>0</v>
          </cell>
          <cell r="X75">
            <v>0</v>
          </cell>
          <cell r="Y75">
            <v>139.27600000000001</v>
          </cell>
          <cell r="Z75">
            <v>0</v>
          </cell>
          <cell r="AE75">
            <v>0</v>
          </cell>
          <cell r="AF75">
            <v>139.27600000000001</v>
          </cell>
          <cell r="AG75">
            <v>0</v>
          </cell>
          <cell r="AI75">
            <v>322.77719999999999</v>
          </cell>
          <cell r="AL75">
            <v>339</v>
          </cell>
          <cell r="AM75">
            <v>137.75700000000001</v>
          </cell>
          <cell r="AN75">
            <v>46699.62</v>
          </cell>
          <cell r="AP75">
            <v>124.96839999999999</v>
          </cell>
          <cell r="AS75">
            <v>132</v>
          </cell>
          <cell r="AT75">
            <v>137.75700000000001</v>
          </cell>
          <cell r="AU75">
            <v>18183.919999999998</v>
          </cell>
          <cell r="AW75">
            <v>471</v>
          </cell>
          <cell r="AX75" t="e">
            <v>#N/A</v>
          </cell>
          <cell r="AY75">
            <v>64883.54</v>
          </cell>
        </row>
        <row r="76">
          <cell r="A76">
            <v>65</v>
          </cell>
          <cell r="B76">
            <v>65</v>
          </cell>
          <cell r="C76">
            <v>61</v>
          </cell>
          <cell r="D76" t="str">
            <v>4.2.</v>
          </cell>
          <cell r="E76" t="str">
            <v>Acero Estructural - Superestructura</v>
          </cell>
          <cell r="F76" t="str">
            <v>[kg]</v>
          </cell>
          <cell r="Q76">
            <v>0</v>
          </cell>
          <cell r="R76">
            <v>1.0680000000000001</v>
          </cell>
          <cell r="S76">
            <v>0</v>
          </cell>
          <cell r="X76">
            <v>0</v>
          </cell>
          <cell r="Y76">
            <v>1.0680000000000001</v>
          </cell>
          <cell r="Z76">
            <v>0</v>
          </cell>
          <cell r="AE76">
            <v>0</v>
          </cell>
          <cell r="AF76">
            <v>1.0680000000000001</v>
          </cell>
          <cell r="AG76">
            <v>0</v>
          </cell>
          <cell r="AI76">
            <v>33781.053177504386</v>
          </cell>
          <cell r="AL76">
            <v>35471</v>
          </cell>
          <cell r="AM76">
            <v>1.0680000000000001</v>
          </cell>
          <cell r="AN76">
            <v>37883.03</v>
          </cell>
          <cell r="AP76">
            <v>13040.721627801524</v>
          </cell>
          <cell r="AS76">
            <v>13693</v>
          </cell>
          <cell r="AT76">
            <v>1.0680000000000001</v>
          </cell>
          <cell r="AU76">
            <v>14624.12</v>
          </cell>
          <cell r="AW76">
            <v>49164</v>
          </cell>
          <cell r="AX76" t="e">
            <v>#N/A</v>
          </cell>
          <cell r="AY76">
            <v>52507.15</v>
          </cell>
        </row>
        <row r="77">
          <cell r="A77">
            <v>66</v>
          </cell>
          <cell r="B77">
            <v>66</v>
          </cell>
          <cell r="C77">
            <v>62</v>
          </cell>
          <cell r="D77" t="str">
            <v>4.3.</v>
          </cell>
          <cell r="E77" t="str">
            <v>Viga De H° P° L= 20 M</v>
          </cell>
          <cell r="F77" t="str">
            <v>[pza]</v>
          </cell>
          <cell r="Q77">
            <v>0</v>
          </cell>
          <cell r="R77">
            <v>7510.71</v>
          </cell>
          <cell r="S77">
            <v>0</v>
          </cell>
          <cell r="X77">
            <v>0</v>
          </cell>
          <cell r="Y77">
            <v>7510.71</v>
          </cell>
          <cell r="Z77">
            <v>0</v>
          </cell>
          <cell r="AE77">
            <v>0</v>
          </cell>
          <cell r="AF77">
            <v>7510.71</v>
          </cell>
          <cell r="AG77">
            <v>0</v>
          </cell>
          <cell r="AI77">
            <v>0</v>
          </cell>
          <cell r="AL77">
            <v>0</v>
          </cell>
          <cell r="AM77">
            <v>7199.7510000000002</v>
          </cell>
          <cell r="AN77">
            <v>0</v>
          </cell>
          <cell r="AP77">
            <v>0</v>
          </cell>
          <cell r="AS77">
            <v>0</v>
          </cell>
          <cell r="AT77">
            <v>7199.7510000000002</v>
          </cell>
          <cell r="AU77">
            <v>0</v>
          </cell>
          <cell r="AW77">
            <v>0</v>
          </cell>
          <cell r="AX77" t="e">
            <v>#N/A</v>
          </cell>
          <cell r="AY77">
            <v>0</v>
          </cell>
        </row>
        <row r="78">
          <cell r="A78">
            <v>67</v>
          </cell>
          <cell r="B78">
            <v>67</v>
          </cell>
          <cell r="C78">
            <v>63</v>
          </cell>
          <cell r="D78" t="str">
            <v>4.4.</v>
          </cell>
          <cell r="E78" t="str">
            <v xml:space="preserve">Viga De H° P° L= 30 M </v>
          </cell>
          <cell r="F78" t="str">
            <v>[pza]</v>
          </cell>
          <cell r="Q78">
            <v>0</v>
          </cell>
          <cell r="R78">
            <v>12191.87</v>
          </cell>
          <cell r="S78">
            <v>0</v>
          </cell>
          <cell r="X78">
            <v>0</v>
          </cell>
          <cell r="Y78">
            <v>12191.87</v>
          </cell>
          <cell r="Z78">
            <v>0</v>
          </cell>
          <cell r="AE78">
            <v>0</v>
          </cell>
          <cell r="AF78">
            <v>12191.87</v>
          </cell>
          <cell r="AG78">
            <v>0</v>
          </cell>
          <cell r="AI78">
            <v>12</v>
          </cell>
          <cell r="AL78">
            <v>12</v>
          </cell>
          <cell r="AM78">
            <v>11356.886</v>
          </cell>
          <cell r="AN78">
            <v>136282.63</v>
          </cell>
          <cell r="AP78">
            <v>4</v>
          </cell>
          <cell r="AS78">
            <v>4</v>
          </cell>
          <cell r="AT78">
            <v>11356.886</v>
          </cell>
          <cell r="AU78">
            <v>45427.54</v>
          </cell>
          <cell r="AW78">
            <v>16</v>
          </cell>
          <cell r="AX78" t="e">
            <v>#N/A</v>
          </cell>
          <cell r="AY78">
            <v>181710.17</v>
          </cell>
        </row>
        <row r="79">
          <cell r="A79">
            <v>68</v>
          </cell>
          <cell r="B79">
            <v>68</v>
          </cell>
          <cell r="C79">
            <v>64</v>
          </cell>
          <cell r="D79" t="str">
            <v>4.5.</v>
          </cell>
          <cell r="E79" t="str">
            <v>Viga De H° P° L= 40 M</v>
          </cell>
          <cell r="F79" t="str">
            <v>[pza]</v>
          </cell>
          <cell r="Q79">
            <v>0</v>
          </cell>
          <cell r="R79">
            <v>19871.465</v>
          </cell>
          <cell r="S79">
            <v>0</v>
          </cell>
          <cell r="X79">
            <v>0</v>
          </cell>
          <cell r="Y79">
            <v>19871.465</v>
          </cell>
          <cell r="Z79">
            <v>0</v>
          </cell>
          <cell r="AE79">
            <v>0</v>
          </cell>
          <cell r="AF79">
            <v>19871.465</v>
          </cell>
          <cell r="AG79">
            <v>0</v>
          </cell>
          <cell r="AI79">
            <v>0</v>
          </cell>
          <cell r="AL79">
            <v>0</v>
          </cell>
          <cell r="AM79">
            <v>18359.217000000001</v>
          </cell>
          <cell r="AN79">
            <v>0</v>
          </cell>
          <cell r="AP79">
            <v>0</v>
          </cell>
          <cell r="AS79">
            <v>0</v>
          </cell>
          <cell r="AT79">
            <v>18359.217000000001</v>
          </cell>
          <cell r="AU79">
            <v>0</v>
          </cell>
          <cell r="AW79">
            <v>0</v>
          </cell>
          <cell r="AX79" t="e">
            <v>#N/A</v>
          </cell>
          <cell r="AY79">
            <v>0</v>
          </cell>
        </row>
        <row r="80">
          <cell r="A80">
            <v>69</v>
          </cell>
          <cell r="B80">
            <v>69</v>
          </cell>
          <cell r="C80">
            <v>65</v>
          </cell>
          <cell r="D80" t="str">
            <v>4.6.</v>
          </cell>
          <cell r="E80" t="str">
            <v>Montaje tramo vigas para luz de 20m</v>
          </cell>
          <cell r="F80" t="str">
            <v>[tramo]</v>
          </cell>
          <cell r="Q80">
            <v>0</v>
          </cell>
          <cell r="R80">
            <v>1362.7919999999999</v>
          </cell>
          <cell r="S80">
            <v>0</v>
          </cell>
          <cell r="X80">
            <v>0</v>
          </cell>
          <cell r="Y80">
            <v>1362.7919999999999</v>
          </cell>
          <cell r="Z80">
            <v>0</v>
          </cell>
          <cell r="AE80">
            <v>0</v>
          </cell>
          <cell r="AF80">
            <v>1362.7919999999999</v>
          </cell>
          <cell r="AG80">
            <v>0</v>
          </cell>
          <cell r="AI80">
            <v>0</v>
          </cell>
          <cell r="AL80">
            <v>0</v>
          </cell>
          <cell r="AM80">
            <v>1362.7919999999999</v>
          </cell>
          <cell r="AN80">
            <v>0</v>
          </cell>
          <cell r="AP80">
            <v>0</v>
          </cell>
          <cell r="AS80">
            <v>0</v>
          </cell>
          <cell r="AT80">
            <v>1362.7919999999999</v>
          </cell>
          <cell r="AU80">
            <v>0</v>
          </cell>
          <cell r="AW80">
            <v>0</v>
          </cell>
          <cell r="AX80" t="e">
            <v>#N/A</v>
          </cell>
          <cell r="AY80">
            <v>0</v>
          </cell>
        </row>
        <row r="81">
          <cell r="A81">
            <v>70</v>
          </cell>
          <cell r="B81">
            <v>70</v>
          </cell>
          <cell r="C81">
            <v>66</v>
          </cell>
          <cell r="D81" t="str">
            <v>4.7.</v>
          </cell>
          <cell r="E81" t="str">
            <v>Montaje tramo vigas para luz de 30m</v>
          </cell>
          <cell r="F81" t="str">
            <v>[tramo]</v>
          </cell>
          <cell r="Q81">
            <v>0</v>
          </cell>
          <cell r="R81">
            <v>1554.5809999999999</v>
          </cell>
          <cell r="S81">
            <v>0</v>
          </cell>
          <cell r="X81">
            <v>0</v>
          </cell>
          <cell r="Y81">
            <v>1554.5809999999999</v>
          </cell>
          <cell r="Z81">
            <v>0</v>
          </cell>
          <cell r="AE81">
            <v>0</v>
          </cell>
          <cell r="AF81">
            <v>1554.5809999999999</v>
          </cell>
          <cell r="AG81">
            <v>0</v>
          </cell>
          <cell r="AI81">
            <v>3</v>
          </cell>
          <cell r="AL81">
            <v>3</v>
          </cell>
          <cell r="AM81">
            <v>1554.5809999999999</v>
          </cell>
          <cell r="AN81">
            <v>4663.74</v>
          </cell>
          <cell r="AP81">
            <v>1</v>
          </cell>
          <cell r="AS81">
            <v>1</v>
          </cell>
          <cell r="AT81">
            <v>1554.5809999999999</v>
          </cell>
          <cell r="AU81">
            <v>1554.58</v>
          </cell>
          <cell r="AW81">
            <v>4</v>
          </cell>
          <cell r="AX81" t="e">
            <v>#N/A</v>
          </cell>
          <cell r="AY81">
            <v>6218.32</v>
          </cell>
        </row>
        <row r="82">
          <cell r="A82">
            <v>71</v>
          </cell>
          <cell r="B82">
            <v>71</v>
          </cell>
          <cell r="C82">
            <v>67</v>
          </cell>
          <cell r="D82" t="str">
            <v>4.8.</v>
          </cell>
          <cell r="E82" t="str">
            <v>Montaje tramo vigas para luz de 40m</v>
          </cell>
          <cell r="F82" t="str">
            <v>[tramo]</v>
          </cell>
          <cell r="Q82">
            <v>0</v>
          </cell>
          <cell r="R82">
            <v>2032.913</v>
          </cell>
          <cell r="S82">
            <v>0</v>
          </cell>
          <cell r="X82">
            <v>0</v>
          </cell>
          <cell r="Y82">
            <v>2032.913</v>
          </cell>
          <cell r="Z82">
            <v>0</v>
          </cell>
          <cell r="AE82">
            <v>0</v>
          </cell>
          <cell r="AF82">
            <v>2032.913</v>
          </cell>
          <cell r="AG82">
            <v>0</v>
          </cell>
          <cell r="AI82">
            <v>0</v>
          </cell>
          <cell r="AL82">
            <v>0</v>
          </cell>
          <cell r="AM82">
            <v>2032.913</v>
          </cell>
          <cell r="AN82">
            <v>0</v>
          </cell>
          <cell r="AP82">
            <v>0</v>
          </cell>
          <cell r="AS82">
            <v>0</v>
          </cell>
          <cell r="AT82">
            <v>2032.913</v>
          </cell>
          <cell r="AU82">
            <v>0</v>
          </cell>
          <cell r="AW82">
            <v>0</v>
          </cell>
          <cell r="AX82" t="e">
            <v>#N/A</v>
          </cell>
          <cell r="AY82">
            <v>0</v>
          </cell>
        </row>
        <row r="83">
          <cell r="A83">
            <v>72</v>
          </cell>
          <cell r="B83">
            <v>72</v>
          </cell>
          <cell r="C83">
            <v>68</v>
          </cell>
          <cell r="D83" t="str">
            <v>4.9.</v>
          </cell>
          <cell r="E83" t="str">
            <v>Junta De Dilatacion</v>
          </cell>
          <cell r="F83" t="str">
            <v>[m]</v>
          </cell>
          <cell r="Q83">
            <v>0</v>
          </cell>
          <cell r="R83">
            <v>51.923000000000002</v>
          </cell>
          <cell r="S83">
            <v>0</v>
          </cell>
          <cell r="X83">
            <v>0</v>
          </cell>
          <cell r="Y83">
            <v>51.923000000000002</v>
          </cell>
          <cell r="Z83">
            <v>0</v>
          </cell>
          <cell r="AE83">
            <v>0</v>
          </cell>
          <cell r="AF83">
            <v>51.923000000000002</v>
          </cell>
          <cell r="AG83">
            <v>0</v>
          </cell>
          <cell r="AI83">
            <v>41.6</v>
          </cell>
          <cell r="AL83">
            <v>44</v>
          </cell>
          <cell r="AM83">
            <v>51.923000000000002</v>
          </cell>
          <cell r="AN83">
            <v>2284.61</v>
          </cell>
          <cell r="AP83">
            <v>20.8</v>
          </cell>
          <cell r="AS83">
            <v>22</v>
          </cell>
          <cell r="AT83">
            <v>51.923000000000002</v>
          </cell>
          <cell r="AU83">
            <v>1142.31</v>
          </cell>
          <cell r="AW83">
            <v>66</v>
          </cell>
          <cell r="AX83" t="e">
            <v>#N/A</v>
          </cell>
          <cell r="AY83">
            <v>3426.92</v>
          </cell>
        </row>
        <row r="84">
          <cell r="A84">
            <v>73</v>
          </cell>
          <cell r="B84" t="str">
            <v>X</v>
          </cell>
          <cell r="C84">
            <v>68</v>
          </cell>
          <cell r="D84">
            <v>5</v>
          </cell>
          <cell r="E84" t="str">
            <v>PUENTES (INFRAESTRUCTURA)</v>
          </cell>
          <cell r="I84" t="str">
            <v>Imprevistos</v>
          </cell>
          <cell r="K84">
            <v>0.1</v>
          </cell>
          <cell r="S84">
            <v>0</v>
          </cell>
          <cell r="Z84">
            <v>0</v>
          </cell>
          <cell r="AG84">
            <v>0</v>
          </cell>
          <cell r="AN84">
            <v>227813.62999999998</v>
          </cell>
          <cell r="AS84">
            <v>0</v>
          </cell>
          <cell r="AU84">
            <v>80932.47</v>
          </cell>
          <cell r="AY84">
            <v>308746.09999999998</v>
          </cell>
        </row>
        <row r="85">
          <cell r="A85">
            <v>74</v>
          </cell>
          <cell r="B85">
            <v>74</v>
          </cell>
          <cell r="C85">
            <v>69</v>
          </cell>
          <cell r="D85" t="str">
            <v>5.1.</v>
          </cell>
          <cell r="E85" t="str">
            <v>Hormigon Simple Tipo A - Infraestructura</v>
          </cell>
          <cell r="F85" t="str">
            <v>[m³]</v>
          </cell>
          <cell r="Q85">
            <v>0</v>
          </cell>
          <cell r="R85">
            <v>125.727</v>
          </cell>
          <cell r="S85">
            <v>0</v>
          </cell>
          <cell r="X85">
            <v>0</v>
          </cell>
          <cell r="Y85">
            <v>125.727</v>
          </cell>
          <cell r="Z85">
            <v>0</v>
          </cell>
          <cell r="AE85">
            <v>0</v>
          </cell>
          <cell r="AF85">
            <v>125.727</v>
          </cell>
          <cell r="AG85">
            <v>0</v>
          </cell>
          <cell r="AI85">
            <v>165.04</v>
          </cell>
          <cell r="AL85">
            <v>174</v>
          </cell>
          <cell r="AM85">
            <v>125.586</v>
          </cell>
          <cell r="AN85">
            <v>21851.96</v>
          </cell>
          <cell r="AP85">
            <v>98.651600000000002</v>
          </cell>
          <cell r="AS85">
            <v>104</v>
          </cell>
          <cell r="AT85">
            <v>125.586</v>
          </cell>
          <cell r="AU85">
            <v>13060.94</v>
          </cell>
          <cell r="AW85">
            <v>278</v>
          </cell>
          <cell r="AX85" t="e">
            <v>#N/A</v>
          </cell>
          <cell r="AY85">
            <v>34912.9</v>
          </cell>
        </row>
        <row r="86">
          <cell r="A86">
            <v>75</v>
          </cell>
          <cell r="B86">
            <v>75</v>
          </cell>
          <cell r="C86">
            <v>70</v>
          </cell>
          <cell r="D86" t="str">
            <v>5.2.</v>
          </cell>
          <cell r="E86" t="str">
            <v>Acero Estructural - Infraestructura</v>
          </cell>
          <cell r="F86" t="str">
            <v>[kg]</v>
          </cell>
          <cell r="Q86">
            <v>0</v>
          </cell>
          <cell r="R86">
            <v>1.0680000000000001</v>
          </cell>
          <cell r="S86">
            <v>0</v>
          </cell>
          <cell r="X86">
            <v>0</v>
          </cell>
          <cell r="Y86">
            <v>1.0680000000000001</v>
          </cell>
          <cell r="Z86">
            <v>0</v>
          </cell>
          <cell r="AE86">
            <v>0</v>
          </cell>
          <cell r="AF86">
            <v>1.0680000000000001</v>
          </cell>
          <cell r="AG86">
            <v>0</v>
          </cell>
          <cell r="AI86">
            <v>13250.165896653123</v>
          </cell>
          <cell r="AL86">
            <v>13913</v>
          </cell>
          <cell r="AM86">
            <v>1.0680000000000001</v>
          </cell>
          <cell r="AN86">
            <v>14859.08</v>
          </cell>
          <cell r="AP86">
            <v>8002.0675317928844</v>
          </cell>
          <cell r="AS86">
            <v>8403</v>
          </cell>
          <cell r="AT86">
            <v>1.0680000000000001</v>
          </cell>
          <cell r="AU86">
            <v>8974.4</v>
          </cell>
          <cell r="AW86">
            <v>22316</v>
          </cell>
          <cell r="AX86" t="e">
            <v>#N/A</v>
          </cell>
          <cell r="AY86">
            <v>23833.48</v>
          </cell>
        </row>
        <row r="87">
          <cell r="A87">
            <v>76</v>
          </cell>
          <cell r="B87">
            <v>76</v>
          </cell>
          <cell r="C87">
            <v>71</v>
          </cell>
          <cell r="D87" t="str">
            <v>5.3.</v>
          </cell>
          <cell r="E87" t="str">
            <v>Apoyo De Neopreno Compuesto</v>
          </cell>
          <cell r="F87" t="str">
            <v>[dm³]</v>
          </cell>
          <cell r="Q87">
            <v>0</v>
          </cell>
          <cell r="R87">
            <v>32.183</v>
          </cell>
          <cell r="S87">
            <v>0</v>
          </cell>
          <cell r="X87">
            <v>0</v>
          </cell>
          <cell r="Y87">
            <v>32.183</v>
          </cell>
          <cell r="Z87">
            <v>0</v>
          </cell>
          <cell r="AE87">
            <v>0</v>
          </cell>
          <cell r="AF87">
            <v>32.183</v>
          </cell>
          <cell r="AG87">
            <v>0</v>
          </cell>
          <cell r="AI87">
            <v>207.36</v>
          </cell>
          <cell r="AL87">
            <v>218</v>
          </cell>
          <cell r="AM87">
            <v>32.183</v>
          </cell>
          <cell r="AN87">
            <v>7015.89</v>
          </cell>
          <cell r="AP87">
            <v>76.8</v>
          </cell>
          <cell r="AS87">
            <v>81</v>
          </cell>
          <cell r="AT87">
            <v>32.183</v>
          </cell>
          <cell r="AU87">
            <v>2606.8200000000002</v>
          </cell>
          <cell r="AW87">
            <v>299</v>
          </cell>
          <cell r="AX87" t="e">
            <v>#N/A</v>
          </cell>
          <cell r="AY87">
            <v>9622.7100000000009</v>
          </cell>
        </row>
        <row r="88">
          <cell r="A88">
            <v>77</v>
          </cell>
          <cell r="B88">
            <v>77</v>
          </cell>
          <cell r="C88">
            <v>72</v>
          </cell>
          <cell r="D88" t="str">
            <v>5.4.</v>
          </cell>
          <cell r="E88" t="str">
            <v>Pilotes d=1.20m - suelo (Excavación, Hº, Acero, Control)</v>
          </cell>
          <cell r="F88" t="str">
            <v>[m]</v>
          </cell>
          <cell r="Q88">
            <v>0</v>
          </cell>
          <cell r="R88">
            <v>515.56399999999996</v>
          </cell>
          <cell r="S88">
            <v>0</v>
          </cell>
          <cell r="X88">
            <v>0</v>
          </cell>
          <cell r="Y88">
            <v>515.56399999999996</v>
          </cell>
          <cell r="Z88">
            <v>0</v>
          </cell>
          <cell r="AE88">
            <v>0</v>
          </cell>
          <cell r="AF88">
            <v>515.56399999999996</v>
          </cell>
          <cell r="AG88">
            <v>0</v>
          </cell>
          <cell r="AI88">
            <v>234</v>
          </cell>
          <cell r="AL88">
            <v>258</v>
          </cell>
          <cell r="AM88">
            <v>504.41399999999999</v>
          </cell>
          <cell r="AN88">
            <v>130138.81</v>
          </cell>
          <cell r="AP88">
            <v>54.06</v>
          </cell>
          <cell r="AS88">
            <v>60</v>
          </cell>
          <cell r="AT88">
            <v>504.41399999999999</v>
          </cell>
          <cell r="AU88">
            <v>30264.84</v>
          </cell>
          <cell r="AW88">
            <v>318</v>
          </cell>
          <cell r="AX88" t="e">
            <v>#N/A</v>
          </cell>
          <cell r="AY88">
            <v>160403.65</v>
          </cell>
        </row>
        <row r="89">
          <cell r="A89">
            <v>78</v>
          </cell>
          <cell r="B89">
            <v>78</v>
          </cell>
          <cell r="C89">
            <v>73</v>
          </cell>
          <cell r="D89" t="str">
            <v>5.5.</v>
          </cell>
          <cell r="E89" t="str">
            <v>Pilotes d=1.20m - roca (Excavación, Hº, Acero, Control)</v>
          </cell>
          <cell r="F89" t="str">
            <v>[m]</v>
          </cell>
          <cell r="Q89">
            <v>0</v>
          </cell>
          <cell r="R89">
            <v>719.79899999999998</v>
          </cell>
          <cell r="S89">
            <v>0</v>
          </cell>
          <cell r="X89">
            <v>0</v>
          </cell>
          <cell r="Y89">
            <v>719.79899999999998</v>
          </cell>
          <cell r="Z89">
            <v>0</v>
          </cell>
          <cell r="AE89">
            <v>0</v>
          </cell>
          <cell r="AF89">
            <v>719.79899999999998</v>
          </cell>
          <cell r="AG89">
            <v>0</v>
          </cell>
          <cell r="AI89">
            <v>0</v>
          </cell>
          <cell r="AL89">
            <v>0</v>
          </cell>
          <cell r="AM89">
            <v>708.649</v>
          </cell>
          <cell r="AN89">
            <v>0</v>
          </cell>
          <cell r="AP89">
            <v>8.94</v>
          </cell>
          <cell r="AS89">
            <v>10</v>
          </cell>
          <cell r="AT89">
            <v>708.649</v>
          </cell>
          <cell r="AU89">
            <v>7086.49</v>
          </cell>
          <cell r="AW89">
            <v>10</v>
          </cell>
          <cell r="AX89" t="e">
            <v>#N/A</v>
          </cell>
          <cell r="AY89">
            <v>7086.49</v>
          </cell>
        </row>
        <row r="90">
          <cell r="A90">
            <v>79</v>
          </cell>
          <cell r="B90">
            <v>79</v>
          </cell>
          <cell r="C90">
            <v>74</v>
          </cell>
          <cell r="D90" t="str">
            <v>5.6.</v>
          </cell>
          <cell r="E90" t="str">
            <v>Panel de Hº e=20cm</v>
          </cell>
          <cell r="F90" t="str">
            <v>[m²]</v>
          </cell>
          <cell r="Q90">
            <v>0</v>
          </cell>
          <cell r="R90">
            <v>20.331</v>
          </cell>
          <cell r="S90">
            <v>0</v>
          </cell>
          <cell r="X90">
            <v>0</v>
          </cell>
          <cell r="Y90">
            <v>20.331</v>
          </cell>
          <cell r="Z90">
            <v>0</v>
          </cell>
          <cell r="AE90">
            <v>0</v>
          </cell>
          <cell r="AF90">
            <v>20.331</v>
          </cell>
          <cell r="AG90">
            <v>0</v>
          </cell>
          <cell r="AI90">
            <v>225.14</v>
          </cell>
          <cell r="AL90">
            <v>237</v>
          </cell>
          <cell r="AM90">
            <v>21.39</v>
          </cell>
          <cell r="AN90">
            <v>5069.43</v>
          </cell>
          <cell r="AP90">
            <v>340.6</v>
          </cell>
          <cell r="AS90">
            <v>358</v>
          </cell>
          <cell r="AT90">
            <v>21.39</v>
          </cell>
          <cell r="AU90">
            <v>7657.62</v>
          </cell>
          <cell r="AW90">
            <v>595</v>
          </cell>
          <cell r="AX90" t="e">
            <v>#N/A</v>
          </cell>
          <cell r="AY90">
            <v>12727.05</v>
          </cell>
        </row>
        <row r="91">
          <cell r="A91">
            <v>80</v>
          </cell>
          <cell r="B91">
            <v>80</v>
          </cell>
          <cell r="C91">
            <v>75</v>
          </cell>
          <cell r="D91" t="str">
            <v>5.7.</v>
          </cell>
          <cell r="E91" t="str">
            <v>Geomalla Uniaxial Tipo U4</v>
          </cell>
          <cell r="F91" t="str">
            <v>[m²]</v>
          </cell>
          <cell r="Q91">
            <v>0</v>
          </cell>
          <cell r="R91">
            <v>6.444</v>
          </cell>
          <cell r="S91">
            <v>0</v>
          </cell>
          <cell r="X91">
            <v>0</v>
          </cell>
          <cell r="Y91">
            <v>6.444</v>
          </cell>
          <cell r="Z91">
            <v>0</v>
          </cell>
          <cell r="AE91">
            <v>0</v>
          </cell>
          <cell r="AF91">
            <v>6.444</v>
          </cell>
          <cell r="AG91">
            <v>0</v>
          </cell>
          <cell r="AI91">
            <v>428.77209599999992</v>
          </cell>
          <cell r="AL91">
            <v>451</v>
          </cell>
          <cell r="AM91">
            <v>6.444</v>
          </cell>
          <cell r="AN91">
            <v>2906.24</v>
          </cell>
          <cell r="AP91">
            <v>803.61302399999988</v>
          </cell>
          <cell r="AS91">
            <v>844</v>
          </cell>
          <cell r="AT91">
            <v>6.444</v>
          </cell>
          <cell r="AU91">
            <v>5438.74</v>
          </cell>
          <cell r="AW91">
            <v>1295</v>
          </cell>
          <cell r="AX91" t="e">
            <v>#N/A</v>
          </cell>
          <cell r="AY91">
            <v>8344.98</v>
          </cell>
        </row>
        <row r="92">
          <cell r="A92">
            <v>81</v>
          </cell>
          <cell r="B92">
            <v>81</v>
          </cell>
          <cell r="C92">
            <v>76</v>
          </cell>
          <cell r="D92" t="str">
            <v>5.8.</v>
          </cell>
          <cell r="E92" t="str">
            <v>Geomalla Uniaxial Tipo U6</v>
          </cell>
          <cell r="F92" t="str">
            <v>[m²]</v>
          </cell>
          <cell r="Q92">
            <v>0</v>
          </cell>
          <cell r="R92">
            <v>11.339</v>
          </cell>
          <cell r="S92">
            <v>0</v>
          </cell>
          <cell r="X92">
            <v>0</v>
          </cell>
          <cell r="Y92">
            <v>11.339</v>
          </cell>
          <cell r="Z92">
            <v>0</v>
          </cell>
          <cell r="AE92">
            <v>0</v>
          </cell>
          <cell r="AF92">
            <v>11.339</v>
          </cell>
          <cell r="AG92">
            <v>0</v>
          </cell>
          <cell r="AI92">
            <v>1026.6963839999999</v>
          </cell>
          <cell r="AL92">
            <v>1079</v>
          </cell>
          <cell r="AM92">
            <v>11.339</v>
          </cell>
          <cell r="AN92">
            <v>12234.78</v>
          </cell>
          <cell r="AP92">
            <v>2805.9865679999994</v>
          </cell>
          <cell r="AS92">
            <v>2947</v>
          </cell>
          <cell r="AT92">
            <v>11.339</v>
          </cell>
          <cell r="AU92">
            <v>33416.03</v>
          </cell>
          <cell r="AW92">
            <v>4026</v>
          </cell>
          <cell r="AX92" t="e">
            <v>#N/A</v>
          </cell>
          <cell r="AY92">
            <v>45650.81</v>
          </cell>
        </row>
        <row r="93">
          <cell r="A93">
            <v>82</v>
          </cell>
          <cell r="B93">
            <v>82</v>
          </cell>
          <cell r="C93">
            <v>77</v>
          </cell>
          <cell r="D93" t="str">
            <v>5.9.</v>
          </cell>
          <cell r="E93" t="str">
            <v>Geomalla Biaxial Tipo B6</v>
          </cell>
          <cell r="F93" t="str">
            <v>[m²]</v>
          </cell>
          <cell r="Q93">
            <v>0</v>
          </cell>
          <cell r="R93">
            <v>4.7190000000000003</v>
          </cell>
          <cell r="S93">
            <v>0</v>
          </cell>
          <cell r="X93">
            <v>0</v>
          </cell>
          <cell r="Y93">
            <v>4.7190000000000003</v>
          </cell>
          <cell r="Z93">
            <v>0</v>
          </cell>
          <cell r="AE93">
            <v>0</v>
          </cell>
          <cell r="AF93">
            <v>4.7190000000000003</v>
          </cell>
          <cell r="AG93">
            <v>0</v>
          </cell>
          <cell r="AI93">
            <v>0</v>
          </cell>
          <cell r="AL93">
            <v>0</v>
          </cell>
          <cell r="AM93">
            <v>4.7190000000000003</v>
          </cell>
          <cell r="AN93">
            <v>0</v>
          </cell>
          <cell r="AP93">
            <v>0</v>
          </cell>
          <cell r="AS93">
            <v>0</v>
          </cell>
          <cell r="AT93">
            <v>4.7190000000000003</v>
          </cell>
          <cell r="AU93">
            <v>0</v>
          </cell>
          <cell r="AW93">
            <v>0</v>
          </cell>
          <cell r="AX93" t="e">
            <v>#N/A</v>
          </cell>
          <cell r="AY93">
            <v>0</v>
          </cell>
        </row>
        <row r="94">
          <cell r="A94">
            <v>83</v>
          </cell>
          <cell r="B94">
            <v>83</v>
          </cell>
          <cell r="C94">
            <v>78</v>
          </cell>
          <cell r="D94" t="str">
            <v>5.10.</v>
          </cell>
          <cell r="E94" t="str">
            <v>Geotextil 200 g/m²</v>
          </cell>
          <cell r="F94" t="str">
            <v>[m²]</v>
          </cell>
          <cell r="Q94">
            <v>0</v>
          </cell>
          <cell r="R94">
            <v>2.6890000000000001</v>
          </cell>
          <cell r="S94">
            <v>0</v>
          </cell>
          <cell r="X94">
            <v>0</v>
          </cell>
          <cell r="Y94">
            <v>2.6890000000000001</v>
          </cell>
          <cell r="Z94">
            <v>0</v>
          </cell>
          <cell r="AE94">
            <v>0</v>
          </cell>
          <cell r="AF94">
            <v>2.6890000000000001</v>
          </cell>
          <cell r="AG94">
            <v>0</v>
          </cell>
          <cell r="AI94">
            <v>727.14600000000007</v>
          </cell>
          <cell r="AL94">
            <v>764</v>
          </cell>
          <cell r="AM94">
            <v>2.6890000000000001</v>
          </cell>
          <cell r="AN94">
            <v>2054.4</v>
          </cell>
          <cell r="AP94">
            <v>991.21399999999983</v>
          </cell>
          <cell r="AS94">
            <v>1041</v>
          </cell>
          <cell r="AT94">
            <v>2.6890000000000001</v>
          </cell>
          <cell r="AU94">
            <v>2799.25</v>
          </cell>
          <cell r="AW94">
            <v>1805</v>
          </cell>
          <cell r="AX94" t="e">
            <v>#N/A</v>
          </cell>
          <cell r="AY94">
            <v>4853.6499999999996</v>
          </cell>
        </row>
        <row r="95">
          <cell r="A95">
            <v>84</v>
          </cell>
          <cell r="B95">
            <v>84</v>
          </cell>
          <cell r="C95">
            <v>79</v>
          </cell>
          <cell r="D95" t="str">
            <v>5.11.</v>
          </cell>
          <cell r="E95" t="str">
            <v>Hormigon Simple Tipo "B"</v>
          </cell>
          <cell r="F95" t="str">
            <v>[m³]</v>
          </cell>
          <cell r="Q95">
            <v>0</v>
          </cell>
          <cell r="R95">
            <v>101.655</v>
          </cell>
          <cell r="S95">
            <v>0</v>
          </cell>
          <cell r="X95">
            <v>0</v>
          </cell>
          <cell r="Y95">
            <v>101.655</v>
          </cell>
          <cell r="Z95">
            <v>0</v>
          </cell>
          <cell r="AE95">
            <v>0</v>
          </cell>
          <cell r="AF95">
            <v>101.655</v>
          </cell>
          <cell r="AG95">
            <v>0</v>
          </cell>
          <cell r="AI95">
            <v>6.9962400000000002</v>
          </cell>
          <cell r="AL95">
            <v>8</v>
          </cell>
          <cell r="AM95">
            <v>100.264</v>
          </cell>
          <cell r="AN95">
            <v>802.11</v>
          </cell>
          <cell r="AP95">
            <v>6.9962400000000002</v>
          </cell>
          <cell r="AS95">
            <v>8</v>
          </cell>
          <cell r="AT95">
            <v>100.264</v>
          </cell>
          <cell r="AU95">
            <v>802.11</v>
          </cell>
          <cell r="AW95">
            <v>16</v>
          </cell>
          <cell r="AX95" t="e">
            <v>#N/A</v>
          </cell>
          <cell r="AY95">
            <v>1604.22</v>
          </cell>
        </row>
        <row r="96">
          <cell r="A96">
            <v>85</v>
          </cell>
          <cell r="B96">
            <v>85</v>
          </cell>
          <cell r="C96">
            <v>80</v>
          </cell>
          <cell r="D96" t="str">
            <v>5.12.</v>
          </cell>
          <cell r="E96" t="str">
            <v>Hormigon Simple Tipo "E"</v>
          </cell>
          <cell r="F96" t="str">
            <v>[m³]</v>
          </cell>
          <cell r="Q96">
            <v>0</v>
          </cell>
          <cell r="R96">
            <v>71.268000000000001</v>
          </cell>
          <cell r="S96">
            <v>0</v>
          </cell>
          <cell r="X96">
            <v>0</v>
          </cell>
          <cell r="Y96">
            <v>71.268000000000001</v>
          </cell>
          <cell r="Z96">
            <v>0</v>
          </cell>
          <cell r="AE96">
            <v>0</v>
          </cell>
          <cell r="AF96">
            <v>71.268000000000001</v>
          </cell>
          <cell r="AG96">
            <v>0</v>
          </cell>
          <cell r="AI96">
            <v>0</v>
          </cell>
          <cell r="AL96">
            <v>0</v>
          </cell>
          <cell r="AM96">
            <v>69.900999999999996</v>
          </cell>
          <cell r="AN96">
            <v>0</v>
          </cell>
          <cell r="AP96">
            <v>0</v>
          </cell>
          <cell r="AS96">
            <v>0</v>
          </cell>
          <cell r="AT96">
            <v>69.900999999999996</v>
          </cell>
          <cell r="AU96">
            <v>0</v>
          </cell>
          <cell r="AW96">
            <v>0</v>
          </cell>
          <cell r="AX96" t="e">
            <v>#N/A</v>
          </cell>
          <cell r="AY96">
            <v>0</v>
          </cell>
        </row>
        <row r="97">
          <cell r="A97">
            <v>86</v>
          </cell>
          <cell r="B97">
            <v>86</v>
          </cell>
          <cell r="C97">
            <v>81</v>
          </cell>
          <cell r="D97" t="str">
            <v>5.13.</v>
          </cell>
          <cell r="E97" t="str">
            <v>Excavacion Común Para Estructuras</v>
          </cell>
          <cell r="F97" t="str">
            <v>[m³]</v>
          </cell>
          <cell r="Q97">
            <v>0</v>
          </cell>
          <cell r="R97">
            <v>1.738</v>
          </cell>
          <cell r="S97">
            <v>0</v>
          </cell>
          <cell r="X97">
            <v>0</v>
          </cell>
          <cell r="Y97">
            <v>1.738</v>
          </cell>
          <cell r="Z97">
            <v>0</v>
          </cell>
          <cell r="AE97">
            <v>0</v>
          </cell>
          <cell r="AF97">
            <v>1.738</v>
          </cell>
          <cell r="AG97">
            <v>0</v>
          </cell>
          <cell r="AI97">
            <v>483.19300000000004</v>
          </cell>
          <cell r="AL97">
            <v>508</v>
          </cell>
          <cell r="AM97">
            <v>1.738</v>
          </cell>
          <cell r="AN97">
            <v>882.9</v>
          </cell>
          <cell r="AP97">
            <v>803.24399999999991</v>
          </cell>
          <cell r="AS97">
            <v>844</v>
          </cell>
          <cell r="AT97">
            <v>1.738</v>
          </cell>
          <cell r="AU97">
            <v>1466.87</v>
          </cell>
          <cell r="AW97">
            <v>1352</v>
          </cell>
          <cell r="AX97" t="e">
            <v>#N/A</v>
          </cell>
          <cell r="AY97">
            <v>2349.77</v>
          </cell>
        </row>
        <row r="98">
          <cell r="A98">
            <v>87</v>
          </cell>
          <cell r="B98">
            <v>87</v>
          </cell>
          <cell r="C98">
            <v>82</v>
          </cell>
          <cell r="D98" t="str">
            <v>5.14.</v>
          </cell>
          <cell r="E98" t="str">
            <v>Excavacion Con Agotamiento y Entibado</v>
          </cell>
          <cell r="F98" t="str">
            <v>[m³]</v>
          </cell>
          <cell r="Q98">
            <v>0</v>
          </cell>
          <cell r="R98">
            <v>7.34</v>
          </cell>
          <cell r="S98">
            <v>0</v>
          </cell>
          <cell r="X98">
            <v>0</v>
          </cell>
          <cell r="Y98">
            <v>7.34</v>
          </cell>
          <cell r="Z98">
            <v>0</v>
          </cell>
          <cell r="AE98">
            <v>0</v>
          </cell>
          <cell r="AF98">
            <v>7.34</v>
          </cell>
          <cell r="AG98">
            <v>0</v>
          </cell>
          <cell r="AI98">
            <v>0</v>
          </cell>
          <cell r="AL98">
            <v>0</v>
          </cell>
          <cell r="AM98">
            <v>7.34</v>
          </cell>
          <cell r="AN98">
            <v>0</v>
          </cell>
          <cell r="AP98">
            <v>0</v>
          </cell>
          <cell r="AS98">
            <v>0</v>
          </cell>
          <cell r="AT98">
            <v>7.34</v>
          </cell>
          <cell r="AU98">
            <v>0</v>
          </cell>
          <cell r="AW98">
            <v>0</v>
          </cell>
          <cell r="AX98" t="e">
            <v>#N/A</v>
          </cell>
          <cell r="AY98">
            <v>0</v>
          </cell>
        </row>
        <row r="99">
          <cell r="A99">
            <v>88</v>
          </cell>
          <cell r="B99">
            <v>88</v>
          </cell>
          <cell r="C99">
            <v>83</v>
          </cell>
          <cell r="D99" t="str">
            <v>5.15.</v>
          </cell>
          <cell r="E99" t="str">
            <v>Relleno Seleccionado Para Geomallas uniaxiales</v>
          </cell>
          <cell r="F99" t="str">
            <v>[m³]</v>
          </cell>
          <cell r="Q99">
            <v>0</v>
          </cell>
          <cell r="R99">
            <v>18.710999999999999</v>
          </cell>
          <cell r="S99">
            <v>0</v>
          </cell>
          <cell r="X99">
            <v>0</v>
          </cell>
          <cell r="Y99">
            <v>18.710999999999999</v>
          </cell>
          <cell r="Z99">
            <v>0</v>
          </cell>
          <cell r="AE99">
            <v>0</v>
          </cell>
          <cell r="AF99">
            <v>18.710999999999999</v>
          </cell>
          <cell r="AG99">
            <v>0</v>
          </cell>
          <cell r="AI99">
            <v>1673.5605</v>
          </cell>
          <cell r="AL99">
            <v>1758</v>
          </cell>
          <cell r="AM99">
            <v>8.9600000000000009</v>
          </cell>
          <cell r="AN99">
            <v>15751.68</v>
          </cell>
          <cell r="AP99">
            <v>3027.7474999999999</v>
          </cell>
          <cell r="AS99">
            <v>3180</v>
          </cell>
          <cell r="AT99">
            <v>8.9600000000000009</v>
          </cell>
          <cell r="AU99">
            <v>28492.799999999999</v>
          </cell>
          <cell r="AW99">
            <v>4938</v>
          </cell>
          <cell r="AX99" t="e">
            <v>#N/A</v>
          </cell>
          <cell r="AY99">
            <v>44244.479999999996</v>
          </cell>
        </row>
        <row r="100">
          <cell r="A100">
            <v>89</v>
          </cell>
          <cell r="B100">
            <v>89</v>
          </cell>
          <cell r="C100">
            <v>84</v>
          </cell>
          <cell r="D100" t="str">
            <v>5.16.</v>
          </cell>
          <cell r="E100" t="str">
            <v>Relleno Seleccionado Para Geomallas biaxiales</v>
          </cell>
          <cell r="F100" t="str">
            <v>[m³]</v>
          </cell>
          <cell r="Q100">
            <v>0</v>
          </cell>
          <cell r="R100">
            <v>18.710999999999999</v>
          </cell>
          <cell r="S100">
            <v>0</v>
          </cell>
          <cell r="X100">
            <v>0</v>
          </cell>
          <cell r="Y100">
            <v>18.710999999999999</v>
          </cell>
          <cell r="Z100">
            <v>0</v>
          </cell>
          <cell r="AE100">
            <v>0</v>
          </cell>
          <cell r="AF100">
            <v>18.710999999999999</v>
          </cell>
          <cell r="AG100">
            <v>0</v>
          </cell>
          <cell r="AI100">
            <v>0</v>
          </cell>
          <cell r="AL100">
            <v>0</v>
          </cell>
          <cell r="AM100">
            <v>8.9600000000000009</v>
          </cell>
          <cell r="AN100">
            <v>0</v>
          </cell>
          <cell r="AP100">
            <v>0</v>
          </cell>
          <cell r="AS100">
            <v>0</v>
          </cell>
          <cell r="AT100">
            <v>8.9600000000000009</v>
          </cell>
          <cell r="AU100">
            <v>0</v>
          </cell>
          <cell r="AW100">
            <v>0</v>
          </cell>
          <cell r="AX100" t="e">
            <v>#N/A</v>
          </cell>
          <cell r="AY100">
            <v>0</v>
          </cell>
        </row>
        <row r="101">
          <cell r="A101">
            <v>90</v>
          </cell>
          <cell r="B101">
            <v>90</v>
          </cell>
          <cell r="C101">
            <v>85</v>
          </cell>
          <cell r="D101" t="str">
            <v>5.17.</v>
          </cell>
          <cell r="E101" t="str">
            <v>Relleno Compactado Para Estructuras</v>
          </cell>
          <cell r="F101" t="str">
            <v>[m³]</v>
          </cell>
          <cell r="Q101">
            <v>0</v>
          </cell>
          <cell r="R101">
            <v>3.399</v>
          </cell>
          <cell r="S101">
            <v>0</v>
          </cell>
          <cell r="X101">
            <v>0</v>
          </cell>
          <cell r="Y101">
            <v>3.399</v>
          </cell>
          <cell r="Z101">
            <v>0</v>
          </cell>
          <cell r="AE101">
            <v>0</v>
          </cell>
          <cell r="AF101">
            <v>3.399</v>
          </cell>
          <cell r="AG101">
            <v>0</v>
          </cell>
          <cell r="AI101">
            <v>210.63159999999999</v>
          </cell>
          <cell r="AL101">
            <v>222</v>
          </cell>
          <cell r="AM101">
            <v>3.399</v>
          </cell>
          <cell r="AN101">
            <v>754.58</v>
          </cell>
          <cell r="AP101">
            <v>470.22959999999995</v>
          </cell>
          <cell r="AS101">
            <v>494</v>
          </cell>
          <cell r="AT101">
            <v>3.399</v>
          </cell>
          <cell r="AU101">
            <v>1679.11</v>
          </cell>
          <cell r="AW101">
            <v>716</v>
          </cell>
          <cell r="AX101" t="e">
            <v>#N/A</v>
          </cell>
          <cell r="AY101">
            <v>2433.69</v>
          </cell>
        </row>
        <row r="102">
          <cell r="A102">
            <v>91</v>
          </cell>
          <cell r="B102">
            <v>91</v>
          </cell>
          <cell r="C102">
            <v>86</v>
          </cell>
          <cell r="D102" t="str">
            <v>5.18.</v>
          </cell>
          <cell r="E102" t="str">
            <v>Excavacion en Roca Para Estructuras</v>
          </cell>
          <cell r="F102" t="str">
            <v>[m³]</v>
          </cell>
          <cell r="Q102">
            <v>0</v>
          </cell>
          <cell r="R102">
            <v>4.133</v>
          </cell>
          <cell r="S102">
            <v>0</v>
          </cell>
          <cell r="X102">
            <v>0</v>
          </cell>
          <cell r="Y102">
            <v>4.133</v>
          </cell>
          <cell r="Z102">
            <v>0</v>
          </cell>
          <cell r="AE102">
            <v>0</v>
          </cell>
          <cell r="AF102">
            <v>4.133</v>
          </cell>
          <cell r="AG102">
            <v>0</v>
          </cell>
          <cell r="AI102">
            <v>0</v>
          </cell>
          <cell r="AL102">
            <v>0</v>
          </cell>
          <cell r="AM102">
            <v>4.133</v>
          </cell>
          <cell r="AN102">
            <v>0</v>
          </cell>
          <cell r="AP102">
            <v>0</v>
          </cell>
          <cell r="AS102">
            <v>0</v>
          </cell>
          <cell r="AT102">
            <v>4.133</v>
          </cell>
          <cell r="AU102">
            <v>0</v>
          </cell>
          <cell r="AW102">
            <v>0</v>
          </cell>
          <cell r="AX102" t="e">
            <v>#N/A</v>
          </cell>
          <cell r="AY102">
            <v>0</v>
          </cell>
        </row>
        <row r="103">
          <cell r="A103">
            <v>92</v>
          </cell>
          <cell r="B103" t="str">
            <v>X</v>
          </cell>
          <cell r="C103">
            <v>86</v>
          </cell>
          <cell r="D103">
            <v>6</v>
          </cell>
          <cell r="E103" t="str">
            <v>OBRAS COMPLEMENTARIAS (PUENTES)</v>
          </cell>
          <cell r="I103" t="str">
            <v>Imprevistos</v>
          </cell>
          <cell r="K103">
            <v>0.1</v>
          </cell>
          <cell r="S103">
            <v>0</v>
          </cell>
          <cell r="Z103">
            <v>0</v>
          </cell>
          <cell r="AG103">
            <v>0</v>
          </cell>
          <cell r="AN103">
            <v>214321.85999999993</v>
          </cell>
          <cell r="AU103">
            <v>143746.01999999999</v>
          </cell>
          <cell r="AY103">
            <v>358067.87999999995</v>
          </cell>
        </row>
        <row r="104">
          <cell r="A104">
            <v>93</v>
          </cell>
          <cell r="B104">
            <v>93</v>
          </cell>
          <cell r="C104">
            <v>87</v>
          </cell>
          <cell r="D104" t="str">
            <v>6.1.</v>
          </cell>
          <cell r="E104" t="str">
            <v>Gaviones Tipo Colchoneta e=0.23m</v>
          </cell>
          <cell r="F104" t="str">
            <v>[m²]</v>
          </cell>
          <cell r="Q104">
            <v>0</v>
          </cell>
          <cell r="R104">
            <v>10.781000000000001</v>
          </cell>
          <cell r="S104">
            <v>0</v>
          </cell>
          <cell r="X104">
            <v>0</v>
          </cell>
          <cell r="Y104">
            <v>10.781000000000001</v>
          </cell>
          <cell r="Z104">
            <v>0</v>
          </cell>
          <cell r="AE104">
            <v>0</v>
          </cell>
          <cell r="AF104">
            <v>10.781000000000001</v>
          </cell>
          <cell r="AG104">
            <v>0</v>
          </cell>
          <cell r="AI104">
            <v>6476.5240000000003</v>
          </cell>
          <cell r="AL104">
            <v>6801</v>
          </cell>
          <cell r="AM104">
            <v>10.49</v>
          </cell>
          <cell r="AN104">
            <v>71342.490000000005</v>
          </cell>
          <cell r="AP104">
            <v>1035.3564999999999</v>
          </cell>
          <cell r="AS104">
            <v>1088</v>
          </cell>
          <cell r="AT104">
            <v>10.49</v>
          </cell>
          <cell r="AU104">
            <v>11413.12</v>
          </cell>
          <cell r="AW104">
            <v>7889</v>
          </cell>
          <cell r="AX104" t="e">
            <v>#N/A</v>
          </cell>
          <cell r="AY104">
            <v>82755.61</v>
          </cell>
        </row>
        <row r="105">
          <cell r="A105">
            <v>94</v>
          </cell>
          <cell r="B105">
            <v>94</v>
          </cell>
          <cell r="C105">
            <v>88</v>
          </cell>
          <cell r="D105" t="str">
            <v>6.2.</v>
          </cell>
          <cell r="E105" t="str">
            <v>Gaviones Tipo Colchoneta e=0.30m</v>
          </cell>
          <cell r="F105" t="str">
            <v>[m²]</v>
          </cell>
          <cell r="Q105">
            <v>0</v>
          </cell>
          <cell r="R105">
            <v>14.061999999999999</v>
          </cell>
          <cell r="S105">
            <v>0</v>
          </cell>
          <cell r="X105">
            <v>0</v>
          </cell>
          <cell r="Y105">
            <v>14.061999999999999</v>
          </cell>
          <cell r="Z105">
            <v>0</v>
          </cell>
          <cell r="AE105">
            <v>0</v>
          </cell>
          <cell r="AF105">
            <v>14.061999999999999</v>
          </cell>
          <cell r="AG105">
            <v>0</v>
          </cell>
          <cell r="AI105">
            <v>343.8845</v>
          </cell>
          <cell r="AL105">
            <v>362</v>
          </cell>
          <cell r="AM105">
            <v>13.682</v>
          </cell>
          <cell r="AN105">
            <v>4952.88</v>
          </cell>
          <cell r="AP105">
            <v>416.16199999999992</v>
          </cell>
          <cell r="AS105">
            <v>437</v>
          </cell>
          <cell r="AT105">
            <v>13.682</v>
          </cell>
          <cell r="AU105">
            <v>5979.03</v>
          </cell>
          <cell r="AW105">
            <v>799</v>
          </cell>
          <cell r="AX105" t="e">
            <v>#N/A</v>
          </cell>
          <cell r="AY105">
            <v>10931.91</v>
          </cell>
        </row>
        <row r="106">
          <cell r="A106">
            <v>95</v>
          </cell>
          <cell r="B106">
            <v>95</v>
          </cell>
          <cell r="C106">
            <v>89</v>
          </cell>
          <cell r="D106" t="str">
            <v>6.3.</v>
          </cell>
          <cell r="E106" t="str">
            <v>Gaviones Tipo Cajón</v>
          </cell>
          <cell r="F106" t="str">
            <v>[m³]</v>
          </cell>
          <cell r="Q106">
            <v>0</v>
          </cell>
          <cell r="R106">
            <v>36.311999999999998</v>
          </cell>
          <cell r="S106">
            <v>0</v>
          </cell>
          <cell r="X106">
            <v>0</v>
          </cell>
          <cell r="Y106">
            <v>36.311999999999998</v>
          </cell>
          <cell r="Z106">
            <v>0</v>
          </cell>
          <cell r="AE106">
            <v>0</v>
          </cell>
          <cell r="AF106">
            <v>36.311999999999998</v>
          </cell>
          <cell r="AG106">
            <v>0</v>
          </cell>
          <cell r="AI106">
            <v>49.6875</v>
          </cell>
          <cell r="AL106">
            <v>53</v>
          </cell>
          <cell r="AM106">
            <v>35.045000000000002</v>
          </cell>
          <cell r="AN106">
            <v>1857.39</v>
          </cell>
          <cell r="AP106">
            <v>65.976600000000005</v>
          </cell>
          <cell r="AS106">
            <v>70</v>
          </cell>
          <cell r="AT106">
            <v>35.045000000000002</v>
          </cell>
          <cell r="AU106">
            <v>2453.15</v>
          </cell>
          <cell r="AW106">
            <v>123</v>
          </cell>
          <cell r="AX106" t="e">
            <v>#N/A</v>
          </cell>
          <cell r="AY106">
            <v>4310.54</v>
          </cell>
        </row>
        <row r="107">
          <cell r="A107">
            <v>96</v>
          </cell>
          <cell r="B107">
            <v>96</v>
          </cell>
          <cell r="C107">
            <v>90</v>
          </cell>
          <cell r="D107" t="str">
            <v>6.4.</v>
          </cell>
          <cell r="E107" t="str">
            <v>Excavación para Gaviones</v>
          </cell>
          <cell r="F107" t="str">
            <v>[m³]</v>
          </cell>
          <cell r="Q107">
            <v>0</v>
          </cell>
          <cell r="R107">
            <v>2.1859999999999999</v>
          </cell>
          <cell r="S107">
            <v>0</v>
          </cell>
          <cell r="V107">
            <v>11</v>
          </cell>
          <cell r="X107">
            <v>0</v>
          </cell>
          <cell r="Y107">
            <v>2.1859999999999999</v>
          </cell>
          <cell r="Z107">
            <v>0</v>
          </cell>
          <cell r="AC107">
            <v>11</v>
          </cell>
          <cell r="AE107">
            <v>0</v>
          </cell>
          <cell r="AF107">
            <v>2.1859999999999999</v>
          </cell>
          <cell r="AG107">
            <v>0</v>
          </cell>
          <cell r="AI107">
            <v>34.78125</v>
          </cell>
          <cell r="AL107">
            <v>37</v>
          </cell>
          <cell r="AM107">
            <v>2.1859999999999999</v>
          </cell>
          <cell r="AN107">
            <v>80.88</v>
          </cell>
          <cell r="AP107">
            <v>46.183620000000005</v>
          </cell>
          <cell r="AS107">
            <v>49</v>
          </cell>
          <cell r="AT107">
            <v>2.1859999999999999</v>
          </cell>
          <cell r="AU107">
            <v>107.11</v>
          </cell>
          <cell r="AW107">
            <v>86</v>
          </cell>
          <cell r="AX107" t="e">
            <v>#N/A</v>
          </cell>
          <cell r="AY107">
            <v>187.99</v>
          </cell>
        </row>
        <row r="108">
          <cell r="A108">
            <v>97</v>
          </cell>
          <cell r="B108">
            <v>97</v>
          </cell>
          <cell r="C108">
            <v>91</v>
          </cell>
          <cell r="D108" t="str">
            <v>6.5.</v>
          </cell>
          <cell r="E108" t="str">
            <v>HºCº  para Obras de Drenaje</v>
          </cell>
          <cell r="F108" t="str">
            <v>[m³]</v>
          </cell>
          <cell r="Q108">
            <v>0</v>
          </cell>
          <cell r="R108">
            <v>94.5</v>
          </cell>
          <cell r="S108">
            <v>0</v>
          </cell>
          <cell r="X108">
            <v>0</v>
          </cell>
          <cell r="Y108">
            <v>94.5</v>
          </cell>
          <cell r="Z108">
            <v>0</v>
          </cell>
          <cell r="AE108">
            <v>0</v>
          </cell>
          <cell r="AF108">
            <v>94.5</v>
          </cell>
          <cell r="AG108">
            <v>0</v>
          </cell>
          <cell r="AI108">
            <v>0</v>
          </cell>
          <cell r="AL108">
            <v>0</v>
          </cell>
          <cell r="AM108">
            <v>94.227999999999994</v>
          </cell>
          <cell r="AN108">
            <v>0</v>
          </cell>
          <cell r="AP108">
            <v>0</v>
          </cell>
          <cell r="AS108">
            <v>0</v>
          </cell>
          <cell r="AT108">
            <v>94.227999999999994</v>
          </cell>
          <cell r="AU108">
            <v>0</v>
          </cell>
          <cell r="AW108">
            <v>0</v>
          </cell>
          <cell r="AX108" t="e">
            <v>#N/A</v>
          </cell>
          <cell r="AY108">
            <v>0</v>
          </cell>
        </row>
        <row r="109">
          <cell r="A109">
            <v>98</v>
          </cell>
          <cell r="B109">
            <v>98</v>
          </cell>
          <cell r="C109">
            <v>92</v>
          </cell>
          <cell r="D109" t="str">
            <v>6.6.</v>
          </cell>
          <cell r="E109" t="str">
            <v>Relleno Compactado</v>
          </cell>
          <cell r="F109" t="str">
            <v>[m³]</v>
          </cell>
          <cell r="Q109">
            <v>0</v>
          </cell>
          <cell r="R109">
            <v>3.399</v>
          </cell>
          <cell r="S109">
            <v>0</v>
          </cell>
          <cell r="V109">
            <v>81</v>
          </cell>
          <cell r="X109">
            <v>0</v>
          </cell>
          <cell r="Y109">
            <v>3.399</v>
          </cell>
          <cell r="Z109">
            <v>0</v>
          </cell>
          <cell r="AC109">
            <v>81</v>
          </cell>
          <cell r="AE109">
            <v>0</v>
          </cell>
          <cell r="AF109">
            <v>3.399</v>
          </cell>
          <cell r="AG109">
            <v>0</v>
          </cell>
          <cell r="AI109">
            <v>86.953125</v>
          </cell>
          <cell r="AJ109">
            <v>81</v>
          </cell>
          <cell r="AL109">
            <v>92</v>
          </cell>
          <cell r="AM109">
            <v>3.399</v>
          </cell>
          <cell r="AN109">
            <v>312.70999999999998</v>
          </cell>
          <cell r="AP109">
            <v>115.45905</v>
          </cell>
          <cell r="AS109">
            <v>122</v>
          </cell>
          <cell r="AT109">
            <v>3.399</v>
          </cell>
          <cell r="AU109">
            <v>414.68</v>
          </cell>
          <cell r="AW109">
            <v>214</v>
          </cell>
          <cell r="AX109" t="e">
            <v>#N/A</v>
          </cell>
          <cell r="AY109">
            <v>727.39</v>
          </cell>
        </row>
        <row r="110">
          <cell r="A110">
            <v>99</v>
          </cell>
          <cell r="B110">
            <v>99</v>
          </cell>
          <cell r="C110">
            <v>93</v>
          </cell>
          <cell r="D110" t="str">
            <v>6.7.</v>
          </cell>
          <cell r="E110" t="str">
            <v>Geotextil 200 g/m²</v>
          </cell>
          <cell r="F110" t="str">
            <v>[m²]</v>
          </cell>
          <cell r="Q110">
            <v>0</v>
          </cell>
          <cell r="R110">
            <v>2.6890000000000001</v>
          </cell>
          <cell r="S110">
            <v>0</v>
          </cell>
          <cell r="X110">
            <v>0</v>
          </cell>
          <cell r="Y110">
            <v>2.6890000000000001</v>
          </cell>
          <cell r="Z110">
            <v>0</v>
          </cell>
          <cell r="AE110">
            <v>0</v>
          </cell>
          <cell r="AF110">
            <v>2.6890000000000001</v>
          </cell>
          <cell r="AG110">
            <v>0</v>
          </cell>
          <cell r="AI110">
            <v>6958.8185000000003</v>
          </cell>
          <cell r="AL110">
            <v>7307</v>
          </cell>
          <cell r="AM110">
            <v>2.6890000000000001</v>
          </cell>
          <cell r="AN110">
            <v>19648.52</v>
          </cell>
          <cell r="AP110">
            <v>1766.3184999999999</v>
          </cell>
          <cell r="AS110">
            <v>1855</v>
          </cell>
          <cell r="AT110">
            <v>2.6890000000000001</v>
          </cell>
          <cell r="AU110">
            <v>4988.1000000000004</v>
          </cell>
          <cell r="AW110">
            <v>9162</v>
          </cell>
          <cell r="AX110" t="e">
            <v>#N/A</v>
          </cell>
          <cell r="AY110">
            <v>24636.620000000003</v>
          </cell>
        </row>
        <row r="111">
          <cell r="A111">
            <v>100</v>
          </cell>
          <cell r="B111">
            <v>100</v>
          </cell>
          <cell r="C111">
            <v>94</v>
          </cell>
          <cell r="D111" t="str">
            <v>6.8.</v>
          </cell>
          <cell r="E111" t="str">
            <v>Excavación en Encauces de Rios y Quebradas</v>
          </cell>
          <cell r="F111" t="str">
            <v>[m³]</v>
          </cell>
          <cell r="Q111">
            <v>0</v>
          </cell>
          <cell r="R111">
            <v>2.4750000000000001</v>
          </cell>
          <cell r="S111">
            <v>0</v>
          </cell>
          <cell r="X111">
            <v>0</v>
          </cell>
          <cell r="Y111">
            <v>2.4750000000000001</v>
          </cell>
          <cell r="Z111">
            <v>0</v>
          </cell>
          <cell r="AE111">
            <v>0</v>
          </cell>
          <cell r="AF111">
            <v>2.4750000000000001</v>
          </cell>
          <cell r="AG111">
            <v>0</v>
          </cell>
          <cell r="AI111">
            <v>1466.94</v>
          </cell>
          <cell r="AL111">
            <v>1541</v>
          </cell>
          <cell r="AM111">
            <v>2.4750000000000001</v>
          </cell>
          <cell r="AN111">
            <v>3813.98</v>
          </cell>
          <cell r="AP111">
            <v>942.75</v>
          </cell>
          <cell r="AS111">
            <v>990</v>
          </cell>
          <cell r="AT111">
            <v>2.4750000000000001</v>
          </cell>
          <cell r="AU111">
            <v>2450.25</v>
          </cell>
          <cell r="AW111">
            <v>2531</v>
          </cell>
          <cell r="AX111" t="e">
            <v>#N/A</v>
          </cell>
          <cell r="AY111">
            <v>6264.23</v>
          </cell>
        </row>
        <row r="112">
          <cell r="A112">
            <v>101</v>
          </cell>
          <cell r="B112">
            <v>101</v>
          </cell>
          <cell r="C112">
            <v>95</v>
          </cell>
          <cell r="D112" t="str">
            <v>6.9.</v>
          </cell>
          <cell r="E112" t="str">
            <v>Demolición de estructuras existentes</v>
          </cell>
          <cell r="F112" t="str">
            <v>[m³]</v>
          </cell>
          <cell r="Q112">
            <v>0</v>
          </cell>
          <cell r="R112">
            <v>5.7759999999999998</v>
          </cell>
          <cell r="S112">
            <v>0</v>
          </cell>
          <cell r="X112">
            <v>0</v>
          </cell>
          <cell r="Y112">
            <v>5.7759999999999998</v>
          </cell>
          <cell r="Z112">
            <v>0</v>
          </cell>
          <cell r="AE112">
            <v>0</v>
          </cell>
          <cell r="AF112">
            <v>5.7759999999999998</v>
          </cell>
          <cell r="AG112">
            <v>0</v>
          </cell>
          <cell r="AI112">
            <v>34.520000000000003</v>
          </cell>
          <cell r="AL112">
            <v>37</v>
          </cell>
          <cell r="AM112">
            <v>5.7759999999999998</v>
          </cell>
          <cell r="AN112">
            <v>213.71</v>
          </cell>
          <cell r="AP112">
            <v>0</v>
          </cell>
          <cell r="AS112">
            <v>0</v>
          </cell>
          <cell r="AT112">
            <v>5.7759999999999998</v>
          </cell>
          <cell r="AU112">
            <v>0</v>
          </cell>
          <cell r="AW112">
            <v>37</v>
          </cell>
          <cell r="AX112" t="e">
            <v>#N/A</v>
          </cell>
          <cell r="AY112">
            <v>213.71</v>
          </cell>
        </row>
        <row r="113">
          <cell r="A113">
            <v>102</v>
          </cell>
          <cell r="B113">
            <v>102</v>
          </cell>
          <cell r="C113">
            <v>96</v>
          </cell>
          <cell r="D113" t="str">
            <v>6.10.</v>
          </cell>
          <cell r="E113" t="str">
            <v>Remoción de Alcantarillas</v>
          </cell>
          <cell r="F113" t="str">
            <v>[m]</v>
          </cell>
          <cell r="Q113">
            <v>0</v>
          </cell>
          <cell r="R113">
            <v>2.3130000000000002</v>
          </cell>
          <cell r="S113">
            <v>0</v>
          </cell>
          <cell r="X113">
            <v>0</v>
          </cell>
          <cell r="Y113">
            <v>2.3130000000000002</v>
          </cell>
          <cell r="Z113">
            <v>0</v>
          </cell>
          <cell r="AE113">
            <v>0</v>
          </cell>
          <cell r="AF113">
            <v>2.3130000000000002</v>
          </cell>
          <cell r="AG113">
            <v>0</v>
          </cell>
          <cell r="AL113">
            <v>0</v>
          </cell>
          <cell r="AM113">
            <v>2.3130000000000002</v>
          </cell>
          <cell r="AN113">
            <v>0</v>
          </cell>
          <cell r="AS113">
            <v>0</v>
          </cell>
          <cell r="AT113">
            <v>2.3130000000000002</v>
          </cell>
          <cell r="AU113">
            <v>0</v>
          </cell>
          <cell r="AW113">
            <v>0</v>
          </cell>
          <cell r="AX113" t="e">
            <v>#N/A</v>
          </cell>
          <cell r="AY113">
            <v>0</v>
          </cell>
        </row>
        <row r="114">
          <cell r="A114">
            <v>103</v>
          </cell>
          <cell r="B114">
            <v>103</v>
          </cell>
          <cell r="C114">
            <v>97</v>
          </cell>
          <cell r="D114" t="str">
            <v>6.11.</v>
          </cell>
          <cell r="E114" t="str">
            <v>Remoción y Recuperación de Superestructura</v>
          </cell>
          <cell r="F114" t="str">
            <v>[glb]</v>
          </cell>
          <cell r="Q114">
            <v>0</v>
          </cell>
          <cell r="R114">
            <v>1296.0050000000001</v>
          </cell>
          <cell r="S114">
            <v>0</v>
          </cell>
          <cell r="X114">
            <v>0</v>
          </cell>
          <cell r="Y114">
            <v>1296.0050000000001</v>
          </cell>
          <cell r="Z114">
            <v>0</v>
          </cell>
          <cell r="AE114">
            <v>0</v>
          </cell>
          <cell r="AF114">
            <v>1296.0050000000001</v>
          </cell>
          <cell r="AG114">
            <v>0</v>
          </cell>
          <cell r="AI114">
            <v>1</v>
          </cell>
          <cell r="AL114">
            <v>1</v>
          </cell>
          <cell r="AM114">
            <v>1296.0050000000001</v>
          </cell>
          <cell r="AN114">
            <v>1296.01</v>
          </cell>
          <cell r="AS114">
            <v>0</v>
          </cell>
          <cell r="AT114">
            <v>1296.0050000000001</v>
          </cell>
          <cell r="AU114">
            <v>0</v>
          </cell>
          <cell r="AW114">
            <v>1</v>
          </cell>
          <cell r="AX114" t="e">
            <v>#N/A</v>
          </cell>
          <cell r="AY114">
            <v>1296.01</v>
          </cell>
        </row>
        <row r="115">
          <cell r="A115">
            <v>104</v>
          </cell>
          <cell r="B115">
            <v>104</v>
          </cell>
          <cell r="C115">
            <v>98</v>
          </cell>
          <cell r="D115" t="str">
            <v>6.12.</v>
          </cell>
          <cell r="E115" t="str">
            <v>Losetas de Hormigón para protección de los Taludes</v>
          </cell>
          <cell r="F115" t="str">
            <v>[m²]</v>
          </cell>
          <cell r="Q115">
            <v>0</v>
          </cell>
          <cell r="R115">
            <v>17.902000000000001</v>
          </cell>
          <cell r="S115">
            <v>0</v>
          </cell>
          <cell r="X115">
            <v>0</v>
          </cell>
          <cell r="Y115">
            <v>17.902000000000001</v>
          </cell>
          <cell r="Z115">
            <v>0</v>
          </cell>
          <cell r="AE115">
            <v>0</v>
          </cell>
          <cell r="AF115">
            <v>17.902000000000001</v>
          </cell>
          <cell r="AG115">
            <v>0</v>
          </cell>
          <cell r="AI115">
            <v>138.41</v>
          </cell>
          <cell r="AL115">
            <v>146</v>
          </cell>
          <cell r="AM115">
            <v>17.739000000000001</v>
          </cell>
          <cell r="AN115">
            <v>2589.89</v>
          </cell>
          <cell r="AP115">
            <v>314.8</v>
          </cell>
          <cell r="AS115">
            <v>331</v>
          </cell>
          <cell r="AT115">
            <v>17.739000000000001</v>
          </cell>
          <cell r="AU115">
            <v>5871.61</v>
          </cell>
          <cell r="AW115">
            <v>477</v>
          </cell>
          <cell r="AX115" t="e">
            <v>#N/A</v>
          </cell>
          <cell r="AY115">
            <v>8461.5</v>
          </cell>
        </row>
        <row r="116">
          <cell r="A116">
            <v>105</v>
          </cell>
          <cell r="B116" t="str">
            <v>X</v>
          </cell>
          <cell r="C116">
            <v>98</v>
          </cell>
          <cell r="D116">
            <v>7</v>
          </cell>
          <cell r="E116" t="str">
            <v>OBRAS COMPLEMENTARIAS (CARRETERA Y ACCESOS)</v>
          </cell>
          <cell r="I116" t="str">
            <v>Imprevistos</v>
          </cell>
          <cell r="K116">
            <v>0.05</v>
          </cell>
          <cell r="S116">
            <v>0</v>
          </cell>
          <cell r="Z116">
            <v>0</v>
          </cell>
          <cell r="AG116">
            <v>0</v>
          </cell>
          <cell r="AN116">
            <v>106108.46000000002</v>
          </cell>
          <cell r="AO116">
            <v>0</v>
          </cell>
          <cell r="AU116">
            <v>33677.050000000003</v>
          </cell>
          <cell r="AY116">
            <v>139785.51</v>
          </cell>
        </row>
        <row r="117">
          <cell r="A117">
            <v>106</v>
          </cell>
          <cell r="B117">
            <v>106</v>
          </cell>
          <cell r="C117">
            <v>99</v>
          </cell>
          <cell r="D117" t="str">
            <v>7.1.</v>
          </cell>
          <cell r="E117" t="str">
            <v>Traslado de Línea (Postes)</v>
          </cell>
          <cell r="F117" t="str">
            <v>[pzas]</v>
          </cell>
          <cell r="Q117">
            <v>0</v>
          </cell>
          <cell r="R117">
            <v>116.551</v>
          </cell>
          <cell r="S117">
            <v>0</v>
          </cell>
          <cell r="U117">
            <v>23</v>
          </cell>
          <cell r="X117">
            <v>25</v>
          </cell>
          <cell r="Y117">
            <v>116.551</v>
          </cell>
          <cell r="Z117">
            <v>2913.78</v>
          </cell>
          <cell r="AB117">
            <v>8</v>
          </cell>
          <cell r="AE117">
            <v>9</v>
          </cell>
          <cell r="AF117">
            <v>116.551</v>
          </cell>
          <cell r="AG117">
            <v>1048.96</v>
          </cell>
          <cell r="AL117">
            <v>0</v>
          </cell>
          <cell r="AM117">
            <v>0</v>
          </cell>
          <cell r="AN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34</v>
          </cell>
          <cell r="AX117" t="e">
            <v>#N/A</v>
          </cell>
          <cell r="AY117">
            <v>3962.7400000000002</v>
          </cell>
        </row>
        <row r="118">
          <cell r="A118">
            <v>107</v>
          </cell>
          <cell r="B118">
            <v>107</v>
          </cell>
          <cell r="C118">
            <v>100</v>
          </cell>
          <cell r="D118" t="str">
            <v>7.2.</v>
          </cell>
          <cell r="E118" t="str">
            <v>Relleno de jardineras e=0.20m</v>
          </cell>
          <cell r="F118" t="str">
            <v>[m³]</v>
          </cell>
          <cell r="Q118">
            <v>0</v>
          </cell>
          <cell r="R118">
            <v>2.2730000000000001</v>
          </cell>
          <cell r="S118">
            <v>0</v>
          </cell>
          <cell r="U118">
            <v>6840.5780000000004</v>
          </cell>
          <cell r="X118">
            <v>7183</v>
          </cell>
          <cell r="Y118">
            <v>2.2730000000000001</v>
          </cell>
          <cell r="Z118">
            <v>16326.96</v>
          </cell>
          <cell r="AB118">
            <v>2874.2579999999998</v>
          </cell>
          <cell r="AE118">
            <v>3018</v>
          </cell>
          <cell r="AF118">
            <v>2.2730000000000001</v>
          </cell>
          <cell r="AG118">
            <v>6859.91</v>
          </cell>
          <cell r="AL118">
            <v>0</v>
          </cell>
          <cell r="AM118">
            <v>0</v>
          </cell>
          <cell r="AN118">
            <v>0</v>
          </cell>
          <cell r="AS118">
            <v>0</v>
          </cell>
          <cell r="AT118">
            <v>0</v>
          </cell>
          <cell r="AU118">
            <v>0</v>
          </cell>
          <cell r="AW118">
            <v>10201</v>
          </cell>
          <cell r="AX118" t="e">
            <v>#N/A</v>
          </cell>
          <cell r="AY118">
            <v>23186.87</v>
          </cell>
        </row>
        <row r="119">
          <cell r="A119">
            <v>108</v>
          </cell>
          <cell r="B119">
            <v>108</v>
          </cell>
          <cell r="C119">
            <v>101</v>
          </cell>
          <cell r="D119" t="str">
            <v>7.3.</v>
          </cell>
          <cell r="E119" t="str">
            <v>Cordones</v>
          </cell>
          <cell r="F119" t="str">
            <v>[m]</v>
          </cell>
          <cell r="Q119">
            <v>0</v>
          </cell>
          <cell r="R119">
            <v>10.157999999999999</v>
          </cell>
          <cell r="S119">
            <v>0</v>
          </cell>
          <cell r="U119">
            <v>7556.48</v>
          </cell>
          <cell r="X119">
            <v>7935</v>
          </cell>
          <cell r="Y119">
            <v>10.157999999999999</v>
          </cell>
          <cell r="Z119">
            <v>80603.73</v>
          </cell>
          <cell r="AB119">
            <v>3594.66</v>
          </cell>
          <cell r="AE119">
            <v>3775</v>
          </cell>
          <cell r="AF119">
            <v>10.157999999999999</v>
          </cell>
          <cell r="AG119">
            <v>38346.449999999997</v>
          </cell>
          <cell r="AL119">
            <v>0</v>
          </cell>
          <cell r="AM119">
            <v>0</v>
          </cell>
          <cell r="AN119">
            <v>0</v>
          </cell>
          <cell r="AS119">
            <v>0</v>
          </cell>
          <cell r="AT119">
            <v>0</v>
          </cell>
          <cell r="AU119">
            <v>0</v>
          </cell>
          <cell r="AW119">
            <v>11710</v>
          </cell>
          <cell r="AX119" t="e">
            <v>#N/A</v>
          </cell>
          <cell r="AY119">
            <v>118950.18</v>
          </cell>
        </row>
        <row r="120">
          <cell r="A120">
            <v>109</v>
          </cell>
          <cell r="B120">
            <v>109</v>
          </cell>
          <cell r="C120">
            <v>102</v>
          </cell>
          <cell r="D120" t="str">
            <v>7.4.</v>
          </cell>
          <cell r="E120" t="str">
            <v>Aceras</v>
          </cell>
          <cell r="F120" t="str">
            <v>[m²]</v>
          </cell>
          <cell r="Q120">
            <v>0</v>
          </cell>
          <cell r="R120">
            <v>21.331</v>
          </cell>
          <cell r="S120">
            <v>0</v>
          </cell>
          <cell r="U120">
            <v>4405.5169999999998</v>
          </cell>
          <cell r="X120">
            <v>4626</v>
          </cell>
          <cell r="Y120">
            <v>21.331</v>
          </cell>
          <cell r="Z120">
            <v>98677.21</v>
          </cell>
          <cell r="AB120">
            <v>2048.2739999999999</v>
          </cell>
          <cell r="AE120">
            <v>2151</v>
          </cell>
          <cell r="AF120">
            <v>21.331</v>
          </cell>
          <cell r="AG120">
            <v>45882.98</v>
          </cell>
          <cell r="AL120">
            <v>0</v>
          </cell>
          <cell r="AM120">
            <v>0</v>
          </cell>
          <cell r="AN120">
            <v>0</v>
          </cell>
          <cell r="AS120">
            <v>0</v>
          </cell>
          <cell r="AT120">
            <v>0</v>
          </cell>
          <cell r="AU120">
            <v>0</v>
          </cell>
          <cell r="AW120">
            <v>6777</v>
          </cell>
          <cell r="AX120" t="e">
            <v>#N/A</v>
          </cell>
          <cell r="AY120">
            <v>144560.19</v>
          </cell>
        </row>
        <row r="121">
          <cell r="A121">
            <v>110</v>
          </cell>
          <cell r="B121">
            <v>110</v>
          </cell>
          <cell r="C121">
            <v>103</v>
          </cell>
          <cell r="D121" t="str">
            <v>7.5.</v>
          </cell>
          <cell r="E121" t="str">
            <v>Hormigón Simple Tipo "B"</v>
          </cell>
          <cell r="F121" t="str">
            <v>[m³]</v>
          </cell>
          <cell r="Q121">
            <v>0</v>
          </cell>
          <cell r="R121">
            <v>100.089</v>
          </cell>
          <cell r="S121">
            <v>0</v>
          </cell>
          <cell r="X121">
            <v>0</v>
          </cell>
          <cell r="Y121">
            <v>100.089</v>
          </cell>
          <cell r="Z121">
            <v>0</v>
          </cell>
          <cell r="AE121">
            <v>0</v>
          </cell>
          <cell r="AF121">
            <v>100.089</v>
          </cell>
          <cell r="AG121">
            <v>0</v>
          </cell>
          <cell r="AL121">
            <v>0</v>
          </cell>
          <cell r="AM121">
            <v>0</v>
          </cell>
          <cell r="AN121">
            <v>0</v>
          </cell>
          <cell r="AS121">
            <v>0</v>
          </cell>
          <cell r="AT121">
            <v>0</v>
          </cell>
          <cell r="AU121">
            <v>0</v>
          </cell>
          <cell r="AW121">
            <v>0</v>
          </cell>
          <cell r="AX121" t="e">
            <v>#N/A</v>
          </cell>
          <cell r="AY121">
            <v>0</v>
          </cell>
        </row>
        <row r="122">
          <cell r="A122">
            <v>111</v>
          </cell>
          <cell r="B122">
            <v>111</v>
          </cell>
          <cell r="C122">
            <v>104</v>
          </cell>
          <cell r="D122" t="str">
            <v>7.6.</v>
          </cell>
          <cell r="E122" t="str">
            <v>Remoción de Empedrado</v>
          </cell>
          <cell r="F122" t="str">
            <v>[m²]</v>
          </cell>
          <cell r="Q122">
            <v>0</v>
          </cell>
          <cell r="R122">
            <v>0.625</v>
          </cell>
          <cell r="S122">
            <v>0</v>
          </cell>
          <cell r="X122">
            <v>0</v>
          </cell>
          <cell r="Y122">
            <v>0.625</v>
          </cell>
          <cell r="Z122">
            <v>0</v>
          </cell>
          <cell r="AE122">
            <v>0</v>
          </cell>
          <cell r="AF122">
            <v>0.625</v>
          </cell>
          <cell r="AG122">
            <v>0</v>
          </cell>
          <cell r="AL122">
            <v>0</v>
          </cell>
          <cell r="AM122">
            <v>0</v>
          </cell>
          <cell r="AN122">
            <v>0</v>
          </cell>
          <cell r="AS122">
            <v>0</v>
          </cell>
          <cell r="AT122">
            <v>0</v>
          </cell>
          <cell r="AU122">
            <v>0</v>
          </cell>
          <cell r="AW122">
            <v>0</v>
          </cell>
          <cell r="AX122" t="e">
            <v>#N/A</v>
          </cell>
          <cell r="AY122">
            <v>0</v>
          </cell>
        </row>
        <row r="123">
          <cell r="A123">
            <v>112</v>
          </cell>
          <cell r="B123">
            <v>112</v>
          </cell>
          <cell r="C123">
            <v>105</v>
          </cell>
          <cell r="D123" t="str">
            <v>7.7.</v>
          </cell>
          <cell r="E123" t="str">
            <v>Asientos</v>
          </cell>
          <cell r="F123" t="str">
            <v>[und]</v>
          </cell>
          <cell r="Q123">
            <v>0</v>
          </cell>
          <cell r="R123">
            <v>74.897000000000006</v>
          </cell>
          <cell r="S123">
            <v>0</v>
          </cell>
          <cell r="X123">
            <v>0</v>
          </cell>
          <cell r="Y123">
            <v>74.897000000000006</v>
          </cell>
          <cell r="Z123">
            <v>0</v>
          </cell>
          <cell r="AE123">
            <v>0</v>
          </cell>
          <cell r="AF123">
            <v>74.897000000000006</v>
          </cell>
          <cell r="AG123">
            <v>0</v>
          </cell>
          <cell r="AL123">
            <v>0</v>
          </cell>
          <cell r="AM123">
            <v>0</v>
          </cell>
          <cell r="AN123">
            <v>0</v>
          </cell>
          <cell r="AS123">
            <v>0</v>
          </cell>
          <cell r="AT123">
            <v>0</v>
          </cell>
          <cell r="AU123">
            <v>0</v>
          </cell>
          <cell r="AW123">
            <v>0</v>
          </cell>
          <cell r="AX123" t="e">
            <v>#N/A</v>
          </cell>
          <cell r="AY123">
            <v>0</v>
          </cell>
        </row>
        <row r="124">
          <cell r="A124">
            <v>113</v>
          </cell>
          <cell r="B124" t="str">
            <v>X</v>
          </cell>
          <cell r="C124">
            <v>105</v>
          </cell>
          <cell r="D124">
            <v>8</v>
          </cell>
          <cell r="E124" t="str">
            <v>SEÑALIZACIÓN Y SEGURIDAD VIAL</v>
          </cell>
          <cell r="I124" t="str">
            <v>Imprevistos</v>
          </cell>
          <cell r="K124">
            <v>0.05</v>
          </cell>
          <cell r="S124">
            <v>0</v>
          </cell>
          <cell r="Z124">
            <v>198521.68</v>
          </cell>
          <cell r="AG124">
            <v>92138.3</v>
          </cell>
          <cell r="AN124">
            <v>0</v>
          </cell>
          <cell r="AU124">
            <v>0</v>
          </cell>
          <cell r="AY124">
            <v>290659.98</v>
          </cell>
        </row>
        <row r="125">
          <cell r="A125">
            <v>114</v>
          </cell>
          <cell r="B125">
            <v>114</v>
          </cell>
          <cell r="C125">
            <v>106</v>
          </cell>
          <cell r="D125" t="str">
            <v>8.1.</v>
          </cell>
          <cell r="E125" t="str">
            <v>Defensas Laterales Metálicas, Incluye Terminales</v>
          </cell>
          <cell r="F125" t="str">
            <v>[m]</v>
          </cell>
          <cell r="N125">
            <v>4740</v>
          </cell>
          <cell r="Q125">
            <v>5471</v>
          </cell>
          <cell r="R125">
            <v>44.296999999999997</v>
          </cell>
          <cell r="S125">
            <v>242348.89</v>
          </cell>
          <cell r="X125">
            <v>0</v>
          </cell>
          <cell r="Y125">
            <v>44.296999999999997</v>
          </cell>
          <cell r="Z125">
            <v>0</v>
          </cell>
          <cell r="AE125">
            <v>0</v>
          </cell>
          <cell r="AF125">
            <v>44.296999999999997</v>
          </cell>
          <cell r="AG125">
            <v>0</v>
          </cell>
          <cell r="AL125">
            <v>0</v>
          </cell>
          <cell r="AM125">
            <v>0</v>
          </cell>
          <cell r="AN125">
            <v>0</v>
          </cell>
          <cell r="AS125">
            <v>0</v>
          </cell>
          <cell r="AT125">
            <v>0</v>
          </cell>
          <cell r="AU125">
            <v>0</v>
          </cell>
          <cell r="AW125">
            <v>5471</v>
          </cell>
          <cell r="AX125" t="e">
            <v>#N/A</v>
          </cell>
          <cell r="AY125">
            <v>242348.89</v>
          </cell>
        </row>
        <row r="126">
          <cell r="A126">
            <v>115</v>
          </cell>
          <cell r="B126">
            <v>115</v>
          </cell>
          <cell r="C126">
            <v>107</v>
          </cell>
          <cell r="D126" t="str">
            <v>8.2.1.</v>
          </cell>
          <cell r="E126" t="str">
            <v>Delineadores de Calzada</v>
          </cell>
          <cell r="F126" t="str">
            <v>[unidad]</v>
          </cell>
          <cell r="N126">
            <v>106</v>
          </cell>
          <cell r="Q126">
            <v>112</v>
          </cell>
          <cell r="R126">
            <v>12.195</v>
          </cell>
          <cell r="S126">
            <v>1365.84</v>
          </cell>
          <cell r="X126">
            <v>0</v>
          </cell>
          <cell r="Y126">
            <v>12.195</v>
          </cell>
          <cell r="Z126">
            <v>0</v>
          </cell>
          <cell r="AE126">
            <v>0</v>
          </cell>
          <cell r="AF126">
            <v>12.195</v>
          </cell>
          <cell r="AG126">
            <v>0</v>
          </cell>
          <cell r="AL126">
            <v>0</v>
          </cell>
          <cell r="AM126">
            <v>0</v>
          </cell>
          <cell r="AN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112</v>
          </cell>
          <cell r="AX126" t="e">
            <v>#N/A</v>
          </cell>
          <cell r="AY126">
            <v>1365.84</v>
          </cell>
        </row>
        <row r="127">
          <cell r="A127">
            <v>116</v>
          </cell>
          <cell r="B127">
            <v>116</v>
          </cell>
          <cell r="C127">
            <v>108</v>
          </cell>
          <cell r="D127" t="str">
            <v>8.2.2.</v>
          </cell>
          <cell r="E127" t="str">
            <v>Delineadores de Curva Tipo Chevron</v>
          </cell>
          <cell r="F127" t="str">
            <v>[unidad]</v>
          </cell>
          <cell r="N127">
            <v>402</v>
          </cell>
          <cell r="Q127">
            <v>423</v>
          </cell>
          <cell r="R127">
            <v>56.606999999999999</v>
          </cell>
          <cell r="S127">
            <v>23944.76</v>
          </cell>
          <cell r="X127">
            <v>0</v>
          </cell>
          <cell r="Y127">
            <v>56.606999999999999</v>
          </cell>
          <cell r="Z127">
            <v>0</v>
          </cell>
          <cell r="AE127">
            <v>0</v>
          </cell>
          <cell r="AF127">
            <v>56.606999999999999</v>
          </cell>
          <cell r="AG127">
            <v>0</v>
          </cell>
          <cell r="AL127">
            <v>0</v>
          </cell>
          <cell r="AM127">
            <v>0</v>
          </cell>
          <cell r="AN127">
            <v>0</v>
          </cell>
          <cell r="AS127">
            <v>0</v>
          </cell>
          <cell r="AT127">
            <v>0</v>
          </cell>
          <cell r="AU127">
            <v>0</v>
          </cell>
          <cell r="AW127">
            <v>423</v>
          </cell>
          <cell r="AX127" t="e">
            <v>#N/A</v>
          </cell>
          <cell r="AY127">
            <v>23944.76</v>
          </cell>
        </row>
        <row r="128">
          <cell r="A128">
            <v>117</v>
          </cell>
          <cell r="B128">
            <v>117</v>
          </cell>
          <cell r="C128">
            <v>109</v>
          </cell>
          <cell r="D128" t="str">
            <v>8.3.1.</v>
          </cell>
          <cell r="E128" t="str">
            <v>Pintado de la Superficie de Rodadura de 0.10 m de ancho</v>
          </cell>
          <cell r="F128" t="str">
            <v>[m]</v>
          </cell>
          <cell r="N128">
            <v>209290</v>
          </cell>
          <cell r="Q128">
            <v>219755</v>
          </cell>
          <cell r="R128">
            <v>0.56599999999999995</v>
          </cell>
          <cell r="S128">
            <v>124381.33</v>
          </cell>
          <cell r="U128">
            <v>14700</v>
          </cell>
          <cell r="X128">
            <v>15435</v>
          </cell>
          <cell r="Y128">
            <v>0.56599999999999995</v>
          </cell>
          <cell r="Z128">
            <v>8736.2099999999991</v>
          </cell>
          <cell r="AB128">
            <v>4900</v>
          </cell>
          <cell r="AE128">
            <v>5145</v>
          </cell>
          <cell r="AF128">
            <v>0.56599999999999995</v>
          </cell>
          <cell r="AG128">
            <v>2912.07</v>
          </cell>
          <cell r="AL128">
            <v>0</v>
          </cell>
          <cell r="AM128">
            <v>0</v>
          </cell>
          <cell r="AN128">
            <v>0</v>
          </cell>
          <cell r="AS128">
            <v>0</v>
          </cell>
          <cell r="AT128">
            <v>0</v>
          </cell>
          <cell r="AU128">
            <v>0</v>
          </cell>
          <cell r="AW128">
            <v>240335</v>
          </cell>
          <cell r="AX128" t="e">
            <v>#N/A</v>
          </cell>
          <cell r="AY128">
            <v>136029.61000000002</v>
          </cell>
        </row>
        <row r="129">
          <cell r="A129">
            <v>118</v>
          </cell>
          <cell r="B129">
            <v>118</v>
          </cell>
          <cell r="C129">
            <v>110</v>
          </cell>
          <cell r="D129" t="str">
            <v>8.3.2.</v>
          </cell>
          <cell r="E129" t="str">
            <v>Señalización Horizontal con Simbolos y Letras</v>
          </cell>
          <cell r="F129" t="str">
            <v>[m²]</v>
          </cell>
          <cell r="N129">
            <v>1365</v>
          </cell>
          <cell r="Q129">
            <v>1434</v>
          </cell>
          <cell r="R129">
            <v>7.2210000000000001</v>
          </cell>
          <cell r="S129">
            <v>10354.91</v>
          </cell>
          <cell r="U129">
            <v>1649</v>
          </cell>
          <cell r="X129">
            <v>1732</v>
          </cell>
          <cell r="Y129">
            <v>7.2210000000000001</v>
          </cell>
          <cell r="Z129">
            <v>12506.77</v>
          </cell>
          <cell r="AB129">
            <v>311</v>
          </cell>
          <cell r="AE129">
            <v>327</v>
          </cell>
          <cell r="AF129">
            <v>7.2210000000000001</v>
          </cell>
          <cell r="AG129">
            <v>2361.27</v>
          </cell>
          <cell r="AL129">
            <v>0</v>
          </cell>
          <cell r="AM129">
            <v>0</v>
          </cell>
          <cell r="AN129">
            <v>0</v>
          </cell>
          <cell r="AS129">
            <v>0</v>
          </cell>
          <cell r="AT129">
            <v>0</v>
          </cell>
          <cell r="AU129">
            <v>0</v>
          </cell>
          <cell r="AW129">
            <v>3493</v>
          </cell>
          <cell r="AX129" t="e">
            <v>#N/A</v>
          </cell>
          <cell r="AY129">
            <v>25222.95</v>
          </cell>
        </row>
        <row r="130">
          <cell r="A130">
            <v>119</v>
          </cell>
          <cell r="B130">
            <v>119</v>
          </cell>
          <cell r="C130">
            <v>111</v>
          </cell>
          <cell r="D130" t="str">
            <v>8.4.1.</v>
          </cell>
          <cell r="E130" t="str">
            <v>Señal Preventiva Cuadrangular 0.90 x 0.90 m</v>
          </cell>
          <cell r="F130" t="str">
            <v>[unidad]</v>
          </cell>
          <cell r="N130">
            <v>117</v>
          </cell>
          <cell r="Q130">
            <v>123</v>
          </cell>
          <cell r="R130">
            <v>64.807000000000002</v>
          </cell>
          <cell r="S130">
            <v>7971.26</v>
          </cell>
          <cell r="U130">
            <v>15</v>
          </cell>
          <cell r="X130">
            <v>16</v>
          </cell>
          <cell r="Y130">
            <v>64.807000000000002</v>
          </cell>
          <cell r="Z130">
            <v>1036.9100000000001</v>
          </cell>
          <cell r="AB130">
            <v>6</v>
          </cell>
          <cell r="AE130">
            <v>7</v>
          </cell>
          <cell r="AF130">
            <v>64.807000000000002</v>
          </cell>
          <cell r="AG130">
            <v>453.65</v>
          </cell>
          <cell r="AL130">
            <v>0</v>
          </cell>
          <cell r="AM130">
            <v>0</v>
          </cell>
          <cell r="AN130">
            <v>0</v>
          </cell>
          <cell r="AS130">
            <v>0</v>
          </cell>
          <cell r="AT130">
            <v>0</v>
          </cell>
          <cell r="AU130">
            <v>0</v>
          </cell>
          <cell r="AW130">
            <v>146</v>
          </cell>
          <cell r="AX130" t="e">
            <v>#N/A</v>
          </cell>
          <cell r="AY130">
            <v>9461.82</v>
          </cell>
        </row>
        <row r="131">
          <cell r="A131">
            <v>120</v>
          </cell>
          <cell r="B131">
            <v>120</v>
          </cell>
          <cell r="C131">
            <v>112</v>
          </cell>
          <cell r="D131" t="str">
            <v>8.4.2.</v>
          </cell>
          <cell r="E131" t="str">
            <v>Señal Restrictiva Octogonal PARE 0.90 m</v>
          </cell>
          <cell r="F131" t="str">
            <v>[unidad]</v>
          </cell>
          <cell r="N131">
            <v>38</v>
          </cell>
          <cell r="Q131">
            <v>42</v>
          </cell>
          <cell r="R131">
            <v>60.18</v>
          </cell>
          <cell r="S131">
            <v>2527.56</v>
          </cell>
          <cell r="U131">
            <v>14</v>
          </cell>
          <cell r="X131">
            <v>15</v>
          </cell>
          <cell r="Y131">
            <v>60.18</v>
          </cell>
          <cell r="Z131">
            <v>902.7</v>
          </cell>
          <cell r="AB131">
            <v>5</v>
          </cell>
          <cell r="AE131">
            <v>6</v>
          </cell>
          <cell r="AF131">
            <v>60.18</v>
          </cell>
          <cell r="AG131">
            <v>361.08</v>
          </cell>
          <cell r="AL131">
            <v>0</v>
          </cell>
          <cell r="AM131">
            <v>0</v>
          </cell>
          <cell r="AN131">
            <v>0</v>
          </cell>
          <cell r="AS131">
            <v>0</v>
          </cell>
          <cell r="AT131">
            <v>0</v>
          </cell>
          <cell r="AU131">
            <v>0</v>
          </cell>
          <cell r="AW131">
            <v>63</v>
          </cell>
          <cell r="AX131" t="e">
            <v>#N/A</v>
          </cell>
          <cell r="AY131">
            <v>3791.34</v>
          </cell>
        </row>
        <row r="132">
          <cell r="A132">
            <v>121</v>
          </cell>
          <cell r="B132">
            <v>121</v>
          </cell>
          <cell r="C132">
            <v>113</v>
          </cell>
          <cell r="D132" t="str">
            <v>8.4.3.</v>
          </cell>
          <cell r="E132" t="str">
            <v>Señal Restrictiva Triangular CEDA 1.20 m</v>
          </cell>
          <cell r="F132" t="str">
            <v>[unidad]</v>
          </cell>
          <cell r="N132">
            <v>0</v>
          </cell>
          <cell r="Q132">
            <v>0</v>
          </cell>
          <cell r="R132">
            <v>74.061999999999998</v>
          </cell>
          <cell r="S132">
            <v>0</v>
          </cell>
          <cell r="U132">
            <v>4</v>
          </cell>
          <cell r="X132">
            <v>5</v>
          </cell>
          <cell r="Y132">
            <v>74.061999999999998</v>
          </cell>
          <cell r="Z132">
            <v>370.31</v>
          </cell>
          <cell r="AB132">
            <v>2</v>
          </cell>
          <cell r="AE132">
            <v>3</v>
          </cell>
          <cell r="AF132">
            <v>74.061999999999998</v>
          </cell>
          <cell r="AG132">
            <v>222.19</v>
          </cell>
          <cell r="AL132">
            <v>0</v>
          </cell>
          <cell r="AM132">
            <v>0</v>
          </cell>
          <cell r="AN132">
            <v>0</v>
          </cell>
          <cell r="AS132">
            <v>0</v>
          </cell>
          <cell r="AT132">
            <v>0</v>
          </cell>
          <cell r="AU132">
            <v>0</v>
          </cell>
          <cell r="AW132">
            <v>8</v>
          </cell>
          <cell r="AX132" t="e">
            <v>#N/A</v>
          </cell>
          <cell r="AY132">
            <v>592.5</v>
          </cell>
        </row>
        <row r="133">
          <cell r="A133">
            <v>122</v>
          </cell>
          <cell r="B133">
            <v>122</v>
          </cell>
          <cell r="C133">
            <v>114</v>
          </cell>
          <cell r="D133" t="str">
            <v>8.4.4.</v>
          </cell>
          <cell r="E133" t="str">
            <v>Señal Restrictiva 0.60 x 0.90 m</v>
          </cell>
          <cell r="F133" t="str">
            <v>[unidad]</v>
          </cell>
          <cell r="N133">
            <v>92</v>
          </cell>
          <cell r="Q133">
            <v>97</v>
          </cell>
          <cell r="R133">
            <v>53.238</v>
          </cell>
          <cell r="S133">
            <v>5164.09</v>
          </cell>
          <cell r="U133">
            <v>5</v>
          </cell>
          <cell r="X133">
            <v>6</v>
          </cell>
          <cell r="Y133">
            <v>53.238</v>
          </cell>
          <cell r="Z133">
            <v>319.43</v>
          </cell>
          <cell r="AB133">
            <v>2</v>
          </cell>
          <cell r="AE133">
            <v>3</v>
          </cell>
          <cell r="AF133">
            <v>53.238</v>
          </cell>
          <cell r="AG133">
            <v>159.71</v>
          </cell>
          <cell r="AL133">
            <v>0</v>
          </cell>
          <cell r="AM133">
            <v>0</v>
          </cell>
          <cell r="AN133">
            <v>0</v>
          </cell>
          <cell r="AS133">
            <v>0</v>
          </cell>
          <cell r="AT133">
            <v>0</v>
          </cell>
          <cell r="AU133">
            <v>0</v>
          </cell>
          <cell r="AW133">
            <v>106</v>
          </cell>
          <cell r="AX133" t="e">
            <v>#N/A</v>
          </cell>
          <cell r="AY133">
            <v>5643.2300000000005</v>
          </cell>
        </row>
        <row r="134">
          <cell r="A134">
            <v>123</v>
          </cell>
          <cell r="B134">
            <v>123</v>
          </cell>
          <cell r="C134">
            <v>115</v>
          </cell>
          <cell r="D134" t="str">
            <v>8.4.5.</v>
          </cell>
          <cell r="E134" t="str">
            <v>Señal Informativa de Destino, una Placa 1.80 x 0.40 m Cada Placa</v>
          </cell>
          <cell r="F134" t="str">
            <v>[unidad]</v>
          </cell>
          <cell r="N134">
            <v>0</v>
          </cell>
          <cell r="Q134">
            <v>0</v>
          </cell>
          <cell r="R134">
            <v>101.44199999999999</v>
          </cell>
          <cell r="S134">
            <v>0</v>
          </cell>
          <cell r="X134">
            <v>0</v>
          </cell>
          <cell r="Y134">
            <v>101.44199999999999</v>
          </cell>
          <cell r="Z134">
            <v>0</v>
          </cell>
          <cell r="AB134">
            <v>1</v>
          </cell>
          <cell r="AE134">
            <v>2</v>
          </cell>
          <cell r="AF134">
            <v>101.44199999999999</v>
          </cell>
          <cell r="AG134">
            <v>202.88</v>
          </cell>
          <cell r="AL134">
            <v>0</v>
          </cell>
          <cell r="AM134">
            <v>0</v>
          </cell>
          <cell r="AN134">
            <v>0</v>
          </cell>
          <cell r="AS134">
            <v>0</v>
          </cell>
          <cell r="AT134">
            <v>0</v>
          </cell>
          <cell r="AU134">
            <v>0</v>
          </cell>
          <cell r="AW134">
            <v>2</v>
          </cell>
          <cell r="AX134" t="e">
            <v>#N/A</v>
          </cell>
          <cell r="AY134">
            <v>202.88</v>
          </cell>
        </row>
        <row r="135">
          <cell r="A135">
            <v>124</v>
          </cell>
          <cell r="B135">
            <v>124</v>
          </cell>
          <cell r="C135">
            <v>116</v>
          </cell>
          <cell r="D135" t="str">
            <v>8.4.6.</v>
          </cell>
          <cell r="E135" t="str">
            <v>Señal Informativa de Destino, con dos Placas 1.80 x 0.40 m Cada Placa</v>
          </cell>
          <cell r="F135" t="str">
            <v>[unidad]</v>
          </cell>
          <cell r="N135">
            <v>16</v>
          </cell>
          <cell r="Q135">
            <v>19</v>
          </cell>
          <cell r="R135">
            <v>143.089</v>
          </cell>
          <cell r="S135">
            <v>2718.69</v>
          </cell>
          <cell r="X135">
            <v>0</v>
          </cell>
          <cell r="Y135">
            <v>143.089</v>
          </cell>
          <cell r="Z135">
            <v>0</v>
          </cell>
          <cell r="AE135">
            <v>0</v>
          </cell>
          <cell r="AF135">
            <v>143.089</v>
          </cell>
          <cell r="AG135">
            <v>0</v>
          </cell>
          <cell r="AL135">
            <v>0</v>
          </cell>
          <cell r="AM135">
            <v>0</v>
          </cell>
          <cell r="AN135">
            <v>0</v>
          </cell>
          <cell r="AS135">
            <v>0</v>
          </cell>
          <cell r="AT135">
            <v>0</v>
          </cell>
          <cell r="AU135">
            <v>0</v>
          </cell>
          <cell r="AW135">
            <v>19</v>
          </cell>
          <cell r="AX135" t="e">
            <v>#N/A</v>
          </cell>
          <cell r="AY135">
            <v>2718.69</v>
          </cell>
        </row>
        <row r="136">
          <cell r="A136">
            <v>125</v>
          </cell>
          <cell r="B136">
            <v>125</v>
          </cell>
          <cell r="C136">
            <v>117</v>
          </cell>
          <cell r="D136" t="str">
            <v>8.4.7.</v>
          </cell>
          <cell r="E136" t="str">
            <v>Señal Informativa de Destino, una Placa 2.40 x 0.40 m</v>
          </cell>
          <cell r="F136" t="str">
            <v>[unidad]</v>
          </cell>
          <cell r="N136">
            <v>0</v>
          </cell>
          <cell r="Q136">
            <v>0</v>
          </cell>
          <cell r="R136">
            <v>127.46</v>
          </cell>
          <cell r="S136">
            <v>0</v>
          </cell>
          <cell r="X136">
            <v>0</v>
          </cell>
          <cell r="Y136">
            <v>127.46</v>
          </cell>
          <cell r="Z136">
            <v>0</v>
          </cell>
          <cell r="AE136">
            <v>0</v>
          </cell>
          <cell r="AF136">
            <v>127.46</v>
          </cell>
          <cell r="AG136">
            <v>0</v>
          </cell>
          <cell r="AL136">
            <v>0</v>
          </cell>
          <cell r="AM136">
            <v>0</v>
          </cell>
          <cell r="AN136">
            <v>0</v>
          </cell>
          <cell r="AS136">
            <v>0</v>
          </cell>
          <cell r="AT136">
            <v>0</v>
          </cell>
          <cell r="AU136">
            <v>0</v>
          </cell>
          <cell r="AW136">
            <v>0</v>
          </cell>
          <cell r="AX136" t="e">
            <v>#N/A</v>
          </cell>
          <cell r="AY136">
            <v>0</v>
          </cell>
        </row>
        <row r="137">
          <cell r="A137">
            <v>126</v>
          </cell>
          <cell r="B137">
            <v>126</v>
          </cell>
          <cell r="C137">
            <v>118</v>
          </cell>
          <cell r="D137" t="str">
            <v>8.4.9.</v>
          </cell>
          <cell r="E137" t="str">
            <v>Señal Informativa de Destino, con tres Placas 1.80 x 0.40 m Cada Placa</v>
          </cell>
          <cell r="F137" t="str">
            <v>[unidad]</v>
          </cell>
          <cell r="N137">
            <v>3</v>
          </cell>
          <cell r="Q137">
            <v>4</v>
          </cell>
          <cell r="R137">
            <v>184.72499999999999</v>
          </cell>
          <cell r="S137">
            <v>738.9</v>
          </cell>
          <cell r="X137">
            <v>0</v>
          </cell>
          <cell r="Y137">
            <v>184.72499999999999</v>
          </cell>
          <cell r="Z137">
            <v>0</v>
          </cell>
          <cell r="AE137">
            <v>0</v>
          </cell>
          <cell r="AF137">
            <v>184.72499999999999</v>
          </cell>
          <cell r="AG137">
            <v>0</v>
          </cell>
          <cell r="AL137">
            <v>0</v>
          </cell>
          <cell r="AM137">
            <v>0</v>
          </cell>
          <cell r="AN137">
            <v>0</v>
          </cell>
          <cell r="AS137">
            <v>0</v>
          </cell>
          <cell r="AT137">
            <v>0</v>
          </cell>
          <cell r="AU137">
            <v>0</v>
          </cell>
          <cell r="AW137">
            <v>4</v>
          </cell>
          <cell r="AX137" t="e">
            <v>#N/A</v>
          </cell>
          <cell r="AY137">
            <v>738.9</v>
          </cell>
        </row>
        <row r="138">
          <cell r="A138">
            <v>127</v>
          </cell>
          <cell r="B138">
            <v>127</v>
          </cell>
          <cell r="C138">
            <v>119</v>
          </cell>
          <cell r="D138" t="str">
            <v>8.4.10.</v>
          </cell>
          <cell r="E138" t="str">
            <v>Señal Informativa de Servicio 0.60 x 0.80 m</v>
          </cell>
          <cell r="F138" t="str">
            <v>[unidad]</v>
          </cell>
          <cell r="N138">
            <v>23</v>
          </cell>
          <cell r="Q138">
            <v>25</v>
          </cell>
          <cell r="R138">
            <v>50.924999999999997</v>
          </cell>
          <cell r="S138">
            <v>1273.1300000000001</v>
          </cell>
          <cell r="U138">
            <v>1</v>
          </cell>
          <cell r="X138">
            <v>2</v>
          </cell>
          <cell r="Y138">
            <v>50.924999999999997</v>
          </cell>
          <cell r="Z138">
            <v>101.85</v>
          </cell>
          <cell r="AB138">
            <v>1</v>
          </cell>
          <cell r="AE138">
            <v>2</v>
          </cell>
          <cell r="AF138">
            <v>50.924999999999997</v>
          </cell>
          <cell r="AG138">
            <v>101.85</v>
          </cell>
          <cell r="AL138">
            <v>0</v>
          </cell>
          <cell r="AM138">
            <v>0</v>
          </cell>
          <cell r="AN138">
            <v>0</v>
          </cell>
          <cell r="AS138">
            <v>0</v>
          </cell>
          <cell r="AT138">
            <v>0</v>
          </cell>
          <cell r="AU138">
            <v>0</v>
          </cell>
          <cell r="AW138">
            <v>29</v>
          </cell>
          <cell r="AX138" t="e">
            <v>#N/A</v>
          </cell>
          <cell r="AY138">
            <v>1476.83</v>
          </cell>
        </row>
        <row r="139">
          <cell r="A139">
            <v>128</v>
          </cell>
          <cell r="B139">
            <v>128</v>
          </cell>
          <cell r="C139">
            <v>120</v>
          </cell>
          <cell r="D139" t="str">
            <v>8.4.11.</v>
          </cell>
          <cell r="E139" t="str">
            <v>Señal Especial, una Placa 1.20 x 1.80 m</v>
          </cell>
          <cell r="F139" t="str">
            <v>[unidad]</v>
          </cell>
          <cell r="N139">
            <v>1</v>
          </cell>
          <cell r="Q139">
            <v>2</v>
          </cell>
          <cell r="R139">
            <v>128.03899999999999</v>
          </cell>
          <cell r="S139">
            <v>256.08</v>
          </cell>
          <cell r="X139">
            <v>0</v>
          </cell>
          <cell r="Y139">
            <v>128.03899999999999</v>
          </cell>
          <cell r="Z139">
            <v>0</v>
          </cell>
          <cell r="AE139">
            <v>0</v>
          </cell>
          <cell r="AF139">
            <v>128.03899999999999</v>
          </cell>
          <cell r="AG139">
            <v>0</v>
          </cell>
          <cell r="AL139">
            <v>0</v>
          </cell>
          <cell r="AM139">
            <v>0</v>
          </cell>
          <cell r="AN139">
            <v>0</v>
          </cell>
          <cell r="AS139">
            <v>0</v>
          </cell>
          <cell r="AT139">
            <v>0</v>
          </cell>
          <cell r="AU139">
            <v>0</v>
          </cell>
          <cell r="AW139">
            <v>2</v>
          </cell>
          <cell r="AX139" t="e">
            <v>#N/A</v>
          </cell>
          <cell r="AY139">
            <v>256.08</v>
          </cell>
        </row>
        <row r="140">
          <cell r="A140">
            <v>129</v>
          </cell>
          <cell r="B140">
            <v>129</v>
          </cell>
          <cell r="C140">
            <v>121</v>
          </cell>
          <cell r="D140" t="str">
            <v>8.4.12.</v>
          </cell>
          <cell r="E140" t="str">
            <v>Señal Especial, una Placa 1.20 x 2.40 m</v>
          </cell>
          <cell r="F140" t="str">
            <v>[unidad]</v>
          </cell>
          <cell r="N140">
            <v>0</v>
          </cell>
          <cell r="Q140">
            <v>0</v>
          </cell>
          <cell r="R140">
            <v>195.137</v>
          </cell>
          <cell r="S140">
            <v>0</v>
          </cell>
          <cell r="X140">
            <v>0</v>
          </cell>
          <cell r="Y140">
            <v>195.137</v>
          </cell>
          <cell r="Z140">
            <v>0</v>
          </cell>
          <cell r="AE140">
            <v>0</v>
          </cell>
          <cell r="AF140">
            <v>195.137</v>
          </cell>
          <cell r="AG140">
            <v>0</v>
          </cell>
          <cell r="AL140">
            <v>0</v>
          </cell>
          <cell r="AM140">
            <v>0</v>
          </cell>
          <cell r="AN140">
            <v>0</v>
          </cell>
          <cell r="AS140">
            <v>0</v>
          </cell>
          <cell r="AT140">
            <v>0</v>
          </cell>
          <cell r="AU140">
            <v>0</v>
          </cell>
          <cell r="AW140">
            <v>0</v>
          </cell>
          <cell r="AX140" t="e">
            <v>#N/A</v>
          </cell>
          <cell r="AY140">
            <v>0</v>
          </cell>
        </row>
        <row r="141">
          <cell r="A141">
            <v>130</v>
          </cell>
          <cell r="B141">
            <v>130</v>
          </cell>
          <cell r="C141">
            <v>122</v>
          </cell>
          <cell r="D141" t="str">
            <v>8.4.13.</v>
          </cell>
          <cell r="E141" t="str">
            <v>Señal Especial 2.0 x 2.75 m (Peso Maximo)</v>
          </cell>
          <cell r="F141" t="str">
            <v>[unidad]</v>
          </cell>
          <cell r="N141">
            <v>0</v>
          </cell>
          <cell r="Q141">
            <v>0</v>
          </cell>
          <cell r="R141">
            <v>320.07799999999997</v>
          </cell>
          <cell r="S141">
            <v>0</v>
          </cell>
          <cell r="X141">
            <v>0</v>
          </cell>
          <cell r="Y141">
            <v>320.07799999999997</v>
          </cell>
          <cell r="Z141">
            <v>0</v>
          </cell>
          <cell r="AE141">
            <v>0</v>
          </cell>
          <cell r="AF141">
            <v>320.07799999999997</v>
          </cell>
          <cell r="AG141">
            <v>0</v>
          </cell>
          <cell r="AL141">
            <v>0</v>
          </cell>
          <cell r="AM141">
            <v>0</v>
          </cell>
          <cell r="AN141">
            <v>0</v>
          </cell>
          <cell r="AS141">
            <v>0</v>
          </cell>
          <cell r="AT141">
            <v>0</v>
          </cell>
          <cell r="AU141">
            <v>0</v>
          </cell>
          <cell r="AW141">
            <v>0</v>
          </cell>
          <cell r="AX141" t="e">
            <v>#N/A</v>
          </cell>
          <cell r="AY141">
            <v>0</v>
          </cell>
        </row>
        <row r="142">
          <cell r="A142">
            <v>131</v>
          </cell>
          <cell r="B142">
            <v>131</v>
          </cell>
          <cell r="C142">
            <v>123</v>
          </cell>
          <cell r="D142" t="str">
            <v>8.4.14.</v>
          </cell>
          <cell r="E142" t="str">
            <v>Señal Especial 1.0 x 2.0 m</v>
          </cell>
          <cell r="F142" t="str">
            <v>[unidad]</v>
          </cell>
          <cell r="N142">
            <v>25</v>
          </cell>
          <cell r="Q142">
            <v>28</v>
          </cell>
          <cell r="R142">
            <v>193.99</v>
          </cell>
          <cell r="S142">
            <v>5431.72</v>
          </cell>
          <cell r="X142">
            <v>0</v>
          </cell>
          <cell r="Y142">
            <v>193.99</v>
          </cell>
          <cell r="Z142">
            <v>0</v>
          </cell>
          <cell r="AE142">
            <v>0</v>
          </cell>
          <cell r="AF142">
            <v>193.99</v>
          </cell>
          <cell r="AG142">
            <v>0</v>
          </cell>
          <cell r="AL142">
            <v>0</v>
          </cell>
          <cell r="AM142">
            <v>0</v>
          </cell>
          <cell r="AN142">
            <v>0</v>
          </cell>
          <cell r="AS142">
            <v>0</v>
          </cell>
          <cell r="AT142">
            <v>0</v>
          </cell>
          <cell r="AU142">
            <v>0</v>
          </cell>
          <cell r="AW142">
            <v>28</v>
          </cell>
          <cell r="AX142" t="e">
            <v>#N/A</v>
          </cell>
          <cell r="AY142">
            <v>5431.72</v>
          </cell>
        </row>
        <row r="143">
          <cell r="A143">
            <v>132</v>
          </cell>
          <cell r="B143">
            <v>132</v>
          </cell>
          <cell r="C143">
            <v>124</v>
          </cell>
          <cell r="D143" t="str">
            <v>8.4.15.</v>
          </cell>
          <cell r="E143" t="str">
            <v>Señal Informativa Nombre del Lugar 0.40 x1.20 m</v>
          </cell>
          <cell r="F143" t="str">
            <v>[unidad]</v>
          </cell>
          <cell r="N143">
            <v>12</v>
          </cell>
          <cell r="Q143">
            <v>13</v>
          </cell>
          <cell r="R143">
            <v>127.471</v>
          </cell>
          <cell r="S143">
            <v>1657.12</v>
          </cell>
          <cell r="X143">
            <v>0</v>
          </cell>
          <cell r="Y143">
            <v>127.471</v>
          </cell>
          <cell r="Z143">
            <v>0</v>
          </cell>
          <cell r="AE143">
            <v>0</v>
          </cell>
          <cell r="AF143">
            <v>127.471</v>
          </cell>
          <cell r="AG143">
            <v>0</v>
          </cell>
          <cell r="AL143">
            <v>0</v>
          </cell>
          <cell r="AM143">
            <v>0</v>
          </cell>
          <cell r="AN143">
            <v>0</v>
          </cell>
          <cell r="AS143">
            <v>0</v>
          </cell>
          <cell r="AT143">
            <v>0</v>
          </cell>
          <cell r="AU143">
            <v>0</v>
          </cell>
          <cell r="AW143">
            <v>13</v>
          </cell>
          <cell r="AX143" t="e">
            <v>#N/A</v>
          </cell>
          <cell r="AY143">
            <v>1657.12</v>
          </cell>
        </row>
        <row r="144">
          <cell r="A144">
            <v>133</v>
          </cell>
          <cell r="B144">
            <v>133</v>
          </cell>
          <cell r="C144">
            <v>125</v>
          </cell>
          <cell r="D144" t="str">
            <v>8.4.16.</v>
          </cell>
          <cell r="E144" t="str">
            <v>Señal Informativa sin Especificar 0.55 x 1.50 m</v>
          </cell>
          <cell r="F144" t="str">
            <v>[unidad]</v>
          </cell>
          <cell r="N144">
            <v>7</v>
          </cell>
          <cell r="Q144">
            <v>8</v>
          </cell>
          <cell r="R144">
            <v>129.07900000000001</v>
          </cell>
          <cell r="S144">
            <v>1032.6300000000001</v>
          </cell>
          <cell r="X144">
            <v>0</v>
          </cell>
          <cell r="Y144">
            <v>129.07900000000001</v>
          </cell>
          <cell r="Z144">
            <v>0</v>
          </cell>
          <cell r="AE144">
            <v>0</v>
          </cell>
          <cell r="AF144">
            <v>129.07900000000001</v>
          </cell>
          <cell r="AG144">
            <v>0</v>
          </cell>
          <cell r="AL144">
            <v>0</v>
          </cell>
          <cell r="AM144">
            <v>0</v>
          </cell>
          <cell r="AN144">
            <v>0</v>
          </cell>
          <cell r="AS144">
            <v>0</v>
          </cell>
          <cell r="AT144">
            <v>0</v>
          </cell>
          <cell r="AU144">
            <v>0</v>
          </cell>
          <cell r="AW144">
            <v>8</v>
          </cell>
          <cell r="AX144" t="e">
            <v>#N/A</v>
          </cell>
          <cell r="AY144">
            <v>1032.6300000000001</v>
          </cell>
        </row>
        <row r="145">
          <cell r="A145">
            <v>134</v>
          </cell>
          <cell r="B145">
            <v>134</v>
          </cell>
          <cell r="C145">
            <v>126</v>
          </cell>
          <cell r="D145" t="str">
            <v>8.5.1.</v>
          </cell>
          <cell r="E145" t="str">
            <v>Tachas Reflectivas de Bordes (Ojos de Gato)</v>
          </cell>
          <cell r="F145" t="str">
            <v>[pzas]</v>
          </cell>
          <cell r="N145">
            <v>14180</v>
          </cell>
          <cell r="Q145">
            <v>14889</v>
          </cell>
          <cell r="R145">
            <v>4.7169999999999996</v>
          </cell>
          <cell r="S145">
            <v>70231.41</v>
          </cell>
          <cell r="X145">
            <v>0</v>
          </cell>
          <cell r="Y145">
            <v>4.7169999999999996</v>
          </cell>
          <cell r="Z145">
            <v>0</v>
          </cell>
          <cell r="AE145">
            <v>0</v>
          </cell>
          <cell r="AF145">
            <v>4.7169999999999996</v>
          </cell>
          <cell r="AG145">
            <v>0</v>
          </cell>
          <cell r="AL145">
            <v>0</v>
          </cell>
          <cell r="AM145">
            <v>0</v>
          </cell>
          <cell r="AN145">
            <v>0</v>
          </cell>
          <cell r="AS145">
            <v>0</v>
          </cell>
          <cell r="AT145">
            <v>0</v>
          </cell>
          <cell r="AU145">
            <v>0</v>
          </cell>
          <cell r="AW145">
            <v>14889</v>
          </cell>
          <cell r="AX145" t="e">
            <v>#N/A</v>
          </cell>
          <cell r="AY145">
            <v>70231.41</v>
          </cell>
        </row>
        <row r="146">
          <cell r="A146">
            <v>135</v>
          </cell>
          <cell r="B146">
            <v>135</v>
          </cell>
          <cell r="C146">
            <v>127</v>
          </cell>
          <cell r="D146" t="str">
            <v>8.5.2.</v>
          </cell>
          <cell r="E146" t="str">
            <v>Tachas Reflectivas Centrales (Ojos de Gato)</v>
          </cell>
          <cell r="F146" t="str">
            <v>[pzas]</v>
          </cell>
          <cell r="N146">
            <v>6810</v>
          </cell>
          <cell r="Q146">
            <v>6810</v>
          </cell>
          <cell r="R146">
            <v>5.2240000000000002</v>
          </cell>
          <cell r="S146">
            <v>35575.440000000002</v>
          </cell>
          <cell r="X146">
            <v>0</v>
          </cell>
          <cell r="Y146">
            <v>5.2240000000000002</v>
          </cell>
          <cell r="Z146">
            <v>0</v>
          </cell>
          <cell r="AE146">
            <v>0</v>
          </cell>
          <cell r="AF146">
            <v>5.2240000000000002</v>
          </cell>
          <cell r="AG146">
            <v>0</v>
          </cell>
          <cell r="AL146">
            <v>0</v>
          </cell>
          <cell r="AM146">
            <v>0</v>
          </cell>
          <cell r="AN146">
            <v>0</v>
          </cell>
          <cell r="AS146">
            <v>0</v>
          </cell>
          <cell r="AT146">
            <v>0</v>
          </cell>
          <cell r="AU146">
            <v>0</v>
          </cell>
          <cell r="AW146">
            <v>6810</v>
          </cell>
          <cell r="AX146" t="e">
            <v>#N/A</v>
          </cell>
          <cell r="AY146">
            <v>35575.440000000002</v>
          </cell>
        </row>
        <row r="147">
          <cell r="A147">
            <v>136</v>
          </cell>
          <cell r="B147">
            <v>136</v>
          </cell>
          <cell r="C147">
            <v>128</v>
          </cell>
          <cell r="D147" t="str">
            <v>8.6.</v>
          </cell>
          <cell r="E147" t="str">
            <v>Mojones de Kilometraje</v>
          </cell>
          <cell r="F147" t="str">
            <v>[pzas]</v>
          </cell>
          <cell r="N147">
            <v>84</v>
          </cell>
          <cell r="Q147">
            <v>89</v>
          </cell>
          <cell r="R147">
            <v>24.798999999999999</v>
          </cell>
          <cell r="S147">
            <v>2207.11</v>
          </cell>
          <cell r="X147">
            <v>0</v>
          </cell>
          <cell r="Y147">
            <v>24.798999999999999</v>
          </cell>
          <cell r="Z147">
            <v>0</v>
          </cell>
          <cell r="AE147">
            <v>0</v>
          </cell>
          <cell r="AF147">
            <v>24.798999999999999</v>
          </cell>
          <cell r="AG147">
            <v>0</v>
          </cell>
          <cell r="AL147">
            <v>0</v>
          </cell>
          <cell r="AM147">
            <v>0</v>
          </cell>
          <cell r="AN147">
            <v>0</v>
          </cell>
          <cell r="AS147">
            <v>0</v>
          </cell>
          <cell r="AT147">
            <v>0</v>
          </cell>
          <cell r="AU147">
            <v>0</v>
          </cell>
          <cell r="AW147">
            <v>89</v>
          </cell>
          <cell r="AX147" t="e">
            <v>#N/A</v>
          </cell>
          <cell r="AY147">
            <v>2207.11</v>
          </cell>
        </row>
        <row r="148">
          <cell r="A148">
            <v>137</v>
          </cell>
          <cell r="B148">
            <v>137</v>
          </cell>
          <cell r="C148">
            <v>129</v>
          </cell>
          <cell r="D148" t="str">
            <v>8.7.</v>
          </cell>
          <cell r="E148" t="str">
            <v>Señal Tipo Portico</v>
          </cell>
          <cell r="F148" t="str">
            <v>[pzas]</v>
          </cell>
          <cell r="N148">
            <v>0</v>
          </cell>
          <cell r="Q148">
            <v>0</v>
          </cell>
          <cell r="R148">
            <v>3825.5039999999999</v>
          </cell>
          <cell r="S148">
            <v>0</v>
          </cell>
          <cell r="U148">
            <v>1</v>
          </cell>
          <cell r="X148">
            <v>1</v>
          </cell>
          <cell r="Y148">
            <v>3825.5039999999999</v>
          </cell>
          <cell r="Z148">
            <v>3825.5</v>
          </cell>
          <cell r="AE148">
            <v>0</v>
          </cell>
          <cell r="AF148">
            <v>3825.5039999999999</v>
          </cell>
          <cell r="AG148">
            <v>0</v>
          </cell>
          <cell r="AL148">
            <v>0</v>
          </cell>
          <cell r="AM148">
            <v>0</v>
          </cell>
          <cell r="AN148">
            <v>0</v>
          </cell>
          <cell r="AS148">
            <v>0</v>
          </cell>
          <cell r="AT148">
            <v>0</v>
          </cell>
          <cell r="AU148">
            <v>0</v>
          </cell>
          <cell r="AW148">
            <v>1</v>
          </cell>
          <cell r="AX148" t="e">
            <v>#N/A</v>
          </cell>
          <cell r="AY148">
            <v>3825.5</v>
          </cell>
        </row>
        <row r="149">
          <cell r="A149">
            <v>138</v>
          </cell>
          <cell r="B149" t="str">
            <v>X</v>
          </cell>
          <cell r="C149">
            <v>129</v>
          </cell>
          <cell r="D149">
            <v>9</v>
          </cell>
          <cell r="E149" t="str">
            <v>MEDIDAS DE MITIGACIÓN AMBIENTAL</v>
          </cell>
          <cell r="I149" t="str">
            <v>Imprevistos</v>
          </cell>
          <cell r="K149">
            <v>0</v>
          </cell>
          <cell r="S149">
            <v>296831.98</v>
          </cell>
          <cell r="Z149">
            <v>27799.68</v>
          </cell>
          <cell r="AG149">
            <v>6774.7</v>
          </cell>
          <cell r="AN149">
            <v>0</v>
          </cell>
          <cell r="AU149">
            <v>0</v>
          </cell>
          <cell r="AY149">
            <v>569929.75000000012</v>
          </cell>
        </row>
        <row r="150">
          <cell r="A150">
            <v>139</v>
          </cell>
          <cell r="B150">
            <v>139</v>
          </cell>
          <cell r="C150">
            <v>130</v>
          </cell>
          <cell r="D150" t="str">
            <v>9.1.</v>
          </cell>
          <cell r="E150" t="str">
            <v>Fajinas</v>
          </cell>
          <cell r="F150" t="str">
            <v>ha</v>
          </cell>
          <cell r="N150">
            <v>10.593506715010154</v>
          </cell>
          <cell r="Q150">
            <v>11</v>
          </cell>
          <cell r="R150">
            <v>723.20500000000004</v>
          </cell>
          <cell r="S150">
            <v>7955.26</v>
          </cell>
          <cell r="X150">
            <v>0</v>
          </cell>
          <cell r="Y150">
            <v>723.20500000000004</v>
          </cell>
          <cell r="Z150">
            <v>0</v>
          </cell>
          <cell r="AE150">
            <v>0</v>
          </cell>
          <cell r="AF150">
            <v>723.20500000000004</v>
          </cell>
          <cell r="AG150">
            <v>0</v>
          </cell>
          <cell r="AL150">
            <v>0</v>
          </cell>
          <cell r="AM150">
            <v>0</v>
          </cell>
          <cell r="AN150">
            <v>0</v>
          </cell>
          <cell r="AS150">
            <v>0</v>
          </cell>
          <cell r="AT150">
            <v>0</v>
          </cell>
          <cell r="AU150">
            <v>0</v>
          </cell>
          <cell r="AW150">
            <v>11</v>
          </cell>
          <cell r="AX150" t="e">
            <v>#N/A</v>
          </cell>
          <cell r="AY150">
            <v>7955.26</v>
          </cell>
        </row>
        <row r="151">
          <cell r="A151">
            <v>140</v>
          </cell>
          <cell r="B151">
            <v>140</v>
          </cell>
          <cell r="C151">
            <v>131</v>
          </cell>
          <cell r="D151" t="str">
            <v>9.2.</v>
          </cell>
          <cell r="E151" t="str">
            <v>Control de Cárcavas</v>
          </cell>
          <cell r="F151" t="str">
            <v>m</v>
          </cell>
          <cell r="N151">
            <v>4080.85</v>
          </cell>
          <cell r="Q151">
            <v>4081</v>
          </cell>
          <cell r="R151">
            <v>9.7279999999999998</v>
          </cell>
          <cell r="S151">
            <v>39699.97</v>
          </cell>
          <cell r="X151">
            <v>0</v>
          </cell>
          <cell r="Y151">
            <v>9.7279999999999998</v>
          </cell>
          <cell r="Z151">
            <v>0</v>
          </cell>
          <cell r="AE151">
            <v>0</v>
          </cell>
          <cell r="AF151">
            <v>9.7279999999999998</v>
          </cell>
          <cell r="AG151">
            <v>0</v>
          </cell>
          <cell r="AL151">
            <v>0</v>
          </cell>
          <cell r="AM151">
            <v>0</v>
          </cell>
          <cell r="AN151">
            <v>0</v>
          </cell>
          <cell r="AS151">
            <v>0</v>
          </cell>
          <cell r="AT151">
            <v>0</v>
          </cell>
          <cell r="AU151">
            <v>0</v>
          </cell>
          <cell r="AW151">
            <v>4081</v>
          </cell>
          <cell r="AX151" t="e">
            <v>#N/A</v>
          </cell>
          <cell r="AY151">
            <v>39699.97</v>
          </cell>
        </row>
        <row r="152">
          <cell r="A152">
            <v>141</v>
          </cell>
          <cell r="B152">
            <v>141</v>
          </cell>
          <cell r="C152">
            <v>132</v>
          </cell>
          <cell r="D152" t="str">
            <v>9.3.</v>
          </cell>
          <cell r="E152" t="str">
            <v>Revegetación de Taludes de Corte</v>
          </cell>
          <cell r="F152" t="str">
            <v>m²</v>
          </cell>
          <cell r="N152" t="str">
            <v>10000*8.82466745620672</v>
          </cell>
          <cell r="Q152">
            <v>88247</v>
          </cell>
          <cell r="R152">
            <v>0.32</v>
          </cell>
          <cell r="S152">
            <v>28239.040000000001</v>
          </cell>
          <cell r="X152">
            <v>0</v>
          </cell>
          <cell r="Y152">
            <v>0.32</v>
          </cell>
          <cell r="Z152">
            <v>0</v>
          </cell>
          <cell r="AE152">
            <v>0</v>
          </cell>
          <cell r="AF152">
            <v>0.32</v>
          </cell>
          <cell r="AG152">
            <v>0</v>
          </cell>
          <cell r="AL152">
            <v>0</v>
          </cell>
          <cell r="AM152">
            <v>0</v>
          </cell>
          <cell r="AN152">
            <v>0</v>
          </cell>
          <cell r="AS152">
            <v>0</v>
          </cell>
          <cell r="AT152">
            <v>0</v>
          </cell>
          <cell r="AU152">
            <v>0</v>
          </cell>
          <cell r="AW152">
            <v>88247</v>
          </cell>
          <cell r="AX152" t="e">
            <v>#N/A</v>
          </cell>
          <cell r="AY152">
            <v>28239.040000000001</v>
          </cell>
        </row>
        <row r="153">
          <cell r="A153">
            <v>142</v>
          </cell>
          <cell r="B153">
            <v>142</v>
          </cell>
          <cell r="C153">
            <v>133</v>
          </cell>
          <cell r="D153" t="str">
            <v>9.4.</v>
          </cell>
          <cell r="E153" t="str">
            <v>Señalizacion Viva</v>
          </cell>
          <cell r="F153" t="str">
            <v>km</v>
          </cell>
          <cell r="N153">
            <v>2.37</v>
          </cell>
          <cell r="Q153">
            <v>3</v>
          </cell>
          <cell r="R153">
            <v>467.91899999999998</v>
          </cell>
          <cell r="S153">
            <v>1403.76</v>
          </cell>
          <cell r="X153">
            <v>0</v>
          </cell>
          <cell r="Y153">
            <v>467.91899999999998</v>
          </cell>
          <cell r="Z153">
            <v>0</v>
          </cell>
          <cell r="AE153">
            <v>0</v>
          </cell>
          <cell r="AF153">
            <v>467.91899999999998</v>
          </cell>
          <cell r="AG153">
            <v>0</v>
          </cell>
          <cell r="AL153">
            <v>0</v>
          </cell>
          <cell r="AM153">
            <v>0</v>
          </cell>
          <cell r="AN153">
            <v>0</v>
          </cell>
          <cell r="AS153">
            <v>0</v>
          </cell>
          <cell r="AT153">
            <v>0</v>
          </cell>
          <cell r="AU153">
            <v>0</v>
          </cell>
          <cell r="AW153">
            <v>3</v>
          </cell>
          <cell r="AX153" t="e">
            <v>#N/A</v>
          </cell>
          <cell r="AY153">
            <v>1403.76</v>
          </cell>
        </row>
        <row r="154">
          <cell r="A154">
            <v>143</v>
          </cell>
          <cell r="B154">
            <v>143</v>
          </cell>
          <cell r="C154">
            <v>134</v>
          </cell>
          <cell r="D154" t="str">
            <v>9.5.</v>
          </cell>
          <cell r="E154" t="str">
            <v>Alambrados</v>
          </cell>
          <cell r="F154" t="str">
            <v>km</v>
          </cell>
          <cell r="N154">
            <v>171.39570000000001</v>
          </cell>
          <cell r="Q154">
            <v>172</v>
          </cell>
          <cell r="R154">
            <v>3966.75</v>
          </cell>
          <cell r="S154">
            <v>682281</v>
          </cell>
          <cell r="X154">
            <v>0</v>
          </cell>
          <cell r="Y154">
            <v>3966.75</v>
          </cell>
          <cell r="Z154">
            <v>0</v>
          </cell>
          <cell r="AE154">
            <v>0</v>
          </cell>
          <cell r="AF154">
            <v>3966.75</v>
          </cell>
          <cell r="AG154">
            <v>0</v>
          </cell>
          <cell r="AL154">
            <v>0</v>
          </cell>
          <cell r="AM154">
            <v>0</v>
          </cell>
          <cell r="AN154">
            <v>0</v>
          </cell>
          <cell r="AS154">
            <v>0</v>
          </cell>
          <cell r="AT154">
            <v>0</v>
          </cell>
          <cell r="AU154">
            <v>0</v>
          </cell>
          <cell r="AW154">
            <v>172</v>
          </cell>
          <cell r="AX154" t="e">
            <v>#N/A</v>
          </cell>
          <cell r="AY154">
            <v>682281</v>
          </cell>
        </row>
        <row r="155">
          <cell r="A155">
            <v>144</v>
          </cell>
          <cell r="B155" t="str">
            <v>X</v>
          </cell>
          <cell r="C155">
            <v>134</v>
          </cell>
          <cell r="D155">
            <v>10</v>
          </cell>
          <cell r="E155" t="str">
            <v>SERVICIOS PARA LA SUPERVISION</v>
          </cell>
          <cell r="I155" t="str">
            <v>Imprevistos</v>
          </cell>
          <cell r="K155">
            <v>0.05</v>
          </cell>
          <cell r="S155">
            <v>759579.03</v>
          </cell>
          <cell r="Z155">
            <v>0</v>
          </cell>
          <cell r="AG155">
            <v>0</v>
          </cell>
          <cell r="AN155">
            <v>0</v>
          </cell>
          <cell r="AU155">
            <v>0</v>
          </cell>
          <cell r="AY155">
            <v>759579.03</v>
          </cell>
        </row>
        <row r="156">
          <cell r="A156">
            <v>145</v>
          </cell>
          <cell r="B156">
            <v>145</v>
          </cell>
          <cell r="C156">
            <v>135</v>
          </cell>
          <cell r="D156" t="str">
            <v>10.1.</v>
          </cell>
          <cell r="E156" t="str">
            <v>Servicio de Alimentación</v>
          </cell>
          <cell r="F156" t="str">
            <v>[h - dia]</v>
          </cell>
          <cell r="N156">
            <v>19361</v>
          </cell>
          <cell r="Q156">
            <v>20330</v>
          </cell>
          <cell r="R156">
            <v>2.5449999999999999</v>
          </cell>
          <cell r="S156">
            <v>51739.85</v>
          </cell>
          <cell r="X156">
            <v>0</v>
          </cell>
          <cell r="Y156">
            <v>2.5449999999999999</v>
          </cell>
          <cell r="Z156">
            <v>0</v>
          </cell>
          <cell r="AE156">
            <v>0</v>
          </cell>
          <cell r="AF156">
            <v>2.5449999999999999</v>
          </cell>
          <cell r="AG156">
            <v>0</v>
          </cell>
          <cell r="AL156">
            <v>0</v>
          </cell>
          <cell r="AM156">
            <v>0</v>
          </cell>
          <cell r="AN156">
            <v>0</v>
          </cell>
          <cell r="AS156">
            <v>0</v>
          </cell>
          <cell r="AT156">
            <v>0</v>
          </cell>
          <cell r="AU156">
            <v>0</v>
          </cell>
          <cell r="AW156">
            <v>20330</v>
          </cell>
          <cell r="AX156" t="e">
            <v>#N/A</v>
          </cell>
          <cell r="AY156">
            <v>51739.85</v>
          </cell>
        </row>
        <row r="157">
          <cell r="A157">
            <v>146</v>
          </cell>
          <cell r="B157">
            <v>146</v>
          </cell>
          <cell r="C157">
            <v>136</v>
          </cell>
          <cell r="D157" t="str">
            <v>10.2.1.</v>
          </cell>
          <cell r="E157" t="str">
            <v>Provisión de Vagonetas de Doble Tracción</v>
          </cell>
          <cell r="F157" t="str">
            <v>[unidad]</v>
          </cell>
          <cell r="N157">
            <v>2</v>
          </cell>
          <cell r="Q157">
            <v>2</v>
          </cell>
          <cell r="R157">
            <v>31380.823</v>
          </cell>
          <cell r="S157">
            <v>62761.65</v>
          </cell>
          <cell r="X157">
            <v>0</v>
          </cell>
          <cell r="Y157">
            <v>31380.823</v>
          </cell>
          <cell r="Z157">
            <v>0</v>
          </cell>
          <cell r="AE157">
            <v>0</v>
          </cell>
          <cell r="AF157">
            <v>31380.823</v>
          </cell>
          <cell r="AG157">
            <v>0</v>
          </cell>
          <cell r="AL157">
            <v>0</v>
          </cell>
          <cell r="AM157">
            <v>0</v>
          </cell>
          <cell r="AN157">
            <v>0</v>
          </cell>
          <cell r="AS157">
            <v>0</v>
          </cell>
          <cell r="AT157">
            <v>0</v>
          </cell>
          <cell r="AU157">
            <v>0</v>
          </cell>
          <cell r="AW157">
            <v>2</v>
          </cell>
          <cell r="AX157" t="e">
            <v>#N/A</v>
          </cell>
          <cell r="AY157">
            <v>62761.65</v>
          </cell>
        </row>
        <row r="158">
          <cell r="A158">
            <v>147</v>
          </cell>
          <cell r="B158">
            <v>147</v>
          </cell>
          <cell r="C158">
            <v>137</v>
          </cell>
          <cell r="D158" t="str">
            <v>10.2.2.</v>
          </cell>
          <cell r="E158" t="str">
            <v>Provisión de Camionetas de Doble Tracción, Cabina Doble</v>
          </cell>
          <cell r="F158" t="str">
            <v>[unidad]</v>
          </cell>
          <cell r="N158">
            <v>7</v>
          </cell>
          <cell r="Q158">
            <v>7</v>
          </cell>
          <cell r="R158">
            <v>19926.379000000001</v>
          </cell>
          <cell r="S158">
            <v>139484.65</v>
          </cell>
          <cell r="X158">
            <v>0</v>
          </cell>
          <cell r="Y158">
            <v>19926.379000000001</v>
          </cell>
          <cell r="Z158">
            <v>0</v>
          </cell>
          <cell r="AE158">
            <v>0</v>
          </cell>
          <cell r="AF158">
            <v>19926.379000000001</v>
          </cell>
          <cell r="AG158">
            <v>0</v>
          </cell>
          <cell r="AL158">
            <v>0</v>
          </cell>
          <cell r="AM158">
            <v>0</v>
          </cell>
          <cell r="AN158">
            <v>0</v>
          </cell>
          <cell r="AS158">
            <v>0</v>
          </cell>
          <cell r="AT158">
            <v>0</v>
          </cell>
          <cell r="AU158">
            <v>0</v>
          </cell>
          <cell r="AW158">
            <v>7</v>
          </cell>
          <cell r="AX158" t="e">
            <v>#N/A</v>
          </cell>
          <cell r="AY158">
            <v>139484.65</v>
          </cell>
        </row>
        <row r="159">
          <cell r="A159">
            <v>148</v>
          </cell>
          <cell r="B159">
            <v>148</v>
          </cell>
          <cell r="C159">
            <v>138</v>
          </cell>
          <cell r="D159" t="str">
            <v>10.3.</v>
          </cell>
          <cell r="E159" t="str">
            <v>Mantenimiento, Lubricantes y Combustibles</v>
          </cell>
          <cell r="F159" t="str">
            <v>[v - mes]</v>
          </cell>
          <cell r="N159">
            <v>360</v>
          </cell>
          <cell r="Q159">
            <v>360</v>
          </cell>
          <cell r="R159">
            <v>275.33300000000003</v>
          </cell>
          <cell r="S159">
            <v>99119.88</v>
          </cell>
          <cell r="X159">
            <v>0</v>
          </cell>
          <cell r="Y159">
            <v>275.33300000000003</v>
          </cell>
          <cell r="Z159">
            <v>0</v>
          </cell>
          <cell r="AE159">
            <v>0</v>
          </cell>
          <cell r="AF159">
            <v>275.33300000000003</v>
          </cell>
          <cell r="AG159">
            <v>0</v>
          </cell>
          <cell r="AL159">
            <v>0</v>
          </cell>
          <cell r="AM159">
            <v>0</v>
          </cell>
          <cell r="AN159">
            <v>0</v>
          </cell>
          <cell r="AS159">
            <v>0</v>
          </cell>
          <cell r="AT159">
            <v>0</v>
          </cell>
          <cell r="AU159">
            <v>0</v>
          </cell>
          <cell r="AW159">
            <v>360</v>
          </cell>
          <cell r="AX159" t="e">
            <v>#N/A</v>
          </cell>
          <cell r="AY159">
            <v>99119.88</v>
          </cell>
        </row>
        <row r="160">
          <cell r="A160">
            <v>149</v>
          </cell>
          <cell r="B160">
            <v>149</v>
          </cell>
          <cell r="C160">
            <v>139</v>
          </cell>
          <cell r="D160" t="str">
            <v>10.4.</v>
          </cell>
          <cell r="E160" t="str">
            <v>Alquiler Vivienda / Oficina Ingeniero</v>
          </cell>
          <cell r="F160" t="str">
            <v>[m² - mes]</v>
          </cell>
          <cell r="N160">
            <v>44550</v>
          </cell>
          <cell r="Q160">
            <v>46778</v>
          </cell>
          <cell r="R160">
            <v>2.3140000000000001</v>
          </cell>
          <cell r="S160">
            <v>108244.29</v>
          </cell>
          <cell r="X160">
            <v>0</v>
          </cell>
          <cell r="Y160">
            <v>2.3140000000000001</v>
          </cell>
          <cell r="Z160">
            <v>0</v>
          </cell>
          <cell r="AE160">
            <v>0</v>
          </cell>
          <cell r="AF160">
            <v>2.3140000000000001</v>
          </cell>
          <cell r="AG160">
            <v>0</v>
          </cell>
          <cell r="AL160">
            <v>0</v>
          </cell>
          <cell r="AM160">
            <v>0</v>
          </cell>
          <cell r="AN160">
            <v>0</v>
          </cell>
          <cell r="AS160">
            <v>0</v>
          </cell>
          <cell r="AT160">
            <v>0</v>
          </cell>
          <cell r="AU160">
            <v>0</v>
          </cell>
          <cell r="AW160">
            <v>46778</v>
          </cell>
          <cell r="AX160" t="e">
            <v>#N/A</v>
          </cell>
          <cell r="AY160">
            <v>108244.29</v>
          </cell>
        </row>
        <row r="161">
          <cell r="A161">
            <v>150</v>
          </cell>
          <cell r="B161" t="str">
            <v>X</v>
          </cell>
          <cell r="C161">
            <v>139</v>
          </cell>
          <cell r="D161">
            <v>11</v>
          </cell>
          <cell r="E161" t="str">
            <v>ESTACION DE PESAJE</v>
          </cell>
          <cell r="I161" t="str">
            <v>Imprevistos</v>
          </cell>
          <cell r="K161">
            <v>0.05</v>
          </cell>
          <cell r="S161">
            <v>461350.32</v>
          </cell>
          <cell r="Z161">
            <v>0</v>
          </cell>
          <cell r="AG161">
            <v>0</v>
          </cell>
          <cell r="AN161">
            <v>0</v>
          </cell>
          <cell r="AU161">
            <v>0</v>
          </cell>
          <cell r="AY161">
            <v>461350.32</v>
          </cell>
        </row>
        <row r="162">
          <cell r="A162">
            <v>151</v>
          </cell>
          <cell r="B162">
            <v>151</v>
          </cell>
          <cell r="C162">
            <v>140</v>
          </cell>
          <cell r="D162" t="str">
            <v>11.1.</v>
          </cell>
          <cell r="E162" t="str">
            <v>Capa Material Granular</v>
          </cell>
          <cell r="F162" t="str">
            <v>[m³]</v>
          </cell>
          <cell r="N162">
            <v>2530.2199999999998</v>
          </cell>
          <cell r="Q162">
            <v>2657</v>
          </cell>
          <cell r="R162">
            <v>24.111000000000001</v>
          </cell>
          <cell r="S162">
            <v>64062.93</v>
          </cell>
          <cell r="X162">
            <v>0</v>
          </cell>
          <cell r="Y162">
            <v>24.111000000000001</v>
          </cell>
          <cell r="Z162">
            <v>0</v>
          </cell>
          <cell r="AE162">
            <v>0</v>
          </cell>
          <cell r="AF162">
            <v>24.111000000000001</v>
          </cell>
          <cell r="AG162">
            <v>0</v>
          </cell>
          <cell r="AL162">
            <v>0</v>
          </cell>
          <cell r="AM162">
            <v>0</v>
          </cell>
          <cell r="AN162">
            <v>0</v>
          </cell>
          <cell r="AS162">
            <v>0</v>
          </cell>
          <cell r="AT162">
            <v>0</v>
          </cell>
          <cell r="AU162">
            <v>0</v>
          </cell>
          <cell r="AW162">
            <v>2657</v>
          </cell>
          <cell r="AX162" t="e">
            <v>#N/A</v>
          </cell>
          <cell r="AY162">
            <v>64062.93</v>
          </cell>
        </row>
        <row r="163">
          <cell r="A163">
            <v>152</v>
          </cell>
          <cell r="B163">
            <v>152</v>
          </cell>
          <cell r="C163">
            <v>141</v>
          </cell>
          <cell r="D163" t="str">
            <v>11.2.</v>
          </cell>
          <cell r="E163" t="str">
            <v>Area Pavimentada</v>
          </cell>
          <cell r="F163" t="str">
            <v>[m²]</v>
          </cell>
          <cell r="N163">
            <v>11320.13</v>
          </cell>
          <cell r="Q163">
            <v>11887</v>
          </cell>
          <cell r="R163">
            <v>20.530999999999999</v>
          </cell>
          <cell r="S163">
            <v>244052</v>
          </cell>
          <cell r="X163">
            <v>0</v>
          </cell>
          <cell r="Y163">
            <v>20.530999999999999</v>
          </cell>
          <cell r="Z163">
            <v>0</v>
          </cell>
          <cell r="AE163">
            <v>0</v>
          </cell>
          <cell r="AF163">
            <v>20.530999999999999</v>
          </cell>
          <cell r="AG163">
            <v>0</v>
          </cell>
          <cell r="AL163">
            <v>0</v>
          </cell>
          <cell r="AM163">
            <v>0</v>
          </cell>
          <cell r="AN163">
            <v>0</v>
          </cell>
          <cell r="AS163">
            <v>0</v>
          </cell>
          <cell r="AT163">
            <v>0</v>
          </cell>
          <cell r="AU163">
            <v>0</v>
          </cell>
          <cell r="AW163">
            <v>11887</v>
          </cell>
          <cell r="AX163" t="e">
            <v>#N/A</v>
          </cell>
          <cell r="AY163">
            <v>244052</v>
          </cell>
        </row>
        <row r="164">
          <cell r="A164">
            <v>153</v>
          </cell>
          <cell r="B164">
            <v>153</v>
          </cell>
          <cell r="C164">
            <v>142</v>
          </cell>
          <cell r="D164" t="str">
            <v>11.3.</v>
          </cell>
          <cell r="E164" t="str">
            <v>Aceras y Pavimento Peatonal Externo</v>
          </cell>
          <cell r="F164" t="str">
            <v>[m²]</v>
          </cell>
          <cell r="N164">
            <v>586.35</v>
          </cell>
          <cell r="Q164">
            <v>616</v>
          </cell>
          <cell r="R164">
            <v>21.331</v>
          </cell>
          <cell r="S164">
            <v>13139.9</v>
          </cell>
          <cell r="X164">
            <v>0</v>
          </cell>
          <cell r="Y164">
            <v>21.331</v>
          </cell>
          <cell r="Z164">
            <v>0</v>
          </cell>
          <cell r="AE164">
            <v>0</v>
          </cell>
          <cell r="AF164">
            <v>21.331</v>
          </cell>
          <cell r="AG164">
            <v>0</v>
          </cell>
          <cell r="AL164">
            <v>0</v>
          </cell>
          <cell r="AM164">
            <v>0</v>
          </cell>
          <cell r="AN164">
            <v>0</v>
          </cell>
          <cell r="AS164">
            <v>0</v>
          </cell>
          <cell r="AT164">
            <v>0</v>
          </cell>
          <cell r="AU164">
            <v>0</v>
          </cell>
          <cell r="AW164">
            <v>616</v>
          </cell>
          <cell r="AX164" t="e">
            <v>#N/A</v>
          </cell>
          <cell r="AY164">
            <v>13139.9</v>
          </cell>
        </row>
        <row r="165">
          <cell r="A165">
            <v>154</v>
          </cell>
          <cell r="B165">
            <v>154</v>
          </cell>
          <cell r="C165">
            <v>143</v>
          </cell>
          <cell r="D165" t="str">
            <v>11.4.</v>
          </cell>
          <cell r="E165" t="str">
            <v>Jardines</v>
          </cell>
          <cell r="F165" t="str">
            <v>[m²]</v>
          </cell>
          <cell r="N165">
            <v>14601.07</v>
          </cell>
          <cell r="Q165">
            <v>15332</v>
          </cell>
          <cell r="R165">
            <v>1.2729999999999999</v>
          </cell>
          <cell r="S165">
            <v>19517.64</v>
          </cell>
          <cell r="X165">
            <v>0</v>
          </cell>
          <cell r="Y165">
            <v>1.2729999999999999</v>
          </cell>
          <cell r="Z165">
            <v>0</v>
          </cell>
          <cell r="AE165">
            <v>0</v>
          </cell>
          <cell r="AF165">
            <v>1.2729999999999999</v>
          </cell>
          <cell r="AG165">
            <v>0</v>
          </cell>
          <cell r="AL165">
            <v>0</v>
          </cell>
          <cell r="AM165">
            <v>0</v>
          </cell>
          <cell r="AN165">
            <v>0</v>
          </cell>
          <cell r="AS165">
            <v>0</v>
          </cell>
          <cell r="AT165">
            <v>0</v>
          </cell>
          <cell r="AU165">
            <v>0</v>
          </cell>
          <cell r="AW165">
            <v>15332</v>
          </cell>
          <cell r="AX165" t="e">
            <v>#N/A</v>
          </cell>
          <cell r="AY165">
            <v>19517.64</v>
          </cell>
        </row>
        <row r="166">
          <cell r="A166">
            <v>155</v>
          </cell>
          <cell r="B166">
            <v>155</v>
          </cell>
          <cell r="C166">
            <v>144</v>
          </cell>
          <cell r="D166" t="str">
            <v>11.5.</v>
          </cell>
          <cell r="E166" t="str">
            <v>Cerco Perimetral</v>
          </cell>
          <cell r="F166" t="str">
            <v>[m]</v>
          </cell>
          <cell r="N166">
            <v>512.97</v>
          </cell>
          <cell r="Q166">
            <v>539</v>
          </cell>
          <cell r="R166">
            <v>29.25</v>
          </cell>
          <cell r="S166">
            <v>15765.75</v>
          </cell>
          <cell r="X166">
            <v>0</v>
          </cell>
          <cell r="Y166">
            <v>29.25</v>
          </cell>
          <cell r="Z166">
            <v>0</v>
          </cell>
          <cell r="AE166">
            <v>0</v>
          </cell>
          <cell r="AF166">
            <v>29.25</v>
          </cell>
          <cell r="AG166">
            <v>0</v>
          </cell>
          <cell r="AL166">
            <v>0</v>
          </cell>
          <cell r="AM166">
            <v>0</v>
          </cell>
          <cell r="AN166">
            <v>0</v>
          </cell>
          <cell r="AS166">
            <v>0</v>
          </cell>
          <cell r="AT166">
            <v>0</v>
          </cell>
          <cell r="AU166">
            <v>0</v>
          </cell>
          <cell r="AW166">
            <v>539</v>
          </cell>
          <cell r="AX166" t="e">
            <v>#N/A</v>
          </cell>
          <cell r="AY166">
            <v>15765.75</v>
          </cell>
        </row>
        <row r="167">
          <cell r="A167">
            <v>156</v>
          </cell>
          <cell r="B167">
            <v>156</v>
          </cell>
          <cell r="C167">
            <v>145</v>
          </cell>
          <cell r="D167" t="str">
            <v>11.6.</v>
          </cell>
          <cell r="E167" t="str">
            <v>Areas Construidas Cerradas</v>
          </cell>
          <cell r="F167" t="str">
            <v>[m²]</v>
          </cell>
          <cell r="N167">
            <v>1184.02</v>
          </cell>
          <cell r="Q167">
            <v>1244</v>
          </cell>
          <cell r="R167">
            <v>117.047</v>
          </cell>
          <cell r="S167">
            <v>145606.47</v>
          </cell>
          <cell r="X167">
            <v>0</v>
          </cell>
          <cell r="Y167">
            <v>117.047</v>
          </cell>
          <cell r="Z167">
            <v>0</v>
          </cell>
          <cell r="AE167">
            <v>0</v>
          </cell>
          <cell r="AF167">
            <v>117.047</v>
          </cell>
          <cell r="AG167">
            <v>0</v>
          </cell>
          <cell r="AL167">
            <v>0</v>
          </cell>
          <cell r="AM167">
            <v>0</v>
          </cell>
          <cell r="AN167">
            <v>0</v>
          </cell>
          <cell r="AS167">
            <v>0</v>
          </cell>
          <cell r="AT167">
            <v>0</v>
          </cell>
          <cell r="AU167">
            <v>0</v>
          </cell>
          <cell r="AW167">
            <v>1244</v>
          </cell>
          <cell r="AX167" t="e">
            <v>#N/A</v>
          </cell>
          <cell r="AY167">
            <v>145606.47</v>
          </cell>
        </row>
        <row r="168">
          <cell r="A168">
            <v>157</v>
          </cell>
          <cell r="B168">
            <v>157</v>
          </cell>
          <cell r="C168">
            <v>146</v>
          </cell>
          <cell r="D168" t="str">
            <v>11.8.</v>
          </cell>
          <cell r="E168" t="str">
            <v xml:space="preserve">Provisión Energía Eléctrica e Iluminación Exterior </v>
          </cell>
          <cell r="F168" t="str">
            <v>[glb]</v>
          </cell>
          <cell r="N168">
            <v>1</v>
          </cell>
          <cell r="Q168">
            <v>1</v>
          </cell>
          <cell r="R168">
            <v>30866.181</v>
          </cell>
          <cell r="S168">
            <v>30866.18</v>
          </cell>
          <cell r="X168">
            <v>0</v>
          </cell>
          <cell r="Y168">
            <v>30866.181</v>
          </cell>
          <cell r="Z168">
            <v>0</v>
          </cell>
          <cell r="AE168">
            <v>0</v>
          </cell>
          <cell r="AF168">
            <v>30866.181</v>
          </cell>
          <cell r="AG168">
            <v>0</v>
          </cell>
          <cell r="AL168">
            <v>0</v>
          </cell>
          <cell r="AM168">
            <v>0</v>
          </cell>
          <cell r="AN168">
            <v>0</v>
          </cell>
          <cell r="AS168">
            <v>0</v>
          </cell>
          <cell r="AT168">
            <v>0</v>
          </cell>
          <cell r="AU168">
            <v>0</v>
          </cell>
          <cell r="AW168">
            <v>1</v>
          </cell>
          <cell r="AX168" t="e">
            <v>#N/A</v>
          </cell>
          <cell r="AY168">
            <v>30866.18</v>
          </cell>
        </row>
        <row r="169">
          <cell r="A169">
            <v>158</v>
          </cell>
          <cell r="B169">
            <v>158</v>
          </cell>
          <cell r="C169">
            <v>147</v>
          </cell>
          <cell r="D169" t="str">
            <v>11.9.</v>
          </cell>
          <cell r="E169" t="str">
            <v>Tanque Almacenamiento de Agua Potable y Sistema de Distribución</v>
          </cell>
          <cell r="F169" t="str">
            <v>[glb]</v>
          </cell>
          <cell r="N169">
            <v>1</v>
          </cell>
          <cell r="Q169">
            <v>1</v>
          </cell>
          <cell r="R169">
            <v>27716.536</v>
          </cell>
          <cell r="S169">
            <v>27716.54</v>
          </cell>
          <cell r="X169">
            <v>0</v>
          </cell>
          <cell r="Y169">
            <v>27716.536</v>
          </cell>
          <cell r="Z169">
            <v>0</v>
          </cell>
          <cell r="AE169">
            <v>0</v>
          </cell>
          <cell r="AF169">
            <v>27716.536</v>
          </cell>
          <cell r="AG169">
            <v>0</v>
          </cell>
          <cell r="AL169">
            <v>0</v>
          </cell>
          <cell r="AM169">
            <v>0</v>
          </cell>
          <cell r="AN169">
            <v>0</v>
          </cell>
          <cell r="AS169">
            <v>0</v>
          </cell>
          <cell r="AT169">
            <v>0</v>
          </cell>
          <cell r="AU169">
            <v>0</v>
          </cell>
          <cell r="AW169">
            <v>1</v>
          </cell>
          <cell r="AX169" t="e">
            <v>#N/A</v>
          </cell>
          <cell r="AY169">
            <v>27716.54</v>
          </cell>
        </row>
        <row r="170">
          <cell r="A170">
            <v>159</v>
          </cell>
          <cell r="B170">
            <v>159</v>
          </cell>
          <cell r="C170">
            <v>148</v>
          </cell>
          <cell r="D170" t="str">
            <v>11.10.</v>
          </cell>
          <cell r="E170" t="str">
            <v>Provisión del Sistema de Alcantarillado y Pozo Séptico</v>
          </cell>
          <cell r="F170" t="str">
            <v>[glb]</v>
          </cell>
          <cell r="N170">
            <v>1</v>
          </cell>
          <cell r="Q170">
            <v>1</v>
          </cell>
          <cell r="R170">
            <v>36674.423000000003</v>
          </cell>
          <cell r="S170">
            <v>36674.42</v>
          </cell>
          <cell r="X170">
            <v>0</v>
          </cell>
          <cell r="Y170">
            <v>36674.423000000003</v>
          </cell>
          <cell r="Z170">
            <v>0</v>
          </cell>
          <cell r="AE170">
            <v>0</v>
          </cell>
          <cell r="AF170">
            <v>36674.423000000003</v>
          </cell>
          <cell r="AG170">
            <v>0</v>
          </cell>
          <cell r="AL170">
            <v>0</v>
          </cell>
          <cell r="AM170">
            <v>0</v>
          </cell>
          <cell r="AN170">
            <v>0</v>
          </cell>
          <cell r="AS170">
            <v>0</v>
          </cell>
          <cell r="AT170">
            <v>0</v>
          </cell>
          <cell r="AU170">
            <v>0</v>
          </cell>
          <cell r="AW170">
            <v>1</v>
          </cell>
          <cell r="AX170" t="e">
            <v>#N/A</v>
          </cell>
          <cell r="AY170">
            <v>36674.42</v>
          </cell>
        </row>
        <row r="171">
          <cell r="A171">
            <v>160</v>
          </cell>
          <cell r="B171" t="str">
            <v>X</v>
          </cell>
          <cell r="C171">
            <v>148</v>
          </cell>
          <cell r="D171">
            <v>12</v>
          </cell>
          <cell r="E171" t="str">
            <v>ESTACION DE PEAJE</v>
          </cell>
          <cell r="I171" t="str">
            <v>Imprevistos</v>
          </cell>
          <cell r="K171">
            <v>0.05</v>
          </cell>
          <cell r="S171">
            <v>597401.83000000019</v>
          </cell>
          <cell r="Z171">
            <v>0</v>
          </cell>
          <cell r="AG171">
            <v>0</v>
          </cell>
          <cell r="AN171">
            <v>0</v>
          </cell>
          <cell r="AU171">
            <v>0</v>
          </cell>
          <cell r="AY171">
            <v>597401.83000000019</v>
          </cell>
        </row>
        <row r="172">
          <cell r="A172">
            <v>161</v>
          </cell>
          <cell r="B172">
            <v>161</v>
          </cell>
          <cell r="C172">
            <v>149</v>
          </cell>
          <cell r="D172" t="str">
            <v>12.1.</v>
          </cell>
          <cell r="E172" t="str">
            <v>Area Pavimentada</v>
          </cell>
          <cell r="F172" t="str">
            <v>[m²]</v>
          </cell>
          <cell r="N172">
            <v>9105.73</v>
          </cell>
          <cell r="Q172">
            <v>9562</v>
          </cell>
          <cell r="R172">
            <v>20.530999999999999</v>
          </cell>
          <cell r="S172">
            <v>196317.42</v>
          </cell>
          <cell r="X172">
            <v>0</v>
          </cell>
          <cell r="Y172">
            <v>20.530999999999999</v>
          </cell>
          <cell r="Z172">
            <v>0</v>
          </cell>
          <cell r="AE172">
            <v>0</v>
          </cell>
          <cell r="AF172">
            <v>20.530999999999999</v>
          </cell>
          <cell r="AG172">
            <v>0</v>
          </cell>
          <cell r="AL172">
            <v>0</v>
          </cell>
          <cell r="AM172">
            <v>0</v>
          </cell>
          <cell r="AN172">
            <v>0</v>
          </cell>
          <cell r="AS172">
            <v>0</v>
          </cell>
          <cell r="AT172">
            <v>0</v>
          </cell>
          <cell r="AU172">
            <v>0</v>
          </cell>
          <cell r="AW172">
            <v>9562</v>
          </cell>
          <cell r="AX172" t="e">
            <v>#N/A</v>
          </cell>
          <cell r="AY172">
            <v>196317.42</v>
          </cell>
        </row>
        <row r="173">
          <cell r="A173">
            <v>162</v>
          </cell>
          <cell r="B173">
            <v>162</v>
          </cell>
          <cell r="C173">
            <v>150</v>
          </cell>
          <cell r="D173" t="str">
            <v>12.2.</v>
          </cell>
          <cell r="E173" t="str">
            <v>Area Construida Cerrada</v>
          </cell>
          <cell r="F173" t="str">
            <v>[m²]</v>
          </cell>
          <cell r="N173">
            <v>224.47</v>
          </cell>
          <cell r="Q173">
            <v>236</v>
          </cell>
          <cell r="R173">
            <v>117.047</v>
          </cell>
          <cell r="S173">
            <v>27623.09</v>
          </cell>
          <cell r="X173">
            <v>0</v>
          </cell>
          <cell r="Y173">
            <v>117.047</v>
          </cell>
          <cell r="Z173">
            <v>0</v>
          </cell>
          <cell r="AE173">
            <v>0</v>
          </cell>
          <cell r="AF173">
            <v>117.047</v>
          </cell>
          <cell r="AG173">
            <v>0</v>
          </cell>
          <cell r="AL173">
            <v>0</v>
          </cell>
          <cell r="AM173">
            <v>0</v>
          </cell>
          <cell r="AN173">
            <v>0</v>
          </cell>
          <cell r="AS173">
            <v>0</v>
          </cell>
          <cell r="AT173">
            <v>0</v>
          </cell>
          <cell r="AU173">
            <v>0</v>
          </cell>
          <cell r="AW173">
            <v>236</v>
          </cell>
          <cell r="AX173" t="e">
            <v>#N/A</v>
          </cell>
          <cell r="AY173">
            <v>27623.09</v>
          </cell>
        </row>
        <row r="174">
          <cell r="A174">
            <v>163</v>
          </cell>
          <cell r="B174">
            <v>163</v>
          </cell>
          <cell r="C174">
            <v>151</v>
          </cell>
          <cell r="D174" t="str">
            <v>12.3.</v>
          </cell>
          <cell r="E174" t="str">
            <v>Area Construida Abierta</v>
          </cell>
          <cell r="F174" t="str">
            <v>[m²]</v>
          </cell>
          <cell r="N174">
            <v>220.2</v>
          </cell>
          <cell r="Q174">
            <v>232</v>
          </cell>
          <cell r="R174">
            <v>80.402000000000001</v>
          </cell>
          <cell r="S174">
            <v>18653.259999999998</v>
          </cell>
          <cell r="X174">
            <v>0</v>
          </cell>
          <cell r="Y174">
            <v>80.402000000000001</v>
          </cell>
          <cell r="Z174">
            <v>0</v>
          </cell>
          <cell r="AE174">
            <v>0</v>
          </cell>
          <cell r="AF174">
            <v>80.402000000000001</v>
          </cell>
          <cell r="AG174">
            <v>0</v>
          </cell>
          <cell r="AL174">
            <v>0</v>
          </cell>
          <cell r="AM174">
            <v>0</v>
          </cell>
          <cell r="AN174">
            <v>0</v>
          </cell>
          <cell r="AS174">
            <v>0</v>
          </cell>
          <cell r="AT174">
            <v>0</v>
          </cell>
          <cell r="AU174">
            <v>0</v>
          </cell>
          <cell r="AW174">
            <v>232</v>
          </cell>
          <cell r="AX174" t="e">
            <v>#N/A</v>
          </cell>
          <cell r="AY174">
            <v>18653.259999999998</v>
          </cell>
        </row>
        <row r="175">
          <cell r="A175">
            <v>164</v>
          </cell>
          <cell r="B175">
            <v>164</v>
          </cell>
          <cell r="C175">
            <v>152</v>
          </cell>
          <cell r="D175" t="str">
            <v>12.4.</v>
          </cell>
          <cell r="E175" t="str">
            <v>Jardines</v>
          </cell>
          <cell r="F175" t="str">
            <v>[m²]</v>
          </cell>
          <cell r="N175">
            <v>3733.96</v>
          </cell>
          <cell r="Q175">
            <v>3921</v>
          </cell>
          <cell r="R175">
            <v>1.2729999999999999</v>
          </cell>
          <cell r="S175">
            <v>4991.43</v>
          </cell>
          <cell r="X175">
            <v>0</v>
          </cell>
          <cell r="Y175">
            <v>1.2729999999999999</v>
          </cell>
          <cell r="Z175">
            <v>0</v>
          </cell>
          <cell r="AE175">
            <v>0</v>
          </cell>
          <cell r="AF175">
            <v>1.2729999999999999</v>
          </cell>
          <cell r="AG175">
            <v>0</v>
          </cell>
          <cell r="AL175">
            <v>0</v>
          </cell>
          <cell r="AM175">
            <v>0</v>
          </cell>
          <cell r="AN175">
            <v>0</v>
          </cell>
          <cell r="AS175">
            <v>0</v>
          </cell>
          <cell r="AT175">
            <v>0</v>
          </cell>
          <cell r="AU175">
            <v>0</v>
          </cell>
          <cell r="AW175">
            <v>3921</v>
          </cell>
          <cell r="AX175" t="e">
            <v>#N/A</v>
          </cell>
          <cell r="AY175">
            <v>4991.43</v>
          </cell>
        </row>
        <row r="176">
          <cell r="A176">
            <v>165</v>
          </cell>
          <cell r="B176">
            <v>165</v>
          </cell>
          <cell r="C176">
            <v>153</v>
          </cell>
          <cell r="D176" t="str">
            <v>12.5.</v>
          </cell>
          <cell r="E176" t="str">
            <v>Aceras</v>
          </cell>
          <cell r="F176" t="str">
            <v>[m²]</v>
          </cell>
          <cell r="N176">
            <v>1954.21</v>
          </cell>
          <cell r="Q176">
            <v>2052</v>
          </cell>
          <cell r="R176">
            <v>21.331</v>
          </cell>
          <cell r="S176">
            <v>43771.21</v>
          </cell>
          <cell r="X176">
            <v>0</v>
          </cell>
          <cell r="Y176">
            <v>21.331</v>
          </cell>
          <cell r="Z176">
            <v>0</v>
          </cell>
          <cell r="AE176">
            <v>0</v>
          </cell>
          <cell r="AF176">
            <v>21.331</v>
          </cell>
          <cell r="AG176">
            <v>0</v>
          </cell>
          <cell r="AL176">
            <v>0</v>
          </cell>
          <cell r="AM176">
            <v>0</v>
          </cell>
          <cell r="AN176">
            <v>0</v>
          </cell>
          <cell r="AS176">
            <v>0</v>
          </cell>
          <cell r="AT176">
            <v>0</v>
          </cell>
          <cell r="AU176">
            <v>0</v>
          </cell>
          <cell r="AW176">
            <v>2052</v>
          </cell>
          <cell r="AX176" t="e">
            <v>#N/A</v>
          </cell>
          <cell r="AY176">
            <v>43771.21</v>
          </cell>
        </row>
        <row r="177">
          <cell r="A177">
            <v>166</v>
          </cell>
          <cell r="B177">
            <v>166</v>
          </cell>
          <cell r="C177">
            <v>154</v>
          </cell>
          <cell r="D177" t="str">
            <v>12.6.</v>
          </cell>
          <cell r="E177" t="str">
            <v>Capa Material Granular</v>
          </cell>
          <cell r="F177" t="str">
            <v>[m³]</v>
          </cell>
          <cell r="N177">
            <v>2010</v>
          </cell>
          <cell r="Q177">
            <v>2111</v>
          </cell>
          <cell r="R177">
            <v>24.111000000000001</v>
          </cell>
          <cell r="S177">
            <v>50898.32</v>
          </cell>
          <cell r="X177">
            <v>0</v>
          </cell>
          <cell r="Y177">
            <v>24.111000000000001</v>
          </cell>
          <cell r="Z177">
            <v>0</v>
          </cell>
          <cell r="AE177">
            <v>0</v>
          </cell>
          <cell r="AF177">
            <v>24.111000000000001</v>
          </cell>
          <cell r="AG177">
            <v>0</v>
          </cell>
          <cell r="AL177">
            <v>0</v>
          </cell>
          <cell r="AM177">
            <v>0</v>
          </cell>
          <cell r="AN177">
            <v>0</v>
          </cell>
          <cell r="AS177">
            <v>0</v>
          </cell>
          <cell r="AT177">
            <v>0</v>
          </cell>
          <cell r="AU177">
            <v>0</v>
          </cell>
          <cell r="AW177">
            <v>2111</v>
          </cell>
          <cell r="AX177" t="e">
            <v>#N/A</v>
          </cell>
          <cell r="AY177">
            <v>50898.32</v>
          </cell>
        </row>
        <row r="178">
          <cell r="A178">
            <v>167</v>
          </cell>
          <cell r="B178">
            <v>167</v>
          </cell>
          <cell r="C178">
            <v>155</v>
          </cell>
          <cell r="D178" t="str">
            <v>12.7.</v>
          </cell>
          <cell r="E178" t="str">
            <v>Cerco Perimetral</v>
          </cell>
          <cell r="F178" t="str">
            <v>[m]</v>
          </cell>
          <cell r="N178">
            <v>76.290000000000006</v>
          </cell>
          <cell r="Q178">
            <v>81</v>
          </cell>
          <cell r="R178">
            <v>29.25</v>
          </cell>
          <cell r="S178">
            <v>2369.25</v>
          </cell>
          <cell r="X178">
            <v>0</v>
          </cell>
          <cell r="Y178">
            <v>29.25</v>
          </cell>
          <cell r="Z178">
            <v>0</v>
          </cell>
          <cell r="AE178">
            <v>0</v>
          </cell>
          <cell r="AF178">
            <v>29.25</v>
          </cell>
          <cell r="AG178">
            <v>0</v>
          </cell>
          <cell r="AL178">
            <v>0</v>
          </cell>
          <cell r="AM178">
            <v>0</v>
          </cell>
          <cell r="AN178">
            <v>0</v>
          </cell>
          <cell r="AS178">
            <v>0</v>
          </cell>
          <cell r="AT178">
            <v>0</v>
          </cell>
          <cell r="AU178">
            <v>0</v>
          </cell>
          <cell r="AW178">
            <v>81</v>
          </cell>
          <cell r="AX178" t="e">
            <v>#N/A</v>
          </cell>
          <cell r="AY178">
            <v>2369.25</v>
          </cell>
        </row>
        <row r="179">
          <cell r="A179">
            <v>168</v>
          </cell>
          <cell r="B179">
            <v>168</v>
          </cell>
          <cell r="C179">
            <v>156</v>
          </cell>
          <cell r="D179" t="str">
            <v>12.8.</v>
          </cell>
          <cell r="E179" t="str">
            <v>Provisión Energía Eléctrica e Iluminación Exterior</v>
          </cell>
          <cell r="F179" t="str">
            <v>[glb]</v>
          </cell>
          <cell r="N179">
            <v>1</v>
          </cell>
          <cell r="Q179">
            <v>1</v>
          </cell>
          <cell r="R179">
            <v>26030.494999999999</v>
          </cell>
          <cell r="S179">
            <v>26030.5</v>
          </cell>
          <cell r="X179">
            <v>0</v>
          </cell>
          <cell r="Y179">
            <v>26030.494999999999</v>
          </cell>
          <cell r="Z179">
            <v>0</v>
          </cell>
          <cell r="AE179">
            <v>0</v>
          </cell>
          <cell r="AF179">
            <v>26030.494999999999</v>
          </cell>
          <cell r="AG179">
            <v>0</v>
          </cell>
          <cell r="AL179">
            <v>0</v>
          </cell>
          <cell r="AM179">
            <v>0</v>
          </cell>
          <cell r="AN179">
            <v>0</v>
          </cell>
          <cell r="AS179">
            <v>0</v>
          </cell>
          <cell r="AT179">
            <v>0</v>
          </cell>
          <cell r="AU179">
            <v>0</v>
          </cell>
          <cell r="AW179">
            <v>1</v>
          </cell>
          <cell r="AX179" t="e">
            <v>#N/A</v>
          </cell>
          <cell r="AY179">
            <v>26030.5</v>
          </cell>
        </row>
        <row r="180">
          <cell r="A180">
            <v>169</v>
          </cell>
          <cell r="B180">
            <v>169</v>
          </cell>
          <cell r="C180">
            <v>157</v>
          </cell>
          <cell r="D180" t="str">
            <v>12.9.</v>
          </cell>
          <cell r="E180" t="str">
            <v>Provisión del Sistema de Alcantarillado y Pozo Séptico</v>
          </cell>
          <cell r="F180" t="str">
            <v>[glb]</v>
          </cell>
          <cell r="N180">
            <v>1</v>
          </cell>
          <cell r="Q180">
            <v>1</v>
          </cell>
          <cell r="R180">
            <v>18472.116000000002</v>
          </cell>
          <cell r="S180">
            <v>18472.12</v>
          </cell>
          <cell r="X180">
            <v>0</v>
          </cell>
          <cell r="Y180">
            <v>18472.116000000002</v>
          </cell>
          <cell r="Z180">
            <v>0</v>
          </cell>
          <cell r="AE180">
            <v>0</v>
          </cell>
          <cell r="AF180">
            <v>18472.116000000002</v>
          </cell>
          <cell r="AG180">
            <v>0</v>
          </cell>
          <cell r="AL180">
            <v>0</v>
          </cell>
          <cell r="AM180">
            <v>0</v>
          </cell>
          <cell r="AN180">
            <v>0</v>
          </cell>
          <cell r="AS180">
            <v>0</v>
          </cell>
          <cell r="AT180">
            <v>0</v>
          </cell>
          <cell r="AU180">
            <v>0</v>
          </cell>
          <cell r="AW180">
            <v>1</v>
          </cell>
          <cell r="AX180" t="e">
            <v>#N/A</v>
          </cell>
          <cell r="AY180">
            <v>18472.12</v>
          </cell>
        </row>
        <row r="181">
          <cell r="A181">
            <v>170</v>
          </cell>
          <cell r="B181">
            <v>170</v>
          </cell>
          <cell r="C181">
            <v>158</v>
          </cell>
          <cell r="D181" t="str">
            <v>12.10.</v>
          </cell>
          <cell r="E181" t="str">
            <v>Separador New Jersey</v>
          </cell>
          <cell r="F181" t="str">
            <v>[m]</v>
          </cell>
          <cell r="N181">
            <v>360</v>
          </cell>
          <cell r="Q181">
            <v>378</v>
          </cell>
          <cell r="R181">
            <v>45.195999999999998</v>
          </cell>
          <cell r="S181">
            <v>17084.09</v>
          </cell>
          <cell r="X181">
            <v>0</v>
          </cell>
          <cell r="Y181">
            <v>45.195999999999998</v>
          </cell>
          <cell r="Z181">
            <v>0</v>
          </cell>
          <cell r="AE181">
            <v>0</v>
          </cell>
          <cell r="AF181">
            <v>45.195999999999998</v>
          </cell>
          <cell r="AG181">
            <v>0</v>
          </cell>
          <cell r="AL181">
            <v>0</v>
          </cell>
          <cell r="AM181">
            <v>0</v>
          </cell>
          <cell r="AN181">
            <v>0</v>
          </cell>
          <cell r="AS181">
            <v>0</v>
          </cell>
          <cell r="AT181">
            <v>0</v>
          </cell>
          <cell r="AU181">
            <v>0</v>
          </cell>
          <cell r="AW181">
            <v>378</v>
          </cell>
          <cell r="AX181" t="e">
            <v>#N/A</v>
          </cell>
          <cell r="AY181">
            <v>17084.09</v>
          </cell>
        </row>
        <row r="182">
          <cell r="A182">
            <v>171</v>
          </cell>
          <cell r="B182" t="str">
            <v>X</v>
          </cell>
          <cell r="C182">
            <v>158</v>
          </cell>
          <cell r="D182">
            <v>13</v>
          </cell>
          <cell r="E182" t="str">
            <v>CONSTRUCCION CAMPAMENTO PARA EL S.N.C.</v>
          </cell>
          <cell r="I182" t="str">
            <v>Imprevistos</v>
          </cell>
          <cell r="K182">
            <v>0.05</v>
          </cell>
          <cell r="S182">
            <v>406210.69000000006</v>
          </cell>
          <cell r="Z182">
            <v>0</v>
          </cell>
          <cell r="AG182">
            <v>0</v>
          </cell>
          <cell r="AN182">
            <v>0</v>
          </cell>
          <cell r="AU182">
            <v>0</v>
          </cell>
          <cell r="AY182">
            <v>406210.69000000006</v>
          </cell>
        </row>
        <row r="183">
          <cell r="A183">
            <v>172</v>
          </cell>
          <cell r="B183">
            <v>172</v>
          </cell>
          <cell r="C183">
            <v>159</v>
          </cell>
          <cell r="D183" t="str">
            <v>13.1.</v>
          </cell>
          <cell r="E183" t="str">
            <v>Area Pavimentada</v>
          </cell>
          <cell r="F183" t="str">
            <v>[m²]</v>
          </cell>
          <cell r="N183">
            <v>1164.96</v>
          </cell>
          <cell r="Q183">
            <v>1224</v>
          </cell>
          <cell r="R183">
            <v>20.530999999999999</v>
          </cell>
          <cell r="S183">
            <v>25129.94</v>
          </cell>
          <cell r="X183">
            <v>0</v>
          </cell>
          <cell r="Y183">
            <v>20.530999999999999</v>
          </cell>
          <cell r="Z183">
            <v>0</v>
          </cell>
          <cell r="AE183">
            <v>0</v>
          </cell>
          <cell r="AF183">
            <v>20.530999999999999</v>
          </cell>
          <cell r="AG183">
            <v>0</v>
          </cell>
          <cell r="AL183">
            <v>0</v>
          </cell>
          <cell r="AM183">
            <v>0</v>
          </cell>
          <cell r="AN183">
            <v>0</v>
          </cell>
          <cell r="AS183">
            <v>0</v>
          </cell>
          <cell r="AT183">
            <v>0</v>
          </cell>
          <cell r="AU183">
            <v>0</v>
          </cell>
          <cell r="AW183">
            <v>1224</v>
          </cell>
          <cell r="AX183" t="e">
            <v>#N/A</v>
          </cell>
          <cell r="AY183">
            <v>25129.94</v>
          </cell>
        </row>
        <row r="184">
          <cell r="A184">
            <v>173</v>
          </cell>
          <cell r="B184">
            <v>173</v>
          </cell>
          <cell r="C184">
            <v>160</v>
          </cell>
          <cell r="D184" t="str">
            <v>13.2.</v>
          </cell>
          <cell r="E184" t="str">
            <v>Area Construida Cerrada</v>
          </cell>
          <cell r="F184" t="str">
            <v>[m²]</v>
          </cell>
          <cell r="N184">
            <v>1579</v>
          </cell>
          <cell r="Q184">
            <v>1658</v>
          </cell>
          <cell r="R184">
            <v>117.047</v>
          </cell>
          <cell r="S184">
            <v>194063.93</v>
          </cell>
          <cell r="X184">
            <v>0</v>
          </cell>
          <cell r="Y184">
            <v>117.047</v>
          </cell>
          <cell r="Z184">
            <v>0</v>
          </cell>
          <cell r="AE184">
            <v>0</v>
          </cell>
          <cell r="AF184">
            <v>117.047</v>
          </cell>
          <cell r="AG184">
            <v>0</v>
          </cell>
          <cell r="AL184">
            <v>0</v>
          </cell>
          <cell r="AM184">
            <v>0</v>
          </cell>
          <cell r="AN184">
            <v>0</v>
          </cell>
          <cell r="AS184">
            <v>0</v>
          </cell>
          <cell r="AT184">
            <v>0</v>
          </cell>
          <cell r="AU184">
            <v>0</v>
          </cell>
          <cell r="AW184">
            <v>1658</v>
          </cell>
          <cell r="AX184" t="e">
            <v>#N/A</v>
          </cell>
          <cell r="AY184">
            <v>194063.93</v>
          </cell>
        </row>
        <row r="185">
          <cell r="A185">
            <v>174</v>
          </cell>
          <cell r="B185">
            <v>174</v>
          </cell>
          <cell r="C185">
            <v>161</v>
          </cell>
          <cell r="D185" t="str">
            <v>13.3.</v>
          </cell>
          <cell r="E185" t="str">
            <v>Area Construida Abierta</v>
          </cell>
          <cell r="F185" t="str">
            <v>[m²]</v>
          </cell>
          <cell r="N185">
            <v>121</v>
          </cell>
          <cell r="Q185">
            <v>128</v>
          </cell>
          <cell r="R185">
            <v>80.402000000000001</v>
          </cell>
          <cell r="S185">
            <v>10291.459999999999</v>
          </cell>
          <cell r="X185">
            <v>0</v>
          </cell>
          <cell r="Y185">
            <v>80.402000000000001</v>
          </cell>
          <cell r="Z185">
            <v>0</v>
          </cell>
          <cell r="AE185">
            <v>0</v>
          </cell>
          <cell r="AF185">
            <v>80.402000000000001</v>
          </cell>
          <cell r="AG185">
            <v>0</v>
          </cell>
          <cell r="AL185">
            <v>0</v>
          </cell>
          <cell r="AM185">
            <v>0</v>
          </cell>
          <cell r="AN185">
            <v>0</v>
          </cell>
          <cell r="AS185">
            <v>0</v>
          </cell>
          <cell r="AT185">
            <v>0</v>
          </cell>
          <cell r="AU185">
            <v>0</v>
          </cell>
          <cell r="AW185">
            <v>128</v>
          </cell>
          <cell r="AX185" t="e">
            <v>#N/A</v>
          </cell>
          <cell r="AY185">
            <v>10291.459999999999</v>
          </cell>
        </row>
        <row r="186">
          <cell r="A186">
            <v>175</v>
          </cell>
          <cell r="B186">
            <v>175</v>
          </cell>
          <cell r="C186">
            <v>162</v>
          </cell>
          <cell r="D186" t="str">
            <v>13.4.</v>
          </cell>
          <cell r="E186" t="str">
            <v>Jardines</v>
          </cell>
          <cell r="F186" t="str">
            <v>[m²]</v>
          </cell>
          <cell r="N186">
            <v>329.21</v>
          </cell>
          <cell r="Q186">
            <v>346</v>
          </cell>
          <cell r="R186">
            <v>1.2729999999999999</v>
          </cell>
          <cell r="S186">
            <v>440.46</v>
          </cell>
          <cell r="X186">
            <v>0</v>
          </cell>
          <cell r="Y186">
            <v>1.2729999999999999</v>
          </cell>
          <cell r="Z186">
            <v>0</v>
          </cell>
          <cell r="AE186">
            <v>0</v>
          </cell>
          <cell r="AF186">
            <v>1.2729999999999999</v>
          </cell>
          <cell r="AG186">
            <v>0</v>
          </cell>
          <cell r="AL186">
            <v>0</v>
          </cell>
          <cell r="AM186">
            <v>0</v>
          </cell>
          <cell r="AN186">
            <v>0</v>
          </cell>
          <cell r="AS186">
            <v>0</v>
          </cell>
          <cell r="AT186">
            <v>0</v>
          </cell>
          <cell r="AU186">
            <v>0</v>
          </cell>
          <cell r="AW186">
            <v>346</v>
          </cell>
          <cell r="AX186" t="e">
            <v>#N/A</v>
          </cell>
          <cell r="AY186">
            <v>440.46</v>
          </cell>
        </row>
        <row r="187">
          <cell r="A187">
            <v>176</v>
          </cell>
          <cell r="B187">
            <v>176</v>
          </cell>
          <cell r="C187">
            <v>163</v>
          </cell>
          <cell r="D187" t="str">
            <v>13.5.</v>
          </cell>
          <cell r="E187" t="str">
            <v>Aceras</v>
          </cell>
          <cell r="F187" t="str">
            <v>[m²]</v>
          </cell>
          <cell r="N187">
            <v>124.12</v>
          </cell>
          <cell r="Q187">
            <v>131</v>
          </cell>
          <cell r="R187">
            <v>21.331</v>
          </cell>
          <cell r="S187">
            <v>2794.36</v>
          </cell>
          <cell r="X187">
            <v>0</v>
          </cell>
          <cell r="Y187">
            <v>21.331</v>
          </cell>
          <cell r="Z187">
            <v>0</v>
          </cell>
          <cell r="AE187">
            <v>0</v>
          </cell>
          <cell r="AF187">
            <v>21.331</v>
          </cell>
          <cell r="AG187">
            <v>0</v>
          </cell>
          <cell r="AL187">
            <v>0</v>
          </cell>
          <cell r="AM187">
            <v>0</v>
          </cell>
          <cell r="AN187">
            <v>0</v>
          </cell>
          <cell r="AS187">
            <v>0</v>
          </cell>
          <cell r="AT187">
            <v>0</v>
          </cell>
          <cell r="AU187">
            <v>0</v>
          </cell>
          <cell r="AW187">
            <v>131</v>
          </cell>
          <cell r="AX187" t="e">
            <v>#N/A</v>
          </cell>
          <cell r="AY187">
            <v>2794.36</v>
          </cell>
        </row>
        <row r="188">
          <cell r="A188">
            <v>177</v>
          </cell>
          <cell r="B188">
            <v>177</v>
          </cell>
          <cell r="C188">
            <v>164</v>
          </cell>
          <cell r="D188" t="str">
            <v>13.6.</v>
          </cell>
          <cell r="E188" t="str">
            <v>Capa Material Granular</v>
          </cell>
          <cell r="F188" t="str">
            <v>[m³]</v>
          </cell>
          <cell r="N188">
            <v>274.08999999999997</v>
          </cell>
          <cell r="Q188">
            <v>288</v>
          </cell>
          <cell r="R188">
            <v>24.111000000000001</v>
          </cell>
          <cell r="S188">
            <v>6943.97</v>
          </cell>
          <cell r="X188">
            <v>0</v>
          </cell>
          <cell r="Y188">
            <v>24.111000000000001</v>
          </cell>
          <cell r="Z188">
            <v>0</v>
          </cell>
          <cell r="AE188">
            <v>0</v>
          </cell>
          <cell r="AF188">
            <v>24.111000000000001</v>
          </cell>
          <cell r="AG188">
            <v>0</v>
          </cell>
          <cell r="AL188">
            <v>0</v>
          </cell>
          <cell r="AM188">
            <v>0</v>
          </cell>
          <cell r="AN188">
            <v>0</v>
          </cell>
          <cell r="AS188">
            <v>0</v>
          </cell>
          <cell r="AT188">
            <v>0</v>
          </cell>
          <cell r="AU188">
            <v>0</v>
          </cell>
          <cell r="AW188">
            <v>288</v>
          </cell>
          <cell r="AX188" t="e">
            <v>#N/A</v>
          </cell>
          <cell r="AY188">
            <v>6943.97</v>
          </cell>
        </row>
        <row r="189">
          <cell r="A189">
            <v>178</v>
          </cell>
          <cell r="B189">
            <v>178</v>
          </cell>
          <cell r="C189">
            <v>165</v>
          </cell>
          <cell r="D189" t="str">
            <v>13.7.</v>
          </cell>
          <cell r="E189" t="str">
            <v>Cerco Perimetral</v>
          </cell>
          <cell r="F189" t="str">
            <v>[m]</v>
          </cell>
          <cell r="N189">
            <v>230.55</v>
          </cell>
          <cell r="Q189">
            <v>243</v>
          </cell>
          <cell r="R189">
            <v>29.25</v>
          </cell>
          <cell r="S189">
            <v>7107.75</v>
          </cell>
          <cell r="X189">
            <v>0</v>
          </cell>
          <cell r="Y189">
            <v>29.25</v>
          </cell>
          <cell r="Z189">
            <v>0</v>
          </cell>
          <cell r="AE189">
            <v>0</v>
          </cell>
          <cell r="AF189">
            <v>29.25</v>
          </cell>
          <cell r="AG189">
            <v>0</v>
          </cell>
          <cell r="AL189">
            <v>0</v>
          </cell>
          <cell r="AM189">
            <v>0</v>
          </cell>
          <cell r="AN189">
            <v>0</v>
          </cell>
          <cell r="AS189">
            <v>0</v>
          </cell>
          <cell r="AT189">
            <v>0</v>
          </cell>
          <cell r="AU189">
            <v>0</v>
          </cell>
          <cell r="AW189">
            <v>243</v>
          </cell>
          <cell r="AX189" t="e">
            <v>#N/A</v>
          </cell>
          <cell r="AY189">
            <v>7107.75</v>
          </cell>
        </row>
        <row r="190">
          <cell r="A190">
            <v>179</v>
          </cell>
          <cell r="B190">
            <v>179</v>
          </cell>
          <cell r="C190">
            <v>166</v>
          </cell>
          <cell r="D190" t="str">
            <v>13.8.</v>
          </cell>
          <cell r="E190" t="str">
            <v>Provisión Energía Eléctrica e Iluminación Exterior</v>
          </cell>
          <cell r="F190" t="str">
            <v>[glb]</v>
          </cell>
          <cell r="N190">
            <v>1</v>
          </cell>
          <cell r="Q190">
            <v>1</v>
          </cell>
          <cell r="R190">
            <v>37113.239000000001</v>
          </cell>
          <cell r="S190">
            <v>37113.24</v>
          </cell>
          <cell r="X190">
            <v>0</v>
          </cell>
          <cell r="Y190">
            <v>37113.239000000001</v>
          </cell>
          <cell r="Z190">
            <v>0</v>
          </cell>
          <cell r="AE190">
            <v>0</v>
          </cell>
          <cell r="AF190">
            <v>37113.239000000001</v>
          </cell>
          <cell r="AG190">
            <v>0</v>
          </cell>
          <cell r="AL190">
            <v>0</v>
          </cell>
          <cell r="AM190">
            <v>0</v>
          </cell>
          <cell r="AN190">
            <v>0</v>
          </cell>
          <cell r="AS190">
            <v>0</v>
          </cell>
          <cell r="AT190">
            <v>0</v>
          </cell>
          <cell r="AU190">
            <v>0</v>
          </cell>
          <cell r="AW190">
            <v>1</v>
          </cell>
          <cell r="AX190" t="e">
            <v>#N/A</v>
          </cell>
          <cell r="AY190">
            <v>37113.24</v>
          </cell>
        </row>
        <row r="191">
          <cell r="A191">
            <v>180</v>
          </cell>
          <cell r="B191">
            <v>180</v>
          </cell>
          <cell r="C191">
            <v>167</v>
          </cell>
          <cell r="D191" t="str">
            <v>13.9.</v>
          </cell>
          <cell r="E191" t="str">
            <v>Tanque Almacenamiento de Agua Potable y Sistema de Distribución</v>
          </cell>
          <cell r="F191" t="str">
            <v>[glb]</v>
          </cell>
          <cell r="N191">
            <v>1</v>
          </cell>
          <cell r="Q191">
            <v>1</v>
          </cell>
          <cell r="R191">
            <v>30159.134999999998</v>
          </cell>
          <cell r="S191">
            <v>30159.14</v>
          </cell>
          <cell r="X191">
            <v>0</v>
          </cell>
          <cell r="Y191">
            <v>30159.134999999998</v>
          </cell>
          <cell r="Z191">
            <v>0</v>
          </cell>
          <cell r="AE191">
            <v>0</v>
          </cell>
          <cell r="AF191">
            <v>30159.134999999998</v>
          </cell>
          <cell r="AG191">
            <v>0</v>
          </cell>
          <cell r="AL191">
            <v>0</v>
          </cell>
          <cell r="AM191">
            <v>0</v>
          </cell>
          <cell r="AN191">
            <v>0</v>
          </cell>
          <cell r="AS191">
            <v>0</v>
          </cell>
          <cell r="AT191">
            <v>0</v>
          </cell>
          <cell r="AU191">
            <v>0</v>
          </cell>
          <cell r="AW191">
            <v>1</v>
          </cell>
          <cell r="AX191" t="e">
            <v>#N/A</v>
          </cell>
          <cell r="AY191">
            <v>30159.14</v>
          </cell>
        </row>
        <row r="192">
          <cell r="A192">
            <v>181</v>
          </cell>
          <cell r="B192">
            <v>181</v>
          </cell>
          <cell r="C192">
            <v>168</v>
          </cell>
          <cell r="D192" t="str">
            <v>13.10.</v>
          </cell>
          <cell r="E192" t="str">
            <v>Provisión del Sistema de Alcantarillado y Pozo Séptico</v>
          </cell>
          <cell r="F192" t="str">
            <v>[glb]</v>
          </cell>
          <cell r="N192">
            <v>1</v>
          </cell>
          <cell r="Q192">
            <v>1</v>
          </cell>
          <cell r="R192">
            <v>41797.589</v>
          </cell>
          <cell r="S192">
            <v>41797.589999999997</v>
          </cell>
          <cell r="X192">
            <v>0</v>
          </cell>
          <cell r="Y192">
            <v>41797.589</v>
          </cell>
          <cell r="Z192">
            <v>0</v>
          </cell>
          <cell r="AE192">
            <v>0</v>
          </cell>
          <cell r="AF192">
            <v>41797.589</v>
          </cell>
          <cell r="AG192">
            <v>0</v>
          </cell>
          <cell r="AL192">
            <v>0</v>
          </cell>
          <cell r="AM192">
            <v>0</v>
          </cell>
          <cell r="AN192">
            <v>0</v>
          </cell>
          <cell r="AS192">
            <v>0</v>
          </cell>
          <cell r="AT192">
            <v>0</v>
          </cell>
          <cell r="AU192">
            <v>0</v>
          </cell>
          <cell r="AW192">
            <v>1</v>
          </cell>
          <cell r="AX192" t="e">
            <v>#N/A</v>
          </cell>
          <cell r="AY192">
            <v>41797.589999999997</v>
          </cell>
        </row>
        <row r="193">
          <cell r="A193">
            <v>182</v>
          </cell>
          <cell r="B193" t="str">
            <v>X</v>
          </cell>
          <cell r="I193" t="str">
            <v>Imprevistos</v>
          </cell>
          <cell r="K193">
            <v>0.05</v>
          </cell>
          <cell r="S193">
            <v>355841.83999999997</v>
          </cell>
          <cell r="Z193">
            <v>0</v>
          </cell>
          <cell r="AG193">
            <v>0</v>
          </cell>
          <cell r="AN193">
            <v>0</v>
          </cell>
          <cell r="AU193">
            <v>0</v>
          </cell>
          <cell r="AY193">
            <v>355841.83999999997</v>
          </cell>
        </row>
        <row r="194">
          <cell r="A194">
            <v>183</v>
          </cell>
          <cell r="Q194" t="str">
            <v>PRESUPUESTO TOTAL</v>
          </cell>
          <cell r="S194">
            <v>48925373.829999998</v>
          </cell>
          <cell r="X194" t="str">
            <v>PRESUPUESTO TOTAL</v>
          </cell>
          <cell r="Z194">
            <v>2307223.3600000003</v>
          </cell>
          <cell r="AE194" t="str">
            <v>PRESUPUESTO TOTAL</v>
          </cell>
          <cell r="AG194">
            <v>827077.2699999999</v>
          </cell>
          <cell r="AL194" t="str">
            <v>PRESUPUESTO TOTAL</v>
          </cell>
          <cell r="AN194">
            <v>548243.94999999995</v>
          </cell>
          <cell r="AS194" t="str">
            <v>PRESUPUESTO TOTAL</v>
          </cell>
          <cell r="AU194">
            <v>258355.53999999998</v>
          </cell>
          <cell r="AW194" t="str">
            <v>PRESUPUESTO TOTAL</v>
          </cell>
          <cell r="AY194">
            <v>53104797.339999996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R676"/>
  <sheetViews>
    <sheetView tabSelected="1" workbookViewId="0">
      <selection activeCell="I10" sqref="I10"/>
    </sheetView>
  </sheetViews>
  <sheetFormatPr defaultRowHeight="15.75"/>
  <cols>
    <col min="1" max="1" width="1.140625" style="208" customWidth="1"/>
    <col min="2" max="2" width="5.42578125" style="228" customWidth="1"/>
    <col min="3" max="3" width="37.5703125" style="208" customWidth="1"/>
    <col min="4" max="4" width="12.28515625" style="208" customWidth="1"/>
    <col min="5" max="5" width="10.28515625" style="208" customWidth="1"/>
    <col min="6" max="6" width="9.5703125" style="208" bestFit="1" customWidth="1"/>
    <col min="7" max="7" width="7.85546875" style="208" customWidth="1"/>
    <col min="8" max="8" width="9.42578125" style="208" customWidth="1"/>
    <col min="9" max="9" width="7.5703125" style="208" customWidth="1"/>
    <col min="10" max="10" width="10.42578125" style="208" customWidth="1"/>
    <col min="11" max="11" width="7.5703125" style="208" customWidth="1"/>
    <col min="12" max="12" width="11.28515625" style="208" customWidth="1"/>
    <col min="13" max="13" width="12.7109375" style="208" customWidth="1"/>
    <col min="14" max="18" width="0" style="208" hidden="1" customWidth="1"/>
    <col min="19" max="246" width="9.140625" style="208"/>
    <col min="247" max="247" width="5.42578125" style="208" customWidth="1"/>
    <col min="248" max="248" width="9.28515625" style="208" customWidth="1"/>
    <col min="249" max="249" width="74.85546875" style="208" customWidth="1"/>
    <col min="250" max="250" width="12.28515625" style="208" customWidth="1"/>
    <col min="251" max="251" width="10.28515625" style="208" customWidth="1"/>
    <col min="252" max="252" width="9.5703125" style="208" bestFit="1" customWidth="1"/>
    <col min="253" max="253" width="9.28515625" style="208" bestFit="1" customWidth="1"/>
    <col min="254" max="254" width="9.42578125" style="208" customWidth="1"/>
    <col min="255" max="255" width="9.5703125" style="208" bestFit="1" customWidth="1"/>
    <col min="256" max="256" width="10.42578125" style="208" customWidth="1"/>
    <col min="257" max="257" width="9.28515625" style="208" bestFit="1" customWidth="1"/>
    <col min="258" max="258" width="11.28515625" style="208" customWidth="1"/>
    <col min="259" max="259" width="12.7109375" style="208" customWidth="1"/>
    <col min="260" max="260" width="10.7109375" style="208" customWidth="1"/>
    <col min="261" max="261" width="9.5703125" style="208" bestFit="1" customWidth="1"/>
    <col min="262" max="502" width="9.140625" style="208"/>
    <col min="503" max="503" width="5.42578125" style="208" customWidth="1"/>
    <col min="504" max="504" width="9.28515625" style="208" customWidth="1"/>
    <col min="505" max="505" width="74.85546875" style="208" customWidth="1"/>
    <col min="506" max="506" width="12.28515625" style="208" customWidth="1"/>
    <col min="507" max="507" width="10.28515625" style="208" customWidth="1"/>
    <col min="508" max="508" width="9.5703125" style="208" bestFit="1" customWidth="1"/>
    <col min="509" max="509" width="9.28515625" style="208" bestFit="1" customWidth="1"/>
    <col min="510" max="510" width="9.42578125" style="208" customWidth="1"/>
    <col min="511" max="511" width="9.5703125" style="208" bestFit="1" customWidth="1"/>
    <col min="512" max="512" width="10.42578125" style="208" customWidth="1"/>
    <col min="513" max="513" width="9.28515625" style="208" bestFit="1" customWidth="1"/>
    <col min="514" max="514" width="11.28515625" style="208" customWidth="1"/>
    <col min="515" max="515" width="12.7109375" style="208" customWidth="1"/>
    <col min="516" max="516" width="10.7109375" style="208" customWidth="1"/>
    <col min="517" max="517" width="9.5703125" style="208" bestFit="1" customWidth="1"/>
    <col min="518" max="758" width="9.140625" style="208"/>
    <col min="759" max="759" width="5.42578125" style="208" customWidth="1"/>
    <col min="760" max="760" width="9.28515625" style="208" customWidth="1"/>
    <col min="761" max="761" width="74.85546875" style="208" customWidth="1"/>
    <col min="762" max="762" width="12.28515625" style="208" customWidth="1"/>
    <col min="763" max="763" width="10.28515625" style="208" customWidth="1"/>
    <col min="764" max="764" width="9.5703125" style="208" bestFit="1" customWidth="1"/>
    <col min="765" max="765" width="9.28515625" style="208" bestFit="1" customWidth="1"/>
    <col min="766" max="766" width="9.42578125" style="208" customWidth="1"/>
    <col min="767" max="767" width="9.5703125" style="208" bestFit="1" customWidth="1"/>
    <col min="768" max="768" width="10.42578125" style="208" customWidth="1"/>
    <col min="769" max="769" width="9.28515625" style="208" bestFit="1" customWidth="1"/>
    <col min="770" max="770" width="11.28515625" style="208" customWidth="1"/>
    <col min="771" max="771" width="12.7109375" style="208" customWidth="1"/>
    <col min="772" max="772" width="10.7109375" style="208" customWidth="1"/>
    <col min="773" max="773" width="9.5703125" style="208" bestFit="1" customWidth="1"/>
    <col min="774" max="1014" width="9.140625" style="208"/>
    <col min="1015" max="1015" width="5.42578125" style="208" customWidth="1"/>
    <col min="1016" max="1016" width="9.28515625" style="208" customWidth="1"/>
    <col min="1017" max="1017" width="74.85546875" style="208" customWidth="1"/>
    <col min="1018" max="1018" width="12.28515625" style="208" customWidth="1"/>
    <col min="1019" max="1019" width="10.28515625" style="208" customWidth="1"/>
    <col min="1020" max="1020" width="9.5703125" style="208" bestFit="1" customWidth="1"/>
    <col min="1021" max="1021" width="9.28515625" style="208" bestFit="1" customWidth="1"/>
    <col min="1022" max="1022" width="9.42578125" style="208" customWidth="1"/>
    <col min="1023" max="1023" width="9.5703125" style="208" bestFit="1" customWidth="1"/>
    <col min="1024" max="1024" width="10.42578125" style="208" customWidth="1"/>
    <col min="1025" max="1025" width="9.28515625" style="208" bestFit="1" customWidth="1"/>
    <col min="1026" max="1026" width="11.28515625" style="208" customWidth="1"/>
    <col min="1027" max="1027" width="12.7109375" style="208" customWidth="1"/>
    <col min="1028" max="1028" width="10.7109375" style="208" customWidth="1"/>
    <col min="1029" max="1029" width="9.5703125" style="208" bestFit="1" customWidth="1"/>
    <col min="1030" max="1270" width="9.140625" style="208"/>
    <col min="1271" max="1271" width="5.42578125" style="208" customWidth="1"/>
    <col min="1272" max="1272" width="9.28515625" style="208" customWidth="1"/>
    <col min="1273" max="1273" width="74.85546875" style="208" customWidth="1"/>
    <col min="1274" max="1274" width="12.28515625" style="208" customWidth="1"/>
    <col min="1275" max="1275" width="10.28515625" style="208" customWidth="1"/>
    <col min="1276" max="1276" width="9.5703125" style="208" bestFit="1" customWidth="1"/>
    <col min="1277" max="1277" width="9.28515625" style="208" bestFit="1" customWidth="1"/>
    <col min="1278" max="1278" width="9.42578125" style="208" customWidth="1"/>
    <col min="1279" max="1279" width="9.5703125" style="208" bestFit="1" customWidth="1"/>
    <col min="1280" max="1280" width="10.42578125" style="208" customWidth="1"/>
    <col min="1281" max="1281" width="9.28515625" style="208" bestFit="1" customWidth="1"/>
    <col min="1282" max="1282" width="11.28515625" style="208" customWidth="1"/>
    <col min="1283" max="1283" width="12.7109375" style="208" customWidth="1"/>
    <col min="1284" max="1284" width="10.7109375" style="208" customWidth="1"/>
    <col min="1285" max="1285" width="9.5703125" style="208" bestFit="1" customWidth="1"/>
    <col min="1286" max="1526" width="9.140625" style="208"/>
    <col min="1527" max="1527" width="5.42578125" style="208" customWidth="1"/>
    <col min="1528" max="1528" width="9.28515625" style="208" customWidth="1"/>
    <col min="1529" max="1529" width="74.85546875" style="208" customWidth="1"/>
    <col min="1530" max="1530" width="12.28515625" style="208" customWidth="1"/>
    <col min="1531" max="1531" width="10.28515625" style="208" customWidth="1"/>
    <col min="1532" max="1532" width="9.5703125" style="208" bestFit="1" customWidth="1"/>
    <col min="1533" max="1533" width="9.28515625" style="208" bestFit="1" customWidth="1"/>
    <col min="1534" max="1534" width="9.42578125" style="208" customWidth="1"/>
    <col min="1535" max="1535" width="9.5703125" style="208" bestFit="1" customWidth="1"/>
    <col min="1536" max="1536" width="10.42578125" style="208" customWidth="1"/>
    <col min="1537" max="1537" width="9.28515625" style="208" bestFit="1" customWidth="1"/>
    <col min="1538" max="1538" width="11.28515625" style="208" customWidth="1"/>
    <col min="1539" max="1539" width="12.7109375" style="208" customWidth="1"/>
    <col min="1540" max="1540" width="10.7109375" style="208" customWidth="1"/>
    <col min="1541" max="1541" width="9.5703125" style="208" bestFit="1" customWidth="1"/>
    <col min="1542" max="1782" width="9.140625" style="208"/>
    <col min="1783" max="1783" width="5.42578125" style="208" customWidth="1"/>
    <col min="1784" max="1784" width="9.28515625" style="208" customWidth="1"/>
    <col min="1785" max="1785" width="74.85546875" style="208" customWidth="1"/>
    <col min="1786" max="1786" width="12.28515625" style="208" customWidth="1"/>
    <col min="1787" max="1787" width="10.28515625" style="208" customWidth="1"/>
    <col min="1788" max="1788" width="9.5703125" style="208" bestFit="1" customWidth="1"/>
    <col min="1789" max="1789" width="9.28515625" style="208" bestFit="1" customWidth="1"/>
    <col min="1790" max="1790" width="9.42578125" style="208" customWidth="1"/>
    <col min="1791" max="1791" width="9.5703125" style="208" bestFit="1" customWidth="1"/>
    <col min="1792" max="1792" width="10.42578125" style="208" customWidth="1"/>
    <col min="1793" max="1793" width="9.28515625" style="208" bestFit="1" customWidth="1"/>
    <col min="1794" max="1794" width="11.28515625" style="208" customWidth="1"/>
    <col min="1795" max="1795" width="12.7109375" style="208" customWidth="1"/>
    <col min="1796" max="1796" width="10.7109375" style="208" customWidth="1"/>
    <col min="1797" max="1797" width="9.5703125" style="208" bestFit="1" customWidth="1"/>
    <col min="1798" max="2038" width="9.140625" style="208"/>
    <col min="2039" max="2039" width="5.42578125" style="208" customWidth="1"/>
    <col min="2040" max="2040" width="9.28515625" style="208" customWidth="1"/>
    <col min="2041" max="2041" width="74.85546875" style="208" customWidth="1"/>
    <col min="2042" max="2042" width="12.28515625" style="208" customWidth="1"/>
    <col min="2043" max="2043" width="10.28515625" style="208" customWidth="1"/>
    <col min="2044" max="2044" width="9.5703125" style="208" bestFit="1" customWidth="1"/>
    <col min="2045" max="2045" width="9.28515625" style="208" bestFit="1" customWidth="1"/>
    <col min="2046" max="2046" width="9.42578125" style="208" customWidth="1"/>
    <col min="2047" max="2047" width="9.5703125" style="208" bestFit="1" customWidth="1"/>
    <col min="2048" max="2048" width="10.42578125" style="208" customWidth="1"/>
    <col min="2049" max="2049" width="9.28515625" style="208" bestFit="1" customWidth="1"/>
    <col min="2050" max="2050" width="11.28515625" style="208" customWidth="1"/>
    <col min="2051" max="2051" width="12.7109375" style="208" customWidth="1"/>
    <col min="2052" max="2052" width="10.7109375" style="208" customWidth="1"/>
    <col min="2053" max="2053" width="9.5703125" style="208" bestFit="1" customWidth="1"/>
    <col min="2054" max="2294" width="9.140625" style="208"/>
    <col min="2295" max="2295" width="5.42578125" style="208" customWidth="1"/>
    <col min="2296" max="2296" width="9.28515625" style="208" customWidth="1"/>
    <col min="2297" max="2297" width="74.85546875" style="208" customWidth="1"/>
    <col min="2298" max="2298" width="12.28515625" style="208" customWidth="1"/>
    <col min="2299" max="2299" width="10.28515625" style="208" customWidth="1"/>
    <col min="2300" max="2300" width="9.5703125" style="208" bestFit="1" customWidth="1"/>
    <col min="2301" max="2301" width="9.28515625" style="208" bestFit="1" customWidth="1"/>
    <col min="2302" max="2302" width="9.42578125" style="208" customWidth="1"/>
    <col min="2303" max="2303" width="9.5703125" style="208" bestFit="1" customWidth="1"/>
    <col min="2304" max="2304" width="10.42578125" style="208" customWidth="1"/>
    <col min="2305" max="2305" width="9.28515625" style="208" bestFit="1" customWidth="1"/>
    <col min="2306" max="2306" width="11.28515625" style="208" customWidth="1"/>
    <col min="2307" max="2307" width="12.7109375" style="208" customWidth="1"/>
    <col min="2308" max="2308" width="10.7109375" style="208" customWidth="1"/>
    <col min="2309" max="2309" width="9.5703125" style="208" bestFit="1" customWidth="1"/>
    <col min="2310" max="2550" width="9.140625" style="208"/>
    <col min="2551" max="2551" width="5.42578125" style="208" customWidth="1"/>
    <col min="2552" max="2552" width="9.28515625" style="208" customWidth="1"/>
    <col min="2553" max="2553" width="74.85546875" style="208" customWidth="1"/>
    <col min="2554" max="2554" width="12.28515625" style="208" customWidth="1"/>
    <col min="2555" max="2555" width="10.28515625" style="208" customWidth="1"/>
    <col min="2556" max="2556" width="9.5703125" style="208" bestFit="1" customWidth="1"/>
    <col min="2557" max="2557" width="9.28515625" style="208" bestFit="1" customWidth="1"/>
    <col min="2558" max="2558" width="9.42578125" style="208" customWidth="1"/>
    <col min="2559" max="2559" width="9.5703125" style="208" bestFit="1" customWidth="1"/>
    <col min="2560" max="2560" width="10.42578125" style="208" customWidth="1"/>
    <col min="2561" max="2561" width="9.28515625" style="208" bestFit="1" customWidth="1"/>
    <col min="2562" max="2562" width="11.28515625" style="208" customWidth="1"/>
    <col min="2563" max="2563" width="12.7109375" style="208" customWidth="1"/>
    <col min="2564" max="2564" width="10.7109375" style="208" customWidth="1"/>
    <col min="2565" max="2565" width="9.5703125" style="208" bestFit="1" customWidth="1"/>
    <col min="2566" max="2806" width="9.140625" style="208"/>
    <col min="2807" max="2807" width="5.42578125" style="208" customWidth="1"/>
    <col min="2808" max="2808" width="9.28515625" style="208" customWidth="1"/>
    <col min="2809" max="2809" width="74.85546875" style="208" customWidth="1"/>
    <col min="2810" max="2810" width="12.28515625" style="208" customWidth="1"/>
    <col min="2811" max="2811" width="10.28515625" style="208" customWidth="1"/>
    <col min="2812" max="2812" width="9.5703125" style="208" bestFit="1" customWidth="1"/>
    <col min="2813" max="2813" width="9.28515625" style="208" bestFit="1" customWidth="1"/>
    <col min="2814" max="2814" width="9.42578125" style="208" customWidth="1"/>
    <col min="2815" max="2815" width="9.5703125" style="208" bestFit="1" customWidth="1"/>
    <col min="2816" max="2816" width="10.42578125" style="208" customWidth="1"/>
    <col min="2817" max="2817" width="9.28515625" style="208" bestFit="1" customWidth="1"/>
    <col min="2818" max="2818" width="11.28515625" style="208" customWidth="1"/>
    <col min="2819" max="2819" width="12.7109375" style="208" customWidth="1"/>
    <col min="2820" max="2820" width="10.7109375" style="208" customWidth="1"/>
    <col min="2821" max="2821" width="9.5703125" style="208" bestFit="1" customWidth="1"/>
    <col min="2822" max="3062" width="9.140625" style="208"/>
    <col min="3063" max="3063" width="5.42578125" style="208" customWidth="1"/>
    <col min="3064" max="3064" width="9.28515625" style="208" customWidth="1"/>
    <col min="3065" max="3065" width="74.85546875" style="208" customWidth="1"/>
    <col min="3066" max="3066" width="12.28515625" style="208" customWidth="1"/>
    <col min="3067" max="3067" width="10.28515625" style="208" customWidth="1"/>
    <col min="3068" max="3068" width="9.5703125" style="208" bestFit="1" customWidth="1"/>
    <col min="3069" max="3069" width="9.28515625" style="208" bestFit="1" customWidth="1"/>
    <col min="3070" max="3070" width="9.42578125" style="208" customWidth="1"/>
    <col min="3071" max="3071" width="9.5703125" style="208" bestFit="1" customWidth="1"/>
    <col min="3072" max="3072" width="10.42578125" style="208" customWidth="1"/>
    <col min="3073" max="3073" width="9.28515625" style="208" bestFit="1" customWidth="1"/>
    <col min="3074" max="3074" width="11.28515625" style="208" customWidth="1"/>
    <col min="3075" max="3075" width="12.7109375" style="208" customWidth="1"/>
    <col min="3076" max="3076" width="10.7109375" style="208" customWidth="1"/>
    <col min="3077" max="3077" width="9.5703125" style="208" bestFit="1" customWidth="1"/>
    <col min="3078" max="3318" width="9.140625" style="208"/>
    <col min="3319" max="3319" width="5.42578125" style="208" customWidth="1"/>
    <col min="3320" max="3320" width="9.28515625" style="208" customWidth="1"/>
    <col min="3321" max="3321" width="74.85546875" style="208" customWidth="1"/>
    <col min="3322" max="3322" width="12.28515625" style="208" customWidth="1"/>
    <col min="3323" max="3323" width="10.28515625" style="208" customWidth="1"/>
    <col min="3324" max="3324" width="9.5703125" style="208" bestFit="1" customWidth="1"/>
    <col min="3325" max="3325" width="9.28515625" style="208" bestFit="1" customWidth="1"/>
    <col min="3326" max="3326" width="9.42578125" style="208" customWidth="1"/>
    <col min="3327" max="3327" width="9.5703125" style="208" bestFit="1" customWidth="1"/>
    <col min="3328" max="3328" width="10.42578125" style="208" customWidth="1"/>
    <col min="3329" max="3329" width="9.28515625" style="208" bestFit="1" customWidth="1"/>
    <col min="3330" max="3330" width="11.28515625" style="208" customWidth="1"/>
    <col min="3331" max="3331" width="12.7109375" style="208" customWidth="1"/>
    <col min="3332" max="3332" width="10.7109375" style="208" customWidth="1"/>
    <col min="3333" max="3333" width="9.5703125" style="208" bestFit="1" customWidth="1"/>
    <col min="3334" max="3574" width="9.140625" style="208"/>
    <col min="3575" max="3575" width="5.42578125" style="208" customWidth="1"/>
    <col min="3576" max="3576" width="9.28515625" style="208" customWidth="1"/>
    <col min="3577" max="3577" width="74.85546875" style="208" customWidth="1"/>
    <col min="3578" max="3578" width="12.28515625" style="208" customWidth="1"/>
    <col min="3579" max="3579" width="10.28515625" style="208" customWidth="1"/>
    <col min="3580" max="3580" width="9.5703125" style="208" bestFit="1" customWidth="1"/>
    <col min="3581" max="3581" width="9.28515625" style="208" bestFit="1" customWidth="1"/>
    <col min="3582" max="3582" width="9.42578125" style="208" customWidth="1"/>
    <col min="3583" max="3583" width="9.5703125" style="208" bestFit="1" customWidth="1"/>
    <col min="3584" max="3584" width="10.42578125" style="208" customWidth="1"/>
    <col min="3585" max="3585" width="9.28515625" style="208" bestFit="1" customWidth="1"/>
    <col min="3586" max="3586" width="11.28515625" style="208" customWidth="1"/>
    <col min="3587" max="3587" width="12.7109375" style="208" customWidth="1"/>
    <col min="3588" max="3588" width="10.7109375" style="208" customWidth="1"/>
    <col min="3589" max="3589" width="9.5703125" style="208" bestFit="1" customWidth="1"/>
    <col min="3590" max="3830" width="9.140625" style="208"/>
    <col min="3831" max="3831" width="5.42578125" style="208" customWidth="1"/>
    <col min="3832" max="3832" width="9.28515625" style="208" customWidth="1"/>
    <col min="3833" max="3833" width="74.85546875" style="208" customWidth="1"/>
    <col min="3834" max="3834" width="12.28515625" style="208" customWidth="1"/>
    <col min="3835" max="3835" width="10.28515625" style="208" customWidth="1"/>
    <col min="3836" max="3836" width="9.5703125" style="208" bestFit="1" customWidth="1"/>
    <col min="3837" max="3837" width="9.28515625" style="208" bestFit="1" customWidth="1"/>
    <col min="3838" max="3838" width="9.42578125" style="208" customWidth="1"/>
    <col min="3839" max="3839" width="9.5703125" style="208" bestFit="1" customWidth="1"/>
    <col min="3840" max="3840" width="10.42578125" style="208" customWidth="1"/>
    <col min="3841" max="3841" width="9.28515625" style="208" bestFit="1" customWidth="1"/>
    <col min="3842" max="3842" width="11.28515625" style="208" customWidth="1"/>
    <col min="3843" max="3843" width="12.7109375" style="208" customWidth="1"/>
    <col min="3844" max="3844" width="10.7109375" style="208" customWidth="1"/>
    <col min="3845" max="3845" width="9.5703125" style="208" bestFit="1" customWidth="1"/>
    <col min="3846" max="4086" width="9.140625" style="208"/>
    <col min="4087" max="4087" width="5.42578125" style="208" customWidth="1"/>
    <col min="4088" max="4088" width="9.28515625" style="208" customWidth="1"/>
    <col min="4089" max="4089" width="74.85546875" style="208" customWidth="1"/>
    <col min="4090" max="4090" width="12.28515625" style="208" customWidth="1"/>
    <col min="4091" max="4091" width="10.28515625" style="208" customWidth="1"/>
    <col min="4092" max="4092" width="9.5703125" style="208" bestFit="1" customWidth="1"/>
    <col min="4093" max="4093" width="9.28515625" style="208" bestFit="1" customWidth="1"/>
    <col min="4094" max="4094" width="9.42578125" style="208" customWidth="1"/>
    <col min="4095" max="4095" width="9.5703125" style="208" bestFit="1" customWidth="1"/>
    <col min="4096" max="4096" width="10.42578125" style="208" customWidth="1"/>
    <col min="4097" max="4097" width="9.28515625" style="208" bestFit="1" customWidth="1"/>
    <col min="4098" max="4098" width="11.28515625" style="208" customWidth="1"/>
    <col min="4099" max="4099" width="12.7109375" style="208" customWidth="1"/>
    <col min="4100" max="4100" width="10.7109375" style="208" customWidth="1"/>
    <col min="4101" max="4101" width="9.5703125" style="208" bestFit="1" customWidth="1"/>
    <col min="4102" max="4342" width="9.140625" style="208"/>
    <col min="4343" max="4343" width="5.42578125" style="208" customWidth="1"/>
    <col min="4344" max="4344" width="9.28515625" style="208" customWidth="1"/>
    <col min="4345" max="4345" width="74.85546875" style="208" customWidth="1"/>
    <col min="4346" max="4346" width="12.28515625" style="208" customWidth="1"/>
    <col min="4347" max="4347" width="10.28515625" style="208" customWidth="1"/>
    <col min="4348" max="4348" width="9.5703125" style="208" bestFit="1" customWidth="1"/>
    <col min="4349" max="4349" width="9.28515625" style="208" bestFit="1" customWidth="1"/>
    <col min="4350" max="4350" width="9.42578125" style="208" customWidth="1"/>
    <col min="4351" max="4351" width="9.5703125" style="208" bestFit="1" customWidth="1"/>
    <col min="4352" max="4352" width="10.42578125" style="208" customWidth="1"/>
    <col min="4353" max="4353" width="9.28515625" style="208" bestFit="1" customWidth="1"/>
    <col min="4354" max="4354" width="11.28515625" style="208" customWidth="1"/>
    <col min="4355" max="4355" width="12.7109375" style="208" customWidth="1"/>
    <col min="4356" max="4356" width="10.7109375" style="208" customWidth="1"/>
    <col min="4357" max="4357" width="9.5703125" style="208" bestFit="1" customWidth="1"/>
    <col min="4358" max="4598" width="9.140625" style="208"/>
    <col min="4599" max="4599" width="5.42578125" style="208" customWidth="1"/>
    <col min="4600" max="4600" width="9.28515625" style="208" customWidth="1"/>
    <col min="4601" max="4601" width="74.85546875" style="208" customWidth="1"/>
    <col min="4602" max="4602" width="12.28515625" style="208" customWidth="1"/>
    <col min="4603" max="4603" width="10.28515625" style="208" customWidth="1"/>
    <col min="4604" max="4604" width="9.5703125" style="208" bestFit="1" customWidth="1"/>
    <col min="4605" max="4605" width="9.28515625" style="208" bestFit="1" customWidth="1"/>
    <col min="4606" max="4606" width="9.42578125" style="208" customWidth="1"/>
    <col min="4607" max="4607" width="9.5703125" style="208" bestFit="1" customWidth="1"/>
    <col min="4608" max="4608" width="10.42578125" style="208" customWidth="1"/>
    <col min="4609" max="4609" width="9.28515625" style="208" bestFit="1" customWidth="1"/>
    <col min="4610" max="4610" width="11.28515625" style="208" customWidth="1"/>
    <col min="4611" max="4611" width="12.7109375" style="208" customWidth="1"/>
    <col min="4612" max="4612" width="10.7109375" style="208" customWidth="1"/>
    <col min="4613" max="4613" width="9.5703125" style="208" bestFit="1" customWidth="1"/>
    <col min="4614" max="4854" width="9.140625" style="208"/>
    <col min="4855" max="4855" width="5.42578125" style="208" customWidth="1"/>
    <col min="4856" max="4856" width="9.28515625" style="208" customWidth="1"/>
    <col min="4857" max="4857" width="74.85546875" style="208" customWidth="1"/>
    <col min="4858" max="4858" width="12.28515625" style="208" customWidth="1"/>
    <col min="4859" max="4859" width="10.28515625" style="208" customWidth="1"/>
    <col min="4860" max="4860" width="9.5703125" style="208" bestFit="1" customWidth="1"/>
    <col min="4861" max="4861" width="9.28515625" style="208" bestFit="1" customWidth="1"/>
    <col min="4862" max="4862" width="9.42578125" style="208" customWidth="1"/>
    <col min="4863" max="4863" width="9.5703125" style="208" bestFit="1" customWidth="1"/>
    <col min="4864" max="4864" width="10.42578125" style="208" customWidth="1"/>
    <col min="4865" max="4865" width="9.28515625" style="208" bestFit="1" customWidth="1"/>
    <col min="4866" max="4866" width="11.28515625" style="208" customWidth="1"/>
    <col min="4867" max="4867" width="12.7109375" style="208" customWidth="1"/>
    <col min="4868" max="4868" width="10.7109375" style="208" customWidth="1"/>
    <col min="4869" max="4869" width="9.5703125" style="208" bestFit="1" customWidth="1"/>
    <col min="4870" max="5110" width="9.140625" style="208"/>
    <col min="5111" max="5111" width="5.42578125" style="208" customWidth="1"/>
    <col min="5112" max="5112" width="9.28515625" style="208" customWidth="1"/>
    <col min="5113" max="5113" width="74.85546875" style="208" customWidth="1"/>
    <col min="5114" max="5114" width="12.28515625" style="208" customWidth="1"/>
    <col min="5115" max="5115" width="10.28515625" style="208" customWidth="1"/>
    <col min="5116" max="5116" width="9.5703125" style="208" bestFit="1" customWidth="1"/>
    <col min="5117" max="5117" width="9.28515625" style="208" bestFit="1" customWidth="1"/>
    <col min="5118" max="5118" width="9.42578125" style="208" customWidth="1"/>
    <col min="5119" max="5119" width="9.5703125" style="208" bestFit="1" customWidth="1"/>
    <col min="5120" max="5120" width="10.42578125" style="208" customWidth="1"/>
    <col min="5121" max="5121" width="9.28515625" style="208" bestFit="1" customWidth="1"/>
    <col min="5122" max="5122" width="11.28515625" style="208" customWidth="1"/>
    <col min="5123" max="5123" width="12.7109375" style="208" customWidth="1"/>
    <col min="5124" max="5124" width="10.7109375" style="208" customWidth="1"/>
    <col min="5125" max="5125" width="9.5703125" style="208" bestFit="1" customWidth="1"/>
    <col min="5126" max="5366" width="9.140625" style="208"/>
    <col min="5367" max="5367" width="5.42578125" style="208" customWidth="1"/>
    <col min="5368" max="5368" width="9.28515625" style="208" customWidth="1"/>
    <col min="5369" max="5369" width="74.85546875" style="208" customWidth="1"/>
    <col min="5370" max="5370" width="12.28515625" style="208" customWidth="1"/>
    <col min="5371" max="5371" width="10.28515625" style="208" customWidth="1"/>
    <col min="5372" max="5372" width="9.5703125" style="208" bestFit="1" customWidth="1"/>
    <col min="5373" max="5373" width="9.28515625" style="208" bestFit="1" customWidth="1"/>
    <col min="5374" max="5374" width="9.42578125" style="208" customWidth="1"/>
    <col min="5375" max="5375" width="9.5703125" style="208" bestFit="1" customWidth="1"/>
    <col min="5376" max="5376" width="10.42578125" style="208" customWidth="1"/>
    <col min="5377" max="5377" width="9.28515625" style="208" bestFit="1" customWidth="1"/>
    <col min="5378" max="5378" width="11.28515625" style="208" customWidth="1"/>
    <col min="5379" max="5379" width="12.7109375" style="208" customWidth="1"/>
    <col min="5380" max="5380" width="10.7109375" style="208" customWidth="1"/>
    <col min="5381" max="5381" width="9.5703125" style="208" bestFit="1" customWidth="1"/>
    <col min="5382" max="5622" width="9.140625" style="208"/>
    <col min="5623" max="5623" width="5.42578125" style="208" customWidth="1"/>
    <col min="5624" max="5624" width="9.28515625" style="208" customWidth="1"/>
    <col min="5625" max="5625" width="74.85546875" style="208" customWidth="1"/>
    <col min="5626" max="5626" width="12.28515625" style="208" customWidth="1"/>
    <col min="5627" max="5627" width="10.28515625" style="208" customWidth="1"/>
    <col min="5628" max="5628" width="9.5703125" style="208" bestFit="1" customWidth="1"/>
    <col min="5629" max="5629" width="9.28515625" style="208" bestFit="1" customWidth="1"/>
    <col min="5630" max="5630" width="9.42578125" style="208" customWidth="1"/>
    <col min="5631" max="5631" width="9.5703125" style="208" bestFit="1" customWidth="1"/>
    <col min="5632" max="5632" width="10.42578125" style="208" customWidth="1"/>
    <col min="5633" max="5633" width="9.28515625" style="208" bestFit="1" customWidth="1"/>
    <col min="5634" max="5634" width="11.28515625" style="208" customWidth="1"/>
    <col min="5635" max="5635" width="12.7109375" style="208" customWidth="1"/>
    <col min="5636" max="5636" width="10.7109375" style="208" customWidth="1"/>
    <col min="5637" max="5637" width="9.5703125" style="208" bestFit="1" customWidth="1"/>
    <col min="5638" max="5878" width="9.140625" style="208"/>
    <col min="5879" max="5879" width="5.42578125" style="208" customWidth="1"/>
    <col min="5880" max="5880" width="9.28515625" style="208" customWidth="1"/>
    <col min="5881" max="5881" width="74.85546875" style="208" customWidth="1"/>
    <col min="5882" max="5882" width="12.28515625" style="208" customWidth="1"/>
    <col min="5883" max="5883" width="10.28515625" style="208" customWidth="1"/>
    <col min="5884" max="5884" width="9.5703125" style="208" bestFit="1" customWidth="1"/>
    <col min="5885" max="5885" width="9.28515625" style="208" bestFit="1" customWidth="1"/>
    <col min="5886" max="5886" width="9.42578125" style="208" customWidth="1"/>
    <col min="5887" max="5887" width="9.5703125" style="208" bestFit="1" customWidth="1"/>
    <col min="5888" max="5888" width="10.42578125" style="208" customWidth="1"/>
    <col min="5889" max="5889" width="9.28515625" style="208" bestFit="1" customWidth="1"/>
    <col min="5890" max="5890" width="11.28515625" style="208" customWidth="1"/>
    <col min="5891" max="5891" width="12.7109375" style="208" customWidth="1"/>
    <col min="5892" max="5892" width="10.7109375" style="208" customWidth="1"/>
    <col min="5893" max="5893" width="9.5703125" style="208" bestFit="1" customWidth="1"/>
    <col min="5894" max="6134" width="9.140625" style="208"/>
    <col min="6135" max="6135" width="5.42578125" style="208" customWidth="1"/>
    <col min="6136" max="6136" width="9.28515625" style="208" customWidth="1"/>
    <col min="6137" max="6137" width="74.85546875" style="208" customWidth="1"/>
    <col min="6138" max="6138" width="12.28515625" style="208" customWidth="1"/>
    <col min="6139" max="6139" width="10.28515625" style="208" customWidth="1"/>
    <col min="6140" max="6140" width="9.5703125" style="208" bestFit="1" customWidth="1"/>
    <col min="6141" max="6141" width="9.28515625" style="208" bestFit="1" customWidth="1"/>
    <col min="6142" max="6142" width="9.42578125" style="208" customWidth="1"/>
    <col min="6143" max="6143" width="9.5703125" style="208" bestFit="1" customWidth="1"/>
    <col min="6144" max="6144" width="10.42578125" style="208" customWidth="1"/>
    <col min="6145" max="6145" width="9.28515625" style="208" bestFit="1" customWidth="1"/>
    <col min="6146" max="6146" width="11.28515625" style="208" customWidth="1"/>
    <col min="6147" max="6147" width="12.7109375" style="208" customWidth="1"/>
    <col min="6148" max="6148" width="10.7109375" style="208" customWidth="1"/>
    <col min="6149" max="6149" width="9.5703125" style="208" bestFit="1" customWidth="1"/>
    <col min="6150" max="6390" width="9.140625" style="208"/>
    <col min="6391" max="6391" width="5.42578125" style="208" customWidth="1"/>
    <col min="6392" max="6392" width="9.28515625" style="208" customWidth="1"/>
    <col min="6393" max="6393" width="74.85546875" style="208" customWidth="1"/>
    <col min="6394" max="6394" width="12.28515625" style="208" customWidth="1"/>
    <col min="6395" max="6395" width="10.28515625" style="208" customWidth="1"/>
    <col min="6396" max="6396" width="9.5703125" style="208" bestFit="1" customWidth="1"/>
    <col min="6397" max="6397" width="9.28515625" style="208" bestFit="1" customWidth="1"/>
    <col min="6398" max="6398" width="9.42578125" style="208" customWidth="1"/>
    <col min="6399" max="6399" width="9.5703125" style="208" bestFit="1" customWidth="1"/>
    <col min="6400" max="6400" width="10.42578125" style="208" customWidth="1"/>
    <col min="6401" max="6401" width="9.28515625" style="208" bestFit="1" customWidth="1"/>
    <col min="6402" max="6402" width="11.28515625" style="208" customWidth="1"/>
    <col min="6403" max="6403" width="12.7109375" style="208" customWidth="1"/>
    <col min="6404" max="6404" width="10.7109375" style="208" customWidth="1"/>
    <col min="6405" max="6405" width="9.5703125" style="208" bestFit="1" customWidth="1"/>
    <col min="6406" max="6646" width="9.140625" style="208"/>
    <col min="6647" max="6647" width="5.42578125" style="208" customWidth="1"/>
    <col min="6648" max="6648" width="9.28515625" style="208" customWidth="1"/>
    <col min="6649" max="6649" width="74.85546875" style="208" customWidth="1"/>
    <col min="6650" max="6650" width="12.28515625" style="208" customWidth="1"/>
    <col min="6651" max="6651" width="10.28515625" style="208" customWidth="1"/>
    <col min="6652" max="6652" width="9.5703125" style="208" bestFit="1" customWidth="1"/>
    <col min="6653" max="6653" width="9.28515625" style="208" bestFit="1" customWidth="1"/>
    <col min="6654" max="6654" width="9.42578125" style="208" customWidth="1"/>
    <col min="6655" max="6655" width="9.5703125" style="208" bestFit="1" customWidth="1"/>
    <col min="6656" max="6656" width="10.42578125" style="208" customWidth="1"/>
    <col min="6657" max="6657" width="9.28515625" style="208" bestFit="1" customWidth="1"/>
    <col min="6658" max="6658" width="11.28515625" style="208" customWidth="1"/>
    <col min="6659" max="6659" width="12.7109375" style="208" customWidth="1"/>
    <col min="6660" max="6660" width="10.7109375" style="208" customWidth="1"/>
    <col min="6661" max="6661" width="9.5703125" style="208" bestFit="1" customWidth="1"/>
    <col min="6662" max="6902" width="9.140625" style="208"/>
    <col min="6903" max="6903" width="5.42578125" style="208" customWidth="1"/>
    <col min="6904" max="6904" width="9.28515625" style="208" customWidth="1"/>
    <col min="6905" max="6905" width="74.85546875" style="208" customWidth="1"/>
    <col min="6906" max="6906" width="12.28515625" style="208" customWidth="1"/>
    <col min="6907" max="6907" width="10.28515625" style="208" customWidth="1"/>
    <col min="6908" max="6908" width="9.5703125" style="208" bestFit="1" customWidth="1"/>
    <col min="6909" max="6909" width="9.28515625" style="208" bestFit="1" customWidth="1"/>
    <col min="6910" max="6910" width="9.42578125" style="208" customWidth="1"/>
    <col min="6911" max="6911" width="9.5703125" style="208" bestFit="1" customWidth="1"/>
    <col min="6912" max="6912" width="10.42578125" style="208" customWidth="1"/>
    <col min="6913" max="6913" width="9.28515625" style="208" bestFit="1" customWidth="1"/>
    <col min="6914" max="6914" width="11.28515625" style="208" customWidth="1"/>
    <col min="6915" max="6915" width="12.7109375" style="208" customWidth="1"/>
    <col min="6916" max="6916" width="10.7109375" style="208" customWidth="1"/>
    <col min="6917" max="6917" width="9.5703125" style="208" bestFit="1" customWidth="1"/>
    <col min="6918" max="7158" width="9.140625" style="208"/>
    <col min="7159" max="7159" width="5.42578125" style="208" customWidth="1"/>
    <col min="7160" max="7160" width="9.28515625" style="208" customWidth="1"/>
    <col min="7161" max="7161" width="74.85546875" style="208" customWidth="1"/>
    <col min="7162" max="7162" width="12.28515625" style="208" customWidth="1"/>
    <col min="7163" max="7163" width="10.28515625" style="208" customWidth="1"/>
    <col min="7164" max="7164" width="9.5703125" style="208" bestFit="1" customWidth="1"/>
    <col min="7165" max="7165" width="9.28515625" style="208" bestFit="1" customWidth="1"/>
    <col min="7166" max="7166" width="9.42578125" style="208" customWidth="1"/>
    <col min="7167" max="7167" width="9.5703125" style="208" bestFit="1" customWidth="1"/>
    <col min="7168" max="7168" width="10.42578125" style="208" customWidth="1"/>
    <col min="7169" max="7169" width="9.28515625" style="208" bestFit="1" customWidth="1"/>
    <col min="7170" max="7170" width="11.28515625" style="208" customWidth="1"/>
    <col min="7171" max="7171" width="12.7109375" style="208" customWidth="1"/>
    <col min="7172" max="7172" width="10.7109375" style="208" customWidth="1"/>
    <col min="7173" max="7173" width="9.5703125" style="208" bestFit="1" customWidth="1"/>
    <col min="7174" max="7414" width="9.140625" style="208"/>
    <col min="7415" max="7415" width="5.42578125" style="208" customWidth="1"/>
    <col min="7416" max="7416" width="9.28515625" style="208" customWidth="1"/>
    <col min="7417" max="7417" width="74.85546875" style="208" customWidth="1"/>
    <col min="7418" max="7418" width="12.28515625" style="208" customWidth="1"/>
    <col min="7419" max="7419" width="10.28515625" style="208" customWidth="1"/>
    <col min="7420" max="7420" width="9.5703125" style="208" bestFit="1" customWidth="1"/>
    <col min="7421" max="7421" width="9.28515625" style="208" bestFit="1" customWidth="1"/>
    <col min="7422" max="7422" width="9.42578125" style="208" customWidth="1"/>
    <col min="7423" max="7423" width="9.5703125" style="208" bestFit="1" customWidth="1"/>
    <col min="7424" max="7424" width="10.42578125" style="208" customWidth="1"/>
    <col min="7425" max="7425" width="9.28515625" style="208" bestFit="1" customWidth="1"/>
    <col min="7426" max="7426" width="11.28515625" style="208" customWidth="1"/>
    <col min="7427" max="7427" width="12.7109375" style="208" customWidth="1"/>
    <col min="7428" max="7428" width="10.7109375" style="208" customWidth="1"/>
    <col min="7429" max="7429" width="9.5703125" style="208" bestFit="1" customWidth="1"/>
    <col min="7430" max="7670" width="9.140625" style="208"/>
    <col min="7671" max="7671" width="5.42578125" style="208" customWidth="1"/>
    <col min="7672" max="7672" width="9.28515625" style="208" customWidth="1"/>
    <col min="7673" max="7673" width="74.85546875" style="208" customWidth="1"/>
    <col min="7674" max="7674" width="12.28515625" style="208" customWidth="1"/>
    <col min="7675" max="7675" width="10.28515625" style="208" customWidth="1"/>
    <col min="7676" max="7676" width="9.5703125" style="208" bestFit="1" customWidth="1"/>
    <col min="7677" max="7677" width="9.28515625" style="208" bestFit="1" customWidth="1"/>
    <col min="7678" max="7678" width="9.42578125" style="208" customWidth="1"/>
    <col min="7679" max="7679" width="9.5703125" style="208" bestFit="1" customWidth="1"/>
    <col min="7680" max="7680" width="10.42578125" style="208" customWidth="1"/>
    <col min="7681" max="7681" width="9.28515625" style="208" bestFit="1" customWidth="1"/>
    <col min="7682" max="7682" width="11.28515625" style="208" customWidth="1"/>
    <col min="7683" max="7683" width="12.7109375" style="208" customWidth="1"/>
    <col min="7684" max="7684" width="10.7109375" style="208" customWidth="1"/>
    <col min="7685" max="7685" width="9.5703125" style="208" bestFit="1" customWidth="1"/>
    <col min="7686" max="7926" width="9.140625" style="208"/>
    <col min="7927" max="7927" width="5.42578125" style="208" customWidth="1"/>
    <col min="7928" max="7928" width="9.28515625" style="208" customWidth="1"/>
    <col min="7929" max="7929" width="74.85546875" style="208" customWidth="1"/>
    <col min="7930" max="7930" width="12.28515625" style="208" customWidth="1"/>
    <col min="7931" max="7931" width="10.28515625" style="208" customWidth="1"/>
    <col min="7932" max="7932" width="9.5703125" style="208" bestFit="1" customWidth="1"/>
    <col min="7933" max="7933" width="9.28515625" style="208" bestFit="1" customWidth="1"/>
    <col min="7934" max="7934" width="9.42578125" style="208" customWidth="1"/>
    <col min="7935" max="7935" width="9.5703125" style="208" bestFit="1" customWidth="1"/>
    <col min="7936" max="7936" width="10.42578125" style="208" customWidth="1"/>
    <col min="7937" max="7937" width="9.28515625" style="208" bestFit="1" customWidth="1"/>
    <col min="7938" max="7938" width="11.28515625" style="208" customWidth="1"/>
    <col min="7939" max="7939" width="12.7109375" style="208" customWidth="1"/>
    <col min="7940" max="7940" width="10.7109375" style="208" customWidth="1"/>
    <col min="7941" max="7941" width="9.5703125" style="208" bestFit="1" customWidth="1"/>
    <col min="7942" max="8182" width="9.140625" style="208"/>
    <col min="8183" max="8183" width="5.42578125" style="208" customWidth="1"/>
    <col min="8184" max="8184" width="9.28515625" style="208" customWidth="1"/>
    <col min="8185" max="8185" width="74.85546875" style="208" customWidth="1"/>
    <col min="8186" max="8186" width="12.28515625" style="208" customWidth="1"/>
    <col min="8187" max="8187" width="10.28515625" style="208" customWidth="1"/>
    <col min="8188" max="8188" width="9.5703125" style="208" bestFit="1" customWidth="1"/>
    <col min="8189" max="8189" width="9.28515625" style="208" bestFit="1" customWidth="1"/>
    <col min="8190" max="8190" width="9.42578125" style="208" customWidth="1"/>
    <col min="8191" max="8191" width="9.5703125" style="208" bestFit="1" customWidth="1"/>
    <col min="8192" max="8192" width="10.42578125" style="208" customWidth="1"/>
    <col min="8193" max="8193" width="9.28515625" style="208" bestFit="1" customWidth="1"/>
    <col min="8194" max="8194" width="11.28515625" style="208" customWidth="1"/>
    <col min="8195" max="8195" width="12.7109375" style="208" customWidth="1"/>
    <col min="8196" max="8196" width="10.7109375" style="208" customWidth="1"/>
    <col min="8197" max="8197" width="9.5703125" style="208" bestFit="1" customWidth="1"/>
    <col min="8198" max="8438" width="9.140625" style="208"/>
    <col min="8439" max="8439" width="5.42578125" style="208" customWidth="1"/>
    <col min="8440" max="8440" width="9.28515625" style="208" customWidth="1"/>
    <col min="8441" max="8441" width="74.85546875" style="208" customWidth="1"/>
    <col min="8442" max="8442" width="12.28515625" style="208" customWidth="1"/>
    <col min="8443" max="8443" width="10.28515625" style="208" customWidth="1"/>
    <col min="8444" max="8444" width="9.5703125" style="208" bestFit="1" customWidth="1"/>
    <col min="8445" max="8445" width="9.28515625" style="208" bestFit="1" customWidth="1"/>
    <col min="8446" max="8446" width="9.42578125" style="208" customWidth="1"/>
    <col min="8447" max="8447" width="9.5703125" style="208" bestFit="1" customWidth="1"/>
    <col min="8448" max="8448" width="10.42578125" style="208" customWidth="1"/>
    <col min="8449" max="8449" width="9.28515625" style="208" bestFit="1" customWidth="1"/>
    <col min="8450" max="8450" width="11.28515625" style="208" customWidth="1"/>
    <col min="8451" max="8451" width="12.7109375" style="208" customWidth="1"/>
    <col min="8452" max="8452" width="10.7109375" style="208" customWidth="1"/>
    <col min="8453" max="8453" width="9.5703125" style="208" bestFit="1" customWidth="1"/>
    <col min="8454" max="8694" width="9.140625" style="208"/>
    <col min="8695" max="8695" width="5.42578125" style="208" customWidth="1"/>
    <col min="8696" max="8696" width="9.28515625" style="208" customWidth="1"/>
    <col min="8697" max="8697" width="74.85546875" style="208" customWidth="1"/>
    <col min="8698" max="8698" width="12.28515625" style="208" customWidth="1"/>
    <col min="8699" max="8699" width="10.28515625" style="208" customWidth="1"/>
    <col min="8700" max="8700" width="9.5703125" style="208" bestFit="1" customWidth="1"/>
    <col min="8701" max="8701" width="9.28515625" style="208" bestFit="1" customWidth="1"/>
    <col min="8702" max="8702" width="9.42578125" style="208" customWidth="1"/>
    <col min="8703" max="8703" width="9.5703125" style="208" bestFit="1" customWidth="1"/>
    <col min="8704" max="8704" width="10.42578125" style="208" customWidth="1"/>
    <col min="8705" max="8705" width="9.28515625" style="208" bestFit="1" customWidth="1"/>
    <col min="8706" max="8706" width="11.28515625" style="208" customWidth="1"/>
    <col min="8707" max="8707" width="12.7109375" style="208" customWidth="1"/>
    <col min="8708" max="8708" width="10.7109375" style="208" customWidth="1"/>
    <col min="8709" max="8709" width="9.5703125" style="208" bestFit="1" customWidth="1"/>
    <col min="8710" max="8950" width="9.140625" style="208"/>
    <col min="8951" max="8951" width="5.42578125" style="208" customWidth="1"/>
    <col min="8952" max="8952" width="9.28515625" style="208" customWidth="1"/>
    <col min="8953" max="8953" width="74.85546875" style="208" customWidth="1"/>
    <col min="8954" max="8954" width="12.28515625" style="208" customWidth="1"/>
    <col min="8955" max="8955" width="10.28515625" style="208" customWidth="1"/>
    <col min="8956" max="8956" width="9.5703125" style="208" bestFit="1" customWidth="1"/>
    <col min="8957" max="8957" width="9.28515625" style="208" bestFit="1" customWidth="1"/>
    <col min="8958" max="8958" width="9.42578125" style="208" customWidth="1"/>
    <col min="8959" max="8959" width="9.5703125" style="208" bestFit="1" customWidth="1"/>
    <col min="8960" max="8960" width="10.42578125" style="208" customWidth="1"/>
    <col min="8961" max="8961" width="9.28515625" style="208" bestFit="1" customWidth="1"/>
    <col min="8962" max="8962" width="11.28515625" style="208" customWidth="1"/>
    <col min="8963" max="8963" width="12.7109375" style="208" customWidth="1"/>
    <col min="8964" max="8964" width="10.7109375" style="208" customWidth="1"/>
    <col min="8965" max="8965" width="9.5703125" style="208" bestFit="1" customWidth="1"/>
    <col min="8966" max="9206" width="9.140625" style="208"/>
    <col min="9207" max="9207" width="5.42578125" style="208" customWidth="1"/>
    <col min="9208" max="9208" width="9.28515625" style="208" customWidth="1"/>
    <col min="9209" max="9209" width="74.85546875" style="208" customWidth="1"/>
    <col min="9210" max="9210" width="12.28515625" style="208" customWidth="1"/>
    <col min="9211" max="9211" width="10.28515625" style="208" customWidth="1"/>
    <col min="9212" max="9212" width="9.5703125" style="208" bestFit="1" customWidth="1"/>
    <col min="9213" max="9213" width="9.28515625" style="208" bestFit="1" customWidth="1"/>
    <col min="9214" max="9214" width="9.42578125" style="208" customWidth="1"/>
    <col min="9215" max="9215" width="9.5703125" style="208" bestFit="1" customWidth="1"/>
    <col min="9216" max="9216" width="10.42578125" style="208" customWidth="1"/>
    <col min="9217" max="9217" width="9.28515625" style="208" bestFit="1" customWidth="1"/>
    <col min="9218" max="9218" width="11.28515625" style="208" customWidth="1"/>
    <col min="9219" max="9219" width="12.7109375" style="208" customWidth="1"/>
    <col min="9220" max="9220" width="10.7109375" style="208" customWidth="1"/>
    <col min="9221" max="9221" width="9.5703125" style="208" bestFit="1" customWidth="1"/>
    <col min="9222" max="9462" width="9.140625" style="208"/>
    <col min="9463" max="9463" width="5.42578125" style="208" customWidth="1"/>
    <col min="9464" max="9464" width="9.28515625" style="208" customWidth="1"/>
    <col min="9465" max="9465" width="74.85546875" style="208" customWidth="1"/>
    <col min="9466" max="9466" width="12.28515625" style="208" customWidth="1"/>
    <col min="9467" max="9467" width="10.28515625" style="208" customWidth="1"/>
    <col min="9468" max="9468" width="9.5703125" style="208" bestFit="1" customWidth="1"/>
    <col min="9469" max="9469" width="9.28515625" style="208" bestFit="1" customWidth="1"/>
    <col min="9470" max="9470" width="9.42578125" style="208" customWidth="1"/>
    <col min="9471" max="9471" width="9.5703125" style="208" bestFit="1" customWidth="1"/>
    <col min="9472" max="9472" width="10.42578125" style="208" customWidth="1"/>
    <col min="9473" max="9473" width="9.28515625" style="208" bestFit="1" customWidth="1"/>
    <col min="9474" max="9474" width="11.28515625" style="208" customWidth="1"/>
    <col min="9475" max="9475" width="12.7109375" style="208" customWidth="1"/>
    <col min="9476" max="9476" width="10.7109375" style="208" customWidth="1"/>
    <col min="9477" max="9477" width="9.5703125" style="208" bestFit="1" customWidth="1"/>
    <col min="9478" max="9718" width="9.140625" style="208"/>
    <col min="9719" max="9719" width="5.42578125" style="208" customWidth="1"/>
    <col min="9720" max="9720" width="9.28515625" style="208" customWidth="1"/>
    <col min="9721" max="9721" width="74.85546875" style="208" customWidth="1"/>
    <col min="9722" max="9722" width="12.28515625" style="208" customWidth="1"/>
    <col min="9723" max="9723" width="10.28515625" style="208" customWidth="1"/>
    <col min="9724" max="9724" width="9.5703125" style="208" bestFit="1" customWidth="1"/>
    <col min="9725" max="9725" width="9.28515625" style="208" bestFit="1" customWidth="1"/>
    <col min="9726" max="9726" width="9.42578125" style="208" customWidth="1"/>
    <col min="9727" max="9727" width="9.5703125" style="208" bestFit="1" customWidth="1"/>
    <col min="9728" max="9728" width="10.42578125" style="208" customWidth="1"/>
    <col min="9729" max="9729" width="9.28515625" style="208" bestFit="1" customWidth="1"/>
    <col min="9730" max="9730" width="11.28515625" style="208" customWidth="1"/>
    <col min="9731" max="9731" width="12.7109375" style="208" customWidth="1"/>
    <col min="9732" max="9732" width="10.7109375" style="208" customWidth="1"/>
    <col min="9733" max="9733" width="9.5703125" style="208" bestFit="1" customWidth="1"/>
    <col min="9734" max="9974" width="9.140625" style="208"/>
    <col min="9975" max="9975" width="5.42578125" style="208" customWidth="1"/>
    <col min="9976" max="9976" width="9.28515625" style="208" customWidth="1"/>
    <col min="9977" max="9977" width="74.85546875" style="208" customWidth="1"/>
    <col min="9978" max="9978" width="12.28515625" style="208" customWidth="1"/>
    <col min="9979" max="9979" width="10.28515625" style="208" customWidth="1"/>
    <col min="9980" max="9980" width="9.5703125" style="208" bestFit="1" customWidth="1"/>
    <col min="9981" max="9981" width="9.28515625" style="208" bestFit="1" customWidth="1"/>
    <col min="9982" max="9982" width="9.42578125" style="208" customWidth="1"/>
    <col min="9983" max="9983" width="9.5703125" style="208" bestFit="1" customWidth="1"/>
    <col min="9984" max="9984" width="10.42578125" style="208" customWidth="1"/>
    <col min="9985" max="9985" width="9.28515625" style="208" bestFit="1" customWidth="1"/>
    <col min="9986" max="9986" width="11.28515625" style="208" customWidth="1"/>
    <col min="9987" max="9987" width="12.7109375" style="208" customWidth="1"/>
    <col min="9988" max="9988" width="10.7109375" style="208" customWidth="1"/>
    <col min="9989" max="9989" width="9.5703125" style="208" bestFit="1" customWidth="1"/>
    <col min="9990" max="10230" width="9.140625" style="208"/>
    <col min="10231" max="10231" width="5.42578125" style="208" customWidth="1"/>
    <col min="10232" max="10232" width="9.28515625" style="208" customWidth="1"/>
    <col min="10233" max="10233" width="74.85546875" style="208" customWidth="1"/>
    <col min="10234" max="10234" width="12.28515625" style="208" customWidth="1"/>
    <col min="10235" max="10235" width="10.28515625" style="208" customWidth="1"/>
    <col min="10236" max="10236" width="9.5703125" style="208" bestFit="1" customWidth="1"/>
    <col min="10237" max="10237" width="9.28515625" style="208" bestFit="1" customWidth="1"/>
    <col min="10238" max="10238" width="9.42578125" style="208" customWidth="1"/>
    <col min="10239" max="10239" width="9.5703125" style="208" bestFit="1" customWidth="1"/>
    <col min="10240" max="10240" width="10.42578125" style="208" customWidth="1"/>
    <col min="10241" max="10241" width="9.28515625" style="208" bestFit="1" customWidth="1"/>
    <col min="10242" max="10242" width="11.28515625" style="208" customWidth="1"/>
    <col min="10243" max="10243" width="12.7109375" style="208" customWidth="1"/>
    <col min="10244" max="10244" width="10.7109375" style="208" customWidth="1"/>
    <col min="10245" max="10245" width="9.5703125" style="208" bestFit="1" customWidth="1"/>
    <col min="10246" max="10486" width="9.140625" style="208"/>
    <col min="10487" max="10487" width="5.42578125" style="208" customWidth="1"/>
    <col min="10488" max="10488" width="9.28515625" style="208" customWidth="1"/>
    <col min="10489" max="10489" width="74.85546875" style="208" customWidth="1"/>
    <col min="10490" max="10490" width="12.28515625" style="208" customWidth="1"/>
    <col min="10491" max="10491" width="10.28515625" style="208" customWidth="1"/>
    <col min="10492" max="10492" width="9.5703125" style="208" bestFit="1" customWidth="1"/>
    <col min="10493" max="10493" width="9.28515625" style="208" bestFit="1" customWidth="1"/>
    <col min="10494" max="10494" width="9.42578125" style="208" customWidth="1"/>
    <col min="10495" max="10495" width="9.5703125" style="208" bestFit="1" customWidth="1"/>
    <col min="10496" max="10496" width="10.42578125" style="208" customWidth="1"/>
    <col min="10497" max="10497" width="9.28515625" style="208" bestFit="1" customWidth="1"/>
    <col min="10498" max="10498" width="11.28515625" style="208" customWidth="1"/>
    <col min="10499" max="10499" width="12.7109375" style="208" customWidth="1"/>
    <col min="10500" max="10500" width="10.7109375" style="208" customWidth="1"/>
    <col min="10501" max="10501" width="9.5703125" style="208" bestFit="1" customWidth="1"/>
    <col min="10502" max="10742" width="9.140625" style="208"/>
    <col min="10743" max="10743" width="5.42578125" style="208" customWidth="1"/>
    <col min="10744" max="10744" width="9.28515625" style="208" customWidth="1"/>
    <col min="10745" max="10745" width="74.85546875" style="208" customWidth="1"/>
    <col min="10746" max="10746" width="12.28515625" style="208" customWidth="1"/>
    <col min="10747" max="10747" width="10.28515625" style="208" customWidth="1"/>
    <col min="10748" max="10748" width="9.5703125" style="208" bestFit="1" customWidth="1"/>
    <col min="10749" max="10749" width="9.28515625" style="208" bestFit="1" customWidth="1"/>
    <col min="10750" max="10750" width="9.42578125" style="208" customWidth="1"/>
    <col min="10751" max="10751" width="9.5703125" style="208" bestFit="1" customWidth="1"/>
    <col min="10752" max="10752" width="10.42578125" style="208" customWidth="1"/>
    <col min="10753" max="10753" width="9.28515625" style="208" bestFit="1" customWidth="1"/>
    <col min="10754" max="10754" width="11.28515625" style="208" customWidth="1"/>
    <col min="10755" max="10755" width="12.7109375" style="208" customWidth="1"/>
    <col min="10756" max="10756" width="10.7109375" style="208" customWidth="1"/>
    <col min="10757" max="10757" width="9.5703125" style="208" bestFit="1" customWidth="1"/>
    <col min="10758" max="10998" width="9.140625" style="208"/>
    <col min="10999" max="10999" width="5.42578125" style="208" customWidth="1"/>
    <col min="11000" max="11000" width="9.28515625" style="208" customWidth="1"/>
    <col min="11001" max="11001" width="74.85546875" style="208" customWidth="1"/>
    <col min="11002" max="11002" width="12.28515625" style="208" customWidth="1"/>
    <col min="11003" max="11003" width="10.28515625" style="208" customWidth="1"/>
    <col min="11004" max="11004" width="9.5703125" style="208" bestFit="1" customWidth="1"/>
    <col min="11005" max="11005" width="9.28515625" style="208" bestFit="1" customWidth="1"/>
    <col min="11006" max="11006" width="9.42578125" style="208" customWidth="1"/>
    <col min="11007" max="11007" width="9.5703125" style="208" bestFit="1" customWidth="1"/>
    <col min="11008" max="11008" width="10.42578125" style="208" customWidth="1"/>
    <col min="11009" max="11009" width="9.28515625" style="208" bestFit="1" customWidth="1"/>
    <col min="11010" max="11010" width="11.28515625" style="208" customWidth="1"/>
    <col min="11011" max="11011" width="12.7109375" style="208" customWidth="1"/>
    <col min="11012" max="11012" width="10.7109375" style="208" customWidth="1"/>
    <col min="11013" max="11013" width="9.5703125" style="208" bestFit="1" customWidth="1"/>
    <col min="11014" max="11254" width="9.140625" style="208"/>
    <col min="11255" max="11255" width="5.42578125" style="208" customWidth="1"/>
    <col min="11256" max="11256" width="9.28515625" style="208" customWidth="1"/>
    <col min="11257" max="11257" width="74.85546875" style="208" customWidth="1"/>
    <col min="11258" max="11258" width="12.28515625" style="208" customWidth="1"/>
    <col min="11259" max="11259" width="10.28515625" style="208" customWidth="1"/>
    <col min="11260" max="11260" width="9.5703125" style="208" bestFit="1" customWidth="1"/>
    <col min="11261" max="11261" width="9.28515625" style="208" bestFit="1" customWidth="1"/>
    <col min="11262" max="11262" width="9.42578125" style="208" customWidth="1"/>
    <col min="11263" max="11263" width="9.5703125" style="208" bestFit="1" customWidth="1"/>
    <col min="11264" max="11264" width="10.42578125" style="208" customWidth="1"/>
    <col min="11265" max="11265" width="9.28515625" style="208" bestFit="1" customWidth="1"/>
    <col min="11266" max="11266" width="11.28515625" style="208" customWidth="1"/>
    <col min="11267" max="11267" width="12.7109375" style="208" customWidth="1"/>
    <col min="11268" max="11268" width="10.7109375" style="208" customWidth="1"/>
    <col min="11269" max="11269" width="9.5703125" style="208" bestFit="1" customWidth="1"/>
    <col min="11270" max="11510" width="9.140625" style="208"/>
    <col min="11511" max="11511" width="5.42578125" style="208" customWidth="1"/>
    <col min="11512" max="11512" width="9.28515625" style="208" customWidth="1"/>
    <col min="11513" max="11513" width="74.85546875" style="208" customWidth="1"/>
    <col min="11514" max="11514" width="12.28515625" style="208" customWidth="1"/>
    <col min="11515" max="11515" width="10.28515625" style="208" customWidth="1"/>
    <col min="11516" max="11516" width="9.5703125" style="208" bestFit="1" customWidth="1"/>
    <col min="11517" max="11517" width="9.28515625" style="208" bestFit="1" customWidth="1"/>
    <col min="11518" max="11518" width="9.42578125" style="208" customWidth="1"/>
    <col min="11519" max="11519" width="9.5703125" style="208" bestFit="1" customWidth="1"/>
    <col min="11520" max="11520" width="10.42578125" style="208" customWidth="1"/>
    <col min="11521" max="11521" width="9.28515625" style="208" bestFit="1" customWidth="1"/>
    <col min="11522" max="11522" width="11.28515625" style="208" customWidth="1"/>
    <col min="11523" max="11523" width="12.7109375" style="208" customWidth="1"/>
    <col min="11524" max="11524" width="10.7109375" style="208" customWidth="1"/>
    <col min="11525" max="11525" width="9.5703125" style="208" bestFit="1" customWidth="1"/>
    <col min="11526" max="11766" width="9.140625" style="208"/>
    <col min="11767" max="11767" width="5.42578125" style="208" customWidth="1"/>
    <col min="11768" max="11768" width="9.28515625" style="208" customWidth="1"/>
    <col min="11769" max="11769" width="74.85546875" style="208" customWidth="1"/>
    <col min="11770" max="11770" width="12.28515625" style="208" customWidth="1"/>
    <col min="11771" max="11771" width="10.28515625" style="208" customWidth="1"/>
    <col min="11772" max="11772" width="9.5703125" style="208" bestFit="1" customWidth="1"/>
    <col min="11773" max="11773" width="9.28515625" style="208" bestFit="1" customWidth="1"/>
    <col min="11774" max="11774" width="9.42578125" style="208" customWidth="1"/>
    <col min="11775" max="11775" width="9.5703125" style="208" bestFit="1" customWidth="1"/>
    <col min="11776" max="11776" width="10.42578125" style="208" customWidth="1"/>
    <col min="11777" max="11777" width="9.28515625" style="208" bestFit="1" customWidth="1"/>
    <col min="11778" max="11778" width="11.28515625" style="208" customWidth="1"/>
    <col min="11779" max="11779" width="12.7109375" style="208" customWidth="1"/>
    <col min="11780" max="11780" width="10.7109375" style="208" customWidth="1"/>
    <col min="11781" max="11781" width="9.5703125" style="208" bestFit="1" customWidth="1"/>
    <col min="11782" max="12022" width="9.140625" style="208"/>
    <col min="12023" max="12023" width="5.42578125" style="208" customWidth="1"/>
    <col min="12024" max="12024" width="9.28515625" style="208" customWidth="1"/>
    <col min="12025" max="12025" width="74.85546875" style="208" customWidth="1"/>
    <col min="12026" max="12026" width="12.28515625" style="208" customWidth="1"/>
    <col min="12027" max="12027" width="10.28515625" style="208" customWidth="1"/>
    <col min="12028" max="12028" width="9.5703125" style="208" bestFit="1" customWidth="1"/>
    <col min="12029" max="12029" width="9.28515625" style="208" bestFit="1" customWidth="1"/>
    <col min="12030" max="12030" width="9.42578125" style="208" customWidth="1"/>
    <col min="12031" max="12031" width="9.5703125" style="208" bestFit="1" customWidth="1"/>
    <col min="12032" max="12032" width="10.42578125" style="208" customWidth="1"/>
    <col min="12033" max="12033" width="9.28515625" style="208" bestFit="1" customWidth="1"/>
    <col min="12034" max="12034" width="11.28515625" style="208" customWidth="1"/>
    <col min="12035" max="12035" width="12.7109375" style="208" customWidth="1"/>
    <col min="12036" max="12036" width="10.7109375" style="208" customWidth="1"/>
    <col min="12037" max="12037" width="9.5703125" style="208" bestFit="1" customWidth="1"/>
    <col min="12038" max="12278" width="9.140625" style="208"/>
    <col min="12279" max="12279" width="5.42578125" style="208" customWidth="1"/>
    <col min="12280" max="12280" width="9.28515625" style="208" customWidth="1"/>
    <col min="12281" max="12281" width="74.85546875" style="208" customWidth="1"/>
    <col min="12282" max="12282" width="12.28515625" style="208" customWidth="1"/>
    <col min="12283" max="12283" width="10.28515625" style="208" customWidth="1"/>
    <col min="12284" max="12284" width="9.5703125" style="208" bestFit="1" customWidth="1"/>
    <col min="12285" max="12285" width="9.28515625" style="208" bestFit="1" customWidth="1"/>
    <col min="12286" max="12286" width="9.42578125" style="208" customWidth="1"/>
    <col min="12287" max="12287" width="9.5703125" style="208" bestFit="1" customWidth="1"/>
    <col min="12288" max="12288" width="10.42578125" style="208" customWidth="1"/>
    <col min="12289" max="12289" width="9.28515625" style="208" bestFit="1" customWidth="1"/>
    <col min="12290" max="12290" width="11.28515625" style="208" customWidth="1"/>
    <col min="12291" max="12291" width="12.7109375" style="208" customWidth="1"/>
    <col min="12292" max="12292" width="10.7109375" style="208" customWidth="1"/>
    <col min="12293" max="12293" width="9.5703125" style="208" bestFit="1" customWidth="1"/>
    <col min="12294" max="12534" width="9.140625" style="208"/>
    <col min="12535" max="12535" width="5.42578125" style="208" customWidth="1"/>
    <col min="12536" max="12536" width="9.28515625" style="208" customWidth="1"/>
    <col min="12537" max="12537" width="74.85546875" style="208" customWidth="1"/>
    <col min="12538" max="12538" width="12.28515625" style="208" customWidth="1"/>
    <col min="12539" max="12539" width="10.28515625" style="208" customWidth="1"/>
    <col min="12540" max="12540" width="9.5703125" style="208" bestFit="1" customWidth="1"/>
    <col min="12541" max="12541" width="9.28515625" style="208" bestFit="1" customWidth="1"/>
    <col min="12542" max="12542" width="9.42578125" style="208" customWidth="1"/>
    <col min="12543" max="12543" width="9.5703125" style="208" bestFit="1" customWidth="1"/>
    <col min="12544" max="12544" width="10.42578125" style="208" customWidth="1"/>
    <col min="12545" max="12545" width="9.28515625" style="208" bestFit="1" customWidth="1"/>
    <col min="12546" max="12546" width="11.28515625" style="208" customWidth="1"/>
    <col min="12547" max="12547" width="12.7109375" style="208" customWidth="1"/>
    <col min="12548" max="12548" width="10.7109375" style="208" customWidth="1"/>
    <col min="12549" max="12549" width="9.5703125" style="208" bestFit="1" customWidth="1"/>
    <col min="12550" max="12790" width="9.140625" style="208"/>
    <col min="12791" max="12791" width="5.42578125" style="208" customWidth="1"/>
    <col min="12792" max="12792" width="9.28515625" style="208" customWidth="1"/>
    <col min="12793" max="12793" width="74.85546875" style="208" customWidth="1"/>
    <col min="12794" max="12794" width="12.28515625" style="208" customWidth="1"/>
    <col min="12795" max="12795" width="10.28515625" style="208" customWidth="1"/>
    <col min="12796" max="12796" width="9.5703125" style="208" bestFit="1" customWidth="1"/>
    <col min="12797" max="12797" width="9.28515625" style="208" bestFit="1" customWidth="1"/>
    <col min="12798" max="12798" width="9.42578125" style="208" customWidth="1"/>
    <col min="12799" max="12799" width="9.5703125" style="208" bestFit="1" customWidth="1"/>
    <col min="12800" max="12800" width="10.42578125" style="208" customWidth="1"/>
    <col min="12801" max="12801" width="9.28515625" style="208" bestFit="1" customWidth="1"/>
    <col min="12802" max="12802" width="11.28515625" style="208" customWidth="1"/>
    <col min="12803" max="12803" width="12.7109375" style="208" customWidth="1"/>
    <col min="12804" max="12804" width="10.7109375" style="208" customWidth="1"/>
    <col min="12805" max="12805" width="9.5703125" style="208" bestFit="1" customWidth="1"/>
    <col min="12806" max="13046" width="9.140625" style="208"/>
    <col min="13047" max="13047" width="5.42578125" style="208" customWidth="1"/>
    <col min="13048" max="13048" width="9.28515625" style="208" customWidth="1"/>
    <col min="13049" max="13049" width="74.85546875" style="208" customWidth="1"/>
    <col min="13050" max="13050" width="12.28515625" style="208" customWidth="1"/>
    <col min="13051" max="13051" width="10.28515625" style="208" customWidth="1"/>
    <col min="13052" max="13052" width="9.5703125" style="208" bestFit="1" customWidth="1"/>
    <col min="13053" max="13053" width="9.28515625" style="208" bestFit="1" customWidth="1"/>
    <col min="13054" max="13054" width="9.42578125" style="208" customWidth="1"/>
    <col min="13055" max="13055" width="9.5703125" style="208" bestFit="1" customWidth="1"/>
    <col min="13056" max="13056" width="10.42578125" style="208" customWidth="1"/>
    <col min="13057" max="13057" width="9.28515625" style="208" bestFit="1" customWidth="1"/>
    <col min="13058" max="13058" width="11.28515625" style="208" customWidth="1"/>
    <col min="13059" max="13059" width="12.7109375" style="208" customWidth="1"/>
    <col min="13060" max="13060" width="10.7109375" style="208" customWidth="1"/>
    <col min="13061" max="13061" width="9.5703125" style="208" bestFit="1" customWidth="1"/>
    <col min="13062" max="13302" width="9.140625" style="208"/>
    <col min="13303" max="13303" width="5.42578125" style="208" customWidth="1"/>
    <col min="13304" max="13304" width="9.28515625" style="208" customWidth="1"/>
    <col min="13305" max="13305" width="74.85546875" style="208" customWidth="1"/>
    <col min="13306" max="13306" width="12.28515625" style="208" customWidth="1"/>
    <col min="13307" max="13307" width="10.28515625" style="208" customWidth="1"/>
    <col min="13308" max="13308" width="9.5703125" style="208" bestFit="1" customWidth="1"/>
    <col min="13309" max="13309" width="9.28515625" style="208" bestFit="1" customWidth="1"/>
    <col min="13310" max="13310" width="9.42578125" style="208" customWidth="1"/>
    <col min="13311" max="13311" width="9.5703125" style="208" bestFit="1" customWidth="1"/>
    <col min="13312" max="13312" width="10.42578125" style="208" customWidth="1"/>
    <col min="13313" max="13313" width="9.28515625" style="208" bestFit="1" customWidth="1"/>
    <col min="13314" max="13314" width="11.28515625" style="208" customWidth="1"/>
    <col min="13315" max="13315" width="12.7109375" style="208" customWidth="1"/>
    <col min="13316" max="13316" width="10.7109375" style="208" customWidth="1"/>
    <col min="13317" max="13317" width="9.5703125" style="208" bestFit="1" customWidth="1"/>
    <col min="13318" max="13558" width="9.140625" style="208"/>
    <col min="13559" max="13559" width="5.42578125" style="208" customWidth="1"/>
    <col min="13560" max="13560" width="9.28515625" style="208" customWidth="1"/>
    <col min="13561" max="13561" width="74.85546875" style="208" customWidth="1"/>
    <col min="13562" max="13562" width="12.28515625" style="208" customWidth="1"/>
    <col min="13563" max="13563" width="10.28515625" style="208" customWidth="1"/>
    <col min="13564" max="13564" width="9.5703125" style="208" bestFit="1" customWidth="1"/>
    <col min="13565" max="13565" width="9.28515625" style="208" bestFit="1" customWidth="1"/>
    <col min="13566" max="13566" width="9.42578125" style="208" customWidth="1"/>
    <col min="13567" max="13567" width="9.5703125" style="208" bestFit="1" customWidth="1"/>
    <col min="13568" max="13568" width="10.42578125" style="208" customWidth="1"/>
    <col min="13569" max="13569" width="9.28515625" style="208" bestFit="1" customWidth="1"/>
    <col min="13570" max="13570" width="11.28515625" style="208" customWidth="1"/>
    <col min="13571" max="13571" width="12.7109375" style="208" customWidth="1"/>
    <col min="13572" max="13572" width="10.7109375" style="208" customWidth="1"/>
    <col min="13573" max="13573" width="9.5703125" style="208" bestFit="1" customWidth="1"/>
    <col min="13574" max="13814" width="9.140625" style="208"/>
    <col min="13815" max="13815" width="5.42578125" style="208" customWidth="1"/>
    <col min="13816" max="13816" width="9.28515625" style="208" customWidth="1"/>
    <col min="13817" max="13817" width="74.85546875" style="208" customWidth="1"/>
    <col min="13818" max="13818" width="12.28515625" style="208" customWidth="1"/>
    <col min="13819" max="13819" width="10.28515625" style="208" customWidth="1"/>
    <col min="13820" max="13820" width="9.5703125" style="208" bestFit="1" customWidth="1"/>
    <col min="13821" max="13821" width="9.28515625" style="208" bestFit="1" customWidth="1"/>
    <col min="13822" max="13822" width="9.42578125" style="208" customWidth="1"/>
    <col min="13823" max="13823" width="9.5703125" style="208" bestFit="1" customWidth="1"/>
    <col min="13824" max="13824" width="10.42578125" style="208" customWidth="1"/>
    <col min="13825" max="13825" width="9.28515625" style="208" bestFit="1" customWidth="1"/>
    <col min="13826" max="13826" width="11.28515625" style="208" customWidth="1"/>
    <col min="13827" max="13827" width="12.7109375" style="208" customWidth="1"/>
    <col min="13828" max="13828" width="10.7109375" style="208" customWidth="1"/>
    <col min="13829" max="13829" width="9.5703125" style="208" bestFit="1" customWidth="1"/>
    <col min="13830" max="14070" width="9.140625" style="208"/>
    <col min="14071" max="14071" width="5.42578125" style="208" customWidth="1"/>
    <col min="14072" max="14072" width="9.28515625" style="208" customWidth="1"/>
    <col min="14073" max="14073" width="74.85546875" style="208" customWidth="1"/>
    <col min="14074" max="14074" width="12.28515625" style="208" customWidth="1"/>
    <col min="14075" max="14075" width="10.28515625" style="208" customWidth="1"/>
    <col min="14076" max="14076" width="9.5703125" style="208" bestFit="1" customWidth="1"/>
    <col min="14077" max="14077" width="9.28515625" style="208" bestFit="1" customWidth="1"/>
    <col min="14078" max="14078" width="9.42578125" style="208" customWidth="1"/>
    <col min="14079" max="14079" width="9.5703125" style="208" bestFit="1" customWidth="1"/>
    <col min="14080" max="14080" width="10.42578125" style="208" customWidth="1"/>
    <col min="14081" max="14081" width="9.28515625" style="208" bestFit="1" customWidth="1"/>
    <col min="14082" max="14082" width="11.28515625" style="208" customWidth="1"/>
    <col min="14083" max="14083" width="12.7109375" style="208" customWidth="1"/>
    <col min="14084" max="14084" width="10.7109375" style="208" customWidth="1"/>
    <col min="14085" max="14085" width="9.5703125" style="208" bestFit="1" customWidth="1"/>
    <col min="14086" max="14326" width="9.140625" style="208"/>
    <col min="14327" max="14327" width="5.42578125" style="208" customWidth="1"/>
    <col min="14328" max="14328" width="9.28515625" style="208" customWidth="1"/>
    <col min="14329" max="14329" width="74.85546875" style="208" customWidth="1"/>
    <col min="14330" max="14330" width="12.28515625" style="208" customWidth="1"/>
    <col min="14331" max="14331" width="10.28515625" style="208" customWidth="1"/>
    <col min="14332" max="14332" width="9.5703125" style="208" bestFit="1" customWidth="1"/>
    <col min="14333" max="14333" width="9.28515625" style="208" bestFit="1" customWidth="1"/>
    <col min="14334" max="14334" width="9.42578125" style="208" customWidth="1"/>
    <col min="14335" max="14335" width="9.5703125" style="208" bestFit="1" customWidth="1"/>
    <col min="14336" max="14336" width="10.42578125" style="208" customWidth="1"/>
    <col min="14337" max="14337" width="9.28515625" style="208" bestFit="1" customWidth="1"/>
    <col min="14338" max="14338" width="11.28515625" style="208" customWidth="1"/>
    <col min="14339" max="14339" width="12.7109375" style="208" customWidth="1"/>
    <col min="14340" max="14340" width="10.7109375" style="208" customWidth="1"/>
    <col min="14341" max="14341" width="9.5703125" style="208" bestFit="1" customWidth="1"/>
    <col min="14342" max="14582" width="9.140625" style="208"/>
    <col min="14583" max="14583" width="5.42578125" style="208" customWidth="1"/>
    <col min="14584" max="14584" width="9.28515625" style="208" customWidth="1"/>
    <col min="14585" max="14585" width="74.85546875" style="208" customWidth="1"/>
    <col min="14586" max="14586" width="12.28515625" style="208" customWidth="1"/>
    <col min="14587" max="14587" width="10.28515625" style="208" customWidth="1"/>
    <col min="14588" max="14588" width="9.5703125" style="208" bestFit="1" customWidth="1"/>
    <col min="14589" max="14589" width="9.28515625" style="208" bestFit="1" customWidth="1"/>
    <col min="14590" max="14590" width="9.42578125" style="208" customWidth="1"/>
    <col min="14591" max="14591" width="9.5703125" style="208" bestFit="1" customWidth="1"/>
    <col min="14592" max="14592" width="10.42578125" style="208" customWidth="1"/>
    <col min="14593" max="14593" width="9.28515625" style="208" bestFit="1" customWidth="1"/>
    <col min="14594" max="14594" width="11.28515625" style="208" customWidth="1"/>
    <col min="14595" max="14595" width="12.7109375" style="208" customWidth="1"/>
    <col min="14596" max="14596" width="10.7109375" style="208" customWidth="1"/>
    <col min="14597" max="14597" width="9.5703125" style="208" bestFit="1" customWidth="1"/>
    <col min="14598" max="14838" width="9.140625" style="208"/>
    <col min="14839" max="14839" width="5.42578125" style="208" customWidth="1"/>
    <col min="14840" max="14840" width="9.28515625" style="208" customWidth="1"/>
    <col min="14841" max="14841" width="74.85546875" style="208" customWidth="1"/>
    <col min="14842" max="14842" width="12.28515625" style="208" customWidth="1"/>
    <col min="14843" max="14843" width="10.28515625" style="208" customWidth="1"/>
    <col min="14844" max="14844" width="9.5703125" style="208" bestFit="1" customWidth="1"/>
    <col min="14845" max="14845" width="9.28515625" style="208" bestFit="1" customWidth="1"/>
    <col min="14846" max="14846" width="9.42578125" style="208" customWidth="1"/>
    <col min="14847" max="14847" width="9.5703125" style="208" bestFit="1" customWidth="1"/>
    <col min="14848" max="14848" width="10.42578125" style="208" customWidth="1"/>
    <col min="14849" max="14849" width="9.28515625" style="208" bestFit="1" customWidth="1"/>
    <col min="14850" max="14850" width="11.28515625" style="208" customWidth="1"/>
    <col min="14851" max="14851" width="12.7109375" style="208" customWidth="1"/>
    <col min="14852" max="14852" width="10.7109375" style="208" customWidth="1"/>
    <col min="14853" max="14853" width="9.5703125" style="208" bestFit="1" customWidth="1"/>
    <col min="14854" max="15094" width="9.140625" style="208"/>
    <col min="15095" max="15095" width="5.42578125" style="208" customWidth="1"/>
    <col min="15096" max="15096" width="9.28515625" style="208" customWidth="1"/>
    <col min="15097" max="15097" width="74.85546875" style="208" customWidth="1"/>
    <col min="15098" max="15098" width="12.28515625" style="208" customWidth="1"/>
    <col min="15099" max="15099" width="10.28515625" style="208" customWidth="1"/>
    <col min="15100" max="15100" width="9.5703125" style="208" bestFit="1" customWidth="1"/>
    <col min="15101" max="15101" width="9.28515625" style="208" bestFit="1" customWidth="1"/>
    <col min="15102" max="15102" width="9.42578125" style="208" customWidth="1"/>
    <col min="15103" max="15103" width="9.5703125" style="208" bestFit="1" customWidth="1"/>
    <col min="15104" max="15104" width="10.42578125" style="208" customWidth="1"/>
    <col min="15105" max="15105" width="9.28515625" style="208" bestFit="1" customWidth="1"/>
    <col min="15106" max="15106" width="11.28515625" style="208" customWidth="1"/>
    <col min="15107" max="15107" width="12.7109375" style="208" customWidth="1"/>
    <col min="15108" max="15108" width="10.7109375" style="208" customWidth="1"/>
    <col min="15109" max="15109" width="9.5703125" style="208" bestFit="1" customWidth="1"/>
    <col min="15110" max="15350" width="9.140625" style="208"/>
    <col min="15351" max="15351" width="5.42578125" style="208" customWidth="1"/>
    <col min="15352" max="15352" width="9.28515625" style="208" customWidth="1"/>
    <col min="15353" max="15353" width="74.85546875" style="208" customWidth="1"/>
    <col min="15354" max="15354" width="12.28515625" style="208" customWidth="1"/>
    <col min="15355" max="15355" width="10.28515625" style="208" customWidth="1"/>
    <col min="15356" max="15356" width="9.5703125" style="208" bestFit="1" customWidth="1"/>
    <col min="15357" max="15357" width="9.28515625" style="208" bestFit="1" customWidth="1"/>
    <col min="15358" max="15358" width="9.42578125" style="208" customWidth="1"/>
    <col min="15359" max="15359" width="9.5703125" style="208" bestFit="1" customWidth="1"/>
    <col min="15360" max="15360" width="10.42578125" style="208" customWidth="1"/>
    <col min="15361" max="15361" width="9.28515625" style="208" bestFit="1" customWidth="1"/>
    <col min="15362" max="15362" width="11.28515625" style="208" customWidth="1"/>
    <col min="15363" max="15363" width="12.7109375" style="208" customWidth="1"/>
    <col min="15364" max="15364" width="10.7109375" style="208" customWidth="1"/>
    <col min="15365" max="15365" width="9.5703125" style="208" bestFit="1" customWidth="1"/>
    <col min="15366" max="15606" width="9.140625" style="208"/>
    <col min="15607" max="15607" width="5.42578125" style="208" customWidth="1"/>
    <col min="15608" max="15608" width="9.28515625" style="208" customWidth="1"/>
    <col min="15609" max="15609" width="74.85546875" style="208" customWidth="1"/>
    <col min="15610" max="15610" width="12.28515625" style="208" customWidth="1"/>
    <col min="15611" max="15611" width="10.28515625" style="208" customWidth="1"/>
    <col min="15612" max="15612" width="9.5703125" style="208" bestFit="1" customWidth="1"/>
    <col min="15613" max="15613" width="9.28515625" style="208" bestFit="1" customWidth="1"/>
    <col min="15614" max="15614" width="9.42578125" style="208" customWidth="1"/>
    <col min="15615" max="15615" width="9.5703125" style="208" bestFit="1" customWidth="1"/>
    <col min="15616" max="15616" width="10.42578125" style="208" customWidth="1"/>
    <col min="15617" max="15617" width="9.28515625" style="208" bestFit="1" customWidth="1"/>
    <col min="15618" max="15618" width="11.28515625" style="208" customWidth="1"/>
    <col min="15619" max="15619" width="12.7109375" style="208" customWidth="1"/>
    <col min="15620" max="15620" width="10.7109375" style="208" customWidth="1"/>
    <col min="15621" max="15621" width="9.5703125" style="208" bestFit="1" customWidth="1"/>
    <col min="15622" max="15862" width="9.140625" style="208"/>
    <col min="15863" max="15863" width="5.42578125" style="208" customWidth="1"/>
    <col min="15864" max="15864" width="9.28515625" style="208" customWidth="1"/>
    <col min="15865" max="15865" width="74.85546875" style="208" customWidth="1"/>
    <col min="15866" max="15866" width="12.28515625" style="208" customWidth="1"/>
    <col min="15867" max="15867" width="10.28515625" style="208" customWidth="1"/>
    <col min="15868" max="15868" width="9.5703125" style="208" bestFit="1" customWidth="1"/>
    <col min="15869" max="15869" width="9.28515625" style="208" bestFit="1" customWidth="1"/>
    <col min="15870" max="15870" width="9.42578125" style="208" customWidth="1"/>
    <col min="15871" max="15871" width="9.5703125" style="208" bestFit="1" customWidth="1"/>
    <col min="15872" max="15872" width="10.42578125" style="208" customWidth="1"/>
    <col min="15873" max="15873" width="9.28515625" style="208" bestFit="1" customWidth="1"/>
    <col min="15874" max="15874" width="11.28515625" style="208" customWidth="1"/>
    <col min="15875" max="15875" width="12.7109375" style="208" customWidth="1"/>
    <col min="15876" max="15876" width="10.7109375" style="208" customWidth="1"/>
    <col min="15877" max="15877" width="9.5703125" style="208" bestFit="1" customWidth="1"/>
    <col min="15878" max="16118" width="9.140625" style="208"/>
    <col min="16119" max="16119" width="5.42578125" style="208" customWidth="1"/>
    <col min="16120" max="16120" width="9.28515625" style="208" customWidth="1"/>
    <col min="16121" max="16121" width="74.85546875" style="208" customWidth="1"/>
    <col min="16122" max="16122" width="12.28515625" style="208" customWidth="1"/>
    <col min="16123" max="16123" width="10.28515625" style="208" customWidth="1"/>
    <col min="16124" max="16124" width="9.5703125" style="208" bestFit="1" customWidth="1"/>
    <col min="16125" max="16125" width="9.28515625" style="208" bestFit="1" customWidth="1"/>
    <col min="16126" max="16126" width="9.42578125" style="208" customWidth="1"/>
    <col min="16127" max="16127" width="9.5703125" style="208" bestFit="1" customWidth="1"/>
    <col min="16128" max="16128" width="10.42578125" style="208" customWidth="1"/>
    <col min="16129" max="16129" width="9.28515625" style="208" bestFit="1" customWidth="1"/>
    <col min="16130" max="16130" width="11.28515625" style="208" customWidth="1"/>
    <col min="16131" max="16131" width="12.7109375" style="208" customWidth="1"/>
    <col min="16132" max="16132" width="10.7109375" style="208" customWidth="1"/>
    <col min="16133" max="16133" width="9.5703125" style="208" bestFit="1" customWidth="1"/>
    <col min="16134" max="16384" width="9.140625" style="208"/>
  </cols>
  <sheetData>
    <row r="1" spans="2:13" ht="16.5" thickBot="1">
      <c r="B1" s="204"/>
      <c r="C1" s="206"/>
      <c r="D1" s="206"/>
      <c r="E1" s="206"/>
      <c r="F1" s="207"/>
      <c r="G1" s="205"/>
      <c r="H1" s="205"/>
      <c r="I1" s="205"/>
      <c r="J1" s="205"/>
      <c r="K1" s="205"/>
      <c r="L1" s="205"/>
      <c r="M1" s="205"/>
    </row>
    <row r="2" spans="2:13" ht="48" customHeight="1">
      <c r="B2" s="345" t="s">
        <v>349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</row>
    <row r="3" spans="2:13" ht="35.25" customHeight="1">
      <c r="B3" s="348" t="s">
        <v>71</v>
      </c>
      <c r="C3" s="349" t="s">
        <v>72</v>
      </c>
      <c r="D3" s="349" t="s">
        <v>73</v>
      </c>
      <c r="E3" s="349" t="s">
        <v>74</v>
      </c>
      <c r="F3" s="349"/>
      <c r="G3" s="350" t="s">
        <v>75</v>
      </c>
      <c r="H3" s="350"/>
      <c r="I3" s="350" t="s">
        <v>76</v>
      </c>
      <c r="J3" s="350"/>
      <c r="K3" s="350" t="s">
        <v>77</v>
      </c>
      <c r="L3" s="350"/>
      <c r="M3" s="351" t="s">
        <v>78</v>
      </c>
    </row>
    <row r="4" spans="2:13" ht="27" customHeight="1">
      <c r="B4" s="348"/>
      <c r="C4" s="349"/>
      <c r="D4" s="349"/>
      <c r="E4" s="209" t="s">
        <v>79</v>
      </c>
      <c r="F4" s="209" t="s">
        <v>80</v>
      </c>
      <c r="G4" s="210" t="s">
        <v>79</v>
      </c>
      <c r="H4" s="210" t="s">
        <v>80</v>
      </c>
      <c r="I4" s="210" t="s">
        <v>79</v>
      </c>
      <c r="J4" s="210" t="s">
        <v>80</v>
      </c>
      <c r="K4" s="210" t="s">
        <v>79</v>
      </c>
      <c r="L4" s="210" t="s">
        <v>80</v>
      </c>
      <c r="M4" s="351"/>
    </row>
    <row r="5" spans="2:13" ht="30.75" customHeight="1">
      <c r="B5" s="247">
        <v>1</v>
      </c>
      <c r="C5" s="225">
        <v>2</v>
      </c>
      <c r="D5" s="225">
        <v>3</v>
      </c>
      <c r="E5" s="225">
        <v>4</v>
      </c>
      <c r="F5" s="225">
        <v>5</v>
      </c>
      <c r="G5" s="225">
        <v>6</v>
      </c>
      <c r="H5" s="225">
        <v>7</v>
      </c>
      <c r="I5" s="225">
        <v>8</v>
      </c>
      <c r="J5" s="225">
        <v>9</v>
      </c>
      <c r="K5" s="225">
        <v>10</v>
      </c>
      <c r="L5" s="225">
        <v>11</v>
      </c>
      <c r="M5" s="248">
        <v>12</v>
      </c>
    </row>
    <row r="6" spans="2:13" ht="42" customHeight="1">
      <c r="B6" s="342" t="s">
        <v>2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4"/>
    </row>
    <row r="7" spans="2:13" s="211" customFormat="1" ht="64.5" customHeight="1">
      <c r="B7" s="249">
        <v>1</v>
      </c>
      <c r="C7" s="175" t="s">
        <v>238</v>
      </c>
      <c r="D7" s="128" t="s">
        <v>81</v>
      </c>
      <c r="E7" s="129"/>
      <c r="F7" s="130">
        <v>119</v>
      </c>
      <c r="G7" s="131"/>
      <c r="H7" s="131"/>
      <c r="I7" s="131"/>
      <c r="J7" s="129"/>
      <c r="K7" s="131"/>
      <c r="L7" s="129"/>
      <c r="M7" s="250"/>
    </row>
    <row r="8" spans="2:13" ht="24" customHeight="1">
      <c r="B8" s="251"/>
      <c r="C8" s="125" t="s">
        <v>82</v>
      </c>
      <c r="D8" s="124" t="s">
        <v>83</v>
      </c>
      <c r="E8" s="132">
        <f>(16.2)/1000</f>
        <v>1.6199999999999999E-2</v>
      </c>
      <c r="F8" s="123">
        <f>F7*E8</f>
        <v>1.9278</v>
      </c>
      <c r="G8" s="122"/>
      <c r="H8" s="122"/>
      <c r="I8" s="122"/>
      <c r="J8" s="123"/>
      <c r="K8" s="121"/>
      <c r="L8" s="123"/>
      <c r="M8" s="252"/>
    </row>
    <row r="9" spans="2:13" s="211" customFormat="1" ht="45" customHeight="1">
      <c r="B9" s="249">
        <v>2</v>
      </c>
      <c r="C9" s="175" t="s">
        <v>239</v>
      </c>
      <c r="D9" s="128" t="s">
        <v>81</v>
      </c>
      <c r="E9" s="129"/>
      <c r="F9" s="130">
        <v>602</v>
      </c>
      <c r="G9" s="131"/>
      <c r="H9" s="131"/>
      <c r="I9" s="131"/>
      <c r="J9" s="129"/>
      <c r="K9" s="131"/>
      <c r="L9" s="129"/>
      <c r="M9" s="250"/>
    </row>
    <row r="10" spans="2:13" ht="32.25" customHeight="1">
      <c r="B10" s="251"/>
      <c r="C10" s="125" t="s">
        <v>82</v>
      </c>
      <c r="D10" s="124" t="s">
        <v>83</v>
      </c>
      <c r="E10" s="132">
        <f>(16.2)/1000</f>
        <v>1.6199999999999999E-2</v>
      </c>
      <c r="F10" s="123">
        <f>F9*E10</f>
        <v>9.7523999999999997</v>
      </c>
      <c r="G10" s="122"/>
      <c r="H10" s="122"/>
      <c r="I10" s="122"/>
      <c r="J10" s="123"/>
      <c r="K10" s="121"/>
      <c r="L10" s="123"/>
      <c r="M10" s="252"/>
    </row>
    <row r="11" spans="2:13" s="11" customFormat="1" ht="27.75" customHeight="1">
      <c r="B11" s="253">
        <v>3</v>
      </c>
      <c r="C11" s="23" t="s">
        <v>14</v>
      </c>
      <c r="D11" s="8" t="s">
        <v>3</v>
      </c>
      <c r="E11" s="8"/>
      <c r="F11" s="9">
        <v>0.54</v>
      </c>
      <c r="G11" s="10"/>
      <c r="H11" s="10"/>
      <c r="I11" s="10"/>
      <c r="J11" s="10"/>
      <c r="K11" s="10"/>
      <c r="L11" s="10"/>
      <c r="M11" s="254"/>
    </row>
    <row r="12" spans="2:13" s="16" customFormat="1" ht="21.95" customHeight="1">
      <c r="B12" s="255"/>
      <c r="C12" s="12" t="s">
        <v>240</v>
      </c>
      <c r="D12" s="13" t="s">
        <v>85</v>
      </c>
      <c r="E12" s="14">
        <f>53.8*0.6</f>
        <v>32.279999999999994</v>
      </c>
      <c r="F12" s="15">
        <f>E12*F11</f>
        <v>17.431199999999997</v>
      </c>
      <c r="G12" s="15"/>
      <c r="H12" s="14"/>
      <c r="I12" s="15"/>
      <c r="J12" s="15"/>
      <c r="K12" s="15"/>
      <c r="L12" s="15"/>
      <c r="M12" s="256"/>
    </row>
    <row r="13" spans="2:13" s="17" customFormat="1" ht="21.95" customHeight="1">
      <c r="B13" s="257"/>
      <c r="C13" s="12" t="s">
        <v>241</v>
      </c>
      <c r="D13" s="13" t="s">
        <v>87</v>
      </c>
      <c r="E13" s="14">
        <f>18.4*0.7</f>
        <v>12.879999999999999</v>
      </c>
      <c r="F13" s="15">
        <f>E13*F11</f>
        <v>6.9551999999999996</v>
      </c>
      <c r="G13" s="15"/>
      <c r="H13" s="15"/>
      <c r="I13" s="15"/>
      <c r="J13" s="15"/>
      <c r="K13" s="15"/>
      <c r="L13" s="15"/>
      <c r="M13" s="256"/>
    </row>
    <row r="14" spans="2:13" s="20" customFormat="1" ht="21.95" customHeight="1">
      <c r="B14" s="258"/>
      <c r="C14" s="18" t="s">
        <v>242</v>
      </c>
      <c r="D14" s="19" t="s">
        <v>87</v>
      </c>
      <c r="E14" s="14">
        <f>2.78*0.5</f>
        <v>1.39</v>
      </c>
      <c r="F14" s="14">
        <f>E14*F11</f>
        <v>0.75060000000000004</v>
      </c>
      <c r="G14" s="14"/>
      <c r="H14" s="14"/>
      <c r="I14" s="14"/>
      <c r="J14" s="14"/>
      <c r="K14" s="14"/>
      <c r="L14" s="14"/>
      <c r="M14" s="259"/>
    </row>
    <row r="15" spans="2:13" s="20" customFormat="1" ht="21.95" customHeight="1">
      <c r="B15" s="258"/>
      <c r="C15" s="21" t="s">
        <v>243</v>
      </c>
      <c r="D15" s="22" t="s">
        <v>85</v>
      </c>
      <c r="E15" s="14">
        <v>0.67</v>
      </c>
      <c r="F15" s="14">
        <f>F11*E15</f>
        <v>0.36180000000000007</v>
      </c>
      <c r="G15" s="14"/>
      <c r="H15" s="14"/>
      <c r="I15" s="14"/>
      <c r="J15" s="14"/>
      <c r="K15" s="14"/>
      <c r="L15" s="14"/>
      <c r="M15" s="259"/>
    </row>
    <row r="16" spans="2:13" s="20" customFormat="1" ht="25.5" customHeight="1">
      <c r="B16" s="258"/>
      <c r="C16" s="21" t="s">
        <v>140</v>
      </c>
      <c r="D16" s="22" t="s">
        <v>209</v>
      </c>
      <c r="E16" s="14">
        <v>1</v>
      </c>
      <c r="F16" s="14">
        <f>F11*E16</f>
        <v>0.54</v>
      </c>
      <c r="G16" s="14"/>
      <c r="H16" s="14"/>
      <c r="I16" s="14"/>
      <c r="J16" s="14"/>
      <c r="K16" s="14"/>
      <c r="L16" s="14"/>
      <c r="M16" s="259"/>
    </row>
    <row r="17" spans="2:13" s="11" customFormat="1" ht="42.75" customHeight="1">
      <c r="B17" s="253">
        <v>4</v>
      </c>
      <c r="C17" s="23" t="s">
        <v>244</v>
      </c>
      <c r="D17" s="8" t="s">
        <v>3</v>
      </c>
      <c r="E17" s="8"/>
      <c r="F17" s="9">
        <f>10.05*130/1000</f>
        <v>1.3065</v>
      </c>
      <c r="G17" s="10"/>
      <c r="H17" s="10"/>
      <c r="I17" s="10"/>
      <c r="J17" s="10"/>
      <c r="K17" s="10"/>
      <c r="L17" s="10"/>
      <c r="M17" s="254"/>
    </row>
    <row r="18" spans="2:13" s="16" customFormat="1" ht="24.95" customHeight="1">
      <c r="B18" s="255"/>
      <c r="C18" s="12" t="s">
        <v>240</v>
      </c>
      <c r="D18" s="13" t="s">
        <v>85</v>
      </c>
      <c r="E18" s="14">
        <f>53.8*0.6</f>
        <v>32.279999999999994</v>
      </c>
      <c r="F18" s="15">
        <f>E18*F17</f>
        <v>42.173819999999992</v>
      </c>
      <c r="G18" s="15"/>
      <c r="H18" s="14"/>
      <c r="I18" s="15"/>
      <c r="J18" s="15"/>
      <c r="K18" s="15"/>
      <c r="L18" s="15"/>
      <c r="M18" s="256"/>
    </row>
    <row r="19" spans="2:13" s="17" customFormat="1" ht="24.95" customHeight="1">
      <c r="B19" s="257"/>
      <c r="C19" s="12" t="s">
        <v>241</v>
      </c>
      <c r="D19" s="13" t="s">
        <v>87</v>
      </c>
      <c r="E19" s="14">
        <f>18.4*0.7</f>
        <v>12.879999999999999</v>
      </c>
      <c r="F19" s="15">
        <f>E19*F17</f>
        <v>16.827719999999999</v>
      </c>
      <c r="G19" s="15"/>
      <c r="H19" s="15"/>
      <c r="I19" s="15"/>
      <c r="J19" s="15"/>
      <c r="K19" s="15"/>
      <c r="L19" s="15"/>
      <c r="M19" s="256"/>
    </row>
    <row r="20" spans="2:13" s="20" customFormat="1" ht="24.95" customHeight="1">
      <c r="B20" s="258"/>
      <c r="C20" s="18" t="s">
        <v>242</v>
      </c>
      <c r="D20" s="19" t="s">
        <v>87</v>
      </c>
      <c r="E20" s="14">
        <f>2.78*0.5</f>
        <v>1.39</v>
      </c>
      <c r="F20" s="14">
        <f>E20*F17</f>
        <v>1.8160349999999998</v>
      </c>
      <c r="G20" s="14"/>
      <c r="H20" s="14"/>
      <c r="I20" s="14"/>
      <c r="J20" s="14"/>
      <c r="K20" s="14"/>
      <c r="L20" s="14"/>
      <c r="M20" s="259"/>
    </row>
    <row r="21" spans="2:13" s="20" customFormat="1" ht="24.95" customHeight="1">
      <c r="B21" s="258"/>
      <c r="C21" s="21" t="s">
        <v>243</v>
      </c>
      <c r="D21" s="22" t="s">
        <v>85</v>
      </c>
      <c r="E21" s="14">
        <v>0.67</v>
      </c>
      <c r="F21" s="14">
        <f>F17*E21</f>
        <v>0.87535499999999999</v>
      </c>
      <c r="G21" s="14"/>
      <c r="H21" s="14"/>
      <c r="I21" s="14"/>
      <c r="J21" s="14"/>
      <c r="K21" s="14"/>
      <c r="L21" s="14"/>
      <c r="M21" s="259"/>
    </row>
    <row r="22" spans="2:13" s="20" customFormat="1" ht="24.95" customHeight="1">
      <c r="B22" s="258"/>
      <c r="C22" s="21" t="s">
        <v>140</v>
      </c>
      <c r="D22" s="22" t="s">
        <v>209</v>
      </c>
      <c r="E22" s="14">
        <v>1</v>
      </c>
      <c r="F22" s="14">
        <f>F17*E22</f>
        <v>1.3065</v>
      </c>
      <c r="G22" s="14"/>
      <c r="H22" s="14"/>
      <c r="I22" s="14"/>
      <c r="J22" s="14"/>
      <c r="K22" s="14"/>
      <c r="L22" s="14"/>
      <c r="M22" s="259"/>
    </row>
    <row r="23" spans="2:13" s="28" customFormat="1" ht="39" customHeight="1">
      <c r="B23" s="260">
        <v>5</v>
      </c>
      <c r="C23" s="23" t="s">
        <v>16</v>
      </c>
      <c r="D23" s="24" t="s">
        <v>45</v>
      </c>
      <c r="E23" s="25"/>
      <c r="F23" s="26">
        <v>2</v>
      </c>
      <c r="G23" s="27"/>
      <c r="H23" s="27"/>
      <c r="I23" s="27"/>
      <c r="J23" s="25"/>
      <c r="K23" s="27"/>
      <c r="L23" s="25"/>
      <c r="M23" s="261"/>
    </row>
    <row r="24" spans="2:13" s="35" customFormat="1" ht="27.75" customHeight="1">
      <c r="B24" s="262"/>
      <c r="C24" s="29" t="s">
        <v>84</v>
      </c>
      <c r="D24" s="30" t="s">
        <v>209</v>
      </c>
      <c r="E24" s="31">
        <v>1</v>
      </c>
      <c r="F24" s="32">
        <f>F23*E24</f>
        <v>2</v>
      </c>
      <c r="G24" s="33"/>
      <c r="H24" s="33"/>
      <c r="I24" s="33"/>
      <c r="J24" s="32"/>
      <c r="K24" s="34"/>
      <c r="L24" s="32"/>
      <c r="M24" s="263"/>
    </row>
    <row r="25" spans="2:13" s="28" customFormat="1" ht="38.25" customHeight="1">
      <c r="B25" s="260">
        <v>6</v>
      </c>
      <c r="C25" s="23" t="s">
        <v>17</v>
      </c>
      <c r="D25" s="24" t="s">
        <v>45</v>
      </c>
      <c r="E25" s="25"/>
      <c r="F25" s="26">
        <v>4</v>
      </c>
      <c r="G25" s="27"/>
      <c r="H25" s="27"/>
      <c r="I25" s="27"/>
      <c r="J25" s="25"/>
      <c r="K25" s="27"/>
      <c r="L25" s="25"/>
      <c r="M25" s="261"/>
    </row>
    <row r="26" spans="2:13" s="35" customFormat="1" ht="29.25" customHeight="1">
      <c r="B26" s="262"/>
      <c r="C26" s="29" t="s">
        <v>84</v>
      </c>
      <c r="D26" s="30" t="s">
        <v>209</v>
      </c>
      <c r="E26" s="31">
        <v>1</v>
      </c>
      <c r="F26" s="32">
        <f>F25*E26</f>
        <v>4</v>
      </c>
      <c r="G26" s="33"/>
      <c r="H26" s="33"/>
      <c r="I26" s="33"/>
      <c r="J26" s="32"/>
      <c r="K26" s="34"/>
      <c r="L26" s="32"/>
      <c r="M26" s="263"/>
    </row>
    <row r="27" spans="2:13" s="42" customFormat="1" ht="37.5" customHeight="1">
      <c r="B27" s="36">
        <v>7</v>
      </c>
      <c r="C27" s="23" t="s">
        <v>18</v>
      </c>
      <c r="D27" s="37" t="s">
        <v>45</v>
      </c>
      <c r="E27" s="38"/>
      <c r="F27" s="39">
        <v>6</v>
      </c>
      <c r="G27" s="40"/>
      <c r="H27" s="40"/>
      <c r="I27" s="40"/>
      <c r="J27" s="40"/>
      <c r="K27" s="41"/>
      <c r="L27" s="38"/>
      <c r="M27" s="264"/>
    </row>
    <row r="28" spans="2:13" s="42" customFormat="1" ht="24" customHeight="1">
      <c r="B28" s="43"/>
      <c r="C28" s="44" t="s">
        <v>245</v>
      </c>
      <c r="D28" s="45" t="s">
        <v>208</v>
      </c>
      <c r="E28" s="38">
        <f>3.06*0.5</f>
        <v>1.53</v>
      </c>
      <c r="F28" s="41">
        <f>F27*E28</f>
        <v>9.18</v>
      </c>
      <c r="G28" s="40"/>
      <c r="H28" s="40"/>
      <c r="I28" s="40"/>
      <c r="J28" s="40"/>
      <c r="K28" s="41"/>
      <c r="L28" s="38"/>
      <c r="M28" s="264"/>
    </row>
    <row r="29" spans="2:13" s="42" customFormat="1" ht="27" customHeight="1">
      <c r="B29" s="43"/>
      <c r="C29" s="44" t="s">
        <v>246</v>
      </c>
      <c r="D29" s="45" t="s">
        <v>83</v>
      </c>
      <c r="E29" s="38">
        <f>3.33/100*0.5</f>
        <v>1.6650000000000002E-2</v>
      </c>
      <c r="F29" s="41">
        <f>F27*E29</f>
        <v>9.9900000000000017E-2</v>
      </c>
      <c r="G29" s="40"/>
      <c r="H29" s="40"/>
      <c r="I29" s="40"/>
      <c r="J29" s="40"/>
      <c r="K29" s="41"/>
      <c r="L29" s="38"/>
      <c r="M29" s="264"/>
    </row>
    <row r="30" spans="2:13" s="11" customFormat="1" ht="33.75" customHeight="1">
      <c r="B30" s="253">
        <v>8</v>
      </c>
      <c r="C30" s="23" t="s">
        <v>19</v>
      </c>
      <c r="D30" s="24" t="s">
        <v>148</v>
      </c>
      <c r="E30" s="25"/>
      <c r="F30" s="26">
        <f>450/100</f>
        <v>4.5</v>
      </c>
      <c r="G30" s="10"/>
      <c r="H30" s="10"/>
      <c r="I30" s="10"/>
      <c r="J30" s="10"/>
      <c r="K30" s="10"/>
      <c r="L30" s="10"/>
      <c r="M30" s="254"/>
    </row>
    <row r="31" spans="2:13" s="16" customFormat="1" ht="27.75" customHeight="1">
      <c r="B31" s="255"/>
      <c r="C31" s="29" t="s">
        <v>84</v>
      </c>
      <c r="D31" s="46" t="s">
        <v>85</v>
      </c>
      <c r="E31" s="32">
        <v>12</v>
      </c>
      <c r="F31" s="47">
        <f>F30*E31</f>
        <v>54</v>
      </c>
      <c r="G31" s="15"/>
      <c r="H31" s="14"/>
      <c r="I31" s="15"/>
      <c r="J31" s="15"/>
      <c r="K31" s="15"/>
      <c r="L31" s="15"/>
      <c r="M31" s="256"/>
    </row>
    <row r="32" spans="2:13" s="2" customFormat="1" ht="32.25" customHeight="1">
      <c r="B32" s="48">
        <v>9</v>
      </c>
      <c r="C32" s="23" t="s">
        <v>20</v>
      </c>
      <c r="D32" s="49" t="s">
        <v>45</v>
      </c>
      <c r="E32" s="32"/>
      <c r="F32" s="26">
        <v>3</v>
      </c>
      <c r="G32" s="33"/>
      <c r="H32" s="33"/>
      <c r="I32" s="33"/>
      <c r="J32" s="32"/>
      <c r="K32" s="34"/>
      <c r="L32" s="32"/>
      <c r="M32" s="263"/>
    </row>
    <row r="33" spans="2:13" s="2" customFormat="1" ht="28.5" customHeight="1">
      <c r="B33" s="50"/>
      <c r="C33" s="21" t="s">
        <v>247</v>
      </c>
      <c r="D33" s="22" t="s">
        <v>85</v>
      </c>
      <c r="E33" s="32">
        <f>8.61/100</f>
        <v>8.6099999999999996E-2</v>
      </c>
      <c r="F33" s="47">
        <f>E33*F32</f>
        <v>0.25829999999999997</v>
      </c>
      <c r="G33" s="33"/>
      <c r="H33" s="33"/>
      <c r="I33" s="33"/>
      <c r="J33" s="32"/>
      <c r="K33" s="34"/>
      <c r="L33" s="32"/>
      <c r="M33" s="263"/>
    </row>
    <row r="34" spans="2:13" s="42" customFormat="1" ht="32.25" customHeight="1">
      <c r="B34" s="43"/>
      <c r="C34" s="44" t="s">
        <v>248</v>
      </c>
      <c r="D34" s="45" t="s">
        <v>83</v>
      </c>
      <c r="E34" s="38">
        <f>1.81/100</f>
        <v>1.8100000000000002E-2</v>
      </c>
      <c r="F34" s="41">
        <f>F31*E34</f>
        <v>0.97740000000000005</v>
      </c>
      <c r="G34" s="40"/>
      <c r="H34" s="40"/>
      <c r="I34" s="40"/>
      <c r="J34" s="40"/>
      <c r="K34" s="41"/>
      <c r="L34" s="38"/>
      <c r="M34" s="264"/>
    </row>
    <row r="35" spans="2:13" s="42" customFormat="1" ht="30" customHeight="1">
      <c r="B35" s="43"/>
      <c r="C35" s="44" t="s">
        <v>249</v>
      </c>
      <c r="D35" s="45" t="s">
        <v>83</v>
      </c>
      <c r="E35" s="38">
        <f>4.7/100</f>
        <v>4.7E-2</v>
      </c>
      <c r="F35" s="41">
        <f>F32*E35</f>
        <v>0.14100000000000001</v>
      </c>
      <c r="G35" s="40"/>
      <c r="H35" s="40"/>
      <c r="I35" s="40"/>
      <c r="J35" s="40"/>
      <c r="K35" s="41"/>
      <c r="L35" s="38"/>
      <c r="M35" s="264"/>
    </row>
    <row r="36" spans="2:13" s="11" customFormat="1" ht="75" customHeight="1">
      <c r="B36" s="253">
        <v>10</v>
      </c>
      <c r="C36" s="179" t="s">
        <v>301</v>
      </c>
      <c r="D36" s="24" t="s">
        <v>81</v>
      </c>
      <c r="E36" s="25"/>
      <c r="F36" s="26">
        <v>22</v>
      </c>
      <c r="G36" s="10"/>
      <c r="H36" s="10"/>
      <c r="I36" s="10"/>
      <c r="J36" s="10"/>
      <c r="K36" s="10"/>
      <c r="L36" s="10"/>
      <c r="M36" s="254"/>
    </row>
    <row r="37" spans="2:13" s="16" customFormat="1" ht="24.75" customHeight="1">
      <c r="B37" s="255"/>
      <c r="C37" s="29" t="s">
        <v>84</v>
      </c>
      <c r="D37" s="46" t="s">
        <v>85</v>
      </c>
      <c r="E37" s="32">
        <v>7.9</v>
      </c>
      <c r="F37" s="47">
        <f>F36*E37</f>
        <v>173.8</v>
      </c>
      <c r="G37" s="15"/>
      <c r="H37" s="14"/>
      <c r="I37" s="15"/>
      <c r="J37" s="15"/>
      <c r="K37" s="15"/>
      <c r="L37" s="15"/>
      <c r="M37" s="256"/>
    </row>
    <row r="38" spans="2:13" s="17" customFormat="1" ht="25.5" customHeight="1">
      <c r="B38" s="257"/>
      <c r="C38" s="238" t="s">
        <v>86</v>
      </c>
      <c r="D38" s="30" t="s">
        <v>87</v>
      </c>
      <c r="E38" s="51">
        <v>4.3</v>
      </c>
      <c r="F38" s="51">
        <f>E38*F36</f>
        <v>94.6</v>
      </c>
      <c r="G38" s="15"/>
      <c r="H38" s="15"/>
      <c r="I38" s="15"/>
      <c r="J38" s="15"/>
      <c r="K38" s="15"/>
      <c r="L38" s="15"/>
      <c r="M38" s="256"/>
    </row>
    <row r="39" spans="2:13" s="2" customFormat="1" ht="56.25" customHeight="1">
      <c r="B39" s="265">
        <v>11</v>
      </c>
      <c r="C39" s="175" t="s">
        <v>149</v>
      </c>
      <c r="D39" s="146" t="s">
        <v>0</v>
      </c>
      <c r="E39" s="176"/>
      <c r="F39" s="130">
        <f>F7+F9+F36</f>
        <v>743</v>
      </c>
      <c r="G39" s="142"/>
      <c r="H39" s="177"/>
      <c r="I39" s="142"/>
      <c r="J39" s="142"/>
      <c r="K39" s="142"/>
      <c r="L39" s="142"/>
      <c r="M39" s="266"/>
    </row>
    <row r="40" spans="2:13" ht="24.95" customHeight="1">
      <c r="B40" s="267"/>
      <c r="C40" s="21" t="s">
        <v>84</v>
      </c>
      <c r="D40" s="22" t="s">
        <v>85</v>
      </c>
      <c r="E40" s="168">
        <f>15.5/1000</f>
        <v>1.55E-2</v>
      </c>
      <c r="F40" s="121">
        <f>F$39*E40</f>
        <v>11.516500000000001</v>
      </c>
      <c r="G40" s="122"/>
      <c r="H40" s="122"/>
      <c r="I40" s="122"/>
      <c r="J40" s="123"/>
      <c r="K40" s="121"/>
      <c r="L40" s="123"/>
      <c r="M40" s="252"/>
    </row>
    <row r="41" spans="2:13" ht="24.95" customHeight="1">
      <c r="B41" s="268"/>
      <c r="C41" s="125" t="s">
        <v>97</v>
      </c>
      <c r="D41" s="124" t="s">
        <v>83</v>
      </c>
      <c r="E41" s="168">
        <f>34.7/1000</f>
        <v>3.4700000000000002E-2</v>
      </c>
      <c r="F41" s="121">
        <f>F$39*E41</f>
        <v>25.7821</v>
      </c>
      <c r="G41" s="122"/>
      <c r="H41" s="122"/>
      <c r="I41" s="122"/>
      <c r="J41" s="123"/>
      <c r="K41" s="121"/>
      <c r="L41" s="123"/>
      <c r="M41" s="252"/>
    </row>
    <row r="42" spans="2:13" ht="24.95" customHeight="1">
      <c r="B42" s="268"/>
      <c r="C42" s="125" t="s">
        <v>86</v>
      </c>
      <c r="D42" s="124" t="s">
        <v>87</v>
      </c>
      <c r="E42" s="178">
        <f>2.09/1000</f>
        <v>2.0899999999999998E-3</v>
      </c>
      <c r="F42" s="121">
        <f>F$39*E42</f>
        <v>1.55287</v>
      </c>
      <c r="G42" s="122"/>
      <c r="H42" s="122"/>
      <c r="I42" s="122"/>
      <c r="J42" s="123"/>
      <c r="K42" s="121"/>
      <c r="L42" s="123"/>
      <c r="M42" s="252"/>
    </row>
    <row r="43" spans="2:13" s="2" customFormat="1" ht="52.5" customHeight="1">
      <c r="B43" s="265">
        <v>12</v>
      </c>
      <c r="C43" s="175" t="s">
        <v>150</v>
      </c>
      <c r="D43" s="146" t="s">
        <v>3</v>
      </c>
      <c r="E43" s="176"/>
      <c r="F43" s="130">
        <f>F7*1.8+F9*1.8+F36*2.4</f>
        <v>1350.6000000000001</v>
      </c>
      <c r="G43" s="142"/>
      <c r="H43" s="177"/>
      <c r="I43" s="142"/>
      <c r="J43" s="142"/>
      <c r="K43" s="142"/>
      <c r="L43" s="142"/>
      <c r="M43" s="266"/>
    </row>
    <row r="44" spans="2:13" s="2" customFormat="1" ht="32.25" customHeight="1">
      <c r="B44" s="72"/>
      <c r="C44" s="21" t="s">
        <v>98</v>
      </c>
      <c r="D44" s="22" t="s">
        <v>89</v>
      </c>
      <c r="E44" s="123">
        <v>1</v>
      </c>
      <c r="F44" s="144">
        <f>F43*E44</f>
        <v>1350.6000000000001</v>
      </c>
      <c r="G44" s="122"/>
      <c r="H44" s="122"/>
      <c r="I44" s="122"/>
      <c r="J44" s="123"/>
      <c r="K44" s="121"/>
      <c r="L44" s="123"/>
      <c r="M44" s="252"/>
    </row>
    <row r="45" spans="2:13" ht="46.5" customHeight="1">
      <c r="B45" s="352" t="s">
        <v>1</v>
      </c>
      <c r="C45" s="353"/>
      <c r="D45" s="353"/>
      <c r="E45" s="353"/>
      <c r="F45" s="353"/>
      <c r="G45" s="122"/>
      <c r="H45" s="122"/>
      <c r="I45" s="122"/>
      <c r="J45" s="123"/>
      <c r="K45" s="121"/>
      <c r="L45" s="123"/>
      <c r="M45" s="252"/>
    </row>
    <row r="46" spans="2:13" s="211" customFormat="1" ht="44.25" customHeight="1">
      <c r="B46" s="249">
        <v>1</v>
      </c>
      <c r="C46" s="66" t="s">
        <v>4</v>
      </c>
      <c r="D46" s="128" t="s">
        <v>81</v>
      </c>
      <c r="E46" s="129"/>
      <c r="F46" s="130">
        <v>150</v>
      </c>
      <c r="G46" s="131"/>
      <c r="H46" s="131"/>
      <c r="I46" s="131"/>
      <c r="J46" s="129"/>
      <c r="K46" s="131"/>
      <c r="L46" s="129"/>
      <c r="M46" s="250"/>
    </row>
    <row r="47" spans="2:13" s="211" customFormat="1" ht="24.95" customHeight="1">
      <c r="B47" s="269"/>
      <c r="C47" s="66"/>
      <c r="D47" s="128" t="s">
        <v>88</v>
      </c>
      <c r="E47" s="129"/>
      <c r="F47" s="130">
        <f>F46/0.15</f>
        <v>1000</v>
      </c>
      <c r="G47" s="131"/>
      <c r="H47" s="131"/>
      <c r="I47" s="131"/>
      <c r="J47" s="129"/>
      <c r="K47" s="131"/>
      <c r="L47" s="129"/>
      <c r="M47" s="250"/>
    </row>
    <row r="48" spans="2:13" ht="24.95" customHeight="1">
      <c r="B48" s="270"/>
      <c r="C48" s="65" t="s">
        <v>84</v>
      </c>
      <c r="D48" s="172" t="s">
        <v>85</v>
      </c>
      <c r="E48" s="132">
        <f>24/100</f>
        <v>0.24</v>
      </c>
      <c r="F48" s="144">
        <f>F47*E48</f>
        <v>240</v>
      </c>
      <c r="G48" s="122"/>
      <c r="H48" s="122"/>
      <c r="I48" s="123"/>
      <c r="J48" s="123"/>
      <c r="K48" s="123"/>
      <c r="L48" s="123"/>
      <c r="M48" s="252"/>
    </row>
    <row r="49" spans="2:244" ht="24.95" customHeight="1">
      <c r="B49" s="251"/>
      <c r="C49" s="125" t="s">
        <v>99</v>
      </c>
      <c r="D49" s="124" t="s">
        <v>83</v>
      </c>
      <c r="E49" s="132">
        <f>0.1/100</f>
        <v>1E-3</v>
      </c>
      <c r="F49" s="123">
        <f>F47*E49</f>
        <v>1</v>
      </c>
      <c r="G49" s="122"/>
      <c r="H49" s="122"/>
      <c r="I49" s="122"/>
      <c r="J49" s="123"/>
      <c r="K49" s="121"/>
      <c r="L49" s="123"/>
      <c r="M49" s="252"/>
    </row>
    <row r="50" spans="2:244" ht="24.95" customHeight="1">
      <c r="B50" s="251"/>
      <c r="C50" s="125" t="s">
        <v>86</v>
      </c>
      <c r="D50" s="124" t="s">
        <v>87</v>
      </c>
      <c r="E50" s="173">
        <f>0.01/100</f>
        <v>1E-4</v>
      </c>
      <c r="F50" s="123">
        <f>F47*E50</f>
        <v>0.1</v>
      </c>
      <c r="G50" s="122"/>
      <c r="H50" s="122"/>
      <c r="I50" s="122"/>
      <c r="J50" s="123"/>
      <c r="K50" s="121"/>
      <c r="L50" s="123"/>
      <c r="M50" s="252"/>
    </row>
    <row r="51" spans="2:244" ht="24.95" customHeight="1">
      <c r="B51" s="251"/>
      <c r="C51" s="125" t="s">
        <v>100</v>
      </c>
      <c r="D51" s="124" t="s">
        <v>81</v>
      </c>
      <c r="E51" s="123">
        <f>15/100</f>
        <v>0.15</v>
      </c>
      <c r="F51" s="144">
        <f>F47*E51</f>
        <v>150</v>
      </c>
      <c r="G51" s="122"/>
      <c r="H51" s="122"/>
      <c r="I51" s="122"/>
      <c r="J51" s="123"/>
      <c r="K51" s="121"/>
      <c r="L51" s="123"/>
      <c r="M51" s="252"/>
    </row>
    <row r="52" spans="2:244" s="211" customFormat="1" ht="42.75" customHeight="1">
      <c r="B52" s="271">
        <v>2</v>
      </c>
      <c r="C52" s="66" t="s">
        <v>6</v>
      </c>
      <c r="D52" s="128" t="s">
        <v>88</v>
      </c>
      <c r="E52" s="129"/>
      <c r="F52" s="130">
        <v>750</v>
      </c>
      <c r="G52" s="131"/>
      <c r="H52" s="131"/>
      <c r="I52" s="131"/>
      <c r="J52" s="129"/>
      <c r="K52" s="131"/>
      <c r="L52" s="129"/>
      <c r="M52" s="250"/>
      <c r="N52" s="246"/>
      <c r="O52" s="130"/>
    </row>
    <row r="53" spans="2:244" ht="24.95" customHeight="1">
      <c r="B53" s="267"/>
      <c r="C53" s="65" t="s">
        <v>84</v>
      </c>
      <c r="D53" s="172" t="s">
        <v>85</v>
      </c>
      <c r="E53" s="123">
        <f>4.39/100</f>
        <v>4.3899999999999995E-2</v>
      </c>
      <c r="F53" s="144">
        <f>E53*F52</f>
        <v>32.924999999999997</v>
      </c>
      <c r="G53" s="122"/>
      <c r="H53" s="122"/>
      <c r="I53" s="123"/>
      <c r="J53" s="123"/>
      <c r="K53" s="123"/>
      <c r="L53" s="123"/>
      <c r="M53" s="252"/>
    </row>
    <row r="54" spans="2:244" ht="24.95" customHeight="1">
      <c r="B54" s="268"/>
      <c r="C54" s="125" t="s">
        <v>101</v>
      </c>
      <c r="D54" s="124" t="s">
        <v>91</v>
      </c>
      <c r="E54" s="123">
        <f>2/100</f>
        <v>0.02</v>
      </c>
      <c r="F54" s="144">
        <f>F52*E54</f>
        <v>15</v>
      </c>
      <c r="G54" s="122"/>
      <c r="H54" s="122"/>
      <c r="I54" s="122"/>
      <c r="J54" s="123"/>
      <c r="K54" s="121"/>
      <c r="L54" s="123"/>
      <c r="M54" s="252"/>
    </row>
    <row r="55" spans="2:244" ht="24.95" customHeight="1">
      <c r="B55" s="268"/>
      <c r="C55" s="125" t="s">
        <v>102</v>
      </c>
      <c r="D55" s="124" t="s">
        <v>81</v>
      </c>
      <c r="E55" s="132">
        <f>10/100</f>
        <v>0.1</v>
      </c>
      <c r="F55" s="144">
        <f>F52*E55</f>
        <v>75</v>
      </c>
      <c r="G55" s="122"/>
      <c r="H55" s="122"/>
      <c r="I55" s="122"/>
      <c r="J55" s="123"/>
      <c r="K55" s="121"/>
      <c r="L55" s="123"/>
      <c r="M55" s="252"/>
    </row>
    <row r="56" spans="2:244" s="2" customFormat="1" ht="92.25" customHeight="1">
      <c r="B56" s="36">
        <v>3</v>
      </c>
      <c r="C56" s="66" t="s">
        <v>5</v>
      </c>
      <c r="D56" s="133" t="s">
        <v>81</v>
      </c>
      <c r="E56" s="134"/>
      <c r="F56" s="130">
        <v>50</v>
      </c>
      <c r="G56" s="135"/>
      <c r="H56" s="135"/>
      <c r="I56" s="135"/>
      <c r="J56" s="135"/>
      <c r="K56" s="135"/>
      <c r="L56" s="135"/>
      <c r="M56" s="252"/>
    </row>
    <row r="57" spans="2:244" s="2" customFormat="1" ht="24.95" customHeight="1">
      <c r="B57" s="43"/>
      <c r="C57" s="21" t="s">
        <v>103</v>
      </c>
      <c r="D57" s="124" t="s">
        <v>85</v>
      </c>
      <c r="E57" s="123">
        <f>15/100</f>
        <v>0.15</v>
      </c>
      <c r="F57" s="144">
        <f t="shared" ref="F57:F62" si="0">F$56*E57</f>
        <v>7.5</v>
      </c>
      <c r="G57" s="122"/>
      <c r="H57" s="122"/>
      <c r="I57" s="122"/>
      <c r="J57" s="123"/>
      <c r="K57" s="121"/>
      <c r="L57" s="123"/>
      <c r="M57" s="252"/>
    </row>
    <row r="58" spans="2:244" s="2" customFormat="1" ht="33.75" customHeight="1">
      <c r="B58" s="43"/>
      <c r="C58" s="91" t="s">
        <v>151</v>
      </c>
      <c r="D58" s="124" t="s">
        <v>83</v>
      </c>
      <c r="E58" s="173">
        <f>2.16/100</f>
        <v>2.1600000000000001E-2</v>
      </c>
      <c r="F58" s="144">
        <f t="shared" si="0"/>
        <v>1.08</v>
      </c>
      <c r="G58" s="122"/>
      <c r="H58" s="122"/>
      <c r="I58" s="122"/>
      <c r="J58" s="123"/>
      <c r="K58" s="121"/>
      <c r="L58" s="123"/>
      <c r="M58" s="252"/>
    </row>
    <row r="59" spans="2:244" s="2" customFormat="1" ht="45" customHeight="1">
      <c r="B59" s="43"/>
      <c r="C59" s="91" t="s">
        <v>104</v>
      </c>
      <c r="D59" s="124" t="s">
        <v>83</v>
      </c>
      <c r="E59" s="132">
        <f>2.1/100</f>
        <v>2.1000000000000001E-2</v>
      </c>
      <c r="F59" s="144">
        <f t="shared" si="0"/>
        <v>1.05</v>
      </c>
      <c r="G59" s="122"/>
      <c r="H59" s="122"/>
      <c r="I59" s="122"/>
      <c r="J59" s="123"/>
      <c r="K59" s="121"/>
      <c r="L59" s="123"/>
      <c r="M59" s="252"/>
    </row>
    <row r="60" spans="2:244" s="2" customFormat="1" ht="24.95" customHeight="1">
      <c r="B60" s="43"/>
      <c r="C60" s="91" t="s">
        <v>105</v>
      </c>
      <c r="D60" s="124" t="s">
        <v>83</v>
      </c>
      <c r="E60" s="173">
        <f>0.97/100</f>
        <v>9.7000000000000003E-3</v>
      </c>
      <c r="F60" s="144">
        <f t="shared" si="0"/>
        <v>0.48499999999999999</v>
      </c>
      <c r="G60" s="122"/>
      <c r="H60" s="122"/>
      <c r="I60" s="122"/>
      <c r="J60" s="123"/>
      <c r="K60" s="121"/>
      <c r="L60" s="123"/>
      <c r="M60" s="252"/>
    </row>
    <row r="61" spans="2:244" s="2" customFormat="1" ht="24.95" customHeight="1">
      <c r="B61" s="43"/>
      <c r="C61" s="91" t="s">
        <v>106</v>
      </c>
      <c r="D61" s="124" t="s">
        <v>81</v>
      </c>
      <c r="E61" s="123">
        <f>122/100</f>
        <v>1.22</v>
      </c>
      <c r="F61" s="144">
        <f t="shared" si="0"/>
        <v>61</v>
      </c>
      <c r="G61" s="122"/>
      <c r="H61" s="122"/>
      <c r="I61" s="122"/>
      <c r="J61" s="123"/>
      <c r="K61" s="121"/>
      <c r="L61" s="123"/>
      <c r="M61" s="252"/>
    </row>
    <row r="62" spans="2:244" s="2" customFormat="1" ht="24.95" customHeight="1">
      <c r="B62" s="43"/>
      <c r="C62" s="91" t="s">
        <v>102</v>
      </c>
      <c r="D62" s="124" t="s">
        <v>81</v>
      </c>
      <c r="E62" s="123">
        <f>7/100</f>
        <v>7.0000000000000007E-2</v>
      </c>
      <c r="F62" s="144">
        <f t="shared" si="0"/>
        <v>3.5000000000000004</v>
      </c>
      <c r="G62" s="122"/>
      <c r="H62" s="122"/>
      <c r="I62" s="122"/>
      <c r="J62" s="123"/>
      <c r="K62" s="121"/>
      <c r="L62" s="123"/>
      <c r="M62" s="252"/>
    </row>
    <row r="63" spans="2:244" s="213" customFormat="1" ht="59.25" customHeight="1">
      <c r="B63" s="272">
        <v>4</v>
      </c>
      <c r="C63" s="66" t="s">
        <v>7</v>
      </c>
      <c r="D63" s="146" t="s">
        <v>81</v>
      </c>
      <c r="E63" s="142"/>
      <c r="F63" s="130">
        <v>20</v>
      </c>
      <c r="G63" s="143"/>
      <c r="H63" s="143"/>
      <c r="I63" s="143"/>
      <c r="J63" s="142"/>
      <c r="K63" s="143"/>
      <c r="L63" s="142"/>
      <c r="M63" s="266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DA63" s="212"/>
      <c r="DB63" s="212"/>
      <c r="DC63" s="212"/>
      <c r="DD63" s="212"/>
      <c r="DE63" s="212"/>
      <c r="DF63" s="212"/>
      <c r="DG63" s="212"/>
      <c r="DH63" s="212"/>
      <c r="DI63" s="212"/>
      <c r="DJ63" s="212"/>
      <c r="DK63" s="212"/>
      <c r="DL63" s="212"/>
      <c r="DM63" s="212"/>
      <c r="DN63" s="212"/>
      <c r="DO63" s="212"/>
      <c r="DP63" s="212"/>
      <c r="DQ63" s="212"/>
      <c r="DR63" s="212"/>
      <c r="DS63" s="212"/>
      <c r="DT63" s="212"/>
      <c r="DU63" s="212"/>
      <c r="DV63" s="212"/>
      <c r="DW63" s="212"/>
      <c r="DX63" s="212"/>
      <c r="DY63" s="212"/>
      <c r="DZ63" s="212"/>
      <c r="EA63" s="212"/>
      <c r="EB63" s="212"/>
      <c r="EC63" s="212"/>
      <c r="ED63" s="212"/>
      <c r="EE63" s="212"/>
      <c r="EF63" s="212"/>
      <c r="EG63" s="212"/>
      <c r="EH63" s="212"/>
      <c r="EI63" s="212"/>
      <c r="EJ63" s="212"/>
      <c r="EK63" s="212"/>
      <c r="EL63" s="212"/>
      <c r="EM63" s="212"/>
      <c r="EN63" s="212"/>
      <c r="EO63" s="212"/>
      <c r="EP63" s="212"/>
      <c r="EQ63" s="212"/>
      <c r="ER63" s="212"/>
      <c r="ES63" s="212"/>
      <c r="ET63" s="212"/>
      <c r="EU63" s="212"/>
      <c r="EV63" s="212"/>
      <c r="EW63" s="212"/>
      <c r="EX63" s="212"/>
      <c r="EY63" s="212"/>
      <c r="EZ63" s="212"/>
      <c r="FA63" s="212"/>
      <c r="FB63" s="212"/>
      <c r="FC63" s="212"/>
      <c r="FD63" s="212"/>
      <c r="FE63" s="212"/>
      <c r="FF63" s="212"/>
      <c r="FG63" s="212"/>
      <c r="FH63" s="212"/>
      <c r="FI63" s="212"/>
      <c r="FJ63" s="212"/>
      <c r="FK63" s="212"/>
      <c r="FL63" s="212"/>
      <c r="FM63" s="212"/>
      <c r="FN63" s="212"/>
      <c r="FO63" s="212"/>
      <c r="FP63" s="212"/>
      <c r="FQ63" s="212"/>
      <c r="FR63" s="212"/>
      <c r="FS63" s="212"/>
      <c r="FT63" s="212"/>
      <c r="FU63" s="212"/>
      <c r="FV63" s="212"/>
      <c r="FW63" s="212"/>
      <c r="FX63" s="212"/>
      <c r="FY63" s="212"/>
      <c r="FZ63" s="212"/>
      <c r="GA63" s="212"/>
      <c r="GB63" s="212"/>
      <c r="GC63" s="212"/>
      <c r="GD63" s="212"/>
      <c r="GE63" s="212"/>
      <c r="GF63" s="212"/>
      <c r="GG63" s="212"/>
      <c r="GH63" s="212"/>
      <c r="GI63" s="212"/>
      <c r="GJ63" s="212"/>
      <c r="GK63" s="212"/>
      <c r="GL63" s="212"/>
      <c r="GM63" s="212"/>
      <c r="GN63" s="212"/>
      <c r="GO63" s="212"/>
      <c r="GP63" s="212"/>
      <c r="GQ63" s="212"/>
      <c r="GR63" s="212"/>
      <c r="GS63" s="212"/>
      <c r="GT63" s="212"/>
      <c r="GU63" s="212"/>
      <c r="GV63" s="212"/>
      <c r="GW63" s="212"/>
      <c r="GX63" s="212"/>
      <c r="GY63" s="212"/>
      <c r="GZ63" s="212"/>
      <c r="HA63" s="212"/>
      <c r="HB63" s="212"/>
      <c r="HC63" s="212"/>
      <c r="HD63" s="212"/>
      <c r="HE63" s="212"/>
      <c r="HF63" s="212"/>
      <c r="HG63" s="212"/>
      <c r="HH63" s="212"/>
      <c r="HI63" s="212"/>
      <c r="HJ63" s="212"/>
      <c r="HK63" s="212"/>
      <c r="HL63" s="212"/>
      <c r="HM63" s="212"/>
      <c r="HN63" s="212"/>
      <c r="HO63" s="212"/>
      <c r="HP63" s="212"/>
      <c r="HQ63" s="212"/>
      <c r="HR63" s="212"/>
      <c r="HS63" s="212"/>
      <c r="HT63" s="212"/>
      <c r="HU63" s="212"/>
      <c r="HV63" s="212"/>
      <c r="HW63" s="212"/>
      <c r="HX63" s="212"/>
      <c r="HY63" s="212"/>
      <c r="HZ63" s="212"/>
      <c r="IA63" s="212"/>
      <c r="IB63" s="212"/>
      <c r="IC63" s="212"/>
      <c r="ID63" s="212"/>
      <c r="IE63" s="212"/>
      <c r="IF63" s="212"/>
      <c r="IG63" s="212"/>
      <c r="IH63" s="212"/>
      <c r="II63" s="212"/>
      <c r="IJ63" s="212"/>
    </row>
    <row r="64" spans="2:244" s="213" customFormat="1" ht="24.95" customHeight="1">
      <c r="B64" s="273"/>
      <c r="C64" s="55" t="s">
        <v>84</v>
      </c>
      <c r="D64" s="56" t="s">
        <v>85</v>
      </c>
      <c r="E64" s="123">
        <f>187/100</f>
        <v>1.87</v>
      </c>
      <c r="F64" s="144">
        <f>F63*E64</f>
        <v>37.400000000000006</v>
      </c>
      <c r="G64" s="122"/>
      <c r="H64" s="122"/>
      <c r="I64" s="122"/>
      <c r="J64" s="123"/>
      <c r="K64" s="121"/>
      <c r="L64" s="123"/>
      <c r="M64" s="252"/>
    </row>
    <row r="65" spans="2:13" s="213" customFormat="1" ht="24.95" customHeight="1">
      <c r="B65" s="274"/>
      <c r="C65" s="174" t="s">
        <v>86</v>
      </c>
      <c r="D65" s="145" t="s">
        <v>87</v>
      </c>
      <c r="E65" s="123">
        <f>77/100</f>
        <v>0.77</v>
      </c>
      <c r="F65" s="144">
        <f>F63*E65</f>
        <v>15.4</v>
      </c>
      <c r="G65" s="122"/>
      <c r="H65" s="122"/>
      <c r="I65" s="122"/>
      <c r="J65" s="123"/>
      <c r="K65" s="121"/>
      <c r="L65" s="123"/>
      <c r="M65" s="252"/>
    </row>
    <row r="66" spans="2:13" s="213" customFormat="1" ht="24.95" customHeight="1">
      <c r="B66" s="274"/>
      <c r="C66" s="174" t="s">
        <v>107</v>
      </c>
      <c r="D66" s="145" t="s">
        <v>81</v>
      </c>
      <c r="E66" s="132">
        <f>101.5/100</f>
        <v>1.0149999999999999</v>
      </c>
      <c r="F66" s="144">
        <f>F63*E66</f>
        <v>20.299999999999997</v>
      </c>
      <c r="G66" s="122"/>
      <c r="H66" s="122"/>
      <c r="I66" s="122"/>
      <c r="J66" s="123"/>
      <c r="K66" s="121"/>
      <c r="L66" s="123"/>
      <c r="M66" s="252"/>
    </row>
    <row r="67" spans="2:13" s="213" customFormat="1" ht="24.95" customHeight="1">
      <c r="B67" s="274"/>
      <c r="C67" s="174" t="s">
        <v>108</v>
      </c>
      <c r="D67" s="145" t="s">
        <v>88</v>
      </c>
      <c r="E67" s="132">
        <f>7.54/100</f>
        <v>7.5399999999999995E-2</v>
      </c>
      <c r="F67" s="144">
        <f>F63*E67</f>
        <v>1.508</v>
      </c>
      <c r="G67" s="122"/>
      <c r="H67" s="122"/>
      <c r="I67" s="122"/>
      <c r="J67" s="123"/>
      <c r="K67" s="121"/>
      <c r="L67" s="123"/>
      <c r="M67" s="252"/>
    </row>
    <row r="68" spans="2:13" s="2" customFormat="1" ht="24.95" customHeight="1">
      <c r="B68" s="274"/>
      <c r="C68" s="174" t="s">
        <v>109</v>
      </c>
      <c r="D68" s="145" t="s">
        <v>81</v>
      </c>
      <c r="E68" s="173">
        <f>0.08/100</f>
        <v>8.0000000000000004E-4</v>
      </c>
      <c r="F68" s="144">
        <f>F63*E68</f>
        <v>1.6E-2</v>
      </c>
      <c r="G68" s="122"/>
      <c r="H68" s="122"/>
      <c r="I68" s="122"/>
      <c r="J68" s="123"/>
      <c r="K68" s="121"/>
      <c r="L68" s="123"/>
      <c r="M68" s="252"/>
    </row>
    <row r="69" spans="2:13" ht="24.95" customHeight="1">
      <c r="B69" s="251"/>
      <c r="C69" s="125" t="s">
        <v>92</v>
      </c>
      <c r="D69" s="124" t="s">
        <v>87</v>
      </c>
      <c r="E69" s="123">
        <f>7/100</f>
        <v>7.0000000000000007E-2</v>
      </c>
      <c r="F69" s="144">
        <f>F63*E69</f>
        <v>1.4000000000000001</v>
      </c>
      <c r="G69" s="122"/>
      <c r="H69" s="122"/>
      <c r="I69" s="122"/>
      <c r="J69" s="123"/>
      <c r="K69" s="121"/>
      <c r="L69" s="123"/>
      <c r="M69" s="252"/>
    </row>
    <row r="70" spans="2:13" ht="43.5" customHeight="1">
      <c r="B70" s="249">
        <v>5</v>
      </c>
      <c r="C70" s="66" t="s">
        <v>152</v>
      </c>
      <c r="D70" s="128" t="s">
        <v>89</v>
      </c>
      <c r="E70" s="137"/>
      <c r="F70" s="130">
        <v>0.95</v>
      </c>
      <c r="G70" s="123"/>
      <c r="H70" s="122"/>
      <c r="I70" s="123"/>
      <c r="J70" s="123"/>
      <c r="K70" s="123"/>
      <c r="L70" s="123"/>
      <c r="M70" s="252"/>
    </row>
    <row r="71" spans="2:13" ht="24.95" customHeight="1">
      <c r="B71" s="270"/>
      <c r="C71" s="29" t="s">
        <v>84</v>
      </c>
      <c r="D71" s="46" t="s">
        <v>85</v>
      </c>
      <c r="E71" s="123">
        <v>47.8</v>
      </c>
      <c r="F71" s="144">
        <f>F70*E71</f>
        <v>45.41</v>
      </c>
      <c r="G71" s="122"/>
      <c r="H71" s="122"/>
      <c r="I71" s="123"/>
      <c r="J71" s="123"/>
      <c r="K71" s="123"/>
      <c r="L71" s="123"/>
      <c r="M71" s="252"/>
    </row>
    <row r="72" spans="2:13" ht="24.95" customHeight="1">
      <c r="B72" s="251"/>
      <c r="C72" s="125" t="s">
        <v>110</v>
      </c>
      <c r="D72" s="124" t="s">
        <v>83</v>
      </c>
      <c r="E72" s="123">
        <v>0.39400000000000002</v>
      </c>
      <c r="F72" s="144">
        <f>F70*E72</f>
        <v>0.37430000000000002</v>
      </c>
      <c r="G72" s="122"/>
      <c r="H72" s="122"/>
      <c r="I72" s="122"/>
      <c r="J72" s="123"/>
      <c r="K72" s="121"/>
      <c r="L72" s="123"/>
      <c r="M72" s="252"/>
    </row>
    <row r="73" spans="2:13" ht="24.95" customHeight="1">
      <c r="B73" s="251"/>
      <c r="C73" s="125" t="s">
        <v>127</v>
      </c>
      <c r="D73" s="124" t="s">
        <v>89</v>
      </c>
      <c r="E73" s="123">
        <v>1</v>
      </c>
      <c r="F73" s="144">
        <f>F70*E73</f>
        <v>0.95</v>
      </c>
      <c r="G73" s="122"/>
      <c r="H73" s="122"/>
      <c r="I73" s="122"/>
      <c r="J73" s="123"/>
      <c r="K73" s="121"/>
      <c r="L73" s="123"/>
      <c r="M73" s="252"/>
    </row>
    <row r="74" spans="2:13" ht="24.95" customHeight="1">
      <c r="B74" s="251"/>
      <c r="C74" s="125" t="s">
        <v>111</v>
      </c>
      <c r="D74" s="124" t="s">
        <v>91</v>
      </c>
      <c r="E74" s="123">
        <v>6</v>
      </c>
      <c r="F74" s="144">
        <f>F70*E74</f>
        <v>5.6999999999999993</v>
      </c>
      <c r="G74" s="122"/>
      <c r="H74" s="122"/>
      <c r="I74" s="122"/>
      <c r="J74" s="123"/>
      <c r="K74" s="121"/>
      <c r="L74" s="123"/>
      <c r="M74" s="252"/>
    </row>
    <row r="75" spans="2:13" s="2" customFormat="1" ht="51" customHeight="1">
      <c r="B75" s="48">
        <v>6</v>
      </c>
      <c r="C75" s="66" t="s">
        <v>8</v>
      </c>
      <c r="D75" s="141" t="s">
        <v>88</v>
      </c>
      <c r="E75" s="123"/>
      <c r="F75" s="130">
        <v>200</v>
      </c>
      <c r="G75" s="122"/>
      <c r="H75" s="122"/>
      <c r="I75" s="122"/>
      <c r="J75" s="123"/>
      <c r="K75" s="121"/>
      <c r="L75" s="123"/>
      <c r="M75" s="252"/>
    </row>
    <row r="76" spans="2:13" s="2" customFormat="1" ht="24.95" customHeight="1">
      <c r="B76" s="50"/>
      <c r="C76" s="21" t="s">
        <v>94</v>
      </c>
      <c r="D76" s="22" t="s">
        <v>88</v>
      </c>
      <c r="E76" s="123">
        <v>1</v>
      </c>
      <c r="F76" s="144">
        <f>E76*F75</f>
        <v>200</v>
      </c>
      <c r="G76" s="122"/>
      <c r="H76" s="122"/>
      <c r="I76" s="122"/>
      <c r="J76" s="123"/>
      <c r="K76" s="121"/>
      <c r="L76" s="123"/>
      <c r="M76" s="252"/>
    </row>
    <row r="77" spans="2:13" s="2" customFormat="1" ht="24.95" customHeight="1">
      <c r="B77" s="77"/>
      <c r="C77" s="21" t="s">
        <v>95</v>
      </c>
      <c r="D77" s="78" t="s">
        <v>87</v>
      </c>
      <c r="E77" s="123">
        <f>8.7/100</f>
        <v>8.6999999999999994E-2</v>
      </c>
      <c r="F77" s="144">
        <f>E77*F75</f>
        <v>17.399999999999999</v>
      </c>
      <c r="G77" s="122"/>
      <c r="H77" s="122"/>
      <c r="I77" s="122"/>
      <c r="J77" s="123"/>
      <c r="K77" s="121"/>
      <c r="L77" s="123"/>
      <c r="M77" s="252"/>
    </row>
    <row r="78" spans="2:13" s="213" customFormat="1" ht="24.95" customHeight="1">
      <c r="B78" s="274"/>
      <c r="C78" s="174" t="s">
        <v>112</v>
      </c>
      <c r="D78" s="145" t="s">
        <v>81</v>
      </c>
      <c r="E78" s="123">
        <v>0.43</v>
      </c>
      <c r="F78" s="144">
        <f>F75*E78</f>
        <v>86</v>
      </c>
      <c r="G78" s="122"/>
      <c r="H78" s="122"/>
      <c r="I78" s="122"/>
      <c r="J78" s="123"/>
      <c r="K78" s="121"/>
      <c r="L78" s="123"/>
      <c r="M78" s="252"/>
    </row>
    <row r="79" spans="2:13" s="2" customFormat="1" ht="24.95" customHeight="1">
      <c r="B79" s="79"/>
      <c r="C79" s="21" t="s">
        <v>113</v>
      </c>
      <c r="D79" s="78" t="s">
        <v>88</v>
      </c>
      <c r="E79" s="123">
        <v>1</v>
      </c>
      <c r="F79" s="144">
        <f>E79*F75</f>
        <v>200</v>
      </c>
      <c r="G79" s="122"/>
      <c r="H79" s="122"/>
      <c r="I79" s="122"/>
      <c r="J79" s="123"/>
      <c r="K79" s="121"/>
      <c r="L79" s="123"/>
      <c r="M79" s="252"/>
    </row>
    <row r="80" spans="2:13" s="2" customFormat="1" ht="24.95" customHeight="1">
      <c r="B80" s="80"/>
      <c r="C80" s="21" t="s">
        <v>96</v>
      </c>
      <c r="D80" s="78" t="s">
        <v>87</v>
      </c>
      <c r="E80" s="123">
        <f>0.3/100</f>
        <v>3.0000000000000001E-3</v>
      </c>
      <c r="F80" s="144">
        <f>E80*F75</f>
        <v>0.6</v>
      </c>
      <c r="G80" s="122"/>
      <c r="H80" s="122"/>
      <c r="I80" s="122"/>
      <c r="J80" s="123"/>
      <c r="K80" s="121"/>
      <c r="L80" s="123"/>
      <c r="M80" s="252"/>
    </row>
    <row r="81" spans="2:244" s="2" customFormat="1" ht="48" customHeight="1">
      <c r="B81" s="48">
        <v>7</v>
      </c>
      <c r="C81" s="66" t="s">
        <v>304</v>
      </c>
      <c r="D81" s="49" t="s">
        <v>93</v>
      </c>
      <c r="E81" s="123"/>
      <c r="F81" s="130">
        <v>220</v>
      </c>
      <c r="G81" s="122"/>
      <c r="H81" s="122"/>
      <c r="I81" s="122"/>
      <c r="J81" s="123"/>
      <c r="K81" s="121"/>
      <c r="L81" s="123"/>
      <c r="M81" s="252"/>
    </row>
    <row r="82" spans="2:244" s="2" customFormat="1" ht="24.95" customHeight="1">
      <c r="B82" s="50"/>
      <c r="C82" s="21" t="s">
        <v>94</v>
      </c>
      <c r="D82" s="22" t="s">
        <v>85</v>
      </c>
      <c r="E82" s="123">
        <f>74/100</f>
        <v>0.74</v>
      </c>
      <c r="F82" s="144">
        <f>E82*F81</f>
        <v>162.80000000000001</v>
      </c>
      <c r="G82" s="122"/>
      <c r="H82" s="122"/>
      <c r="I82" s="122"/>
      <c r="J82" s="123"/>
      <c r="K82" s="121"/>
      <c r="L82" s="123"/>
      <c r="M82" s="252"/>
    </row>
    <row r="83" spans="2:244" s="2" customFormat="1" ht="24.95" customHeight="1">
      <c r="B83" s="77"/>
      <c r="C83" s="21" t="s">
        <v>95</v>
      </c>
      <c r="D83" s="78" t="s">
        <v>87</v>
      </c>
      <c r="E83" s="123">
        <f>0.71/100</f>
        <v>7.0999999999999995E-3</v>
      </c>
      <c r="F83" s="144">
        <f>E83*F81</f>
        <v>1.5619999999999998</v>
      </c>
      <c r="G83" s="122"/>
      <c r="H83" s="122"/>
      <c r="I83" s="122"/>
      <c r="J83" s="123"/>
      <c r="K83" s="121"/>
      <c r="L83" s="123"/>
      <c r="M83" s="252"/>
    </row>
    <row r="84" spans="2:244" s="2" customFormat="1" ht="24.95" customHeight="1">
      <c r="B84" s="79"/>
      <c r="C84" s="21" t="s">
        <v>305</v>
      </c>
      <c r="D84" s="78" t="s">
        <v>114</v>
      </c>
      <c r="E84" s="123">
        <v>1</v>
      </c>
      <c r="F84" s="144">
        <f>E84*F81</f>
        <v>220</v>
      </c>
      <c r="G84" s="122"/>
      <c r="H84" s="122"/>
      <c r="I84" s="122"/>
      <c r="J84" s="123"/>
      <c r="K84" s="121"/>
      <c r="L84" s="123"/>
      <c r="M84" s="252"/>
    </row>
    <row r="85" spans="2:244" s="2" customFormat="1" ht="24.95" customHeight="1">
      <c r="B85" s="79"/>
      <c r="C85" s="21" t="s">
        <v>115</v>
      </c>
      <c r="D85" s="78" t="s">
        <v>81</v>
      </c>
      <c r="E85" s="123">
        <f>3.9/100</f>
        <v>3.9E-2</v>
      </c>
      <c r="F85" s="144">
        <f>E85*F81</f>
        <v>8.58</v>
      </c>
      <c r="G85" s="122"/>
      <c r="H85" s="122"/>
      <c r="I85" s="122"/>
      <c r="J85" s="123"/>
      <c r="K85" s="121"/>
      <c r="L85" s="123"/>
      <c r="M85" s="252"/>
    </row>
    <row r="86" spans="2:244" s="2" customFormat="1" ht="24.95" customHeight="1">
      <c r="B86" s="79"/>
      <c r="C86" s="21" t="s">
        <v>116</v>
      </c>
      <c r="D86" s="78" t="s">
        <v>81</v>
      </c>
      <c r="E86" s="123">
        <f>0.06/100</f>
        <v>5.9999999999999995E-4</v>
      </c>
      <c r="F86" s="144">
        <f>E86*F81</f>
        <v>0.13199999999999998</v>
      </c>
      <c r="G86" s="122"/>
      <c r="H86" s="122"/>
      <c r="I86" s="122"/>
      <c r="J86" s="123"/>
      <c r="K86" s="121"/>
      <c r="L86" s="123"/>
      <c r="M86" s="252"/>
    </row>
    <row r="87" spans="2:244" s="2" customFormat="1" ht="24.95" customHeight="1">
      <c r="B87" s="80"/>
      <c r="C87" s="21" t="s">
        <v>96</v>
      </c>
      <c r="D87" s="78" t="s">
        <v>87</v>
      </c>
      <c r="E87" s="123">
        <f>9.6/100</f>
        <v>9.6000000000000002E-2</v>
      </c>
      <c r="F87" s="144">
        <f>E87*F81</f>
        <v>21.12</v>
      </c>
      <c r="G87" s="122"/>
      <c r="H87" s="122"/>
      <c r="I87" s="122"/>
      <c r="J87" s="123"/>
      <c r="K87" s="121"/>
      <c r="L87" s="123"/>
      <c r="M87" s="252"/>
    </row>
    <row r="88" spans="2:244" s="213" customFormat="1" ht="51" customHeight="1">
      <c r="B88" s="272">
        <v>8</v>
      </c>
      <c r="C88" s="66" t="s">
        <v>9</v>
      </c>
      <c r="D88" s="146" t="s">
        <v>81</v>
      </c>
      <c r="E88" s="142"/>
      <c r="F88" s="130">
        <v>3.2</v>
      </c>
      <c r="G88" s="143"/>
      <c r="H88" s="143"/>
      <c r="I88" s="143"/>
      <c r="J88" s="142"/>
      <c r="K88" s="143"/>
      <c r="L88" s="142"/>
      <c r="M88" s="266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212"/>
      <c r="DX88" s="212"/>
      <c r="DY88" s="212"/>
      <c r="DZ88" s="212"/>
      <c r="EA88" s="212"/>
      <c r="EB88" s="212"/>
      <c r="EC88" s="212"/>
      <c r="ED88" s="212"/>
      <c r="EE88" s="212"/>
      <c r="EF88" s="212"/>
      <c r="EG88" s="212"/>
      <c r="EH88" s="212"/>
      <c r="EI88" s="212"/>
      <c r="EJ88" s="212"/>
      <c r="EK88" s="212"/>
      <c r="EL88" s="212"/>
      <c r="EM88" s="212"/>
      <c r="EN88" s="212"/>
      <c r="EO88" s="212"/>
      <c r="EP88" s="212"/>
      <c r="EQ88" s="212"/>
      <c r="ER88" s="212"/>
      <c r="ES88" s="212"/>
      <c r="ET88" s="212"/>
      <c r="EU88" s="212"/>
      <c r="EV88" s="212"/>
      <c r="EW88" s="212"/>
      <c r="EX88" s="212"/>
      <c r="EY88" s="212"/>
      <c r="EZ88" s="212"/>
      <c r="FA88" s="212"/>
      <c r="FB88" s="212"/>
      <c r="FC88" s="212"/>
      <c r="FD88" s="212"/>
      <c r="FE88" s="212"/>
      <c r="FF88" s="212"/>
      <c r="FG88" s="212"/>
      <c r="FH88" s="212"/>
      <c r="FI88" s="212"/>
      <c r="FJ88" s="212"/>
      <c r="FK88" s="212"/>
      <c r="FL88" s="212"/>
      <c r="FM88" s="212"/>
      <c r="FN88" s="212"/>
      <c r="FO88" s="212"/>
      <c r="FP88" s="212"/>
      <c r="FQ88" s="212"/>
      <c r="FR88" s="212"/>
      <c r="FS88" s="212"/>
      <c r="FT88" s="212"/>
      <c r="FU88" s="212"/>
      <c r="FV88" s="212"/>
      <c r="FW88" s="212"/>
      <c r="FX88" s="212"/>
      <c r="FY88" s="212"/>
      <c r="FZ88" s="212"/>
      <c r="GA88" s="212"/>
      <c r="GB88" s="212"/>
      <c r="GC88" s="212"/>
      <c r="GD88" s="212"/>
      <c r="GE88" s="212"/>
      <c r="GF88" s="212"/>
      <c r="GG88" s="212"/>
      <c r="GH88" s="212"/>
      <c r="GI88" s="212"/>
      <c r="GJ88" s="212"/>
      <c r="GK88" s="212"/>
      <c r="GL88" s="212"/>
      <c r="GM88" s="212"/>
      <c r="GN88" s="212"/>
      <c r="GO88" s="212"/>
      <c r="GP88" s="212"/>
      <c r="GQ88" s="212"/>
      <c r="GR88" s="212"/>
      <c r="GS88" s="212"/>
      <c r="GT88" s="212"/>
      <c r="GU88" s="212"/>
      <c r="GV88" s="212"/>
      <c r="GW88" s="212"/>
      <c r="GX88" s="212"/>
      <c r="GY88" s="212"/>
      <c r="GZ88" s="212"/>
      <c r="HA88" s="212"/>
      <c r="HB88" s="212"/>
      <c r="HC88" s="212"/>
      <c r="HD88" s="212"/>
      <c r="HE88" s="212"/>
      <c r="HF88" s="212"/>
      <c r="HG88" s="212"/>
      <c r="HH88" s="212"/>
      <c r="HI88" s="212"/>
      <c r="HJ88" s="212"/>
      <c r="HK88" s="212"/>
      <c r="HL88" s="212"/>
      <c r="HM88" s="212"/>
      <c r="HN88" s="212"/>
      <c r="HO88" s="212"/>
      <c r="HP88" s="212"/>
      <c r="HQ88" s="212"/>
      <c r="HR88" s="212"/>
      <c r="HS88" s="212"/>
      <c r="HT88" s="212"/>
      <c r="HU88" s="212"/>
      <c r="HV88" s="212"/>
      <c r="HW88" s="212"/>
      <c r="HX88" s="212"/>
      <c r="HY88" s="212"/>
      <c r="HZ88" s="212"/>
      <c r="IA88" s="212"/>
      <c r="IB88" s="212"/>
      <c r="IC88" s="212"/>
      <c r="ID88" s="212"/>
      <c r="IE88" s="212"/>
      <c r="IF88" s="212"/>
      <c r="IG88" s="212"/>
      <c r="IH88" s="212"/>
      <c r="II88" s="212"/>
      <c r="IJ88" s="212"/>
    </row>
    <row r="89" spans="2:244" s="213" customFormat="1" ht="24.95" customHeight="1">
      <c r="B89" s="273"/>
      <c r="C89" s="55" t="s">
        <v>84</v>
      </c>
      <c r="D89" s="56" t="s">
        <v>85</v>
      </c>
      <c r="E89" s="123">
        <f>286/100</f>
        <v>2.86</v>
      </c>
      <c r="F89" s="144">
        <f>F88*E89</f>
        <v>9.1519999999999992</v>
      </c>
      <c r="G89" s="122"/>
      <c r="H89" s="122"/>
      <c r="I89" s="122"/>
      <c r="J89" s="123"/>
      <c r="K89" s="121"/>
      <c r="L89" s="123"/>
      <c r="M89" s="252"/>
    </row>
    <row r="90" spans="2:244" s="213" customFormat="1" ht="24.95" customHeight="1">
      <c r="B90" s="274"/>
      <c r="C90" s="174" t="s">
        <v>86</v>
      </c>
      <c r="D90" s="145" t="s">
        <v>87</v>
      </c>
      <c r="E90" s="123">
        <f>76/100</f>
        <v>0.76</v>
      </c>
      <c r="F90" s="144">
        <f>F88*E90</f>
        <v>2.4320000000000004</v>
      </c>
      <c r="G90" s="122"/>
      <c r="H90" s="122"/>
      <c r="I90" s="122"/>
      <c r="J90" s="123"/>
      <c r="K90" s="121"/>
      <c r="L90" s="123"/>
      <c r="M90" s="252"/>
    </row>
    <row r="91" spans="2:244" s="213" customFormat="1" ht="24.95" customHeight="1">
      <c r="B91" s="274"/>
      <c r="C91" s="174" t="s">
        <v>107</v>
      </c>
      <c r="D91" s="145" t="s">
        <v>81</v>
      </c>
      <c r="E91" s="123">
        <f>102/100</f>
        <v>1.02</v>
      </c>
      <c r="F91" s="144">
        <f>F88*E91</f>
        <v>3.2640000000000002</v>
      </c>
      <c r="G91" s="122"/>
      <c r="H91" s="122"/>
      <c r="I91" s="122"/>
      <c r="J91" s="123"/>
      <c r="K91" s="121"/>
      <c r="L91" s="123"/>
      <c r="M91" s="252"/>
    </row>
    <row r="92" spans="2:244" s="213" customFormat="1" ht="24.95" customHeight="1">
      <c r="B92" s="274"/>
      <c r="C92" s="174" t="s">
        <v>117</v>
      </c>
      <c r="D92" s="145" t="s">
        <v>88</v>
      </c>
      <c r="E92" s="123">
        <f>80.3/100</f>
        <v>0.80299999999999994</v>
      </c>
      <c r="F92" s="144">
        <f>F88*E92</f>
        <v>2.5695999999999999</v>
      </c>
      <c r="G92" s="122"/>
      <c r="H92" s="122"/>
      <c r="I92" s="122"/>
      <c r="J92" s="123"/>
      <c r="K92" s="121"/>
      <c r="L92" s="123"/>
      <c r="M92" s="252"/>
    </row>
    <row r="93" spans="2:244" s="2" customFormat="1" ht="24.95" customHeight="1">
      <c r="B93" s="274"/>
      <c r="C93" s="174" t="s">
        <v>109</v>
      </c>
      <c r="D93" s="145" t="s">
        <v>81</v>
      </c>
      <c r="E93" s="123">
        <f>0.39/100</f>
        <v>3.9000000000000003E-3</v>
      </c>
      <c r="F93" s="144">
        <f>F88*E93</f>
        <v>1.2480000000000002E-2</v>
      </c>
      <c r="G93" s="122"/>
      <c r="H93" s="122"/>
      <c r="I93" s="122"/>
      <c r="J93" s="123"/>
      <c r="K93" s="121"/>
      <c r="L93" s="123"/>
      <c r="M93" s="252"/>
    </row>
    <row r="94" spans="2:244" ht="24.95" customHeight="1">
      <c r="B94" s="251"/>
      <c r="C94" s="125" t="s">
        <v>92</v>
      </c>
      <c r="D94" s="124" t="s">
        <v>87</v>
      </c>
      <c r="E94" s="123">
        <f>13/100</f>
        <v>0.13</v>
      </c>
      <c r="F94" s="144">
        <f>F88*E94</f>
        <v>0.41600000000000004</v>
      </c>
      <c r="G94" s="122"/>
      <c r="H94" s="122"/>
      <c r="I94" s="122"/>
      <c r="J94" s="123"/>
      <c r="K94" s="121"/>
      <c r="L94" s="123"/>
      <c r="M94" s="252"/>
    </row>
    <row r="95" spans="2:244" s="213" customFormat="1" ht="30" customHeight="1">
      <c r="B95" s="272">
        <v>9</v>
      </c>
      <c r="C95" s="239" t="s">
        <v>118</v>
      </c>
      <c r="D95" s="146" t="s">
        <v>119</v>
      </c>
      <c r="E95" s="147"/>
      <c r="F95" s="7">
        <v>8</v>
      </c>
      <c r="G95" s="148"/>
      <c r="H95" s="148"/>
      <c r="I95" s="148"/>
      <c r="J95" s="147"/>
      <c r="K95" s="148"/>
      <c r="L95" s="147"/>
      <c r="M95" s="275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2"/>
      <c r="CQ95" s="212"/>
      <c r="CR95" s="212"/>
      <c r="CS95" s="212"/>
      <c r="CT95" s="212"/>
      <c r="CU95" s="212"/>
      <c r="CV95" s="212"/>
      <c r="CW95" s="212"/>
      <c r="CX95" s="212"/>
      <c r="CY95" s="212"/>
      <c r="CZ95" s="212"/>
      <c r="DA95" s="212"/>
      <c r="DB95" s="212"/>
      <c r="DC95" s="212"/>
      <c r="DD95" s="212"/>
      <c r="DE95" s="212"/>
      <c r="DF95" s="212"/>
      <c r="DG95" s="212"/>
      <c r="DH95" s="212"/>
      <c r="DI95" s="212"/>
      <c r="DJ95" s="212"/>
      <c r="DK95" s="212"/>
      <c r="DL95" s="212"/>
      <c r="DM95" s="212"/>
      <c r="DN95" s="212"/>
      <c r="DO95" s="212"/>
      <c r="DP95" s="212"/>
      <c r="DQ95" s="212"/>
      <c r="DR95" s="212"/>
      <c r="DS95" s="212"/>
      <c r="DT95" s="212"/>
      <c r="DU95" s="212"/>
      <c r="DV95" s="212"/>
      <c r="DW95" s="212"/>
      <c r="DX95" s="212"/>
      <c r="DY95" s="212"/>
      <c r="DZ95" s="212"/>
      <c r="EA95" s="212"/>
      <c r="EB95" s="212"/>
      <c r="EC95" s="212"/>
      <c r="ED95" s="212"/>
      <c r="EE95" s="212"/>
      <c r="EF95" s="212"/>
      <c r="EG95" s="212"/>
      <c r="EH95" s="212"/>
      <c r="EI95" s="212"/>
      <c r="EJ95" s="212"/>
      <c r="EK95" s="212"/>
      <c r="EL95" s="212"/>
      <c r="EM95" s="212"/>
      <c r="EN95" s="212"/>
      <c r="EO95" s="212"/>
      <c r="EP95" s="212"/>
      <c r="EQ95" s="212"/>
      <c r="ER95" s="212"/>
      <c r="ES95" s="212"/>
      <c r="ET95" s="212"/>
      <c r="EU95" s="212"/>
      <c r="EV95" s="212"/>
      <c r="EW95" s="212"/>
      <c r="EX95" s="212"/>
      <c r="EY95" s="212"/>
      <c r="EZ95" s="212"/>
      <c r="FA95" s="212"/>
      <c r="FB95" s="212"/>
      <c r="FC95" s="212"/>
      <c r="FD95" s="212"/>
      <c r="FE95" s="212"/>
      <c r="FF95" s="212"/>
      <c r="FG95" s="212"/>
      <c r="FH95" s="212"/>
      <c r="FI95" s="212"/>
      <c r="FJ95" s="212"/>
      <c r="FK95" s="212"/>
      <c r="FL95" s="212"/>
      <c r="FM95" s="212"/>
      <c r="FN95" s="212"/>
      <c r="FO95" s="212"/>
      <c r="FP95" s="212"/>
      <c r="FQ95" s="212"/>
      <c r="FR95" s="212"/>
      <c r="FS95" s="212"/>
      <c r="FT95" s="212"/>
      <c r="FU95" s="212"/>
      <c r="FV95" s="212"/>
      <c r="FW95" s="212"/>
      <c r="FX95" s="212"/>
      <c r="FY95" s="212"/>
      <c r="FZ95" s="212"/>
      <c r="GA95" s="212"/>
      <c r="GB95" s="212"/>
      <c r="GC95" s="212"/>
      <c r="GD95" s="212"/>
      <c r="GE95" s="212"/>
      <c r="GF95" s="212"/>
      <c r="GG95" s="212"/>
      <c r="GH95" s="212"/>
      <c r="GI95" s="212"/>
      <c r="GJ95" s="212"/>
      <c r="GK95" s="212"/>
      <c r="GL95" s="212"/>
      <c r="GM95" s="212"/>
      <c r="GN95" s="212"/>
      <c r="GO95" s="212"/>
      <c r="GP95" s="212"/>
      <c r="GQ95" s="212"/>
      <c r="GR95" s="212"/>
      <c r="GS95" s="212"/>
      <c r="GT95" s="212"/>
      <c r="GU95" s="212"/>
      <c r="GV95" s="212"/>
      <c r="GW95" s="212"/>
      <c r="GX95" s="212"/>
      <c r="GY95" s="212"/>
      <c r="GZ95" s="212"/>
      <c r="HA95" s="212"/>
      <c r="HB95" s="212"/>
      <c r="HC95" s="212"/>
      <c r="HD95" s="212"/>
      <c r="HE95" s="212"/>
      <c r="HF95" s="212"/>
      <c r="HG95" s="212"/>
      <c r="HH95" s="212"/>
      <c r="HI95" s="212"/>
      <c r="HJ95" s="212"/>
      <c r="HK95" s="212"/>
      <c r="HL95" s="212"/>
      <c r="HM95" s="212"/>
      <c r="HN95" s="212"/>
      <c r="HO95" s="212"/>
      <c r="HP95" s="212"/>
      <c r="HQ95" s="212"/>
      <c r="HR95" s="212"/>
      <c r="HS95" s="212"/>
      <c r="HT95" s="212"/>
      <c r="HU95" s="212"/>
      <c r="HV95" s="212"/>
      <c r="HW95" s="212"/>
      <c r="HX95" s="212"/>
      <c r="HY95" s="212"/>
      <c r="HZ95" s="212"/>
      <c r="IA95" s="212"/>
      <c r="IB95" s="212"/>
      <c r="IC95" s="212"/>
      <c r="ID95" s="212"/>
      <c r="IE95" s="212"/>
      <c r="IF95" s="212"/>
      <c r="IG95" s="212"/>
      <c r="IH95" s="212"/>
      <c r="II95" s="212"/>
      <c r="IJ95" s="212"/>
    </row>
    <row r="96" spans="2:244" s="213" customFormat="1" ht="24.95" customHeight="1">
      <c r="B96" s="273"/>
      <c r="C96" s="55" t="s">
        <v>84</v>
      </c>
      <c r="D96" s="56" t="s">
        <v>85</v>
      </c>
      <c r="E96" s="149">
        <v>4.08</v>
      </c>
      <c r="F96" s="150">
        <f>F95*E96</f>
        <v>32.64</v>
      </c>
      <c r="G96" s="151"/>
      <c r="H96" s="151"/>
      <c r="I96" s="149"/>
      <c r="J96" s="149"/>
      <c r="K96" s="149"/>
      <c r="L96" s="149"/>
      <c r="M96" s="276"/>
    </row>
    <row r="97" spans="2:244" s="213" customFormat="1" ht="24.95" customHeight="1">
      <c r="B97" s="274"/>
      <c r="C97" s="174" t="s">
        <v>86</v>
      </c>
      <c r="D97" s="145" t="s">
        <v>87</v>
      </c>
      <c r="E97" s="149">
        <v>0.14000000000000001</v>
      </c>
      <c r="F97" s="150">
        <f>F95*E97</f>
        <v>1.1200000000000001</v>
      </c>
      <c r="G97" s="151"/>
      <c r="H97" s="151"/>
      <c r="I97" s="151"/>
      <c r="J97" s="149"/>
      <c r="K97" s="153"/>
      <c r="L97" s="149"/>
      <c r="M97" s="276"/>
    </row>
    <row r="98" spans="2:244" s="213" customFormat="1" ht="24.95" customHeight="1">
      <c r="B98" s="274"/>
      <c r="C98" s="174" t="s">
        <v>120</v>
      </c>
      <c r="D98" s="145" t="s">
        <v>119</v>
      </c>
      <c r="E98" s="152">
        <v>1</v>
      </c>
      <c r="F98" s="150">
        <f>F95*E98</f>
        <v>8</v>
      </c>
      <c r="G98" s="151"/>
      <c r="H98" s="151"/>
      <c r="I98" s="151"/>
      <c r="J98" s="149"/>
      <c r="K98" s="153"/>
      <c r="L98" s="149"/>
      <c r="M98" s="276"/>
    </row>
    <row r="99" spans="2:244" s="213" customFormat="1" ht="30.75" customHeight="1">
      <c r="B99" s="249">
        <v>10</v>
      </c>
      <c r="C99" s="240" t="s">
        <v>121</v>
      </c>
      <c r="D99" s="128" t="s">
        <v>81</v>
      </c>
      <c r="E99" s="129"/>
      <c r="F99" s="129">
        <v>0.8</v>
      </c>
      <c r="G99" s="119"/>
      <c r="H99" s="119"/>
      <c r="I99" s="119"/>
      <c r="J99" s="129"/>
      <c r="K99" s="119"/>
      <c r="L99" s="129"/>
      <c r="M99" s="250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212"/>
      <c r="BY99" s="212"/>
      <c r="BZ99" s="212"/>
      <c r="CA99" s="212"/>
      <c r="CB99" s="212"/>
      <c r="CC99" s="212"/>
      <c r="CD99" s="212"/>
      <c r="CE99" s="212"/>
      <c r="CF99" s="212"/>
      <c r="CG99" s="212"/>
      <c r="CH99" s="212"/>
      <c r="CI99" s="212"/>
      <c r="CJ99" s="212"/>
      <c r="CK99" s="212"/>
      <c r="CL99" s="212"/>
      <c r="CM99" s="212"/>
      <c r="CN99" s="212"/>
      <c r="CO99" s="212"/>
      <c r="CP99" s="212"/>
      <c r="CQ99" s="212"/>
      <c r="CR99" s="212"/>
      <c r="CS99" s="212"/>
      <c r="CT99" s="212"/>
      <c r="CU99" s="212"/>
      <c r="CV99" s="212"/>
      <c r="CW99" s="212"/>
      <c r="CX99" s="212"/>
      <c r="CY99" s="212"/>
      <c r="CZ99" s="212"/>
      <c r="DA99" s="212"/>
      <c r="DB99" s="212"/>
      <c r="DC99" s="212"/>
      <c r="DD99" s="212"/>
      <c r="DE99" s="212"/>
      <c r="DF99" s="212"/>
      <c r="DG99" s="212"/>
      <c r="DH99" s="212"/>
      <c r="DI99" s="212"/>
      <c r="DJ99" s="212"/>
      <c r="DK99" s="212"/>
      <c r="DL99" s="212"/>
      <c r="DM99" s="212"/>
      <c r="DN99" s="212"/>
      <c r="DO99" s="212"/>
      <c r="DP99" s="212"/>
      <c r="DQ99" s="212"/>
      <c r="DR99" s="212"/>
      <c r="DS99" s="212"/>
      <c r="DT99" s="212"/>
      <c r="DU99" s="212"/>
      <c r="DV99" s="212"/>
      <c r="DW99" s="212"/>
      <c r="DX99" s="212"/>
      <c r="DY99" s="212"/>
      <c r="DZ99" s="212"/>
      <c r="EA99" s="212"/>
      <c r="EB99" s="212"/>
      <c r="EC99" s="212"/>
      <c r="ED99" s="212"/>
      <c r="EE99" s="212"/>
      <c r="EF99" s="212"/>
      <c r="EG99" s="212"/>
      <c r="EH99" s="212"/>
      <c r="EI99" s="212"/>
      <c r="EJ99" s="212"/>
      <c r="EK99" s="212"/>
      <c r="EL99" s="212"/>
      <c r="EM99" s="212"/>
      <c r="EN99" s="212"/>
      <c r="EO99" s="212"/>
      <c r="EP99" s="212"/>
      <c r="EQ99" s="212"/>
      <c r="ER99" s="212"/>
      <c r="ES99" s="212"/>
      <c r="ET99" s="212"/>
      <c r="EU99" s="212"/>
      <c r="EV99" s="212"/>
      <c r="EW99" s="212"/>
      <c r="EX99" s="212"/>
      <c r="EY99" s="212"/>
      <c r="EZ99" s="212"/>
      <c r="FA99" s="212"/>
      <c r="FB99" s="212"/>
      <c r="FC99" s="212"/>
      <c r="FD99" s="212"/>
      <c r="FE99" s="212"/>
      <c r="FF99" s="212"/>
      <c r="FG99" s="212"/>
      <c r="FH99" s="212"/>
      <c r="FI99" s="212"/>
      <c r="FJ99" s="212"/>
      <c r="FK99" s="212"/>
      <c r="FL99" s="212"/>
      <c r="FM99" s="212"/>
      <c r="FN99" s="212"/>
      <c r="FO99" s="212"/>
      <c r="FP99" s="212"/>
      <c r="FQ99" s="212"/>
      <c r="FR99" s="212"/>
      <c r="FS99" s="212"/>
      <c r="FT99" s="212"/>
      <c r="FU99" s="212"/>
      <c r="FV99" s="212"/>
      <c r="FW99" s="212"/>
      <c r="FX99" s="212"/>
      <c r="FY99" s="212"/>
      <c r="FZ99" s="212"/>
      <c r="GA99" s="212"/>
      <c r="GB99" s="212"/>
      <c r="GC99" s="212"/>
      <c r="GD99" s="212"/>
      <c r="GE99" s="212"/>
      <c r="GF99" s="212"/>
      <c r="GG99" s="212"/>
      <c r="GH99" s="212"/>
      <c r="GI99" s="212"/>
      <c r="GJ99" s="212"/>
      <c r="GK99" s="212"/>
      <c r="GL99" s="212"/>
      <c r="GM99" s="212"/>
      <c r="GN99" s="212"/>
      <c r="GO99" s="212"/>
      <c r="GP99" s="212"/>
      <c r="GQ99" s="212"/>
      <c r="GR99" s="212"/>
      <c r="GS99" s="212"/>
      <c r="GT99" s="212"/>
      <c r="GU99" s="212"/>
      <c r="GV99" s="212"/>
      <c r="GW99" s="212"/>
      <c r="GX99" s="212"/>
      <c r="GY99" s="212"/>
      <c r="GZ99" s="212"/>
      <c r="HA99" s="212"/>
      <c r="HB99" s="212"/>
      <c r="HC99" s="212"/>
      <c r="HD99" s="212"/>
      <c r="HE99" s="212"/>
      <c r="HF99" s="212"/>
      <c r="HG99" s="212"/>
      <c r="HH99" s="212"/>
      <c r="HI99" s="212"/>
      <c r="HJ99" s="212"/>
      <c r="HK99" s="212"/>
      <c r="HL99" s="212"/>
      <c r="HM99" s="212"/>
      <c r="HN99" s="212"/>
      <c r="HO99" s="212"/>
      <c r="HP99" s="212"/>
      <c r="HQ99" s="212"/>
      <c r="HR99" s="212"/>
      <c r="HS99" s="212"/>
      <c r="HT99" s="212"/>
      <c r="HU99" s="212"/>
      <c r="HV99" s="212"/>
      <c r="HW99" s="212"/>
      <c r="HX99" s="212"/>
      <c r="HY99" s="212"/>
      <c r="HZ99" s="212"/>
      <c r="IA99" s="212"/>
      <c r="IB99" s="212"/>
      <c r="IC99" s="212"/>
      <c r="ID99" s="212"/>
      <c r="IE99" s="212"/>
      <c r="IF99" s="212"/>
      <c r="IG99" s="212"/>
      <c r="IH99" s="212"/>
      <c r="II99" s="212"/>
      <c r="IJ99" s="212"/>
    </row>
    <row r="100" spans="2:244" s="213" customFormat="1" ht="24.95" customHeight="1">
      <c r="B100" s="270"/>
      <c r="C100" s="29" t="s">
        <v>84</v>
      </c>
      <c r="D100" s="46" t="s">
        <v>85</v>
      </c>
      <c r="E100" s="123">
        <f>450/100</f>
        <v>4.5</v>
      </c>
      <c r="F100" s="144">
        <f>F99*E100</f>
        <v>3.6</v>
      </c>
      <c r="G100" s="122"/>
      <c r="H100" s="122"/>
      <c r="I100" s="123"/>
      <c r="J100" s="123"/>
      <c r="K100" s="123"/>
      <c r="L100" s="123"/>
      <c r="M100" s="252"/>
    </row>
    <row r="101" spans="2:244" s="213" customFormat="1" ht="24.95" customHeight="1">
      <c r="B101" s="251"/>
      <c r="C101" s="125" t="s">
        <v>86</v>
      </c>
      <c r="D101" s="124" t="s">
        <v>87</v>
      </c>
      <c r="E101" s="123">
        <f>37/100</f>
        <v>0.37</v>
      </c>
      <c r="F101" s="144">
        <f>F99*E101</f>
        <v>0.29599999999999999</v>
      </c>
      <c r="G101" s="122"/>
      <c r="H101" s="122"/>
      <c r="I101" s="122"/>
      <c r="J101" s="123"/>
      <c r="K101" s="121"/>
      <c r="L101" s="123"/>
      <c r="M101" s="252"/>
    </row>
    <row r="102" spans="2:244" s="213" customFormat="1" ht="24.95" customHeight="1">
      <c r="B102" s="251"/>
      <c r="C102" s="125" t="s">
        <v>122</v>
      </c>
      <c r="D102" s="124" t="s">
        <v>81</v>
      </c>
      <c r="E102" s="123">
        <f>102/100</f>
        <v>1.02</v>
      </c>
      <c r="F102" s="144">
        <f>F99*E102</f>
        <v>0.81600000000000006</v>
      </c>
      <c r="G102" s="122"/>
      <c r="H102" s="122"/>
      <c r="I102" s="122"/>
      <c r="J102" s="123"/>
      <c r="K102" s="121"/>
      <c r="L102" s="123"/>
      <c r="M102" s="252"/>
    </row>
    <row r="103" spans="2:244" s="213" customFormat="1" ht="24.95" customHeight="1">
      <c r="B103" s="251"/>
      <c r="C103" s="125" t="s">
        <v>117</v>
      </c>
      <c r="D103" s="120" t="s">
        <v>123</v>
      </c>
      <c r="E103" s="64">
        <f>161/100</f>
        <v>1.61</v>
      </c>
      <c r="F103" s="144">
        <f>F99*E103</f>
        <v>1.2880000000000003</v>
      </c>
      <c r="G103" s="122"/>
      <c r="H103" s="122"/>
      <c r="I103" s="64"/>
      <c r="J103" s="123"/>
      <c r="K103" s="121"/>
      <c r="L103" s="123"/>
      <c r="M103" s="252"/>
    </row>
    <row r="104" spans="2:244" s="213" customFormat="1" ht="24.95" customHeight="1">
      <c r="B104" s="251"/>
      <c r="C104" s="125" t="s">
        <v>108</v>
      </c>
      <c r="D104" s="120" t="s">
        <v>123</v>
      </c>
      <c r="E104" s="139">
        <f>1.72/100</f>
        <v>1.72E-2</v>
      </c>
      <c r="F104" s="144">
        <f>F99*E104</f>
        <v>1.3760000000000001E-2</v>
      </c>
      <c r="G104" s="122"/>
      <c r="H104" s="122"/>
      <c r="I104" s="64"/>
      <c r="J104" s="123"/>
      <c r="K104" s="121"/>
      <c r="L104" s="123"/>
      <c r="M104" s="252"/>
    </row>
    <row r="105" spans="2:244" ht="24.95" customHeight="1">
      <c r="B105" s="251"/>
      <c r="C105" s="125" t="s">
        <v>96</v>
      </c>
      <c r="D105" s="120" t="s">
        <v>87</v>
      </c>
      <c r="E105" s="64">
        <f>28/100</f>
        <v>0.28000000000000003</v>
      </c>
      <c r="F105" s="144">
        <f>F99*E105</f>
        <v>0.22400000000000003</v>
      </c>
      <c r="G105" s="122"/>
      <c r="H105" s="122"/>
      <c r="I105" s="64"/>
      <c r="J105" s="123"/>
      <c r="K105" s="121"/>
      <c r="L105" s="123"/>
      <c r="M105" s="252"/>
    </row>
    <row r="106" spans="2:244" s="213" customFormat="1" ht="36.75" customHeight="1">
      <c r="B106" s="272">
        <v>11</v>
      </c>
      <c r="C106" s="239" t="s">
        <v>124</v>
      </c>
      <c r="D106" s="146" t="s">
        <v>119</v>
      </c>
      <c r="E106" s="147"/>
      <c r="F106" s="7">
        <v>8</v>
      </c>
      <c r="G106" s="148"/>
      <c r="H106" s="148"/>
      <c r="I106" s="148"/>
      <c r="J106" s="147"/>
      <c r="K106" s="148"/>
      <c r="L106" s="147"/>
      <c r="M106" s="275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2"/>
      <c r="DE106" s="212"/>
      <c r="DF106" s="212"/>
      <c r="DG106" s="212"/>
      <c r="DH106" s="212"/>
      <c r="DI106" s="212"/>
      <c r="DJ106" s="212"/>
      <c r="DK106" s="212"/>
      <c r="DL106" s="212"/>
      <c r="DM106" s="212"/>
      <c r="DN106" s="212"/>
      <c r="DO106" s="212"/>
      <c r="DP106" s="212"/>
      <c r="DQ106" s="212"/>
      <c r="DR106" s="212"/>
      <c r="DS106" s="212"/>
      <c r="DT106" s="212"/>
      <c r="DU106" s="212"/>
      <c r="DV106" s="212"/>
      <c r="DW106" s="212"/>
      <c r="DX106" s="212"/>
      <c r="DY106" s="212"/>
      <c r="DZ106" s="212"/>
      <c r="EA106" s="212"/>
      <c r="EB106" s="212"/>
      <c r="EC106" s="212"/>
      <c r="ED106" s="212"/>
      <c r="EE106" s="212"/>
      <c r="EF106" s="212"/>
      <c r="EG106" s="212"/>
      <c r="EH106" s="212"/>
      <c r="EI106" s="212"/>
      <c r="EJ106" s="212"/>
      <c r="EK106" s="212"/>
      <c r="EL106" s="212"/>
      <c r="EM106" s="212"/>
      <c r="EN106" s="212"/>
      <c r="EO106" s="212"/>
      <c r="EP106" s="212"/>
      <c r="EQ106" s="212"/>
      <c r="ER106" s="212"/>
      <c r="ES106" s="212"/>
      <c r="ET106" s="212"/>
      <c r="EU106" s="212"/>
      <c r="EV106" s="212"/>
      <c r="EW106" s="212"/>
      <c r="EX106" s="212"/>
      <c r="EY106" s="212"/>
      <c r="EZ106" s="212"/>
      <c r="FA106" s="212"/>
      <c r="FB106" s="212"/>
      <c r="FC106" s="212"/>
      <c r="FD106" s="212"/>
      <c r="FE106" s="212"/>
      <c r="FF106" s="212"/>
      <c r="FG106" s="212"/>
      <c r="FH106" s="212"/>
      <c r="FI106" s="212"/>
      <c r="FJ106" s="212"/>
      <c r="FK106" s="212"/>
      <c r="FL106" s="212"/>
      <c r="FM106" s="212"/>
      <c r="FN106" s="212"/>
      <c r="FO106" s="212"/>
      <c r="FP106" s="212"/>
      <c r="FQ106" s="212"/>
      <c r="FR106" s="212"/>
      <c r="FS106" s="212"/>
      <c r="FT106" s="212"/>
      <c r="FU106" s="212"/>
      <c r="FV106" s="212"/>
      <c r="FW106" s="212"/>
      <c r="FX106" s="212"/>
      <c r="FY106" s="212"/>
      <c r="FZ106" s="212"/>
      <c r="GA106" s="212"/>
      <c r="GB106" s="212"/>
      <c r="GC106" s="212"/>
      <c r="GD106" s="212"/>
      <c r="GE106" s="212"/>
      <c r="GF106" s="212"/>
      <c r="GG106" s="212"/>
      <c r="GH106" s="212"/>
      <c r="GI106" s="212"/>
      <c r="GJ106" s="212"/>
      <c r="GK106" s="212"/>
      <c r="GL106" s="212"/>
      <c r="GM106" s="212"/>
      <c r="GN106" s="212"/>
      <c r="GO106" s="212"/>
      <c r="GP106" s="212"/>
      <c r="GQ106" s="212"/>
      <c r="GR106" s="212"/>
      <c r="GS106" s="212"/>
      <c r="GT106" s="212"/>
      <c r="GU106" s="212"/>
      <c r="GV106" s="212"/>
      <c r="GW106" s="212"/>
      <c r="GX106" s="212"/>
      <c r="GY106" s="212"/>
      <c r="GZ106" s="212"/>
      <c r="HA106" s="212"/>
      <c r="HB106" s="212"/>
      <c r="HC106" s="212"/>
      <c r="HD106" s="212"/>
      <c r="HE106" s="212"/>
      <c r="HF106" s="212"/>
      <c r="HG106" s="212"/>
      <c r="HH106" s="212"/>
      <c r="HI106" s="212"/>
      <c r="HJ106" s="212"/>
      <c r="HK106" s="212"/>
      <c r="HL106" s="212"/>
      <c r="HM106" s="212"/>
      <c r="HN106" s="212"/>
      <c r="HO106" s="212"/>
      <c r="HP106" s="212"/>
      <c r="HQ106" s="212"/>
      <c r="HR106" s="212"/>
      <c r="HS106" s="212"/>
      <c r="HT106" s="212"/>
      <c r="HU106" s="212"/>
      <c r="HV106" s="212"/>
      <c r="HW106" s="212"/>
      <c r="HX106" s="212"/>
      <c r="HY106" s="212"/>
      <c r="HZ106" s="212"/>
      <c r="IA106" s="212"/>
      <c r="IB106" s="212"/>
      <c r="IC106" s="212"/>
      <c r="ID106" s="212"/>
      <c r="IE106" s="212"/>
      <c r="IF106" s="212"/>
      <c r="IG106" s="212"/>
      <c r="IH106" s="212"/>
      <c r="II106" s="212"/>
      <c r="IJ106" s="212"/>
    </row>
    <row r="107" spans="2:244" s="213" customFormat="1" ht="24.95" customHeight="1">
      <c r="B107" s="273"/>
      <c r="C107" s="55" t="s">
        <v>84</v>
      </c>
      <c r="D107" s="56" t="s">
        <v>85</v>
      </c>
      <c r="E107" s="149">
        <v>4.12</v>
      </c>
      <c r="F107" s="150">
        <f>F106*E107</f>
        <v>32.96</v>
      </c>
      <c r="G107" s="151"/>
      <c r="H107" s="151"/>
      <c r="I107" s="149"/>
      <c r="J107" s="149"/>
      <c r="K107" s="149"/>
      <c r="L107" s="149"/>
      <c r="M107" s="276"/>
    </row>
    <row r="108" spans="2:244" s="213" customFormat="1" ht="24.95" customHeight="1">
      <c r="B108" s="274"/>
      <c r="C108" s="174" t="s">
        <v>125</v>
      </c>
      <c r="D108" s="145" t="s">
        <v>119</v>
      </c>
      <c r="E108" s="152">
        <v>1</v>
      </c>
      <c r="F108" s="150">
        <f>F106*E108</f>
        <v>8</v>
      </c>
      <c r="G108" s="151"/>
      <c r="H108" s="151"/>
      <c r="I108" s="151"/>
      <c r="J108" s="149"/>
      <c r="K108" s="153"/>
      <c r="L108" s="149"/>
      <c r="M108" s="276"/>
    </row>
    <row r="109" spans="2:244" s="213" customFormat="1" ht="24.95" customHeight="1">
      <c r="B109" s="249">
        <v>12</v>
      </c>
      <c r="C109" s="240" t="s">
        <v>121</v>
      </c>
      <c r="D109" s="128" t="s">
        <v>81</v>
      </c>
      <c r="E109" s="129"/>
      <c r="F109" s="129">
        <v>1.5</v>
      </c>
      <c r="G109" s="119"/>
      <c r="H109" s="119"/>
      <c r="I109" s="119"/>
      <c r="J109" s="129"/>
      <c r="K109" s="119"/>
      <c r="L109" s="129"/>
      <c r="M109" s="250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/>
      <c r="DE109" s="212"/>
      <c r="DF109" s="212"/>
      <c r="DG109" s="212"/>
      <c r="DH109" s="212"/>
      <c r="DI109" s="212"/>
      <c r="DJ109" s="212"/>
      <c r="DK109" s="212"/>
      <c r="DL109" s="212"/>
      <c r="DM109" s="212"/>
      <c r="DN109" s="212"/>
      <c r="DO109" s="212"/>
      <c r="DP109" s="212"/>
      <c r="DQ109" s="212"/>
      <c r="DR109" s="212"/>
      <c r="DS109" s="212"/>
      <c r="DT109" s="212"/>
      <c r="DU109" s="212"/>
      <c r="DV109" s="212"/>
      <c r="DW109" s="212"/>
      <c r="DX109" s="212"/>
      <c r="DY109" s="212"/>
      <c r="DZ109" s="212"/>
      <c r="EA109" s="212"/>
      <c r="EB109" s="212"/>
      <c r="EC109" s="212"/>
      <c r="ED109" s="212"/>
      <c r="EE109" s="212"/>
      <c r="EF109" s="212"/>
      <c r="EG109" s="212"/>
      <c r="EH109" s="212"/>
      <c r="EI109" s="212"/>
      <c r="EJ109" s="212"/>
      <c r="EK109" s="212"/>
      <c r="EL109" s="212"/>
      <c r="EM109" s="212"/>
      <c r="EN109" s="212"/>
      <c r="EO109" s="212"/>
      <c r="EP109" s="212"/>
      <c r="EQ109" s="212"/>
      <c r="ER109" s="212"/>
      <c r="ES109" s="212"/>
      <c r="ET109" s="212"/>
      <c r="EU109" s="212"/>
      <c r="EV109" s="212"/>
      <c r="EW109" s="212"/>
      <c r="EX109" s="212"/>
      <c r="EY109" s="212"/>
      <c r="EZ109" s="212"/>
      <c r="FA109" s="212"/>
      <c r="FB109" s="212"/>
      <c r="FC109" s="212"/>
      <c r="FD109" s="212"/>
      <c r="FE109" s="212"/>
      <c r="FF109" s="212"/>
      <c r="FG109" s="212"/>
      <c r="FH109" s="212"/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12"/>
      <c r="FS109" s="212"/>
      <c r="FT109" s="212"/>
      <c r="FU109" s="212"/>
      <c r="FV109" s="212"/>
      <c r="FW109" s="212"/>
      <c r="FX109" s="212"/>
      <c r="FY109" s="212"/>
      <c r="FZ109" s="212"/>
      <c r="GA109" s="212"/>
      <c r="GB109" s="212"/>
      <c r="GC109" s="212"/>
      <c r="GD109" s="212"/>
      <c r="GE109" s="212"/>
      <c r="GF109" s="212"/>
      <c r="GG109" s="212"/>
      <c r="GH109" s="212"/>
      <c r="GI109" s="212"/>
      <c r="GJ109" s="212"/>
      <c r="GK109" s="212"/>
      <c r="GL109" s="212"/>
      <c r="GM109" s="212"/>
      <c r="GN109" s="212"/>
      <c r="GO109" s="212"/>
      <c r="GP109" s="212"/>
      <c r="GQ109" s="212"/>
      <c r="GR109" s="212"/>
      <c r="GS109" s="212"/>
      <c r="GT109" s="212"/>
      <c r="GU109" s="212"/>
      <c r="GV109" s="212"/>
      <c r="GW109" s="212"/>
      <c r="GX109" s="212"/>
      <c r="GY109" s="212"/>
      <c r="GZ109" s="212"/>
      <c r="HA109" s="212"/>
      <c r="HB109" s="212"/>
      <c r="HC109" s="212"/>
      <c r="HD109" s="212"/>
      <c r="HE109" s="212"/>
      <c r="HF109" s="212"/>
      <c r="HG109" s="212"/>
      <c r="HH109" s="212"/>
      <c r="HI109" s="212"/>
      <c r="HJ109" s="212"/>
      <c r="HK109" s="212"/>
      <c r="HL109" s="212"/>
      <c r="HM109" s="212"/>
      <c r="HN109" s="212"/>
      <c r="HO109" s="212"/>
      <c r="HP109" s="212"/>
      <c r="HQ109" s="212"/>
      <c r="HR109" s="212"/>
      <c r="HS109" s="212"/>
      <c r="HT109" s="212"/>
      <c r="HU109" s="212"/>
      <c r="HV109" s="212"/>
      <c r="HW109" s="212"/>
      <c r="HX109" s="212"/>
      <c r="HY109" s="212"/>
      <c r="HZ109" s="212"/>
      <c r="IA109" s="212"/>
      <c r="IB109" s="212"/>
      <c r="IC109" s="212"/>
      <c r="ID109" s="212"/>
      <c r="IE109" s="212"/>
      <c r="IF109" s="212"/>
      <c r="IG109" s="212"/>
      <c r="IH109" s="212"/>
      <c r="II109" s="212"/>
      <c r="IJ109" s="212"/>
    </row>
    <row r="110" spans="2:244" s="213" customFormat="1" ht="24.95" customHeight="1">
      <c r="B110" s="270"/>
      <c r="C110" s="29" t="s">
        <v>84</v>
      </c>
      <c r="D110" s="46" t="s">
        <v>85</v>
      </c>
      <c r="E110" s="123">
        <f>450/100</f>
        <v>4.5</v>
      </c>
      <c r="F110" s="144">
        <f>F109*E110</f>
        <v>6.75</v>
      </c>
      <c r="G110" s="122"/>
      <c r="H110" s="122"/>
      <c r="I110" s="123"/>
      <c r="J110" s="123"/>
      <c r="K110" s="123"/>
      <c r="L110" s="123"/>
      <c r="M110" s="252"/>
    </row>
    <row r="111" spans="2:244" s="213" customFormat="1" ht="24.95" customHeight="1">
      <c r="B111" s="251"/>
      <c r="C111" s="125" t="s">
        <v>86</v>
      </c>
      <c r="D111" s="124" t="s">
        <v>87</v>
      </c>
      <c r="E111" s="123">
        <f>37/100</f>
        <v>0.37</v>
      </c>
      <c r="F111" s="144">
        <f>F109*E111</f>
        <v>0.55499999999999994</v>
      </c>
      <c r="G111" s="122"/>
      <c r="H111" s="122"/>
      <c r="I111" s="122"/>
      <c r="J111" s="123"/>
      <c r="K111" s="121"/>
      <c r="L111" s="123"/>
      <c r="M111" s="252"/>
    </row>
    <row r="112" spans="2:244" s="213" customFormat="1" ht="24.95" customHeight="1">
      <c r="B112" s="251"/>
      <c r="C112" s="125" t="s">
        <v>122</v>
      </c>
      <c r="D112" s="124" t="s">
        <v>81</v>
      </c>
      <c r="E112" s="123">
        <f>102/100</f>
        <v>1.02</v>
      </c>
      <c r="F112" s="144">
        <f>F109*E112</f>
        <v>1.53</v>
      </c>
      <c r="G112" s="122"/>
      <c r="H112" s="122"/>
      <c r="I112" s="122"/>
      <c r="J112" s="123"/>
      <c r="K112" s="121"/>
      <c r="L112" s="123"/>
      <c r="M112" s="252"/>
    </row>
    <row r="113" spans="2:13" s="213" customFormat="1" ht="24.95" customHeight="1">
      <c r="B113" s="251"/>
      <c r="C113" s="125" t="s">
        <v>117</v>
      </c>
      <c r="D113" s="120" t="s">
        <v>123</v>
      </c>
      <c r="E113" s="64">
        <f>161/100</f>
        <v>1.61</v>
      </c>
      <c r="F113" s="144">
        <f>F109*E113</f>
        <v>2.415</v>
      </c>
      <c r="G113" s="122"/>
      <c r="H113" s="122"/>
      <c r="I113" s="64"/>
      <c r="J113" s="123"/>
      <c r="K113" s="121"/>
      <c r="L113" s="123"/>
      <c r="M113" s="252"/>
    </row>
    <row r="114" spans="2:13" s="213" customFormat="1" ht="24.95" customHeight="1">
      <c r="B114" s="251"/>
      <c r="C114" s="125" t="s">
        <v>108</v>
      </c>
      <c r="D114" s="120" t="s">
        <v>123</v>
      </c>
      <c r="E114" s="139">
        <f>1.72/100</f>
        <v>1.72E-2</v>
      </c>
      <c r="F114" s="144">
        <f>F110*E114</f>
        <v>0.11609999999999999</v>
      </c>
      <c r="G114" s="122"/>
      <c r="H114" s="122"/>
      <c r="I114" s="64"/>
      <c r="J114" s="123"/>
      <c r="K114" s="121"/>
      <c r="L114" s="123"/>
      <c r="M114" s="252"/>
    </row>
    <row r="115" spans="2:13" ht="24.95" customHeight="1">
      <c r="B115" s="251"/>
      <c r="C115" s="125" t="s">
        <v>96</v>
      </c>
      <c r="D115" s="120" t="s">
        <v>87</v>
      </c>
      <c r="E115" s="64">
        <f>28/100</f>
        <v>0.28000000000000003</v>
      </c>
      <c r="F115" s="144">
        <f>F109*E115</f>
        <v>0.42000000000000004</v>
      </c>
      <c r="G115" s="122"/>
      <c r="H115" s="122"/>
      <c r="I115" s="64"/>
      <c r="J115" s="123"/>
      <c r="K115" s="121"/>
      <c r="L115" s="123"/>
      <c r="M115" s="252"/>
    </row>
    <row r="116" spans="2:13" s="2" customFormat="1" ht="24.95" customHeight="1">
      <c r="B116" s="272">
        <v>13</v>
      </c>
      <c r="C116" s="66" t="s">
        <v>126</v>
      </c>
      <c r="D116" s="146" t="s">
        <v>81</v>
      </c>
      <c r="E116" s="142"/>
      <c r="F116" s="130">
        <v>0.75</v>
      </c>
      <c r="G116" s="143"/>
      <c r="H116" s="143"/>
      <c r="I116" s="143"/>
      <c r="J116" s="142"/>
      <c r="K116" s="143"/>
      <c r="L116" s="142"/>
      <c r="M116" s="266"/>
    </row>
    <row r="117" spans="2:13" s="2" customFormat="1" ht="24.95" customHeight="1">
      <c r="B117" s="273"/>
      <c r="C117" s="55" t="s">
        <v>84</v>
      </c>
      <c r="D117" s="56" t="s">
        <v>85</v>
      </c>
      <c r="E117" s="123">
        <v>0.89</v>
      </c>
      <c r="F117" s="144">
        <f>F116*E117</f>
        <v>0.66749999999999998</v>
      </c>
      <c r="G117" s="122"/>
      <c r="H117" s="122"/>
      <c r="I117" s="122"/>
      <c r="J117" s="123"/>
      <c r="K117" s="121"/>
      <c r="L117" s="123"/>
      <c r="M117" s="252"/>
    </row>
    <row r="118" spans="2:13" s="2" customFormat="1" ht="24.95" customHeight="1">
      <c r="B118" s="274"/>
      <c r="C118" s="174" t="s">
        <v>86</v>
      </c>
      <c r="D118" s="145" t="s">
        <v>87</v>
      </c>
      <c r="E118" s="123">
        <v>0.37</v>
      </c>
      <c r="F118" s="144">
        <f>F116*E118</f>
        <v>0.27749999999999997</v>
      </c>
      <c r="G118" s="122"/>
      <c r="H118" s="122"/>
      <c r="I118" s="122"/>
      <c r="J118" s="123"/>
      <c r="K118" s="121"/>
      <c r="L118" s="123"/>
      <c r="M118" s="252"/>
    </row>
    <row r="119" spans="2:13" s="2" customFormat="1" ht="24.95" customHeight="1">
      <c r="B119" s="274"/>
      <c r="C119" s="55" t="s">
        <v>126</v>
      </c>
      <c r="D119" s="124" t="s">
        <v>81</v>
      </c>
      <c r="E119" s="123">
        <v>1.1499999999999999</v>
      </c>
      <c r="F119" s="144">
        <f>F116*E119</f>
        <v>0.86249999999999993</v>
      </c>
      <c r="G119" s="122"/>
      <c r="H119" s="122"/>
      <c r="I119" s="122"/>
      <c r="J119" s="123"/>
      <c r="K119" s="121"/>
      <c r="L119" s="123"/>
      <c r="M119" s="252"/>
    </row>
    <row r="120" spans="2:13" s="2" customFormat="1" ht="24.95" customHeight="1">
      <c r="B120" s="251"/>
      <c r="C120" s="125" t="s">
        <v>92</v>
      </c>
      <c r="D120" s="124" t="s">
        <v>87</v>
      </c>
      <c r="E120" s="123">
        <v>0.02</v>
      </c>
      <c r="F120" s="144">
        <f>F116*E120</f>
        <v>1.4999999999999999E-2</v>
      </c>
      <c r="G120" s="122"/>
      <c r="H120" s="122"/>
      <c r="I120" s="122"/>
      <c r="J120" s="123"/>
      <c r="K120" s="121"/>
      <c r="L120" s="123"/>
      <c r="M120" s="252"/>
    </row>
    <row r="121" spans="2:13" s="2" customFormat="1" ht="44.25" customHeight="1">
      <c r="B121" s="272">
        <v>14</v>
      </c>
      <c r="C121" s="66" t="s">
        <v>307</v>
      </c>
      <c r="D121" s="146" t="s">
        <v>69</v>
      </c>
      <c r="E121" s="142"/>
      <c r="F121" s="130">
        <v>122</v>
      </c>
      <c r="G121" s="143"/>
      <c r="H121" s="143"/>
      <c r="I121" s="143"/>
      <c r="J121" s="142"/>
      <c r="K121" s="143"/>
      <c r="L121" s="142"/>
      <c r="M121" s="266"/>
    </row>
    <row r="122" spans="2:13" s="2" customFormat="1" ht="24.95" customHeight="1">
      <c r="B122" s="273"/>
      <c r="C122" s="55" t="s">
        <v>84</v>
      </c>
      <c r="D122" s="56" t="s">
        <v>209</v>
      </c>
      <c r="E122" s="123">
        <v>1</v>
      </c>
      <c r="F122" s="144">
        <f>F121*E122</f>
        <v>122</v>
      </c>
      <c r="G122" s="122"/>
      <c r="H122" s="122"/>
      <c r="I122" s="122"/>
      <c r="J122" s="123"/>
      <c r="K122" s="121"/>
      <c r="L122" s="123"/>
      <c r="M122" s="252"/>
    </row>
    <row r="123" spans="2:13" s="2" customFormat="1" ht="24.95" customHeight="1">
      <c r="B123" s="274"/>
      <c r="C123" s="174" t="s">
        <v>302</v>
      </c>
      <c r="D123" s="145" t="s">
        <v>87</v>
      </c>
      <c r="E123" s="123">
        <v>1</v>
      </c>
      <c r="F123" s="144">
        <f>F121*E123</f>
        <v>122</v>
      </c>
      <c r="G123" s="122"/>
      <c r="H123" s="122"/>
      <c r="I123" s="122"/>
      <c r="J123" s="123"/>
      <c r="K123" s="121"/>
      <c r="L123" s="123"/>
      <c r="M123" s="252"/>
    </row>
    <row r="124" spans="2:13" s="35" customFormat="1" ht="46.5" customHeight="1">
      <c r="B124" s="277">
        <v>15</v>
      </c>
      <c r="C124" s="23" t="s">
        <v>27</v>
      </c>
      <c r="D124" s="52" t="s">
        <v>119</v>
      </c>
      <c r="E124" s="53"/>
      <c r="F124" s="7">
        <v>2</v>
      </c>
      <c r="G124" s="54"/>
      <c r="H124" s="54"/>
      <c r="I124" s="54"/>
      <c r="J124" s="53"/>
      <c r="K124" s="54"/>
      <c r="L124" s="53"/>
      <c r="M124" s="278"/>
    </row>
    <row r="125" spans="2:13" s="35" customFormat="1" ht="24.95" customHeight="1">
      <c r="B125" s="279"/>
      <c r="C125" s="55" t="s">
        <v>84</v>
      </c>
      <c r="D125" s="56" t="s">
        <v>85</v>
      </c>
      <c r="E125" s="57">
        <v>19.2</v>
      </c>
      <c r="F125" s="58">
        <f>F124*E125</f>
        <v>38.4</v>
      </c>
      <c r="G125" s="59"/>
      <c r="H125" s="59"/>
      <c r="I125" s="57"/>
      <c r="J125" s="57"/>
      <c r="K125" s="57"/>
      <c r="L125" s="57"/>
      <c r="M125" s="280"/>
    </row>
    <row r="126" spans="2:13" s="28" customFormat="1" ht="24.95" customHeight="1">
      <c r="B126" s="281"/>
      <c r="C126" s="241" t="s">
        <v>86</v>
      </c>
      <c r="D126" s="60" t="s">
        <v>87</v>
      </c>
      <c r="E126" s="57">
        <v>3.64</v>
      </c>
      <c r="F126" s="58">
        <f>F124*E126</f>
        <v>7.28</v>
      </c>
      <c r="G126" s="59"/>
      <c r="H126" s="59"/>
      <c r="I126" s="59"/>
      <c r="J126" s="57"/>
      <c r="K126" s="61"/>
      <c r="L126" s="57"/>
      <c r="M126" s="280"/>
    </row>
    <row r="127" spans="2:13" s="35" customFormat="1" ht="24.95" customHeight="1">
      <c r="B127" s="281"/>
      <c r="C127" s="241" t="s">
        <v>250</v>
      </c>
      <c r="D127" s="60" t="s">
        <v>81</v>
      </c>
      <c r="E127" s="62">
        <v>1</v>
      </c>
      <c r="F127" s="58">
        <f>F124*E127</f>
        <v>2</v>
      </c>
      <c r="G127" s="59"/>
      <c r="H127" s="59"/>
      <c r="I127" s="59"/>
      <c r="J127" s="57"/>
      <c r="K127" s="61"/>
      <c r="L127" s="57"/>
      <c r="M127" s="280"/>
    </row>
    <row r="128" spans="2:13" ht="50.25" customHeight="1">
      <c r="B128" s="352" t="s">
        <v>315</v>
      </c>
      <c r="C128" s="353"/>
      <c r="D128" s="353"/>
      <c r="E128" s="353"/>
      <c r="F128" s="353"/>
      <c r="G128" s="122"/>
      <c r="H128" s="122"/>
      <c r="I128" s="122"/>
      <c r="J128" s="123"/>
      <c r="K128" s="121"/>
      <c r="L128" s="123"/>
      <c r="M128" s="252"/>
    </row>
    <row r="129" spans="2:13" s="2" customFormat="1" ht="60">
      <c r="B129" s="272">
        <v>1</v>
      </c>
      <c r="C129" s="66" t="s">
        <v>21</v>
      </c>
      <c r="D129" s="146" t="s">
        <v>81</v>
      </c>
      <c r="E129" s="142"/>
      <c r="F129" s="130">
        <v>4.8</v>
      </c>
      <c r="G129" s="143"/>
      <c r="H129" s="143"/>
      <c r="I129" s="143"/>
      <c r="J129" s="142"/>
      <c r="K129" s="143"/>
      <c r="L129" s="142"/>
      <c r="M129" s="266"/>
    </row>
    <row r="130" spans="2:13" s="2" customFormat="1" ht="24.95" customHeight="1">
      <c r="B130" s="273"/>
      <c r="C130" s="55" t="s">
        <v>84</v>
      </c>
      <c r="D130" s="56" t="s">
        <v>85</v>
      </c>
      <c r="E130" s="123">
        <v>0.89</v>
      </c>
      <c r="F130" s="144">
        <f>F129*E130</f>
        <v>4.2720000000000002</v>
      </c>
      <c r="G130" s="122"/>
      <c r="H130" s="122"/>
      <c r="I130" s="122"/>
      <c r="J130" s="123"/>
      <c r="K130" s="121"/>
      <c r="L130" s="123"/>
      <c r="M130" s="252"/>
    </row>
    <row r="131" spans="2:13" s="2" customFormat="1" ht="24.95" customHeight="1">
      <c r="B131" s="274"/>
      <c r="C131" s="174" t="s">
        <v>86</v>
      </c>
      <c r="D131" s="145" t="s">
        <v>87</v>
      </c>
      <c r="E131" s="123">
        <v>0.37</v>
      </c>
      <c r="F131" s="144">
        <f>F129*E131</f>
        <v>1.776</v>
      </c>
      <c r="G131" s="122"/>
      <c r="H131" s="122"/>
      <c r="I131" s="122"/>
      <c r="J131" s="123"/>
      <c r="K131" s="121"/>
      <c r="L131" s="123"/>
      <c r="M131" s="252"/>
    </row>
    <row r="132" spans="2:13" s="2" customFormat="1" ht="24.95" customHeight="1">
      <c r="B132" s="274"/>
      <c r="C132" s="55" t="s">
        <v>126</v>
      </c>
      <c r="D132" s="124" t="s">
        <v>81</v>
      </c>
      <c r="E132" s="123">
        <v>1.22</v>
      </c>
      <c r="F132" s="144">
        <f>F129*E132</f>
        <v>5.8559999999999999</v>
      </c>
      <c r="G132" s="122"/>
      <c r="H132" s="122"/>
      <c r="I132" s="122"/>
      <c r="J132" s="123"/>
      <c r="K132" s="121"/>
      <c r="L132" s="123"/>
      <c r="M132" s="252"/>
    </row>
    <row r="133" spans="2:13" s="2" customFormat="1" ht="24.95" customHeight="1">
      <c r="B133" s="251"/>
      <c r="C133" s="125" t="s">
        <v>92</v>
      </c>
      <c r="D133" s="124" t="s">
        <v>87</v>
      </c>
      <c r="E133" s="123">
        <v>0.02</v>
      </c>
      <c r="F133" s="144">
        <f>F129*E133</f>
        <v>9.6000000000000002E-2</v>
      </c>
      <c r="G133" s="122"/>
      <c r="H133" s="122"/>
      <c r="I133" s="122"/>
      <c r="J133" s="123"/>
      <c r="K133" s="121"/>
      <c r="L133" s="123"/>
      <c r="M133" s="252"/>
    </row>
    <row r="134" spans="2:13" s="2" customFormat="1" ht="75.75" customHeight="1">
      <c r="B134" s="82">
        <v>2</v>
      </c>
      <c r="C134" s="167" t="s">
        <v>177</v>
      </c>
      <c r="D134" s="83" t="s">
        <v>81</v>
      </c>
      <c r="E134" s="84"/>
      <c r="F134" s="84">
        <v>16</v>
      </c>
      <c r="G134" s="85"/>
      <c r="H134" s="85"/>
      <c r="I134" s="85"/>
      <c r="J134" s="84"/>
      <c r="K134" s="85"/>
      <c r="L134" s="84"/>
      <c r="M134" s="282"/>
    </row>
    <row r="135" spans="2:13" s="2" customFormat="1" ht="24.95" customHeight="1">
      <c r="B135" s="82"/>
      <c r="C135" s="21" t="s">
        <v>84</v>
      </c>
      <c r="D135" s="22" t="s">
        <v>85</v>
      </c>
      <c r="E135" s="64">
        <f>567/100</f>
        <v>5.67</v>
      </c>
      <c r="F135" s="90">
        <f>F$134*E135</f>
        <v>90.72</v>
      </c>
      <c r="G135" s="122"/>
      <c r="H135" s="122"/>
      <c r="I135" s="123"/>
      <c r="J135" s="123"/>
      <c r="K135" s="123"/>
      <c r="L135" s="123"/>
      <c r="M135" s="283"/>
    </row>
    <row r="136" spans="2:13" s="2" customFormat="1" ht="24.95" customHeight="1">
      <c r="B136" s="43"/>
      <c r="C136" s="125" t="s">
        <v>86</v>
      </c>
      <c r="D136" s="124" t="s">
        <v>87</v>
      </c>
      <c r="E136" s="64">
        <f>100/100</f>
        <v>1</v>
      </c>
      <c r="F136" s="90">
        <f t="shared" ref="F136:F142" si="1">F$134*E136</f>
        <v>16</v>
      </c>
      <c r="G136" s="122"/>
      <c r="H136" s="122"/>
      <c r="I136" s="122"/>
      <c r="J136" s="123"/>
      <c r="K136" s="121"/>
      <c r="L136" s="123"/>
      <c r="M136" s="283"/>
    </row>
    <row r="137" spans="2:13" s="2" customFormat="1" ht="24.95" customHeight="1">
      <c r="B137" s="82"/>
      <c r="C137" s="125" t="s">
        <v>178</v>
      </c>
      <c r="D137" s="124" t="s">
        <v>81</v>
      </c>
      <c r="E137" s="139">
        <f>101.5/100</f>
        <v>1.0149999999999999</v>
      </c>
      <c r="F137" s="90">
        <f t="shared" si="1"/>
        <v>16.239999999999998</v>
      </c>
      <c r="G137" s="122"/>
      <c r="H137" s="122"/>
      <c r="I137" s="122"/>
      <c r="J137" s="123"/>
      <c r="K137" s="121"/>
      <c r="L137" s="123"/>
      <c r="M137" s="283"/>
    </row>
    <row r="138" spans="2:13" s="2" customFormat="1" ht="24.95" customHeight="1">
      <c r="B138" s="284"/>
      <c r="C138" s="125" t="s">
        <v>179</v>
      </c>
      <c r="D138" s="124" t="s">
        <v>88</v>
      </c>
      <c r="E138" s="64">
        <f>118/100</f>
        <v>1.18</v>
      </c>
      <c r="F138" s="90">
        <f t="shared" si="1"/>
        <v>18.88</v>
      </c>
      <c r="G138" s="122"/>
      <c r="H138" s="122"/>
      <c r="I138" s="122"/>
      <c r="J138" s="123"/>
      <c r="K138" s="121"/>
      <c r="L138" s="123"/>
      <c r="M138" s="283"/>
    </row>
    <row r="139" spans="2:13" s="2" customFormat="1" ht="24.95" customHeight="1">
      <c r="B139" s="284"/>
      <c r="C139" s="125" t="s">
        <v>157</v>
      </c>
      <c r="D139" s="124" t="s">
        <v>81</v>
      </c>
      <c r="E139" s="168">
        <f>0.21/100+2.53/100</f>
        <v>2.7400000000000001E-2</v>
      </c>
      <c r="F139" s="90">
        <f t="shared" si="1"/>
        <v>0.43840000000000001</v>
      </c>
      <c r="G139" s="122"/>
      <c r="H139" s="122"/>
      <c r="I139" s="122"/>
      <c r="J139" s="123"/>
      <c r="K139" s="121"/>
      <c r="L139" s="123"/>
      <c r="M139" s="283"/>
    </row>
    <row r="140" spans="2:13" s="2" customFormat="1" ht="24.95" customHeight="1">
      <c r="B140" s="82"/>
      <c r="C140" s="125" t="s">
        <v>180</v>
      </c>
      <c r="D140" s="124" t="s">
        <v>91</v>
      </c>
      <c r="E140" s="64">
        <f>0.14/100*1000</f>
        <v>1.4000000000000001</v>
      </c>
      <c r="F140" s="90">
        <f t="shared" si="1"/>
        <v>22.400000000000002</v>
      </c>
      <c r="G140" s="122"/>
      <c r="H140" s="122"/>
      <c r="I140" s="122"/>
      <c r="J140" s="123"/>
      <c r="K140" s="121"/>
      <c r="L140" s="123"/>
      <c r="M140" s="283"/>
    </row>
    <row r="141" spans="2:13" s="2" customFormat="1" ht="24.95" customHeight="1">
      <c r="B141" s="43"/>
      <c r="C141" s="125" t="s">
        <v>90</v>
      </c>
      <c r="D141" s="124" t="s">
        <v>91</v>
      </c>
      <c r="E141" s="64">
        <f>0.08/100*1000</f>
        <v>0.8</v>
      </c>
      <c r="F141" s="90">
        <f t="shared" si="1"/>
        <v>12.8</v>
      </c>
      <c r="G141" s="122"/>
      <c r="H141" s="122"/>
      <c r="I141" s="122"/>
      <c r="J141" s="123"/>
      <c r="K141" s="121"/>
      <c r="L141" s="123"/>
      <c r="M141" s="283"/>
    </row>
    <row r="142" spans="2:13" s="2" customFormat="1" ht="24.95" customHeight="1">
      <c r="B142" s="284"/>
      <c r="C142" s="125" t="s">
        <v>92</v>
      </c>
      <c r="D142" s="124" t="s">
        <v>87</v>
      </c>
      <c r="E142" s="64">
        <f>34/100</f>
        <v>0.34</v>
      </c>
      <c r="F142" s="90">
        <f t="shared" si="1"/>
        <v>5.44</v>
      </c>
      <c r="G142" s="122"/>
      <c r="H142" s="122"/>
      <c r="I142" s="122"/>
      <c r="J142" s="123"/>
      <c r="K142" s="121"/>
      <c r="L142" s="123"/>
      <c r="M142" s="283"/>
    </row>
    <row r="143" spans="2:13" s="2" customFormat="1" ht="36" customHeight="1">
      <c r="B143" s="82">
        <v>3</v>
      </c>
      <c r="C143" s="169" t="s">
        <v>181</v>
      </c>
      <c r="D143" s="83" t="s">
        <v>89</v>
      </c>
      <c r="E143" s="84"/>
      <c r="F143" s="170">
        <v>0.04</v>
      </c>
      <c r="G143" s="85"/>
      <c r="H143" s="85"/>
      <c r="I143" s="85"/>
      <c r="J143" s="84"/>
      <c r="K143" s="85"/>
      <c r="L143" s="84"/>
      <c r="M143" s="282"/>
    </row>
    <row r="144" spans="2:13" s="2" customFormat="1" ht="24.95" customHeight="1">
      <c r="B144" s="82"/>
      <c r="C144" s="138" t="s">
        <v>84</v>
      </c>
      <c r="D144" s="120" t="s">
        <v>85</v>
      </c>
      <c r="E144" s="64">
        <v>47.8</v>
      </c>
      <c r="F144" s="90">
        <f>F$143*E144</f>
        <v>1.9119999999999999</v>
      </c>
      <c r="G144" s="122"/>
      <c r="H144" s="122"/>
      <c r="I144" s="123"/>
      <c r="J144" s="123"/>
      <c r="K144" s="123"/>
      <c r="L144" s="123"/>
      <c r="M144" s="283"/>
    </row>
    <row r="145" spans="2:13" s="2" customFormat="1" ht="24.95" customHeight="1">
      <c r="B145" s="43"/>
      <c r="C145" s="138" t="s">
        <v>159</v>
      </c>
      <c r="D145" s="120" t="s">
        <v>87</v>
      </c>
      <c r="E145" s="139">
        <v>0.39400000000000002</v>
      </c>
      <c r="F145" s="90">
        <f>F$143*E145</f>
        <v>1.576E-2</v>
      </c>
      <c r="G145" s="122"/>
      <c r="H145" s="122"/>
      <c r="I145" s="122"/>
      <c r="J145" s="123"/>
      <c r="K145" s="64"/>
      <c r="L145" s="123"/>
      <c r="M145" s="283"/>
    </row>
    <row r="146" spans="2:13" s="2" customFormat="1" ht="24.95" customHeight="1">
      <c r="B146" s="284"/>
      <c r="C146" s="138" t="s">
        <v>160</v>
      </c>
      <c r="D146" s="120" t="s">
        <v>89</v>
      </c>
      <c r="E146" s="64">
        <v>1.03</v>
      </c>
      <c r="F146" s="90">
        <f>F$143*E146</f>
        <v>4.1200000000000001E-2</v>
      </c>
      <c r="G146" s="122"/>
      <c r="H146" s="122"/>
      <c r="I146" s="64"/>
      <c r="J146" s="123"/>
      <c r="K146" s="121"/>
      <c r="L146" s="123"/>
      <c r="M146" s="283"/>
    </row>
    <row r="147" spans="2:13" s="2" customFormat="1" ht="24.95" customHeight="1">
      <c r="B147" s="284"/>
      <c r="C147" s="138" t="s">
        <v>161</v>
      </c>
      <c r="D147" s="120" t="s">
        <v>89</v>
      </c>
      <c r="E147" s="139">
        <v>6.0000000000000001E-3</v>
      </c>
      <c r="F147" s="90">
        <f>F$143*E147</f>
        <v>2.4000000000000001E-4</v>
      </c>
      <c r="G147" s="122"/>
      <c r="H147" s="122"/>
      <c r="I147" s="64"/>
      <c r="J147" s="123"/>
      <c r="K147" s="121"/>
      <c r="L147" s="123"/>
      <c r="M147" s="283"/>
    </row>
    <row r="148" spans="2:13" s="2" customFormat="1" ht="33.75" customHeight="1">
      <c r="B148" s="82">
        <v>4</v>
      </c>
      <c r="C148" s="169" t="s">
        <v>182</v>
      </c>
      <c r="D148" s="83" t="s">
        <v>89</v>
      </c>
      <c r="E148" s="84"/>
      <c r="F148" s="170">
        <v>4.2000000000000003E-2</v>
      </c>
      <c r="G148" s="85"/>
      <c r="H148" s="85"/>
      <c r="I148" s="85"/>
      <c r="J148" s="84"/>
      <c r="K148" s="85"/>
      <c r="L148" s="84"/>
      <c r="M148" s="282"/>
    </row>
    <row r="149" spans="2:13" s="2" customFormat="1" ht="24.95" customHeight="1">
      <c r="B149" s="82"/>
      <c r="C149" s="138" t="s">
        <v>84</v>
      </c>
      <c r="D149" s="120" t="s">
        <v>85</v>
      </c>
      <c r="E149" s="64">
        <v>47.8</v>
      </c>
      <c r="F149" s="90">
        <f>F$148*E149</f>
        <v>2.0076000000000001</v>
      </c>
      <c r="G149" s="122"/>
      <c r="H149" s="122"/>
      <c r="I149" s="123"/>
      <c r="J149" s="123"/>
      <c r="K149" s="123"/>
      <c r="L149" s="123"/>
      <c r="M149" s="283"/>
    </row>
    <row r="150" spans="2:13" s="2" customFormat="1" ht="24.95" customHeight="1">
      <c r="B150" s="43"/>
      <c r="C150" s="138" t="s">
        <v>159</v>
      </c>
      <c r="D150" s="120" t="s">
        <v>87</v>
      </c>
      <c r="E150" s="139">
        <v>0.39400000000000002</v>
      </c>
      <c r="F150" s="90">
        <f>F$148*E150</f>
        <v>1.6548E-2</v>
      </c>
      <c r="G150" s="122"/>
      <c r="H150" s="122"/>
      <c r="I150" s="122"/>
      <c r="J150" s="123"/>
      <c r="K150" s="64"/>
      <c r="L150" s="123"/>
      <c r="M150" s="283"/>
    </row>
    <row r="151" spans="2:13" s="2" customFormat="1" ht="24.95" customHeight="1">
      <c r="B151" s="284"/>
      <c r="C151" s="138" t="s">
        <v>160</v>
      </c>
      <c r="D151" s="120" t="s">
        <v>89</v>
      </c>
      <c r="E151" s="64">
        <v>1.03</v>
      </c>
      <c r="F151" s="90">
        <f>F$148*E151</f>
        <v>4.3260000000000007E-2</v>
      </c>
      <c r="G151" s="122"/>
      <c r="H151" s="122"/>
      <c r="I151" s="64"/>
      <c r="J151" s="123"/>
      <c r="K151" s="64"/>
      <c r="L151" s="123"/>
      <c r="M151" s="283"/>
    </row>
    <row r="152" spans="2:13" s="2" customFormat="1" ht="24.95" customHeight="1">
      <c r="B152" s="284"/>
      <c r="C152" s="138" t="s">
        <v>161</v>
      </c>
      <c r="D152" s="120" t="s">
        <v>89</v>
      </c>
      <c r="E152" s="139">
        <v>6.0000000000000001E-3</v>
      </c>
      <c r="F152" s="90">
        <f>F$148*E152</f>
        <v>2.52E-4</v>
      </c>
      <c r="G152" s="122"/>
      <c r="H152" s="122"/>
      <c r="I152" s="64"/>
      <c r="J152" s="123"/>
      <c r="K152" s="121"/>
      <c r="L152" s="123"/>
      <c r="M152" s="283"/>
    </row>
    <row r="153" spans="2:13" s="2" customFormat="1" ht="24.95" customHeight="1">
      <c r="B153" s="82">
        <v>5</v>
      </c>
      <c r="C153" s="169" t="s">
        <v>183</v>
      </c>
      <c r="D153" s="83" t="s">
        <v>89</v>
      </c>
      <c r="E153" s="84"/>
      <c r="F153" s="84">
        <v>0.25</v>
      </c>
      <c r="G153" s="85"/>
      <c r="H153" s="85"/>
      <c r="I153" s="85"/>
      <c r="J153" s="84"/>
      <c r="K153" s="85"/>
      <c r="L153" s="84"/>
      <c r="M153" s="282"/>
    </row>
    <row r="154" spans="2:13" s="2" customFormat="1" ht="24.95" customHeight="1">
      <c r="B154" s="82"/>
      <c r="C154" s="138" t="s">
        <v>84</v>
      </c>
      <c r="D154" s="120" t="s">
        <v>85</v>
      </c>
      <c r="E154" s="64">
        <v>47.8</v>
      </c>
      <c r="F154" s="90">
        <f>F$153*E154</f>
        <v>11.95</v>
      </c>
      <c r="G154" s="122"/>
      <c r="H154" s="122"/>
      <c r="I154" s="123"/>
      <c r="J154" s="123"/>
      <c r="K154" s="123"/>
      <c r="L154" s="123"/>
      <c r="M154" s="283"/>
    </row>
    <row r="155" spans="2:13" s="2" customFormat="1" ht="24.95" customHeight="1">
      <c r="B155" s="43"/>
      <c r="C155" s="138" t="s">
        <v>159</v>
      </c>
      <c r="D155" s="120" t="s">
        <v>87</v>
      </c>
      <c r="E155" s="139">
        <v>0.39400000000000002</v>
      </c>
      <c r="F155" s="90">
        <f>F$153*E155</f>
        <v>9.8500000000000004E-2</v>
      </c>
      <c r="G155" s="122"/>
      <c r="H155" s="122"/>
      <c r="I155" s="122"/>
      <c r="J155" s="123"/>
      <c r="K155" s="64"/>
      <c r="L155" s="123"/>
      <c r="M155" s="283"/>
    </row>
    <row r="156" spans="2:13" s="2" customFormat="1" ht="24.95" customHeight="1">
      <c r="B156" s="284"/>
      <c r="C156" s="138" t="s">
        <v>184</v>
      </c>
      <c r="D156" s="120" t="s">
        <v>89</v>
      </c>
      <c r="E156" s="64">
        <v>1.03</v>
      </c>
      <c r="F156" s="90">
        <f>F$153*E156</f>
        <v>0.25750000000000001</v>
      </c>
      <c r="G156" s="122"/>
      <c r="H156" s="122"/>
      <c r="I156" s="64"/>
      <c r="J156" s="123"/>
      <c r="K156" s="64"/>
      <c r="L156" s="123"/>
      <c r="M156" s="283"/>
    </row>
    <row r="157" spans="2:13" s="2" customFormat="1" ht="24.95" customHeight="1">
      <c r="B157" s="284"/>
      <c r="C157" s="138" t="s">
        <v>161</v>
      </c>
      <c r="D157" s="120" t="s">
        <v>89</v>
      </c>
      <c r="E157" s="139">
        <v>6.0000000000000001E-3</v>
      </c>
      <c r="F157" s="90">
        <f>F$153*E157</f>
        <v>1.5E-3</v>
      </c>
      <c r="G157" s="122"/>
      <c r="H157" s="122"/>
      <c r="I157" s="64"/>
      <c r="J157" s="123"/>
      <c r="K157" s="121"/>
      <c r="L157" s="123"/>
      <c r="M157" s="283"/>
    </row>
    <row r="158" spans="2:13" s="2" customFormat="1" ht="51.75" customHeight="1">
      <c r="B158" s="356" t="s">
        <v>316</v>
      </c>
      <c r="C158" s="357"/>
      <c r="D158" s="357"/>
      <c r="E158" s="357"/>
      <c r="F158" s="357"/>
      <c r="G158" s="85"/>
      <c r="H158" s="85"/>
      <c r="I158" s="85"/>
      <c r="J158" s="84"/>
      <c r="K158" s="85"/>
      <c r="L158" s="84"/>
      <c r="M158" s="282"/>
    </row>
    <row r="159" spans="2:13" s="2" customFormat="1" ht="79.5" customHeight="1">
      <c r="B159" s="36">
        <v>1</v>
      </c>
      <c r="C159" s="66" t="s">
        <v>21</v>
      </c>
      <c r="D159" s="133" t="s">
        <v>81</v>
      </c>
      <c r="E159" s="134"/>
      <c r="F159" s="130">
        <v>15</v>
      </c>
      <c r="G159" s="135"/>
      <c r="H159" s="135"/>
      <c r="I159" s="135"/>
      <c r="J159" s="135"/>
      <c r="K159" s="135"/>
      <c r="L159" s="135"/>
      <c r="M159" s="252"/>
    </row>
    <row r="160" spans="2:13" s="2" customFormat="1" ht="24.95" customHeight="1">
      <c r="B160" s="43"/>
      <c r="C160" s="21" t="s">
        <v>103</v>
      </c>
      <c r="D160" s="124" t="s">
        <v>85</v>
      </c>
      <c r="E160" s="123">
        <f>15/100</f>
        <v>0.15</v>
      </c>
      <c r="F160" s="121">
        <f t="shared" ref="F160:F165" si="2">F$159*E160</f>
        <v>2.25</v>
      </c>
      <c r="G160" s="122"/>
      <c r="H160" s="122"/>
      <c r="I160" s="122"/>
      <c r="J160" s="123"/>
      <c r="K160" s="121"/>
      <c r="L160" s="123"/>
      <c r="M160" s="252"/>
    </row>
    <row r="161" spans="2:13" s="2" customFormat="1" ht="31.5" customHeight="1">
      <c r="B161" s="43"/>
      <c r="C161" s="91" t="s">
        <v>151</v>
      </c>
      <c r="D161" s="124" t="s">
        <v>83</v>
      </c>
      <c r="E161" s="123">
        <f>2.16/100</f>
        <v>2.1600000000000001E-2</v>
      </c>
      <c r="F161" s="121">
        <f t="shared" si="2"/>
        <v>0.32400000000000001</v>
      </c>
      <c r="G161" s="122"/>
      <c r="H161" s="122"/>
      <c r="I161" s="122"/>
      <c r="J161" s="123"/>
      <c r="K161" s="121"/>
      <c r="L161" s="123"/>
      <c r="M161" s="252"/>
    </row>
    <row r="162" spans="2:13" s="2" customFormat="1" ht="35.25" customHeight="1">
      <c r="B162" s="43"/>
      <c r="C162" s="91" t="s">
        <v>104</v>
      </c>
      <c r="D162" s="124" t="s">
        <v>83</v>
      </c>
      <c r="E162" s="123">
        <f>2.1/100</f>
        <v>2.1000000000000001E-2</v>
      </c>
      <c r="F162" s="121">
        <f t="shared" si="2"/>
        <v>0.315</v>
      </c>
      <c r="G162" s="122"/>
      <c r="H162" s="122"/>
      <c r="I162" s="122"/>
      <c r="J162" s="123"/>
      <c r="K162" s="121"/>
      <c r="L162" s="123"/>
      <c r="M162" s="252"/>
    </row>
    <row r="163" spans="2:13" s="2" customFormat="1" ht="24.95" customHeight="1">
      <c r="B163" s="43"/>
      <c r="C163" s="91" t="s">
        <v>105</v>
      </c>
      <c r="D163" s="124" t="s">
        <v>83</v>
      </c>
      <c r="E163" s="123">
        <f>0.97/100</f>
        <v>9.7000000000000003E-3</v>
      </c>
      <c r="F163" s="121">
        <f t="shared" si="2"/>
        <v>0.14550000000000002</v>
      </c>
      <c r="G163" s="122"/>
      <c r="H163" s="122"/>
      <c r="I163" s="122"/>
      <c r="J163" s="123"/>
      <c r="K163" s="121"/>
      <c r="L163" s="123"/>
      <c r="M163" s="252"/>
    </row>
    <row r="164" spans="2:13" s="2" customFormat="1" ht="24.95" customHeight="1">
      <c r="B164" s="43"/>
      <c r="C164" s="91" t="s">
        <v>153</v>
      </c>
      <c r="D164" s="124" t="s">
        <v>81</v>
      </c>
      <c r="E164" s="123">
        <f>122/100</f>
        <v>1.22</v>
      </c>
      <c r="F164" s="121">
        <f t="shared" si="2"/>
        <v>18.3</v>
      </c>
      <c r="G164" s="122"/>
      <c r="H164" s="122"/>
      <c r="I164" s="122"/>
      <c r="J164" s="123"/>
      <c r="K164" s="121"/>
      <c r="L164" s="123"/>
      <c r="M164" s="252"/>
    </row>
    <row r="165" spans="2:13" s="2" customFormat="1" ht="24.95" customHeight="1">
      <c r="B165" s="43"/>
      <c r="C165" s="91" t="s">
        <v>102</v>
      </c>
      <c r="D165" s="124" t="s">
        <v>81</v>
      </c>
      <c r="E165" s="123">
        <f>7/100</f>
        <v>7.0000000000000007E-2</v>
      </c>
      <c r="F165" s="121">
        <f t="shared" si="2"/>
        <v>1.05</v>
      </c>
      <c r="G165" s="122"/>
      <c r="H165" s="122"/>
      <c r="I165" s="122"/>
      <c r="J165" s="123"/>
      <c r="K165" s="121"/>
      <c r="L165" s="123"/>
      <c r="M165" s="252"/>
    </row>
    <row r="166" spans="2:13" s="2" customFormat="1" ht="75" customHeight="1">
      <c r="B166" s="82">
        <v>2</v>
      </c>
      <c r="C166" s="167" t="s">
        <v>177</v>
      </c>
      <c r="D166" s="83" t="s">
        <v>81</v>
      </c>
      <c r="E166" s="84"/>
      <c r="F166" s="84">
        <v>45</v>
      </c>
      <c r="G166" s="85"/>
      <c r="H166" s="85"/>
      <c r="I166" s="85"/>
      <c r="J166" s="84"/>
      <c r="K166" s="85"/>
      <c r="L166" s="84"/>
      <c r="M166" s="282"/>
    </row>
    <row r="167" spans="2:13" s="2" customFormat="1" ht="24.95" customHeight="1">
      <c r="B167" s="82"/>
      <c r="C167" s="21" t="s">
        <v>84</v>
      </c>
      <c r="D167" s="22" t="s">
        <v>85</v>
      </c>
      <c r="E167" s="64">
        <f>567/100</f>
        <v>5.67</v>
      </c>
      <c r="F167" s="90">
        <f t="shared" ref="F167:F174" si="3">F$166*E167</f>
        <v>255.15</v>
      </c>
      <c r="G167" s="122"/>
      <c r="H167" s="122"/>
      <c r="I167" s="123"/>
      <c r="J167" s="123"/>
      <c r="K167" s="123"/>
      <c r="L167" s="123"/>
      <c r="M167" s="283"/>
    </row>
    <row r="168" spans="2:13" s="2" customFormat="1" ht="24.95" customHeight="1">
      <c r="B168" s="43"/>
      <c r="C168" s="125" t="s">
        <v>86</v>
      </c>
      <c r="D168" s="124" t="s">
        <v>87</v>
      </c>
      <c r="E168" s="64">
        <f>100/100</f>
        <v>1</v>
      </c>
      <c r="F168" s="90">
        <f t="shared" si="3"/>
        <v>45</v>
      </c>
      <c r="G168" s="122"/>
      <c r="H168" s="122"/>
      <c r="I168" s="122"/>
      <c r="J168" s="123"/>
      <c r="K168" s="121"/>
      <c r="L168" s="123"/>
      <c r="M168" s="283"/>
    </row>
    <row r="169" spans="2:13" s="2" customFormat="1" ht="24.95" customHeight="1">
      <c r="B169" s="82"/>
      <c r="C169" s="125" t="s">
        <v>178</v>
      </c>
      <c r="D169" s="124" t="s">
        <v>81</v>
      </c>
      <c r="E169" s="139">
        <f>101.5/100</f>
        <v>1.0149999999999999</v>
      </c>
      <c r="F169" s="90">
        <f t="shared" si="3"/>
        <v>45.674999999999997</v>
      </c>
      <c r="G169" s="122"/>
      <c r="H169" s="122"/>
      <c r="I169" s="122"/>
      <c r="J169" s="123"/>
      <c r="K169" s="121"/>
      <c r="L169" s="123"/>
      <c r="M169" s="283"/>
    </row>
    <row r="170" spans="2:13" s="2" customFormat="1" ht="24.95" customHeight="1">
      <c r="B170" s="284"/>
      <c r="C170" s="125" t="s">
        <v>179</v>
      </c>
      <c r="D170" s="124" t="s">
        <v>88</v>
      </c>
      <c r="E170" s="64">
        <f>118/100</f>
        <v>1.18</v>
      </c>
      <c r="F170" s="90">
        <f t="shared" si="3"/>
        <v>53.099999999999994</v>
      </c>
      <c r="G170" s="122"/>
      <c r="H170" s="122"/>
      <c r="I170" s="122"/>
      <c r="J170" s="123"/>
      <c r="K170" s="121"/>
      <c r="L170" s="123"/>
      <c r="M170" s="283"/>
    </row>
    <row r="171" spans="2:13" s="2" customFormat="1" ht="24.95" customHeight="1">
      <c r="B171" s="284"/>
      <c r="C171" s="125" t="s">
        <v>157</v>
      </c>
      <c r="D171" s="124" t="s">
        <v>81</v>
      </c>
      <c r="E171" s="168">
        <f>0.21/100+2.53/100</f>
        <v>2.7400000000000001E-2</v>
      </c>
      <c r="F171" s="90">
        <f t="shared" si="3"/>
        <v>1.2330000000000001</v>
      </c>
      <c r="G171" s="122"/>
      <c r="H171" s="122"/>
      <c r="I171" s="122"/>
      <c r="J171" s="123"/>
      <c r="K171" s="121"/>
      <c r="L171" s="123"/>
      <c r="M171" s="283"/>
    </row>
    <row r="172" spans="2:13" s="2" customFormat="1" ht="24.95" customHeight="1">
      <c r="B172" s="82"/>
      <c r="C172" s="125" t="s">
        <v>180</v>
      </c>
      <c r="D172" s="124" t="s">
        <v>91</v>
      </c>
      <c r="E172" s="64">
        <f>0.14/100*1000</f>
        <v>1.4000000000000001</v>
      </c>
      <c r="F172" s="90">
        <f t="shared" si="3"/>
        <v>63.000000000000007</v>
      </c>
      <c r="G172" s="122"/>
      <c r="H172" s="122"/>
      <c r="I172" s="122"/>
      <c r="J172" s="123"/>
      <c r="K172" s="121"/>
      <c r="L172" s="123"/>
      <c r="M172" s="283"/>
    </row>
    <row r="173" spans="2:13" s="2" customFormat="1" ht="24.95" customHeight="1">
      <c r="B173" s="43"/>
      <c r="C173" s="125" t="s">
        <v>90</v>
      </c>
      <c r="D173" s="124" t="s">
        <v>91</v>
      </c>
      <c r="E173" s="64">
        <f>0.08/100*1000</f>
        <v>0.8</v>
      </c>
      <c r="F173" s="90">
        <f t="shared" si="3"/>
        <v>36</v>
      </c>
      <c r="G173" s="122"/>
      <c r="H173" s="122"/>
      <c r="I173" s="122"/>
      <c r="J173" s="123"/>
      <c r="K173" s="121"/>
      <c r="L173" s="123"/>
      <c r="M173" s="283"/>
    </row>
    <row r="174" spans="2:13" s="2" customFormat="1" ht="24.95" customHeight="1">
      <c r="B174" s="284"/>
      <c r="C174" s="125" t="s">
        <v>92</v>
      </c>
      <c r="D174" s="124" t="s">
        <v>87</v>
      </c>
      <c r="E174" s="64">
        <f>34/100</f>
        <v>0.34</v>
      </c>
      <c r="F174" s="90">
        <f t="shared" si="3"/>
        <v>15.3</v>
      </c>
      <c r="G174" s="122"/>
      <c r="H174" s="122"/>
      <c r="I174" s="122"/>
      <c r="J174" s="123"/>
      <c r="K174" s="121"/>
      <c r="L174" s="123"/>
      <c r="M174" s="283"/>
    </row>
    <row r="175" spans="2:13" s="2" customFormat="1" ht="33" customHeight="1">
      <c r="B175" s="82">
        <v>3</v>
      </c>
      <c r="C175" s="169" t="s">
        <v>181</v>
      </c>
      <c r="D175" s="83" t="s">
        <v>89</v>
      </c>
      <c r="E175" s="84"/>
      <c r="F175" s="170">
        <v>0.15</v>
      </c>
      <c r="G175" s="85"/>
      <c r="H175" s="85"/>
      <c r="I175" s="85"/>
      <c r="J175" s="84"/>
      <c r="K175" s="85"/>
      <c r="L175" s="84"/>
      <c r="M175" s="282"/>
    </row>
    <row r="176" spans="2:13" s="2" customFormat="1" ht="24.95" customHeight="1">
      <c r="B176" s="82"/>
      <c r="C176" s="138" t="s">
        <v>84</v>
      </c>
      <c r="D176" s="120" t="s">
        <v>85</v>
      </c>
      <c r="E176" s="64">
        <v>47.8</v>
      </c>
      <c r="F176" s="90">
        <f>F$175*E176</f>
        <v>7.169999999999999</v>
      </c>
      <c r="G176" s="122"/>
      <c r="H176" s="122"/>
      <c r="I176" s="123"/>
      <c r="J176" s="123"/>
      <c r="K176" s="123"/>
      <c r="L176" s="123"/>
      <c r="M176" s="283"/>
    </row>
    <row r="177" spans="2:13" s="2" customFormat="1" ht="24.95" customHeight="1">
      <c r="B177" s="43"/>
      <c r="C177" s="138" t="s">
        <v>159</v>
      </c>
      <c r="D177" s="120" t="s">
        <v>87</v>
      </c>
      <c r="E177" s="139">
        <v>0.39400000000000002</v>
      </c>
      <c r="F177" s="90">
        <f>F$175*E177</f>
        <v>5.91E-2</v>
      </c>
      <c r="G177" s="122"/>
      <c r="H177" s="122"/>
      <c r="I177" s="122"/>
      <c r="J177" s="123"/>
      <c r="K177" s="64"/>
      <c r="L177" s="123"/>
      <c r="M177" s="283"/>
    </row>
    <row r="178" spans="2:13" s="2" customFormat="1" ht="24.95" customHeight="1">
      <c r="B178" s="284"/>
      <c r="C178" s="138" t="s">
        <v>160</v>
      </c>
      <c r="D178" s="120" t="s">
        <v>89</v>
      </c>
      <c r="E178" s="64">
        <v>1.03</v>
      </c>
      <c r="F178" s="90">
        <f>F$175*E178</f>
        <v>0.1545</v>
      </c>
      <c r="G178" s="122"/>
      <c r="H178" s="122"/>
      <c r="I178" s="64"/>
      <c r="J178" s="123"/>
      <c r="K178" s="121"/>
      <c r="L178" s="123"/>
      <c r="M178" s="283"/>
    </row>
    <row r="179" spans="2:13" s="2" customFormat="1" ht="24.95" customHeight="1">
      <c r="B179" s="284"/>
      <c r="C179" s="138" t="s">
        <v>161</v>
      </c>
      <c r="D179" s="120" t="s">
        <v>89</v>
      </c>
      <c r="E179" s="139">
        <v>6.0000000000000001E-3</v>
      </c>
      <c r="F179" s="171">
        <f>F$175*E179</f>
        <v>8.9999999999999998E-4</v>
      </c>
      <c r="G179" s="122"/>
      <c r="H179" s="122"/>
      <c r="I179" s="64"/>
      <c r="J179" s="123"/>
      <c r="K179" s="121"/>
      <c r="L179" s="123"/>
      <c r="M179" s="283"/>
    </row>
    <row r="180" spans="2:13" s="2" customFormat="1" ht="43.5" customHeight="1">
      <c r="B180" s="82">
        <v>4</v>
      </c>
      <c r="C180" s="169" t="s">
        <v>182</v>
      </c>
      <c r="D180" s="83" t="s">
        <v>89</v>
      </c>
      <c r="E180" s="84"/>
      <c r="F180" s="170">
        <v>0.18</v>
      </c>
      <c r="G180" s="85"/>
      <c r="H180" s="85"/>
      <c r="I180" s="85"/>
      <c r="J180" s="84"/>
      <c r="K180" s="85"/>
      <c r="L180" s="84"/>
      <c r="M180" s="282"/>
    </row>
    <row r="181" spans="2:13" s="2" customFormat="1" ht="24.95" customHeight="1">
      <c r="B181" s="82"/>
      <c r="C181" s="138" t="s">
        <v>84</v>
      </c>
      <c r="D181" s="120" t="s">
        <v>85</v>
      </c>
      <c r="E181" s="64">
        <v>47.8</v>
      </c>
      <c r="F181" s="90">
        <f>F$180*E181</f>
        <v>8.6039999999999992</v>
      </c>
      <c r="G181" s="122"/>
      <c r="H181" s="122"/>
      <c r="I181" s="123"/>
      <c r="J181" s="123"/>
      <c r="K181" s="123"/>
      <c r="L181" s="123"/>
      <c r="M181" s="283"/>
    </row>
    <row r="182" spans="2:13" s="2" customFormat="1" ht="24.95" customHeight="1">
      <c r="B182" s="43"/>
      <c r="C182" s="138" t="s">
        <v>159</v>
      </c>
      <c r="D182" s="120" t="s">
        <v>87</v>
      </c>
      <c r="E182" s="139">
        <v>0.39400000000000002</v>
      </c>
      <c r="F182" s="90">
        <f>F$180*E182</f>
        <v>7.0919999999999997E-2</v>
      </c>
      <c r="G182" s="122"/>
      <c r="H182" s="122"/>
      <c r="I182" s="122"/>
      <c r="J182" s="123"/>
      <c r="K182" s="64"/>
      <c r="L182" s="123"/>
      <c r="M182" s="283"/>
    </row>
    <row r="183" spans="2:13" s="2" customFormat="1" ht="24.95" customHeight="1">
      <c r="B183" s="284"/>
      <c r="C183" s="138" t="s">
        <v>160</v>
      </c>
      <c r="D183" s="120" t="s">
        <v>89</v>
      </c>
      <c r="E183" s="64">
        <v>1.03</v>
      </c>
      <c r="F183" s="90">
        <f>F$180*E183</f>
        <v>0.18540000000000001</v>
      </c>
      <c r="G183" s="122"/>
      <c r="H183" s="122"/>
      <c r="I183" s="64"/>
      <c r="J183" s="123"/>
      <c r="K183" s="64"/>
      <c r="L183" s="123"/>
      <c r="M183" s="283"/>
    </row>
    <row r="184" spans="2:13" s="2" customFormat="1" ht="24.95" customHeight="1">
      <c r="B184" s="284"/>
      <c r="C184" s="138" t="s">
        <v>161</v>
      </c>
      <c r="D184" s="120" t="s">
        <v>89</v>
      </c>
      <c r="E184" s="139">
        <v>6.0000000000000001E-3</v>
      </c>
      <c r="F184" s="171">
        <f>F$180*E184</f>
        <v>1.08E-3</v>
      </c>
      <c r="G184" s="122"/>
      <c r="H184" s="122"/>
      <c r="I184" s="64"/>
      <c r="J184" s="123"/>
      <c r="K184" s="121"/>
      <c r="L184" s="123"/>
      <c r="M184" s="283"/>
    </row>
    <row r="185" spans="2:13" s="2" customFormat="1" ht="24.95" customHeight="1">
      <c r="B185" s="82">
        <v>5</v>
      </c>
      <c r="C185" s="169" t="s">
        <v>183</v>
      </c>
      <c r="D185" s="83" t="s">
        <v>89</v>
      </c>
      <c r="E185" s="84"/>
      <c r="F185" s="84">
        <v>0.7</v>
      </c>
      <c r="G185" s="85"/>
      <c r="H185" s="85"/>
      <c r="I185" s="85"/>
      <c r="J185" s="84"/>
      <c r="K185" s="85"/>
      <c r="L185" s="84"/>
      <c r="M185" s="282"/>
    </row>
    <row r="186" spans="2:13" s="2" customFormat="1" ht="24.95" customHeight="1">
      <c r="B186" s="82"/>
      <c r="C186" s="138" t="s">
        <v>84</v>
      </c>
      <c r="D186" s="120" t="s">
        <v>85</v>
      </c>
      <c r="E186" s="64">
        <v>47.8</v>
      </c>
      <c r="F186" s="90">
        <f>F$185*E186</f>
        <v>33.459999999999994</v>
      </c>
      <c r="G186" s="122"/>
      <c r="H186" s="122"/>
      <c r="I186" s="123"/>
      <c r="J186" s="123"/>
      <c r="K186" s="123"/>
      <c r="L186" s="123"/>
      <c r="M186" s="283"/>
    </row>
    <row r="187" spans="2:13" s="2" customFormat="1" ht="24.95" customHeight="1">
      <c r="B187" s="43"/>
      <c r="C187" s="138" t="s">
        <v>159</v>
      </c>
      <c r="D187" s="120" t="s">
        <v>87</v>
      </c>
      <c r="E187" s="139">
        <v>0.39400000000000002</v>
      </c>
      <c r="F187" s="90">
        <f>F$185*E187</f>
        <v>0.27579999999999999</v>
      </c>
      <c r="G187" s="122"/>
      <c r="H187" s="122"/>
      <c r="I187" s="122"/>
      <c r="J187" s="123"/>
      <c r="K187" s="64"/>
      <c r="L187" s="123"/>
      <c r="M187" s="283"/>
    </row>
    <row r="188" spans="2:13" s="2" customFormat="1" ht="24.95" customHeight="1">
      <c r="B188" s="284"/>
      <c r="C188" s="138" t="s">
        <v>184</v>
      </c>
      <c r="D188" s="120" t="s">
        <v>89</v>
      </c>
      <c r="E188" s="64">
        <v>1.03</v>
      </c>
      <c r="F188" s="90">
        <f>F$185*E188</f>
        <v>0.72099999999999997</v>
      </c>
      <c r="G188" s="122"/>
      <c r="H188" s="122"/>
      <c r="I188" s="64"/>
      <c r="J188" s="123"/>
      <c r="K188" s="64"/>
      <c r="L188" s="123"/>
      <c r="M188" s="283"/>
    </row>
    <row r="189" spans="2:13" s="2" customFormat="1" ht="24.95" customHeight="1">
      <c r="B189" s="284"/>
      <c r="C189" s="138" t="s">
        <v>161</v>
      </c>
      <c r="D189" s="120" t="s">
        <v>89</v>
      </c>
      <c r="E189" s="139">
        <v>6.0000000000000001E-3</v>
      </c>
      <c r="F189" s="140">
        <f>F$185*E189</f>
        <v>4.1999999999999997E-3</v>
      </c>
      <c r="G189" s="122"/>
      <c r="H189" s="122"/>
      <c r="I189" s="64"/>
      <c r="J189" s="123"/>
      <c r="K189" s="121"/>
      <c r="L189" s="123"/>
      <c r="M189" s="283"/>
    </row>
    <row r="190" spans="2:13" s="2" customFormat="1" ht="30" customHeight="1">
      <c r="B190" s="352" t="s">
        <v>317</v>
      </c>
      <c r="C190" s="353"/>
      <c r="D190" s="353"/>
      <c r="E190" s="353"/>
      <c r="F190" s="353"/>
      <c r="G190" s="85"/>
      <c r="H190" s="85"/>
      <c r="I190" s="85"/>
      <c r="J190" s="84"/>
      <c r="K190" s="85"/>
      <c r="L190" s="84"/>
      <c r="M190" s="282"/>
    </row>
    <row r="191" spans="2:13" s="2" customFormat="1" ht="89.25" customHeight="1">
      <c r="B191" s="36">
        <v>1</v>
      </c>
      <c r="C191" s="66" t="s">
        <v>24</v>
      </c>
      <c r="D191" s="133" t="s">
        <v>81</v>
      </c>
      <c r="E191" s="134"/>
      <c r="F191" s="130">
        <v>230</v>
      </c>
      <c r="G191" s="135"/>
      <c r="H191" s="135"/>
      <c r="I191" s="135"/>
      <c r="J191" s="135"/>
      <c r="K191" s="135"/>
      <c r="L191" s="135"/>
      <c r="M191" s="252"/>
    </row>
    <row r="192" spans="2:13" s="2" customFormat="1" ht="24.95" customHeight="1">
      <c r="B192" s="43"/>
      <c r="C192" s="21" t="s">
        <v>103</v>
      </c>
      <c r="D192" s="124" t="s">
        <v>85</v>
      </c>
      <c r="E192" s="123">
        <f>15/100</f>
        <v>0.15</v>
      </c>
      <c r="F192" s="121">
        <f t="shared" ref="F192:F197" si="4">F$191*E192</f>
        <v>34.5</v>
      </c>
      <c r="G192" s="122"/>
      <c r="H192" s="122"/>
      <c r="I192" s="122"/>
      <c r="J192" s="123"/>
      <c r="K192" s="121"/>
      <c r="L192" s="123"/>
      <c r="M192" s="252"/>
    </row>
    <row r="193" spans="2:13" s="2" customFormat="1" ht="35.25" customHeight="1">
      <c r="B193" s="43"/>
      <c r="C193" s="91" t="s">
        <v>151</v>
      </c>
      <c r="D193" s="124" t="s">
        <v>83</v>
      </c>
      <c r="E193" s="123">
        <f>2.16/100</f>
        <v>2.1600000000000001E-2</v>
      </c>
      <c r="F193" s="121">
        <f t="shared" si="4"/>
        <v>4.968</v>
      </c>
      <c r="G193" s="122"/>
      <c r="H193" s="122"/>
      <c r="I193" s="122"/>
      <c r="J193" s="123"/>
      <c r="K193" s="121"/>
      <c r="L193" s="123"/>
      <c r="M193" s="252"/>
    </row>
    <row r="194" spans="2:13" s="2" customFormat="1" ht="38.25" customHeight="1">
      <c r="B194" s="43"/>
      <c r="C194" s="91" t="s">
        <v>104</v>
      </c>
      <c r="D194" s="124" t="s">
        <v>83</v>
      </c>
      <c r="E194" s="123">
        <f>2.1/100</f>
        <v>2.1000000000000001E-2</v>
      </c>
      <c r="F194" s="121">
        <f t="shared" si="4"/>
        <v>4.83</v>
      </c>
      <c r="G194" s="122"/>
      <c r="H194" s="122"/>
      <c r="I194" s="122"/>
      <c r="J194" s="123"/>
      <c r="K194" s="121"/>
      <c r="L194" s="123"/>
      <c r="M194" s="252"/>
    </row>
    <row r="195" spans="2:13" s="2" customFormat="1" ht="24.95" customHeight="1">
      <c r="B195" s="43"/>
      <c r="C195" s="91" t="s">
        <v>105</v>
      </c>
      <c r="D195" s="124" t="s">
        <v>83</v>
      </c>
      <c r="E195" s="123">
        <f>0.97/100</f>
        <v>9.7000000000000003E-3</v>
      </c>
      <c r="F195" s="121">
        <f t="shared" si="4"/>
        <v>2.2309999999999999</v>
      </c>
      <c r="G195" s="122"/>
      <c r="H195" s="122"/>
      <c r="I195" s="122"/>
      <c r="J195" s="123"/>
      <c r="K195" s="121"/>
      <c r="L195" s="123"/>
      <c r="M195" s="252"/>
    </row>
    <row r="196" spans="2:13" s="2" customFormat="1" ht="24.95" customHeight="1">
      <c r="B196" s="43"/>
      <c r="C196" s="91" t="s">
        <v>28</v>
      </c>
      <c r="D196" s="124" t="s">
        <v>81</v>
      </c>
      <c r="E196" s="123">
        <f>122/100</f>
        <v>1.22</v>
      </c>
      <c r="F196" s="121">
        <f t="shared" si="4"/>
        <v>280.59999999999997</v>
      </c>
      <c r="G196" s="122"/>
      <c r="H196" s="122"/>
      <c r="I196" s="122"/>
      <c r="J196" s="123"/>
      <c r="K196" s="121"/>
      <c r="L196" s="123"/>
      <c r="M196" s="252"/>
    </row>
    <row r="197" spans="2:13" s="2" customFormat="1" ht="24.95" customHeight="1">
      <c r="B197" s="43"/>
      <c r="C197" s="91" t="s">
        <v>102</v>
      </c>
      <c r="D197" s="124" t="s">
        <v>81</v>
      </c>
      <c r="E197" s="123">
        <f>7/100</f>
        <v>7.0000000000000007E-2</v>
      </c>
      <c r="F197" s="121">
        <f t="shared" si="4"/>
        <v>16.100000000000001</v>
      </c>
      <c r="G197" s="122"/>
      <c r="H197" s="122"/>
      <c r="I197" s="122"/>
      <c r="J197" s="123"/>
      <c r="K197" s="121"/>
      <c r="L197" s="123"/>
      <c r="M197" s="252"/>
    </row>
    <row r="198" spans="2:13" s="2" customFormat="1" ht="77.25" customHeight="1">
      <c r="B198" s="36">
        <v>2</v>
      </c>
      <c r="C198" s="66" t="s">
        <v>306</v>
      </c>
      <c r="D198" s="133" t="s">
        <v>81</v>
      </c>
      <c r="E198" s="134"/>
      <c r="F198" s="130">
        <v>155</v>
      </c>
      <c r="G198" s="135"/>
      <c r="H198" s="135"/>
      <c r="I198" s="135"/>
      <c r="J198" s="135"/>
      <c r="K198" s="135"/>
      <c r="L198" s="135"/>
      <c r="M198" s="252"/>
    </row>
    <row r="199" spans="2:13" s="2" customFormat="1" ht="24.95" customHeight="1">
      <c r="B199" s="43"/>
      <c r="C199" s="21" t="s">
        <v>103</v>
      </c>
      <c r="D199" s="124" t="s">
        <v>85</v>
      </c>
      <c r="E199" s="123">
        <f>15/100</f>
        <v>0.15</v>
      </c>
      <c r="F199" s="121">
        <f t="shared" ref="F199:F204" si="5">F$198*E199</f>
        <v>23.25</v>
      </c>
      <c r="G199" s="122"/>
      <c r="H199" s="122"/>
      <c r="I199" s="122"/>
      <c r="J199" s="123"/>
      <c r="K199" s="121"/>
      <c r="L199" s="123"/>
      <c r="M199" s="252"/>
    </row>
    <row r="200" spans="2:13" s="2" customFormat="1" ht="40.5" customHeight="1">
      <c r="B200" s="43"/>
      <c r="C200" s="91" t="s">
        <v>151</v>
      </c>
      <c r="D200" s="124" t="s">
        <v>83</v>
      </c>
      <c r="E200" s="123">
        <f>2.16/100</f>
        <v>2.1600000000000001E-2</v>
      </c>
      <c r="F200" s="121">
        <f t="shared" si="5"/>
        <v>3.3480000000000003</v>
      </c>
      <c r="G200" s="122"/>
      <c r="H200" s="122"/>
      <c r="I200" s="122"/>
      <c r="J200" s="123"/>
      <c r="K200" s="121"/>
      <c r="L200" s="123"/>
      <c r="M200" s="252"/>
    </row>
    <row r="201" spans="2:13" s="2" customFormat="1" ht="35.25" customHeight="1">
      <c r="B201" s="43"/>
      <c r="C201" s="91" t="s">
        <v>104</v>
      </c>
      <c r="D201" s="124" t="s">
        <v>83</v>
      </c>
      <c r="E201" s="123">
        <f>2.1/100</f>
        <v>2.1000000000000001E-2</v>
      </c>
      <c r="F201" s="121">
        <f t="shared" si="5"/>
        <v>3.2550000000000003</v>
      </c>
      <c r="G201" s="122"/>
      <c r="H201" s="122"/>
      <c r="I201" s="122"/>
      <c r="J201" s="123"/>
      <c r="K201" s="121"/>
      <c r="L201" s="123"/>
      <c r="M201" s="252"/>
    </row>
    <row r="202" spans="2:13" s="2" customFormat="1" ht="24.95" customHeight="1">
      <c r="B202" s="43"/>
      <c r="C202" s="91" t="s">
        <v>105</v>
      </c>
      <c r="D202" s="124" t="s">
        <v>83</v>
      </c>
      <c r="E202" s="123">
        <f>0.97/100</f>
        <v>9.7000000000000003E-3</v>
      </c>
      <c r="F202" s="121">
        <f t="shared" si="5"/>
        <v>1.5035000000000001</v>
      </c>
      <c r="G202" s="122"/>
      <c r="H202" s="122"/>
      <c r="I202" s="122"/>
      <c r="J202" s="123"/>
      <c r="K202" s="121"/>
      <c r="L202" s="123"/>
      <c r="M202" s="252"/>
    </row>
    <row r="203" spans="2:13" s="2" customFormat="1" ht="24.95" customHeight="1">
      <c r="B203" s="43"/>
      <c r="C203" s="91" t="s">
        <v>28</v>
      </c>
      <c r="D203" s="124" t="s">
        <v>81</v>
      </c>
      <c r="E203" s="123">
        <f>122/100</f>
        <v>1.22</v>
      </c>
      <c r="F203" s="121">
        <f t="shared" si="5"/>
        <v>189.1</v>
      </c>
      <c r="G203" s="122"/>
      <c r="H203" s="122"/>
      <c r="I203" s="122"/>
      <c r="J203" s="123"/>
      <c r="K203" s="121"/>
      <c r="L203" s="123"/>
      <c r="M203" s="252"/>
    </row>
    <row r="204" spans="2:13" s="2" customFormat="1" ht="24.95" customHeight="1">
      <c r="B204" s="43"/>
      <c r="C204" s="91" t="s">
        <v>102</v>
      </c>
      <c r="D204" s="124" t="s">
        <v>81</v>
      </c>
      <c r="E204" s="123">
        <f>7/100</f>
        <v>7.0000000000000007E-2</v>
      </c>
      <c r="F204" s="121">
        <f t="shared" si="5"/>
        <v>10.850000000000001</v>
      </c>
      <c r="G204" s="122"/>
      <c r="H204" s="122"/>
      <c r="I204" s="122"/>
      <c r="J204" s="123"/>
      <c r="K204" s="121"/>
      <c r="L204" s="123"/>
      <c r="M204" s="252"/>
    </row>
    <row r="205" spans="2:13" s="2" customFormat="1" ht="54" customHeight="1">
      <c r="B205" s="36">
        <v>3</v>
      </c>
      <c r="C205" s="66" t="s">
        <v>25</v>
      </c>
      <c r="D205" s="133" t="s">
        <v>81</v>
      </c>
      <c r="E205" s="134"/>
      <c r="F205" s="130">
        <v>75</v>
      </c>
      <c r="G205" s="135"/>
      <c r="H205" s="135"/>
      <c r="I205" s="135"/>
      <c r="J205" s="135"/>
      <c r="K205" s="135"/>
      <c r="L205" s="135"/>
      <c r="M205" s="252"/>
    </row>
    <row r="206" spans="2:13" s="2" customFormat="1" ht="39" customHeight="1">
      <c r="B206" s="43"/>
      <c r="C206" s="21" t="s">
        <v>103</v>
      </c>
      <c r="D206" s="124" t="s">
        <v>85</v>
      </c>
      <c r="E206" s="123">
        <f>14.9/100</f>
        <v>0.14899999999999999</v>
      </c>
      <c r="F206" s="121">
        <f t="shared" ref="F206:F211" si="6">F$205*E206</f>
        <v>11.174999999999999</v>
      </c>
      <c r="G206" s="122"/>
      <c r="H206" s="122"/>
      <c r="I206" s="122"/>
      <c r="J206" s="123"/>
      <c r="K206" s="121"/>
      <c r="L206" s="123"/>
      <c r="M206" s="252"/>
    </row>
    <row r="207" spans="2:13" s="2" customFormat="1" ht="39" customHeight="1">
      <c r="B207" s="43"/>
      <c r="C207" s="91" t="s">
        <v>151</v>
      </c>
      <c r="D207" s="124" t="s">
        <v>83</v>
      </c>
      <c r="E207" s="123">
        <f>2.16/100</f>
        <v>2.1600000000000001E-2</v>
      </c>
      <c r="F207" s="121">
        <f t="shared" si="6"/>
        <v>1.62</v>
      </c>
      <c r="G207" s="122"/>
      <c r="H207" s="122"/>
      <c r="I207" s="122"/>
      <c r="J207" s="123"/>
      <c r="K207" s="121"/>
      <c r="L207" s="123"/>
      <c r="M207" s="252"/>
    </row>
    <row r="208" spans="2:13" s="2" customFormat="1" ht="39.75" customHeight="1">
      <c r="B208" s="43"/>
      <c r="C208" s="91" t="s">
        <v>104</v>
      </c>
      <c r="D208" s="124" t="s">
        <v>83</v>
      </c>
      <c r="E208" s="123">
        <f>2.23/100</f>
        <v>2.23E-2</v>
      </c>
      <c r="F208" s="121">
        <f t="shared" si="6"/>
        <v>1.6725000000000001</v>
      </c>
      <c r="G208" s="122"/>
      <c r="H208" s="122"/>
      <c r="I208" s="122"/>
      <c r="J208" s="123"/>
      <c r="K208" s="121"/>
      <c r="L208" s="123"/>
      <c r="M208" s="252"/>
    </row>
    <row r="209" spans="2:14" s="2" customFormat="1" ht="24.95" customHeight="1">
      <c r="B209" s="43"/>
      <c r="C209" s="91" t="s">
        <v>105</v>
      </c>
      <c r="D209" s="124" t="s">
        <v>83</v>
      </c>
      <c r="E209" s="123">
        <f>0.97/100</f>
        <v>9.7000000000000003E-3</v>
      </c>
      <c r="F209" s="121">
        <f t="shared" si="6"/>
        <v>0.72750000000000004</v>
      </c>
      <c r="G209" s="122"/>
      <c r="H209" s="122"/>
      <c r="I209" s="122"/>
      <c r="J209" s="123"/>
      <c r="K209" s="121"/>
      <c r="L209" s="123"/>
      <c r="M209" s="252"/>
    </row>
    <row r="210" spans="2:14" s="2" customFormat="1" ht="24.95" customHeight="1">
      <c r="B210" s="43"/>
      <c r="C210" s="91" t="s">
        <v>232</v>
      </c>
      <c r="D210" s="124" t="s">
        <v>81</v>
      </c>
      <c r="E210" s="123">
        <v>1.1200000000000001</v>
      </c>
      <c r="F210" s="121">
        <f t="shared" si="6"/>
        <v>84.000000000000014</v>
      </c>
      <c r="G210" s="122"/>
      <c r="H210" s="122"/>
      <c r="I210" s="122"/>
      <c r="J210" s="123"/>
      <c r="K210" s="121"/>
      <c r="L210" s="123"/>
      <c r="M210" s="252"/>
    </row>
    <row r="211" spans="2:14" s="2" customFormat="1" ht="24.95" customHeight="1">
      <c r="B211" s="43"/>
      <c r="C211" s="91" t="s">
        <v>102</v>
      </c>
      <c r="D211" s="124" t="s">
        <v>81</v>
      </c>
      <c r="E211" s="123">
        <f>5/100</f>
        <v>0.05</v>
      </c>
      <c r="F211" s="121">
        <f t="shared" si="6"/>
        <v>3.75</v>
      </c>
      <c r="G211" s="122"/>
      <c r="H211" s="122"/>
      <c r="I211" s="122"/>
      <c r="J211" s="123"/>
      <c r="K211" s="121"/>
      <c r="L211" s="123"/>
      <c r="M211" s="252"/>
    </row>
    <row r="212" spans="2:14" s="2" customFormat="1" ht="96" customHeight="1">
      <c r="B212" s="36">
        <v>4</v>
      </c>
      <c r="C212" s="66" t="s">
        <v>327</v>
      </c>
      <c r="D212" s="136" t="s">
        <v>162</v>
      </c>
      <c r="E212" s="137"/>
      <c r="F212" s="157">
        <f>1110/100</f>
        <v>11.1</v>
      </c>
      <c r="G212" s="122"/>
      <c r="H212" s="122"/>
      <c r="I212" s="122"/>
      <c r="J212" s="123"/>
      <c r="K212" s="121"/>
      <c r="L212" s="123"/>
      <c r="M212" s="252"/>
      <c r="N212" s="214"/>
    </row>
    <row r="213" spans="2:14" s="2" customFormat="1" ht="24.95" customHeight="1">
      <c r="B213" s="43"/>
      <c r="C213" s="55" t="s">
        <v>84</v>
      </c>
      <c r="D213" s="56" t="s">
        <v>85</v>
      </c>
      <c r="E213" s="123">
        <v>75.5</v>
      </c>
      <c r="F213" s="121">
        <f>F$212*E213</f>
        <v>838.05</v>
      </c>
      <c r="G213" s="122"/>
      <c r="H213" s="122"/>
      <c r="I213" s="122"/>
      <c r="J213" s="123"/>
      <c r="K213" s="121"/>
      <c r="L213" s="123"/>
      <c r="M213" s="252"/>
    </row>
    <row r="214" spans="2:14" s="2" customFormat="1" ht="24.95" customHeight="1">
      <c r="B214" s="43"/>
      <c r="C214" s="125" t="s">
        <v>86</v>
      </c>
      <c r="D214" s="124" t="s">
        <v>87</v>
      </c>
      <c r="E214" s="123">
        <v>0.75</v>
      </c>
      <c r="F214" s="121">
        <f>F$212*E214</f>
        <v>8.3249999999999993</v>
      </c>
      <c r="G214" s="122"/>
      <c r="H214" s="122"/>
      <c r="I214" s="122"/>
      <c r="J214" s="123"/>
      <c r="K214" s="121"/>
      <c r="L214" s="123"/>
      <c r="M214" s="252"/>
    </row>
    <row r="215" spans="2:14" s="2" customFormat="1" ht="38.25" customHeight="1">
      <c r="B215" s="43"/>
      <c r="C215" s="125" t="s">
        <v>326</v>
      </c>
      <c r="D215" s="124" t="s">
        <v>88</v>
      </c>
      <c r="E215" s="123">
        <v>102</v>
      </c>
      <c r="F215" s="121">
        <f>F$212*E215</f>
        <v>1132.2</v>
      </c>
      <c r="G215" s="122"/>
      <c r="H215" s="122"/>
      <c r="I215" s="123"/>
      <c r="J215" s="123"/>
      <c r="K215" s="121"/>
      <c r="L215" s="123"/>
      <c r="M215" s="252"/>
    </row>
    <row r="216" spans="2:14" s="2" customFormat="1" ht="39" customHeight="1">
      <c r="B216" s="43"/>
      <c r="C216" s="125" t="s">
        <v>325</v>
      </c>
      <c r="D216" s="124" t="s">
        <v>88</v>
      </c>
      <c r="E216" s="123">
        <v>102</v>
      </c>
      <c r="F216" s="121">
        <f>F$212*E216</f>
        <v>1132.2</v>
      </c>
      <c r="G216" s="122"/>
      <c r="H216" s="122"/>
      <c r="I216" s="123"/>
      <c r="J216" s="123"/>
      <c r="K216" s="121"/>
      <c r="L216" s="123"/>
      <c r="M216" s="252"/>
    </row>
    <row r="217" spans="2:14" s="2" customFormat="1" ht="24.95" customHeight="1">
      <c r="B217" s="43"/>
      <c r="C217" s="125" t="s">
        <v>176</v>
      </c>
      <c r="D217" s="124" t="s">
        <v>89</v>
      </c>
      <c r="E217" s="123">
        <v>0.05</v>
      </c>
      <c r="F217" s="121">
        <f>F$212*E217</f>
        <v>0.55500000000000005</v>
      </c>
      <c r="G217" s="122"/>
      <c r="H217" s="122"/>
      <c r="I217" s="123"/>
      <c r="J217" s="123"/>
      <c r="K217" s="121"/>
      <c r="L217" s="123"/>
      <c r="M217" s="252"/>
    </row>
    <row r="218" spans="2:14" s="2" customFormat="1" ht="24.95" customHeight="1">
      <c r="B218" s="43"/>
      <c r="C218" s="125" t="s">
        <v>344</v>
      </c>
      <c r="D218" s="124" t="s">
        <v>81</v>
      </c>
      <c r="E218" s="123" t="s">
        <v>167</v>
      </c>
      <c r="F218" s="121">
        <v>33.5</v>
      </c>
      <c r="G218" s="122"/>
      <c r="H218" s="122"/>
      <c r="I218" s="122"/>
      <c r="J218" s="123"/>
      <c r="K218" s="121"/>
      <c r="L218" s="123"/>
      <c r="M218" s="252"/>
    </row>
    <row r="219" spans="2:14" s="2" customFormat="1" ht="35.25" customHeight="1">
      <c r="B219" s="43"/>
      <c r="C219" s="125" t="s">
        <v>92</v>
      </c>
      <c r="D219" s="124" t="s">
        <v>87</v>
      </c>
      <c r="E219" s="123">
        <v>18</v>
      </c>
      <c r="F219" s="121">
        <f>F212*E219</f>
        <v>199.79999999999998</v>
      </c>
      <c r="G219" s="122"/>
      <c r="H219" s="122"/>
      <c r="I219" s="122"/>
      <c r="J219" s="123"/>
      <c r="K219" s="121"/>
      <c r="L219" s="123"/>
      <c r="M219" s="252"/>
    </row>
    <row r="220" spans="2:14" s="2" customFormat="1" ht="39.75" customHeight="1">
      <c r="B220" s="43"/>
      <c r="C220" s="125" t="s">
        <v>345</v>
      </c>
      <c r="D220" s="124" t="s">
        <v>81</v>
      </c>
      <c r="E220" s="123" t="s">
        <v>167</v>
      </c>
      <c r="F220" s="121">
        <v>33.5</v>
      </c>
      <c r="G220" s="122"/>
      <c r="H220" s="122"/>
      <c r="I220" s="122"/>
      <c r="J220" s="123"/>
      <c r="K220" s="121"/>
      <c r="L220" s="123"/>
      <c r="M220" s="252"/>
    </row>
    <row r="221" spans="2:14" ht="32.25" customHeight="1">
      <c r="B221" s="352" t="s">
        <v>314</v>
      </c>
      <c r="C221" s="353"/>
      <c r="D221" s="353"/>
      <c r="E221" s="353"/>
      <c r="F221" s="353"/>
      <c r="G221" s="122"/>
      <c r="H221" s="122"/>
      <c r="I221" s="122"/>
      <c r="J221" s="123"/>
      <c r="K221" s="121"/>
      <c r="L221" s="123"/>
      <c r="M221" s="252"/>
    </row>
    <row r="222" spans="2:14" s="2" customFormat="1" ht="80.25" customHeight="1">
      <c r="B222" s="36">
        <v>1</v>
      </c>
      <c r="C222" s="66" t="s">
        <v>22</v>
      </c>
      <c r="D222" s="133" t="s">
        <v>81</v>
      </c>
      <c r="E222" s="134"/>
      <c r="F222" s="130">
        <v>112</v>
      </c>
      <c r="G222" s="135"/>
      <c r="H222" s="135"/>
      <c r="I222" s="135"/>
      <c r="J222" s="135"/>
      <c r="K222" s="135"/>
      <c r="L222" s="135"/>
      <c r="M222" s="252"/>
    </row>
    <row r="223" spans="2:14" s="2" customFormat="1" ht="24.95" customHeight="1">
      <c r="B223" s="43"/>
      <c r="C223" s="21" t="s">
        <v>103</v>
      </c>
      <c r="D223" s="124" t="s">
        <v>85</v>
      </c>
      <c r="E223" s="123">
        <f>15/100</f>
        <v>0.15</v>
      </c>
      <c r="F223" s="121">
        <f>F$222*E223</f>
        <v>16.8</v>
      </c>
      <c r="G223" s="122"/>
      <c r="H223" s="122"/>
      <c r="I223" s="122"/>
      <c r="J223" s="123"/>
      <c r="K223" s="121"/>
      <c r="L223" s="123"/>
      <c r="M223" s="252"/>
    </row>
    <row r="224" spans="2:14" s="2" customFormat="1" ht="33" customHeight="1">
      <c r="B224" s="43"/>
      <c r="C224" s="91" t="s">
        <v>151</v>
      </c>
      <c r="D224" s="124" t="s">
        <v>83</v>
      </c>
      <c r="E224" s="123">
        <f>2.16/100</f>
        <v>2.1600000000000001E-2</v>
      </c>
      <c r="F224" s="121">
        <f t="shared" ref="F224:F228" si="7">F$222*E224</f>
        <v>2.4192</v>
      </c>
      <c r="G224" s="122"/>
      <c r="H224" s="122"/>
      <c r="I224" s="122"/>
      <c r="J224" s="123"/>
      <c r="K224" s="121"/>
      <c r="L224" s="123"/>
      <c r="M224" s="252"/>
    </row>
    <row r="225" spans="2:13" s="2" customFormat="1" ht="31.5" customHeight="1">
      <c r="B225" s="43"/>
      <c r="C225" s="91" t="s">
        <v>104</v>
      </c>
      <c r="D225" s="124" t="s">
        <v>83</v>
      </c>
      <c r="E225" s="123">
        <f>2.1/100</f>
        <v>2.1000000000000001E-2</v>
      </c>
      <c r="F225" s="121">
        <f t="shared" si="7"/>
        <v>2.3520000000000003</v>
      </c>
      <c r="G225" s="122"/>
      <c r="H225" s="122"/>
      <c r="I225" s="122"/>
      <c r="J225" s="123"/>
      <c r="K225" s="121"/>
      <c r="L225" s="123"/>
      <c r="M225" s="252"/>
    </row>
    <row r="226" spans="2:13" s="2" customFormat="1" ht="24.95" customHeight="1">
      <c r="B226" s="43"/>
      <c r="C226" s="91" t="s">
        <v>105</v>
      </c>
      <c r="D226" s="124" t="s">
        <v>83</v>
      </c>
      <c r="E226" s="123">
        <f>0.97/100</f>
        <v>9.7000000000000003E-3</v>
      </c>
      <c r="F226" s="121">
        <f t="shared" si="7"/>
        <v>1.0864</v>
      </c>
      <c r="G226" s="122"/>
      <c r="H226" s="122"/>
      <c r="I226" s="122"/>
      <c r="J226" s="123"/>
      <c r="K226" s="121"/>
      <c r="L226" s="123"/>
      <c r="M226" s="252"/>
    </row>
    <row r="227" spans="2:13" s="2" customFormat="1" ht="24.95" customHeight="1">
      <c r="B227" s="43"/>
      <c r="C227" s="91" t="s">
        <v>153</v>
      </c>
      <c r="D227" s="124" t="s">
        <v>81</v>
      </c>
      <c r="E227" s="123">
        <f>122/100</f>
        <v>1.22</v>
      </c>
      <c r="F227" s="121">
        <f t="shared" si="7"/>
        <v>136.63999999999999</v>
      </c>
      <c r="G227" s="122"/>
      <c r="H227" s="122"/>
      <c r="I227" s="122"/>
      <c r="J227" s="123"/>
      <c r="K227" s="121"/>
      <c r="L227" s="123"/>
      <c r="M227" s="252"/>
    </row>
    <row r="228" spans="2:13" s="2" customFormat="1" ht="24.95" customHeight="1">
      <c r="B228" s="43"/>
      <c r="C228" s="91" t="s">
        <v>102</v>
      </c>
      <c r="D228" s="124" t="s">
        <v>81</v>
      </c>
      <c r="E228" s="123">
        <f>7/100</f>
        <v>7.0000000000000007E-2</v>
      </c>
      <c r="F228" s="121">
        <f t="shared" si="7"/>
        <v>7.8400000000000007</v>
      </c>
      <c r="G228" s="122"/>
      <c r="H228" s="122"/>
      <c r="I228" s="122"/>
      <c r="J228" s="123"/>
      <c r="K228" s="121"/>
      <c r="L228" s="123"/>
      <c r="M228" s="252"/>
    </row>
    <row r="229" spans="2:13" s="2" customFormat="1" ht="45" customHeight="1">
      <c r="B229" s="36">
        <v>2</v>
      </c>
      <c r="C229" s="116" t="s">
        <v>154</v>
      </c>
      <c r="D229" s="133" t="s">
        <v>155</v>
      </c>
      <c r="E229" s="134"/>
      <c r="F229" s="130">
        <f>45/100</f>
        <v>0.45</v>
      </c>
      <c r="G229" s="135"/>
      <c r="H229" s="135"/>
      <c r="I229" s="135"/>
      <c r="J229" s="135"/>
      <c r="K229" s="135"/>
      <c r="L229" s="135"/>
      <c r="M229" s="252"/>
    </row>
    <row r="230" spans="2:13" s="2" customFormat="1" ht="24.95" customHeight="1">
      <c r="B230" s="43"/>
      <c r="C230" s="55" t="s">
        <v>84</v>
      </c>
      <c r="D230" s="56" t="s">
        <v>85</v>
      </c>
      <c r="E230" s="123">
        <v>187</v>
      </c>
      <c r="F230" s="121">
        <f>F$229*E230</f>
        <v>84.15</v>
      </c>
      <c r="G230" s="122"/>
      <c r="H230" s="122"/>
      <c r="I230" s="122"/>
      <c r="J230" s="123"/>
      <c r="K230" s="121"/>
      <c r="L230" s="123"/>
      <c r="M230" s="252"/>
    </row>
    <row r="231" spans="2:13" s="2" customFormat="1" ht="24.95" customHeight="1">
      <c r="B231" s="43"/>
      <c r="C231" s="125" t="s">
        <v>86</v>
      </c>
      <c r="D231" s="124" t="s">
        <v>87</v>
      </c>
      <c r="E231" s="123">
        <v>77</v>
      </c>
      <c r="F231" s="121">
        <f t="shared" ref="F231:F235" si="8">F$229*E231</f>
        <v>34.65</v>
      </c>
      <c r="G231" s="122"/>
      <c r="H231" s="122"/>
      <c r="I231" s="122"/>
      <c r="J231" s="123"/>
      <c r="K231" s="121"/>
      <c r="L231" s="123"/>
      <c r="M231" s="252"/>
    </row>
    <row r="232" spans="2:13" s="2" customFormat="1" ht="24.95" customHeight="1">
      <c r="B232" s="43"/>
      <c r="C232" s="125" t="s">
        <v>156</v>
      </c>
      <c r="D232" s="124" t="s">
        <v>81</v>
      </c>
      <c r="E232" s="123">
        <v>101.5</v>
      </c>
      <c r="F232" s="121">
        <f t="shared" si="8"/>
        <v>45.675000000000004</v>
      </c>
      <c r="G232" s="122"/>
      <c r="H232" s="122"/>
      <c r="I232" s="122"/>
      <c r="J232" s="123"/>
      <c r="K232" s="121"/>
      <c r="L232" s="123"/>
      <c r="M232" s="252"/>
    </row>
    <row r="233" spans="2:13" s="2" customFormat="1" ht="24.95" customHeight="1">
      <c r="B233" s="43"/>
      <c r="C233" s="125" t="s">
        <v>108</v>
      </c>
      <c r="D233" s="124" t="s">
        <v>88</v>
      </c>
      <c r="E233" s="123">
        <v>7.54</v>
      </c>
      <c r="F233" s="121">
        <f t="shared" si="8"/>
        <v>3.3930000000000002</v>
      </c>
      <c r="G233" s="122"/>
      <c r="H233" s="122"/>
      <c r="I233" s="122"/>
      <c r="J233" s="123"/>
      <c r="K233" s="121"/>
      <c r="L233" s="123"/>
      <c r="M233" s="252"/>
    </row>
    <row r="234" spans="2:13" s="2" customFormat="1" ht="24.95" customHeight="1">
      <c r="B234" s="43"/>
      <c r="C234" s="125" t="s">
        <v>157</v>
      </c>
      <c r="D234" s="124" t="s">
        <v>81</v>
      </c>
      <c r="E234" s="123">
        <v>0.08</v>
      </c>
      <c r="F234" s="121">
        <f t="shared" si="8"/>
        <v>3.6000000000000004E-2</v>
      </c>
      <c r="G234" s="122"/>
      <c r="H234" s="122"/>
      <c r="I234" s="122"/>
      <c r="J234" s="123"/>
      <c r="K234" s="121"/>
      <c r="L234" s="123"/>
      <c r="M234" s="252"/>
    </row>
    <row r="235" spans="2:13" s="2" customFormat="1" ht="24.95" customHeight="1">
      <c r="B235" s="43"/>
      <c r="C235" s="125" t="s">
        <v>92</v>
      </c>
      <c r="D235" s="124" t="s">
        <v>87</v>
      </c>
      <c r="E235" s="123">
        <v>7</v>
      </c>
      <c r="F235" s="121">
        <f t="shared" si="8"/>
        <v>3.15</v>
      </c>
      <c r="G235" s="122"/>
      <c r="H235" s="122"/>
      <c r="I235" s="122"/>
      <c r="J235" s="123"/>
      <c r="K235" s="121"/>
      <c r="L235" s="123"/>
      <c r="M235" s="252"/>
    </row>
    <row r="236" spans="2:13" s="2" customFormat="1" ht="37.5" customHeight="1">
      <c r="B236" s="82">
        <v>3</v>
      </c>
      <c r="C236" s="169" t="s">
        <v>158</v>
      </c>
      <c r="D236" s="83" t="s">
        <v>89</v>
      </c>
      <c r="E236" s="84"/>
      <c r="F236" s="170">
        <v>0.26500000000000001</v>
      </c>
      <c r="G236" s="85"/>
      <c r="H236" s="85"/>
      <c r="I236" s="85"/>
      <c r="J236" s="84"/>
      <c r="K236" s="85"/>
      <c r="L236" s="84"/>
      <c r="M236" s="282"/>
    </row>
    <row r="237" spans="2:13" s="2" customFormat="1" ht="24.95" customHeight="1">
      <c r="B237" s="82"/>
      <c r="C237" s="138" t="s">
        <v>84</v>
      </c>
      <c r="D237" s="120" t="s">
        <v>85</v>
      </c>
      <c r="E237" s="64">
        <v>47.8</v>
      </c>
      <c r="F237" s="90">
        <f>F$236*E237</f>
        <v>12.667</v>
      </c>
      <c r="G237" s="122"/>
      <c r="H237" s="122"/>
      <c r="I237" s="123"/>
      <c r="J237" s="123"/>
      <c r="K237" s="123"/>
      <c r="L237" s="123"/>
      <c r="M237" s="283"/>
    </row>
    <row r="238" spans="2:13" s="2" customFormat="1" ht="24.95" customHeight="1">
      <c r="B238" s="43"/>
      <c r="C238" s="138" t="s">
        <v>159</v>
      </c>
      <c r="D238" s="120" t="s">
        <v>87</v>
      </c>
      <c r="E238" s="139">
        <v>0.39400000000000002</v>
      </c>
      <c r="F238" s="90">
        <f t="shared" ref="F238:F240" si="9">F$236*E238</f>
        <v>0.10441</v>
      </c>
      <c r="G238" s="122"/>
      <c r="H238" s="122"/>
      <c r="I238" s="122"/>
      <c r="J238" s="123"/>
      <c r="K238" s="64"/>
      <c r="L238" s="123"/>
      <c r="M238" s="283"/>
    </row>
    <row r="239" spans="2:13" s="2" customFormat="1" ht="24.95" customHeight="1">
      <c r="B239" s="284"/>
      <c r="C239" s="138" t="s">
        <v>160</v>
      </c>
      <c r="D239" s="120" t="s">
        <v>89</v>
      </c>
      <c r="E239" s="64">
        <v>1.03</v>
      </c>
      <c r="F239" s="90">
        <f t="shared" si="9"/>
        <v>0.27295000000000003</v>
      </c>
      <c r="G239" s="122"/>
      <c r="H239" s="122"/>
      <c r="I239" s="64"/>
      <c r="J239" s="123"/>
      <c r="K239" s="121"/>
      <c r="L239" s="123"/>
      <c r="M239" s="283"/>
    </row>
    <row r="240" spans="2:13" s="2" customFormat="1" ht="24.95" customHeight="1">
      <c r="B240" s="284"/>
      <c r="C240" s="138" t="s">
        <v>161</v>
      </c>
      <c r="D240" s="120" t="s">
        <v>89</v>
      </c>
      <c r="E240" s="139">
        <v>6.0000000000000001E-3</v>
      </c>
      <c r="F240" s="90">
        <f t="shared" si="9"/>
        <v>1.5900000000000001E-3</v>
      </c>
      <c r="G240" s="122"/>
      <c r="H240" s="122"/>
      <c r="I240" s="64"/>
      <c r="J240" s="123"/>
      <c r="K240" s="121"/>
      <c r="L240" s="123"/>
      <c r="M240" s="283"/>
    </row>
    <row r="241" spans="2:252" s="2" customFormat="1" ht="50.25" customHeight="1">
      <c r="B241" s="36">
        <v>4</v>
      </c>
      <c r="C241" s="169" t="s">
        <v>251</v>
      </c>
      <c r="D241" s="136" t="s">
        <v>162</v>
      </c>
      <c r="E241" s="137"/>
      <c r="F241" s="84">
        <f>450/100</f>
        <v>4.5</v>
      </c>
      <c r="G241" s="122"/>
      <c r="H241" s="122"/>
      <c r="I241" s="122"/>
      <c r="J241" s="123"/>
      <c r="K241" s="121"/>
      <c r="L241" s="123"/>
      <c r="M241" s="252"/>
      <c r="N241" s="2">
        <f>450*0.04</f>
        <v>18</v>
      </c>
    </row>
    <row r="242" spans="2:252" s="2" customFormat="1" ht="24.95" customHeight="1">
      <c r="B242" s="43"/>
      <c r="C242" s="55" t="s">
        <v>84</v>
      </c>
      <c r="D242" s="56" t="s">
        <v>85</v>
      </c>
      <c r="E242" s="123">
        <f>29.4+0.46*4</f>
        <v>31.24</v>
      </c>
      <c r="F242" s="121">
        <f>F$241*E242</f>
        <v>140.57999999999998</v>
      </c>
      <c r="G242" s="122"/>
      <c r="H242" s="122"/>
      <c r="I242" s="122"/>
      <c r="J242" s="123"/>
      <c r="K242" s="121"/>
      <c r="L242" s="123"/>
      <c r="M242" s="252"/>
    </row>
    <row r="243" spans="2:252" s="2" customFormat="1" ht="24.95" customHeight="1">
      <c r="B243" s="43"/>
      <c r="C243" s="125" t="s">
        <v>86</v>
      </c>
      <c r="D243" s="124" t="s">
        <v>87</v>
      </c>
      <c r="E243" s="123">
        <f>1.12+0.28*4</f>
        <v>2.2400000000000002</v>
      </c>
      <c r="F243" s="121">
        <f t="shared" ref="F243:F245" si="10">F$241*E243</f>
        <v>10.080000000000002</v>
      </c>
      <c r="G243" s="122"/>
      <c r="H243" s="122"/>
      <c r="I243" s="122"/>
      <c r="J243" s="123"/>
      <c r="K243" s="121"/>
      <c r="L243" s="123"/>
      <c r="M243" s="252"/>
    </row>
    <row r="244" spans="2:252" s="2" customFormat="1" ht="24.95" customHeight="1">
      <c r="B244" s="43"/>
      <c r="C244" s="125" t="s">
        <v>138</v>
      </c>
      <c r="D244" s="124" t="s">
        <v>81</v>
      </c>
      <c r="E244" s="123">
        <f>2.04+0.51*4</f>
        <v>4.08</v>
      </c>
      <c r="F244" s="121">
        <f t="shared" si="10"/>
        <v>18.36</v>
      </c>
      <c r="G244" s="122"/>
      <c r="H244" s="122"/>
      <c r="I244" s="122"/>
      <c r="J244" s="123"/>
      <c r="K244" s="121"/>
      <c r="L244" s="123"/>
      <c r="M244" s="252"/>
    </row>
    <row r="245" spans="2:252" s="2" customFormat="1" ht="24.95" customHeight="1">
      <c r="B245" s="43"/>
      <c r="C245" s="125" t="s">
        <v>92</v>
      </c>
      <c r="D245" s="124" t="s">
        <v>87</v>
      </c>
      <c r="E245" s="123">
        <v>6.36</v>
      </c>
      <c r="F245" s="121">
        <f t="shared" si="10"/>
        <v>28.62</v>
      </c>
      <c r="G245" s="122"/>
      <c r="H245" s="122"/>
      <c r="I245" s="122"/>
      <c r="J245" s="123"/>
      <c r="K245" s="121"/>
      <c r="L245" s="123"/>
      <c r="M245" s="252"/>
    </row>
    <row r="246" spans="2:252" s="213" customFormat="1" ht="34.5" customHeight="1">
      <c r="B246" s="272">
        <v>5</v>
      </c>
      <c r="C246" s="66" t="s">
        <v>23</v>
      </c>
      <c r="D246" s="141" t="s">
        <v>88</v>
      </c>
      <c r="E246" s="142"/>
      <c r="F246" s="130">
        <v>450</v>
      </c>
      <c r="G246" s="143"/>
      <c r="H246" s="143"/>
      <c r="I246" s="143"/>
      <c r="J246" s="142"/>
      <c r="K246" s="143"/>
      <c r="L246" s="142"/>
      <c r="M246" s="266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  <c r="AA246" s="212"/>
      <c r="AB246" s="212"/>
      <c r="AC246" s="212"/>
      <c r="AD246" s="212"/>
      <c r="AE246" s="212"/>
      <c r="AF246" s="212"/>
      <c r="AG246" s="212"/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  <c r="BI246" s="212"/>
      <c r="BJ246" s="212"/>
      <c r="BK246" s="212"/>
      <c r="BL246" s="212"/>
      <c r="BM246" s="212"/>
      <c r="BN246" s="212"/>
      <c r="BO246" s="212"/>
      <c r="BP246" s="212"/>
      <c r="BQ246" s="212"/>
      <c r="BR246" s="212"/>
      <c r="BS246" s="212"/>
      <c r="BT246" s="212"/>
      <c r="BU246" s="212"/>
      <c r="BV246" s="212"/>
      <c r="BW246" s="212"/>
      <c r="BX246" s="212"/>
      <c r="BY246" s="212"/>
      <c r="BZ246" s="212"/>
      <c r="CA246" s="212"/>
      <c r="CB246" s="212"/>
      <c r="CC246" s="212"/>
      <c r="CD246" s="212"/>
      <c r="CE246" s="212"/>
      <c r="CF246" s="212"/>
      <c r="CG246" s="212"/>
      <c r="CH246" s="212"/>
      <c r="CI246" s="212"/>
      <c r="CJ246" s="212"/>
      <c r="CK246" s="212"/>
      <c r="CL246" s="212"/>
      <c r="CM246" s="212"/>
      <c r="CN246" s="212"/>
      <c r="CO246" s="212"/>
      <c r="CP246" s="212"/>
      <c r="CQ246" s="212"/>
      <c r="CR246" s="212"/>
      <c r="CS246" s="212"/>
      <c r="CT246" s="212"/>
      <c r="CU246" s="212"/>
      <c r="CV246" s="212"/>
      <c r="CW246" s="212"/>
      <c r="CX246" s="212"/>
      <c r="CY246" s="212"/>
      <c r="CZ246" s="212"/>
      <c r="DA246" s="212"/>
      <c r="DB246" s="212"/>
      <c r="DC246" s="212"/>
      <c r="DD246" s="212"/>
      <c r="DE246" s="212"/>
      <c r="DF246" s="212"/>
      <c r="DG246" s="212"/>
      <c r="DH246" s="212"/>
      <c r="DI246" s="212"/>
      <c r="DJ246" s="212"/>
      <c r="DK246" s="212"/>
      <c r="DL246" s="212"/>
      <c r="DM246" s="212"/>
      <c r="DN246" s="212"/>
      <c r="DO246" s="212"/>
      <c r="DP246" s="212"/>
      <c r="DQ246" s="212"/>
      <c r="DR246" s="212"/>
      <c r="DS246" s="212"/>
      <c r="DT246" s="212"/>
      <c r="DU246" s="212"/>
      <c r="DV246" s="212"/>
      <c r="DW246" s="212"/>
      <c r="DX246" s="212"/>
      <c r="DY246" s="212"/>
      <c r="DZ246" s="212"/>
      <c r="EA246" s="212"/>
      <c r="EB246" s="212"/>
      <c r="EC246" s="212"/>
      <c r="ED246" s="212"/>
      <c r="EE246" s="212"/>
      <c r="EF246" s="212"/>
      <c r="EG246" s="212"/>
      <c r="EH246" s="212"/>
      <c r="EI246" s="212"/>
      <c r="EJ246" s="212"/>
      <c r="EK246" s="212"/>
      <c r="EL246" s="212"/>
      <c r="EM246" s="212"/>
      <c r="EN246" s="212"/>
      <c r="EO246" s="212"/>
      <c r="EP246" s="212"/>
      <c r="EQ246" s="212"/>
      <c r="ER246" s="212"/>
      <c r="ES246" s="212"/>
      <c r="ET246" s="212"/>
      <c r="EU246" s="212"/>
      <c r="EV246" s="212"/>
      <c r="EW246" s="212"/>
      <c r="EX246" s="212"/>
      <c r="EY246" s="212"/>
      <c r="EZ246" s="212"/>
      <c r="FA246" s="212"/>
      <c r="FB246" s="212"/>
      <c r="FC246" s="212"/>
      <c r="FD246" s="212"/>
      <c r="FE246" s="212"/>
      <c r="FF246" s="212"/>
      <c r="FG246" s="212"/>
      <c r="FH246" s="212"/>
      <c r="FI246" s="212"/>
      <c r="FJ246" s="212"/>
      <c r="FK246" s="212"/>
      <c r="FL246" s="212"/>
      <c r="FM246" s="212"/>
      <c r="FN246" s="212"/>
      <c r="FO246" s="212"/>
      <c r="FP246" s="212"/>
      <c r="FQ246" s="212"/>
      <c r="FR246" s="212"/>
      <c r="FS246" s="212"/>
      <c r="FT246" s="212"/>
      <c r="FU246" s="212"/>
      <c r="FV246" s="212"/>
      <c r="FW246" s="212"/>
      <c r="FX246" s="212"/>
      <c r="FY246" s="212"/>
      <c r="FZ246" s="212"/>
      <c r="GA246" s="212"/>
      <c r="GB246" s="212"/>
      <c r="GC246" s="212"/>
      <c r="GD246" s="212"/>
      <c r="GE246" s="212"/>
      <c r="GF246" s="212"/>
      <c r="GG246" s="212"/>
      <c r="GH246" s="212"/>
      <c r="GI246" s="212"/>
      <c r="GJ246" s="212"/>
      <c r="GK246" s="212"/>
      <c r="GL246" s="212"/>
      <c r="GM246" s="212"/>
      <c r="GN246" s="212"/>
      <c r="GO246" s="212"/>
      <c r="GP246" s="212"/>
      <c r="GQ246" s="212"/>
      <c r="GR246" s="212"/>
      <c r="GS246" s="212"/>
      <c r="GT246" s="212"/>
      <c r="GU246" s="212"/>
      <c r="GV246" s="212"/>
      <c r="GW246" s="212"/>
      <c r="GX246" s="212"/>
      <c r="GY246" s="212"/>
      <c r="GZ246" s="212"/>
      <c r="HA246" s="212"/>
      <c r="HB246" s="212"/>
      <c r="HC246" s="212"/>
      <c r="HD246" s="212"/>
      <c r="HE246" s="212"/>
      <c r="HF246" s="212"/>
      <c r="HG246" s="212"/>
      <c r="HH246" s="212"/>
      <c r="HI246" s="212"/>
      <c r="HJ246" s="212"/>
      <c r="HK246" s="212"/>
      <c r="HL246" s="212"/>
      <c r="HM246" s="212"/>
      <c r="HN246" s="212"/>
      <c r="HO246" s="212"/>
      <c r="HP246" s="212"/>
      <c r="HQ246" s="212"/>
      <c r="HR246" s="212"/>
      <c r="HS246" s="212"/>
      <c r="HT246" s="212"/>
      <c r="HU246" s="212"/>
      <c r="HV246" s="212"/>
      <c r="HW246" s="212"/>
      <c r="HX246" s="212"/>
      <c r="HY246" s="212"/>
      <c r="HZ246" s="212"/>
      <c r="IA246" s="212"/>
      <c r="IB246" s="212"/>
      <c r="IC246" s="212"/>
      <c r="ID246" s="212"/>
      <c r="IE246" s="212"/>
      <c r="IF246" s="212"/>
      <c r="IG246" s="212"/>
      <c r="IH246" s="212"/>
      <c r="II246" s="212"/>
      <c r="IJ246" s="212"/>
      <c r="IK246" s="212"/>
      <c r="IL246" s="212"/>
      <c r="IM246" s="212"/>
      <c r="IN246" s="212"/>
      <c r="IO246" s="212"/>
      <c r="IP246" s="212"/>
      <c r="IQ246" s="212"/>
      <c r="IR246" s="212"/>
    </row>
    <row r="247" spans="2:252" s="213" customFormat="1" ht="24.95" customHeight="1">
      <c r="B247" s="273"/>
      <c r="C247" s="55" t="s">
        <v>84</v>
      </c>
      <c r="D247" s="56" t="s">
        <v>88</v>
      </c>
      <c r="E247" s="123">
        <v>1</v>
      </c>
      <c r="F247" s="144">
        <f>F246*E247</f>
        <v>450</v>
      </c>
      <c r="G247" s="122"/>
      <c r="H247" s="122"/>
      <c r="I247" s="122"/>
      <c r="J247" s="123"/>
      <c r="K247" s="121"/>
      <c r="L247" s="123"/>
      <c r="M247" s="252"/>
    </row>
    <row r="248" spans="2:252" s="213" customFormat="1" ht="24.95" customHeight="1">
      <c r="B248" s="274"/>
      <c r="C248" s="174" t="s">
        <v>229</v>
      </c>
      <c r="D248" s="145" t="s">
        <v>88</v>
      </c>
      <c r="E248" s="123">
        <v>1</v>
      </c>
      <c r="F248" s="144">
        <f>F246*E248</f>
        <v>450</v>
      </c>
      <c r="G248" s="122"/>
      <c r="H248" s="122"/>
      <c r="I248" s="122"/>
      <c r="J248" s="123"/>
      <c r="K248" s="121"/>
      <c r="L248" s="123"/>
      <c r="M248" s="252"/>
    </row>
    <row r="249" spans="2:252" ht="29.25" customHeight="1">
      <c r="B249" s="352" t="s">
        <v>318</v>
      </c>
      <c r="C249" s="353"/>
      <c r="D249" s="353"/>
      <c r="E249" s="353"/>
      <c r="F249" s="353"/>
      <c r="G249" s="122"/>
      <c r="H249" s="122"/>
      <c r="I249" s="122"/>
      <c r="J249" s="123"/>
      <c r="K249" s="121"/>
      <c r="L249" s="123"/>
      <c r="M249" s="252"/>
    </row>
    <row r="250" spans="2:252" s="2" customFormat="1" ht="57.75" customHeight="1">
      <c r="B250" s="36">
        <v>1</v>
      </c>
      <c r="C250" s="169" t="s">
        <v>163</v>
      </c>
      <c r="D250" s="136" t="s">
        <v>89</v>
      </c>
      <c r="E250" s="129"/>
      <c r="F250" s="154">
        <v>12.4</v>
      </c>
      <c r="G250" s="122"/>
      <c r="H250" s="122"/>
      <c r="I250" s="122"/>
      <c r="J250" s="123"/>
      <c r="K250" s="121"/>
      <c r="L250" s="123"/>
      <c r="M250" s="252"/>
    </row>
    <row r="251" spans="2:252" s="2" customFormat="1" ht="24.95" customHeight="1">
      <c r="B251" s="43"/>
      <c r="C251" s="55" t="s">
        <v>84</v>
      </c>
      <c r="D251" s="56" t="s">
        <v>85</v>
      </c>
      <c r="E251" s="123">
        <v>32.9</v>
      </c>
      <c r="F251" s="121">
        <f>F250*E251</f>
        <v>407.96</v>
      </c>
      <c r="G251" s="122"/>
      <c r="H251" s="122"/>
      <c r="I251" s="122"/>
      <c r="J251" s="123"/>
      <c r="K251" s="121"/>
      <c r="L251" s="123"/>
      <c r="M251" s="252"/>
    </row>
    <row r="252" spans="2:252" s="2" customFormat="1" ht="33.75" customHeight="1">
      <c r="B252" s="43"/>
      <c r="C252" s="125" t="s">
        <v>164</v>
      </c>
      <c r="D252" s="124" t="s">
        <v>83</v>
      </c>
      <c r="E252" s="123">
        <v>0.35</v>
      </c>
      <c r="F252" s="121">
        <f>F250*E252</f>
        <v>4.34</v>
      </c>
      <c r="G252" s="122"/>
      <c r="H252" s="122"/>
      <c r="I252" s="122"/>
      <c r="J252" s="123"/>
      <c r="K252" s="121"/>
      <c r="L252" s="123"/>
      <c r="M252" s="252"/>
    </row>
    <row r="253" spans="2:252" s="2" customFormat="1" ht="24.95" customHeight="1">
      <c r="B253" s="43"/>
      <c r="C253" s="125" t="s">
        <v>86</v>
      </c>
      <c r="D253" s="124" t="s">
        <v>87</v>
      </c>
      <c r="E253" s="123">
        <v>13.9</v>
      </c>
      <c r="F253" s="121">
        <f>F250*E253</f>
        <v>172.36</v>
      </c>
      <c r="G253" s="122"/>
      <c r="H253" s="122"/>
      <c r="I253" s="122"/>
      <c r="J253" s="123"/>
      <c r="K253" s="121"/>
      <c r="L253" s="123"/>
      <c r="M253" s="252"/>
    </row>
    <row r="254" spans="2:252" s="2" customFormat="1" ht="24.95" customHeight="1">
      <c r="B254" s="43"/>
      <c r="C254" s="125" t="s">
        <v>227</v>
      </c>
      <c r="D254" s="124" t="s">
        <v>166</v>
      </c>
      <c r="E254" s="123" t="s">
        <v>167</v>
      </c>
      <c r="F254" s="121">
        <v>16</v>
      </c>
      <c r="G254" s="122"/>
      <c r="H254" s="122"/>
      <c r="I254" s="123"/>
      <c r="J254" s="123"/>
      <c r="K254" s="121"/>
      <c r="L254" s="123"/>
      <c r="M254" s="252"/>
      <c r="N254" s="2">
        <v>18.84</v>
      </c>
      <c r="O254" s="2">
        <f t="shared" ref="O254:O259" si="11">F254*N254</f>
        <v>301.44</v>
      </c>
    </row>
    <row r="255" spans="2:252" s="2" customFormat="1" ht="24.95" customHeight="1">
      <c r="B255" s="43"/>
      <c r="C255" s="125" t="s">
        <v>165</v>
      </c>
      <c r="D255" s="124" t="s">
        <v>166</v>
      </c>
      <c r="E255" s="123" t="s">
        <v>167</v>
      </c>
      <c r="F255" s="121">
        <v>620</v>
      </c>
      <c r="G255" s="122"/>
      <c r="H255" s="122"/>
      <c r="I255" s="123"/>
      <c r="J255" s="123"/>
      <c r="K255" s="121"/>
      <c r="L255" s="123"/>
      <c r="M255" s="252"/>
      <c r="N255" s="2">
        <v>10.050000000000001</v>
      </c>
      <c r="O255" s="2">
        <f t="shared" si="11"/>
        <v>6231</v>
      </c>
    </row>
    <row r="256" spans="2:252" s="2" customFormat="1" ht="24.95" customHeight="1">
      <c r="B256" s="43"/>
      <c r="C256" s="125" t="s">
        <v>168</v>
      </c>
      <c r="D256" s="124" t="s">
        <v>166</v>
      </c>
      <c r="E256" s="123" t="s">
        <v>167</v>
      </c>
      <c r="F256" s="121">
        <v>2150</v>
      </c>
      <c r="G256" s="122"/>
      <c r="H256" s="122"/>
      <c r="I256" s="123"/>
      <c r="J256" s="123"/>
      <c r="K256" s="121"/>
      <c r="L256" s="123"/>
      <c r="M256" s="252"/>
      <c r="N256" s="2">
        <v>3.77</v>
      </c>
      <c r="O256" s="2">
        <f t="shared" si="11"/>
        <v>8105.5</v>
      </c>
    </row>
    <row r="257" spans="2:15" s="2" customFormat="1" ht="24.95" customHeight="1">
      <c r="B257" s="43"/>
      <c r="C257" s="125" t="s">
        <v>319</v>
      </c>
      <c r="D257" s="124" t="s">
        <v>166</v>
      </c>
      <c r="E257" s="123" t="s">
        <v>167</v>
      </c>
      <c r="F257" s="121">
        <v>25</v>
      </c>
      <c r="G257" s="122"/>
      <c r="H257" s="122"/>
      <c r="I257" s="123"/>
      <c r="J257" s="123"/>
      <c r="K257" s="121"/>
      <c r="L257" s="123"/>
      <c r="M257" s="252"/>
      <c r="N257" s="2">
        <v>1.9</v>
      </c>
      <c r="O257" s="2">
        <f t="shared" si="11"/>
        <v>47.5</v>
      </c>
    </row>
    <row r="258" spans="2:15" s="2" customFormat="1" ht="24.95" customHeight="1">
      <c r="B258" s="43"/>
      <c r="C258" s="125" t="s">
        <v>313</v>
      </c>
      <c r="D258" s="124" t="s">
        <v>166</v>
      </c>
      <c r="E258" s="123" t="s">
        <v>167</v>
      </c>
      <c r="F258" s="121">
        <v>95</v>
      </c>
      <c r="G258" s="122"/>
      <c r="H258" s="122"/>
      <c r="I258" s="123"/>
      <c r="J258" s="123"/>
      <c r="K258" s="121"/>
      <c r="L258" s="123"/>
      <c r="M258" s="252"/>
      <c r="N258" s="2">
        <v>0.89</v>
      </c>
      <c r="O258" s="2">
        <f t="shared" si="11"/>
        <v>84.55</v>
      </c>
    </row>
    <row r="259" spans="2:15" s="2" customFormat="1" ht="24.95" customHeight="1">
      <c r="B259" s="43"/>
      <c r="C259" s="125" t="s">
        <v>169</v>
      </c>
      <c r="D259" s="124" t="s">
        <v>88</v>
      </c>
      <c r="E259" s="123" t="s">
        <v>167</v>
      </c>
      <c r="F259" s="121">
        <v>1.3</v>
      </c>
      <c r="G259" s="122"/>
      <c r="H259" s="122"/>
      <c r="I259" s="123"/>
      <c r="J259" s="123"/>
      <c r="K259" s="121"/>
      <c r="L259" s="123"/>
      <c r="M259" s="252"/>
      <c r="N259" s="2">
        <f>0.03*7850</f>
        <v>235.5</v>
      </c>
      <c r="O259" s="2">
        <f t="shared" si="11"/>
        <v>306.15000000000003</v>
      </c>
    </row>
    <row r="260" spans="2:15" s="2" customFormat="1" ht="24.95" customHeight="1">
      <c r="B260" s="43"/>
      <c r="C260" s="125" t="s">
        <v>90</v>
      </c>
      <c r="D260" s="124" t="s">
        <v>91</v>
      </c>
      <c r="E260" s="123">
        <v>4.78</v>
      </c>
      <c r="F260" s="121">
        <f>F250*E260</f>
        <v>59.272000000000006</v>
      </c>
      <c r="G260" s="122"/>
      <c r="H260" s="122"/>
      <c r="I260" s="122"/>
      <c r="J260" s="123"/>
      <c r="K260" s="121"/>
      <c r="L260" s="123"/>
      <c r="M260" s="252"/>
      <c r="O260" s="2">
        <f>SUM(O254:O259)</f>
        <v>15076.139999999998</v>
      </c>
    </row>
    <row r="261" spans="2:15" s="2" customFormat="1" ht="24.95" customHeight="1">
      <c r="B261" s="43"/>
      <c r="C261" s="125" t="s">
        <v>92</v>
      </c>
      <c r="D261" s="124" t="s">
        <v>87</v>
      </c>
      <c r="E261" s="123">
        <v>2.78</v>
      </c>
      <c r="F261" s="121">
        <f>F250*E261</f>
        <v>34.472000000000001</v>
      </c>
      <c r="G261" s="122"/>
      <c r="H261" s="122"/>
      <c r="I261" s="122"/>
      <c r="J261" s="123"/>
      <c r="K261" s="121"/>
      <c r="L261" s="123"/>
      <c r="M261" s="252"/>
      <c r="O261" s="2">
        <f>O260*1.03</f>
        <v>15528.424199999998</v>
      </c>
    </row>
    <row r="262" spans="2:15" s="2" customFormat="1" ht="46.5" customHeight="1">
      <c r="B262" s="82">
        <v>2</v>
      </c>
      <c r="C262" s="66" t="s">
        <v>252</v>
      </c>
      <c r="D262" s="83" t="s">
        <v>89</v>
      </c>
      <c r="E262" s="84"/>
      <c r="F262" s="170">
        <f>0.89*3.6/1000</f>
        <v>3.2040000000000003E-3</v>
      </c>
      <c r="G262" s="85"/>
      <c r="H262" s="85"/>
      <c r="I262" s="85"/>
      <c r="J262" s="84"/>
      <c r="K262" s="85"/>
      <c r="L262" s="84"/>
      <c r="M262" s="282"/>
    </row>
    <row r="263" spans="2:15" s="2" customFormat="1" ht="24.95" customHeight="1">
      <c r="B263" s="82"/>
      <c r="C263" s="138" t="s">
        <v>84</v>
      </c>
      <c r="D263" s="120" t="s">
        <v>85</v>
      </c>
      <c r="E263" s="64">
        <v>47.8</v>
      </c>
      <c r="F263" s="90">
        <f>F$262*E263</f>
        <v>0.15315120000000002</v>
      </c>
      <c r="G263" s="122"/>
      <c r="H263" s="122"/>
      <c r="I263" s="123"/>
      <c r="J263" s="123"/>
      <c r="K263" s="123"/>
      <c r="L263" s="123"/>
      <c r="M263" s="283"/>
    </row>
    <row r="264" spans="2:15" s="2" customFormat="1" ht="24.95" customHeight="1">
      <c r="B264" s="43"/>
      <c r="C264" s="138" t="s">
        <v>159</v>
      </c>
      <c r="D264" s="120" t="s">
        <v>87</v>
      </c>
      <c r="E264" s="139">
        <v>0.39400000000000002</v>
      </c>
      <c r="F264" s="140">
        <f t="shared" ref="F264:F266" si="12">F$262*E264</f>
        <v>1.2623760000000002E-3</v>
      </c>
      <c r="G264" s="122"/>
      <c r="H264" s="122"/>
      <c r="I264" s="122"/>
      <c r="J264" s="123"/>
      <c r="K264" s="64"/>
      <c r="L264" s="123"/>
      <c r="M264" s="283"/>
    </row>
    <row r="265" spans="2:15" s="2" customFormat="1" ht="24.95" customHeight="1">
      <c r="B265" s="284"/>
      <c r="C265" s="138" t="s">
        <v>210</v>
      </c>
      <c r="D265" s="120" t="s">
        <v>89</v>
      </c>
      <c r="E265" s="64">
        <v>1.03</v>
      </c>
      <c r="F265" s="140">
        <f t="shared" si="12"/>
        <v>3.3001200000000001E-3</v>
      </c>
      <c r="G265" s="122"/>
      <c r="H265" s="122"/>
      <c r="I265" s="64"/>
      <c r="J265" s="123"/>
      <c r="K265" s="64"/>
      <c r="L265" s="123"/>
      <c r="M265" s="283"/>
    </row>
    <row r="266" spans="2:15" s="2" customFormat="1" ht="24.95" customHeight="1">
      <c r="B266" s="284"/>
      <c r="C266" s="138" t="s">
        <v>161</v>
      </c>
      <c r="D266" s="120" t="s">
        <v>89</v>
      </c>
      <c r="E266" s="139">
        <v>6.0000000000000001E-3</v>
      </c>
      <c r="F266" s="140">
        <f t="shared" si="12"/>
        <v>1.9224000000000001E-5</v>
      </c>
      <c r="G266" s="122"/>
      <c r="H266" s="122"/>
      <c r="I266" s="64"/>
      <c r="J266" s="123"/>
      <c r="K266" s="121"/>
      <c r="L266" s="123"/>
      <c r="M266" s="283"/>
    </row>
    <row r="267" spans="2:15" s="2" customFormat="1" ht="45" customHeight="1">
      <c r="B267" s="36">
        <v>3</v>
      </c>
      <c r="C267" s="169" t="s">
        <v>228</v>
      </c>
      <c r="D267" s="136" t="s">
        <v>88</v>
      </c>
      <c r="E267" s="129"/>
      <c r="F267" s="154">
        <v>1670</v>
      </c>
      <c r="G267" s="122"/>
      <c r="H267" s="122"/>
      <c r="I267" s="122"/>
      <c r="J267" s="123"/>
      <c r="K267" s="121"/>
      <c r="L267" s="123"/>
      <c r="M267" s="252"/>
    </row>
    <row r="268" spans="2:15" s="2" customFormat="1" ht="24.95" customHeight="1">
      <c r="B268" s="36"/>
      <c r="C268" s="169"/>
      <c r="D268" s="136" t="s">
        <v>170</v>
      </c>
      <c r="E268" s="129"/>
      <c r="F268" s="154">
        <f>555/100</f>
        <v>5.55</v>
      </c>
      <c r="G268" s="122"/>
      <c r="H268" s="122"/>
      <c r="I268" s="122"/>
      <c r="J268" s="123"/>
      <c r="K268" s="121"/>
      <c r="L268" s="123"/>
      <c r="M268" s="252"/>
    </row>
    <row r="269" spans="2:15" s="2" customFormat="1" ht="24.95" customHeight="1">
      <c r="B269" s="36"/>
      <c r="C269" s="55" t="s">
        <v>84</v>
      </c>
      <c r="D269" s="56" t="s">
        <v>85</v>
      </c>
      <c r="E269" s="123">
        <v>249</v>
      </c>
      <c r="F269" s="121">
        <f>F268*E269</f>
        <v>1381.95</v>
      </c>
      <c r="G269" s="122"/>
      <c r="H269" s="122"/>
      <c r="I269" s="122"/>
      <c r="J269" s="123"/>
      <c r="K269" s="121"/>
      <c r="L269" s="123"/>
      <c r="M269" s="252"/>
    </row>
    <row r="270" spans="2:15" s="2" customFormat="1" ht="24.95" customHeight="1">
      <c r="B270" s="36"/>
      <c r="C270" s="125" t="s">
        <v>86</v>
      </c>
      <c r="D270" s="124" t="s">
        <v>87</v>
      </c>
      <c r="E270" s="123">
        <v>6</v>
      </c>
      <c r="F270" s="121">
        <f>F268*E270</f>
        <v>33.299999999999997</v>
      </c>
      <c r="G270" s="122"/>
      <c r="H270" s="122"/>
      <c r="I270" s="122"/>
      <c r="J270" s="123"/>
      <c r="K270" s="121"/>
      <c r="L270" s="123"/>
      <c r="M270" s="252"/>
    </row>
    <row r="271" spans="2:15" s="2" customFormat="1" ht="32.25" customHeight="1">
      <c r="B271" s="36"/>
      <c r="C271" s="125" t="s">
        <v>171</v>
      </c>
      <c r="D271" s="124" t="s">
        <v>88</v>
      </c>
      <c r="E271" s="123" t="s">
        <v>167</v>
      </c>
      <c r="F271" s="121">
        <v>1670</v>
      </c>
      <c r="G271" s="122"/>
      <c r="H271" s="122"/>
      <c r="I271" s="123"/>
      <c r="J271" s="123"/>
      <c r="K271" s="121"/>
      <c r="L271" s="123"/>
      <c r="M271" s="252"/>
      <c r="N271" s="2">
        <f>F271/3</f>
        <v>556.66666666666663</v>
      </c>
    </row>
    <row r="272" spans="2:15" s="2" customFormat="1" ht="36.75" customHeight="1">
      <c r="B272" s="36"/>
      <c r="C272" s="125" t="s">
        <v>172</v>
      </c>
      <c r="D272" s="124" t="s">
        <v>166</v>
      </c>
      <c r="E272" s="123" t="s">
        <v>167</v>
      </c>
      <c r="F272" s="121">
        <v>465</v>
      </c>
      <c r="G272" s="122"/>
      <c r="H272" s="122"/>
      <c r="I272" s="123"/>
      <c r="J272" s="123"/>
      <c r="K272" s="121"/>
      <c r="L272" s="123"/>
      <c r="M272" s="252"/>
    </row>
    <row r="273" spans="2:13" s="2" customFormat="1" ht="24.95" customHeight="1">
      <c r="B273" s="43"/>
      <c r="C273" s="125" t="s">
        <v>173</v>
      </c>
      <c r="D273" s="124" t="s">
        <v>119</v>
      </c>
      <c r="E273" s="123" t="s">
        <v>167</v>
      </c>
      <c r="F273" s="121">
        <v>48</v>
      </c>
      <c r="G273" s="122"/>
      <c r="H273" s="122"/>
      <c r="I273" s="123"/>
      <c r="J273" s="123"/>
      <c r="K273" s="121"/>
      <c r="L273" s="123"/>
      <c r="M273" s="252"/>
    </row>
    <row r="274" spans="2:13" s="2" customFormat="1" ht="45" customHeight="1">
      <c r="B274" s="43"/>
      <c r="C274" s="125" t="s">
        <v>174</v>
      </c>
      <c r="D274" s="124" t="s">
        <v>91</v>
      </c>
      <c r="E274" s="123" t="s">
        <v>167</v>
      </c>
      <c r="F274" s="121">
        <v>170</v>
      </c>
      <c r="G274" s="122"/>
      <c r="H274" s="122"/>
      <c r="I274" s="123"/>
      <c r="J274" s="123"/>
      <c r="K274" s="121"/>
      <c r="L274" s="123"/>
      <c r="M274" s="252"/>
    </row>
    <row r="275" spans="2:13" s="2" customFormat="1" ht="24.95" customHeight="1">
      <c r="B275" s="43"/>
      <c r="C275" s="125" t="s">
        <v>175</v>
      </c>
      <c r="D275" s="124" t="s">
        <v>166</v>
      </c>
      <c r="E275" s="123" t="s">
        <v>167</v>
      </c>
      <c r="F275" s="121">
        <v>2150</v>
      </c>
      <c r="G275" s="122"/>
      <c r="H275" s="122"/>
      <c r="I275" s="122"/>
      <c r="J275" s="123"/>
      <c r="K275" s="121"/>
      <c r="L275" s="123"/>
      <c r="M275" s="252"/>
    </row>
    <row r="276" spans="2:13" s="2" customFormat="1" ht="24.95" customHeight="1">
      <c r="B276" s="43"/>
      <c r="C276" s="125" t="s">
        <v>92</v>
      </c>
      <c r="D276" s="124" t="s">
        <v>87</v>
      </c>
      <c r="E276" s="123">
        <v>4</v>
      </c>
      <c r="F276" s="121">
        <f>F268*E276</f>
        <v>22.2</v>
      </c>
      <c r="G276" s="122"/>
      <c r="H276" s="122"/>
      <c r="I276" s="122"/>
      <c r="J276" s="123"/>
      <c r="K276" s="121"/>
      <c r="L276" s="123"/>
      <c r="M276" s="252"/>
    </row>
    <row r="277" spans="2:13" ht="47.25" customHeight="1">
      <c r="B277" s="364" t="s">
        <v>320</v>
      </c>
      <c r="C277" s="365"/>
      <c r="D277" s="365"/>
      <c r="E277" s="365"/>
      <c r="F277" s="365"/>
      <c r="G277" s="188"/>
      <c r="H277" s="188"/>
      <c r="I277" s="188"/>
      <c r="J277" s="186"/>
      <c r="K277" s="189"/>
      <c r="L277" s="186"/>
      <c r="M277" s="285"/>
    </row>
    <row r="278" spans="2:13" ht="24.95" customHeight="1">
      <c r="B278" s="338">
        <v>1</v>
      </c>
      <c r="C278" s="242" t="s">
        <v>308</v>
      </c>
      <c r="D278" s="180" t="s">
        <v>89</v>
      </c>
      <c r="E278" s="181"/>
      <c r="F278" s="182">
        <f>(F282*3.77+F283*1.88)/1000</f>
        <v>8.7381999999999987E-2</v>
      </c>
      <c r="G278" s="183"/>
      <c r="H278" s="183"/>
      <c r="I278" s="183"/>
      <c r="J278" s="184"/>
      <c r="K278" s="185"/>
      <c r="L278" s="184"/>
      <c r="M278" s="286"/>
    </row>
    <row r="279" spans="2:13" ht="24.95" customHeight="1">
      <c r="B279" s="36"/>
      <c r="C279" s="55" t="s">
        <v>84</v>
      </c>
      <c r="D279" s="56" t="s">
        <v>85</v>
      </c>
      <c r="E279" s="186">
        <v>32.9</v>
      </c>
      <c r="F279" s="187">
        <f>F278*E279</f>
        <v>2.8748677999999996</v>
      </c>
      <c r="G279" s="188"/>
      <c r="H279" s="188"/>
      <c r="I279" s="188"/>
      <c r="J279" s="186"/>
      <c r="K279" s="189"/>
      <c r="L279" s="186"/>
      <c r="M279" s="285"/>
    </row>
    <row r="280" spans="2:13" ht="32.25" customHeight="1">
      <c r="B280" s="36"/>
      <c r="C280" s="190" t="s">
        <v>164</v>
      </c>
      <c r="D280" s="191" t="s">
        <v>83</v>
      </c>
      <c r="E280" s="186">
        <v>0.35</v>
      </c>
      <c r="F280" s="187">
        <f>F278*E280</f>
        <v>3.0583699999999995E-2</v>
      </c>
      <c r="G280" s="188"/>
      <c r="H280" s="188"/>
      <c r="I280" s="188"/>
      <c r="J280" s="186"/>
      <c r="K280" s="189"/>
      <c r="L280" s="186"/>
      <c r="M280" s="285"/>
    </row>
    <row r="281" spans="2:13" ht="24.95" customHeight="1">
      <c r="B281" s="251"/>
      <c r="C281" s="190" t="s">
        <v>86</v>
      </c>
      <c r="D281" s="191" t="s">
        <v>87</v>
      </c>
      <c r="E281" s="186">
        <v>13.9</v>
      </c>
      <c r="F281" s="187">
        <f>F278*E281</f>
        <v>1.2146097999999999</v>
      </c>
      <c r="G281" s="188"/>
      <c r="H281" s="188"/>
      <c r="I281" s="188"/>
      <c r="J281" s="186"/>
      <c r="K281" s="189"/>
      <c r="L281" s="186"/>
      <c r="M281" s="285"/>
    </row>
    <row r="282" spans="2:13" ht="24.95" customHeight="1">
      <c r="B282" s="251"/>
      <c r="C282" s="190" t="s">
        <v>168</v>
      </c>
      <c r="D282" s="191" t="s">
        <v>166</v>
      </c>
      <c r="E282" s="186" t="s">
        <v>167</v>
      </c>
      <c r="F282" s="187">
        <v>15</v>
      </c>
      <c r="G282" s="188"/>
      <c r="H282" s="188"/>
      <c r="I282" s="186"/>
      <c r="J282" s="186"/>
      <c r="K282" s="189"/>
      <c r="L282" s="186"/>
      <c r="M282" s="285"/>
    </row>
    <row r="283" spans="2:13" ht="24.95" customHeight="1">
      <c r="B283" s="251"/>
      <c r="C283" s="190" t="s">
        <v>309</v>
      </c>
      <c r="D283" s="191" t="s">
        <v>166</v>
      </c>
      <c r="E283" s="186" t="s">
        <v>167</v>
      </c>
      <c r="F283" s="187">
        <v>16.399999999999999</v>
      </c>
      <c r="G283" s="188"/>
      <c r="H283" s="188"/>
      <c r="I283" s="186"/>
      <c r="J283" s="186"/>
      <c r="K283" s="189"/>
      <c r="L283" s="186"/>
      <c r="M283" s="285"/>
    </row>
    <row r="284" spans="2:13" ht="24.95" customHeight="1">
      <c r="B284" s="251"/>
      <c r="C284" s="190" t="s">
        <v>310</v>
      </c>
      <c r="D284" s="191" t="s">
        <v>119</v>
      </c>
      <c r="E284" s="186" t="s">
        <v>167</v>
      </c>
      <c r="F284" s="187">
        <v>8</v>
      </c>
      <c r="G284" s="188"/>
      <c r="H284" s="188"/>
      <c r="I284" s="186"/>
      <c r="J284" s="186"/>
      <c r="K284" s="189"/>
      <c r="L284" s="186"/>
      <c r="M284" s="285"/>
    </row>
    <row r="285" spans="2:13" ht="24.95" customHeight="1">
      <c r="B285" s="251"/>
      <c r="C285" s="190" t="s">
        <v>311</v>
      </c>
      <c r="D285" s="191" t="s">
        <v>119</v>
      </c>
      <c r="E285" s="186" t="s">
        <v>167</v>
      </c>
      <c r="F285" s="187">
        <v>2</v>
      </c>
      <c r="G285" s="188"/>
      <c r="H285" s="188"/>
      <c r="I285" s="186"/>
      <c r="J285" s="186"/>
      <c r="K285" s="189"/>
      <c r="L285" s="186"/>
      <c r="M285" s="285"/>
    </row>
    <row r="286" spans="2:13" ht="24.95" customHeight="1">
      <c r="B286" s="251"/>
      <c r="C286" s="190" t="s">
        <v>312</v>
      </c>
      <c r="D286" s="191" t="s">
        <v>31</v>
      </c>
      <c r="E286" s="186" t="s">
        <v>167</v>
      </c>
      <c r="F286" s="187">
        <v>480</v>
      </c>
      <c r="G286" s="188"/>
      <c r="H286" s="188"/>
      <c r="I286" s="186"/>
      <c r="J286" s="186"/>
      <c r="K286" s="189"/>
      <c r="L286" s="186"/>
      <c r="M286" s="285"/>
    </row>
    <row r="287" spans="2:13" ht="24.95" customHeight="1">
      <c r="B287" s="251"/>
      <c r="C287" s="190" t="s">
        <v>90</v>
      </c>
      <c r="D287" s="191" t="s">
        <v>91</v>
      </c>
      <c r="E287" s="186">
        <v>4.78</v>
      </c>
      <c r="F287" s="187">
        <f>F278*E287</f>
        <v>0.41768595999999997</v>
      </c>
      <c r="G287" s="188"/>
      <c r="H287" s="188"/>
      <c r="I287" s="188"/>
      <c r="J287" s="186"/>
      <c r="K287" s="189"/>
      <c r="L287" s="186"/>
      <c r="M287" s="285"/>
    </row>
    <row r="288" spans="2:13" ht="24.95" customHeight="1">
      <c r="B288" s="251"/>
      <c r="C288" s="190" t="s">
        <v>92</v>
      </c>
      <c r="D288" s="191" t="s">
        <v>87</v>
      </c>
      <c r="E288" s="186">
        <v>2.78</v>
      </c>
      <c r="F288" s="187">
        <f>F278*E288</f>
        <v>0.24292195999999994</v>
      </c>
      <c r="G288" s="188"/>
      <c r="H288" s="188"/>
      <c r="I288" s="188"/>
      <c r="J288" s="186"/>
      <c r="K288" s="189"/>
      <c r="L288" s="186"/>
      <c r="M288" s="285"/>
    </row>
    <row r="289" spans="2:244" s="2" customFormat="1" ht="34.5" customHeight="1">
      <c r="B289" s="364" t="s">
        <v>321</v>
      </c>
      <c r="C289" s="365"/>
      <c r="D289" s="365"/>
      <c r="E289" s="365"/>
      <c r="F289" s="365"/>
      <c r="G289" s="122"/>
      <c r="H289" s="122"/>
      <c r="I289" s="122"/>
      <c r="J289" s="123"/>
      <c r="K289" s="121"/>
      <c r="L289" s="123"/>
      <c r="M289" s="252"/>
    </row>
    <row r="290" spans="2:244" s="2" customFormat="1" ht="24.95" customHeight="1">
      <c r="B290" s="36">
        <v>1</v>
      </c>
      <c r="C290" s="116" t="s">
        <v>193</v>
      </c>
      <c r="D290" s="117" t="s">
        <v>189</v>
      </c>
      <c r="E290" s="117"/>
      <c r="F290" s="39">
        <v>2</v>
      </c>
      <c r="G290" s="118"/>
      <c r="H290" s="118"/>
      <c r="I290" s="118"/>
      <c r="J290" s="118"/>
      <c r="K290" s="39"/>
      <c r="L290" s="39"/>
      <c r="M290" s="287"/>
    </row>
    <row r="291" spans="2:244" s="2" customFormat="1" ht="24.95" customHeight="1">
      <c r="B291" s="43"/>
      <c r="C291" s="55" t="s">
        <v>84</v>
      </c>
      <c r="D291" s="56" t="s">
        <v>85</v>
      </c>
      <c r="E291" s="123">
        <f>16.6+13.2</f>
        <v>29.8</v>
      </c>
      <c r="F291" s="144">
        <f>F290*E291</f>
        <v>59.6</v>
      </c>
      <c r="G291" s="122"/>
      <c r="H291" s="122"/>
      <c r="I291" s="123"/>
      <c r="J291" s="123"/>
      <c r="K291" s="123"/>
      <c r="L291" s="123"/>
      <c r="M291" s="252"/>
    </row>
    <row r="292" spans="2:244" s="2" customFormat="1" ht="24.95" customHeight="1">
      <c r="B292" s="43"/>
      <c r="C292" s="125" t="s">
        <v>86</v>
      </c>
      <c r="D292" s="124" t="s">
        <v>87</v>
      </c>
      <c r="E292" s="123">
        <f>2.02+0.17</f>
        <v>2.19</v>
      </c>
      <c r="F292" s="144">
        <f>F290*E292</f>
        <v>4.38</v>
      </c>
      <c r="G292" s="122"/>
      <c r="H292" s="122"/>
      <c r="I292" s="122"/>
      <c r="J292" s="123"/>
      <c r="K292" s="121"/>
      <c r="L292" s="123"/>
      <c r="M292" s="252"/>
    </row>
    <row r="293" spans="2:244" s="2" customFormat="1" ht="24.95" customHeight="1">
      <c r="B293" s="43"/>
      <c r="C293" s="125" t="s">
        <v>194</v>
      </c>
      <c r="D293" s="126" t="s">
        <v>166</v>
      </c>
      <c r="E293" s="126" t="s">
        <v>167</v>
      </c>
      <c r="F293" s="156">
        <v>15.5</v>
      </c>
      <c r="G293" s="127"/>
      <c r="H293" s="127"/>
      <c r="I293" s="122"/>
      <c r="J293" s="122"/>
      <c r="K293" s="127"/>
      <c r="L293" s="127"/>
      <c r="M293" s="252"/>
    </row>
    <row r="294" spans="2:244" s="2" customFormat="1" ht="24.95" customHeight="1">
      <c r="B294" s="43"/>
      <c r="C294" s="125" t="s">
        <v>195</v>
      </c>
      <c r="D294" s="126" t="s">
        <v>88</v>
      </c>
      <c r="E294" s="126" t="s">
        <v>167</v>
      </c>
      <c r="F294" s="156">
        <v>0.5</v>
      </c>
      <c r="G294" s="127"/>
      <c r="H294" s="127"/>
      <c r="I294" s="122"/>
      <c r="J294" s="122"/>
      <c r="K294" s="127"/>
      <c r="L294" s="127"/>
      <c r="M294" s="252"/>
    </row>
    <row r="295" spans="2:244" s="2" customFormat="1" ht="24.95" customHeight="1">
      <c r="B295" s="43"/>
      <c r="C295" s="125" t="s">
        <v>196</v>
      </c>
      <c r="D295" s="126" t="s">
        <v>88</v>
      </c>
      <c r="E295" s="126" t="s">
        <v>167</v>
      </c>
      <c r="F295" s="156">
        <v>0.7</v>
      </c>
      <c r="G295" s="127"/>
      <c r="H295" s="127"/>
      <c r="I295" s="122"/>
      <c r="J295" s="122"/>
      <c r="K295" s="127"/>
      <c r="L295" s="127"/>
      <c r="M295" s="252"/>
    </row>
    <row r="296" spans="2:244" s="2" customFormat="1" ht="24.95" customHeight="1">
      <c r="B296" s="43"/>
      <c r="C296" s="125" t="s">
        <v>197</v>
      </c>
      <c r="D296" s="126" t="s">
        <v>166</v>
      </c>
      <c r="E296" s="126" t="s">
        <v>167</v>
      </c>
      <c r="F296" s="156">
        <v>8.8000000000000007</v>
      </c>
      <c r="G296" s="127"/>
      <c r="H296" s="127"/>
      <c r="I296" s="122"/>
      <c r="J296" s="122"/>
      <c r="K296" s="127"/>
      <c r="L296" s="127"/>
      <c r="M296" s="252"/>
    </row>
    <row r="297" spans="2:244" s="2" customFormat="1" ht="24.95" customHeight="1">
      <c r="B297" s="43"/>
      <c r="C297" s="125" t="s">
        <v>198</v>
      </c>
      <c r="D297" s="126" t="s">
        <v>119</v>
      </c>
      <c r="E297" s="126" t="s">
        <v>167</v>
      </c>
      <c r="F297" s="156">
        <v>8</v>
      </c>
      <c r="G297" s="127"/>
      <c r="H297" s="127"/>
      <c r="I297" s="122"/>
      <c r="J297" s="122"/>
      <c r="K297" s="127"/>
      <c r="L297" s="127"/>
      <c r="M297" s="252"/>
    </row>
    <row r="298" spans="2:244" s="2" customFormat="1" ht="30.75" customHeight="1">
      <c r="B298" s="43"/>
      <c r="C298" s="125" t="s">
        <v>199</v>
      </c>
      <c r="D298" s="126" t="s">
        <v>119</v>
      </c>
      <c r="E298" s="126" t="s">
        <v>167</v>
      </c>
      <c r="F298" s="156">
        <v>2</v>
      </c>
      <c r="G298" s="127"/>
      <c r="H298" s="127"/>
      <c r="I298" s="122"/>
      <c r="J298" s="122"/>
      <c r="K298" s="127"/>
      <c r="L298" s="127"/>
      <c r="M298" s="252"/>
    </row>
    <row r="299" spans="2:244" s="2" customFormat="1" ht="24.95" customHeight="1">
      <c r="B299" s="272">
        <v>2</v>
      </c>
      <c r="C299" s="66" t="s">
        <v>126</v>
      </c>
      <c r="D299" s="146" t="s">
        <v>81</v>
      </c>
      <c r="E299" s="142"/>
      <c r="F299" s="130">
        <v>0.2</v>
      </c>
      <c r="G299" s="143"/>
      <c r="H299" s="143"/>
      <c r="I299" s="143"/>
      <c r="J299" s="142"/>
      <c r="K299" s="143"/>
      <c r="L299" s="142"/>
      <c r="M299" s="266"/>
    </row>
    <row r="300" spans="2:244" s="2" customFormat="1" ht="24.95" customHeight="1">
      <c r="B300" s="273"/>
      <c r="C300" s="55" t="s">
        <v>84</v>
      </c>
      <c r="D300" s="56" t="s">
        <v>85</v>
      </c>
      <c r="E300" s="123">
        <v>0.89</v>
      </c>
      <c r="F300" s="144">
        <f>F299*E300</f>
        <v>0.17800000000000002</v>
      </c>
      <c r="G300" s="122"/>
      <c r="H300" s="122"/>
      <c r="I300" s="122"/>
      <c r="J300" s="123"/>
      <c r="K300" s="121"/>
      <c r="L300" s="123"/>
      <c r="M300" s="252"/>
    </row>
    <row r="301" spans="2:244" s="2" customFormat="1" ht="24.95" customHeight="1">
      <c r="B301" s="274"/>
      <c r="C301" s="174" t="s">
        <v>86</v>
      </c>
      <c r="D301" s="145" t="s">
        <v>87</v>
      </c>
      <c r="E301" s="123">
        <v>0.37</v>
      </c>
      <c r="F301" s="144">
        <f>F299*E301</f>
        <v>7.3999999999999996E-2</v>
      </c>
      <c r="G301" s="122"/>
      <c r="H301" s="122"/>
      <c r="I301" s="122"/>
      <c r="J301" s="123"/>
      <c r="K301" s="121"/>
      <c r="L301" s="123"/>
      <c r="M301" s="252"/>
    </row>
    <row r="302" spans="2:244" s="2" customFormat="1" ht="24.95" customHeight="1">
      <c r="B302" s="274"/>
      <c r="C302" s="55" t="s">
        <v>126</v>
      </c>
      <c r="D302" s="124" t="s">
        <v>81</v>
      </c>
      <c r="E302" s="123">
        <v>1.1499999999999999</v>
      </c>
      <c r="F302" s="144">
        <f>F299*E302</f>
        <v>0.22999999999999998</v>
      </c>
      <c r="G302" s="122"/>
      <c r="H302" s="122"/>
      <c r="I302" s="122"/>
      <c r="J302" s="123"/>
      <c r="K302" s="121"/>
      <c r="L302" s="123"/>
      <c r="M302" s="252"/>
    </row>
    <row r="303" spans="2:244" s="2" customFormat="1" ht="24.95" customHeight="1">
      <c r="B303" s="251"/>
      <c r="C303" s="125" t="s">
        <v>92</v>
      </c>
      <c r="D303" s="124" t="s">
        <v>87</v>
      </c>
      <c r="E303" s="123">
        <v>0.02</v>
      </c>
      <c r="F303" s="144">
        <f>F299*E303</f>
        <v>4.0000000000000001E-3</v>
      </c>
      <c r="G303" s="122"/>
      <c r="H303" s="122"/>
      <c r="I303" s="122"/>
      <c r="J303" s="123"/>
      <c r="K303" s="121"/>
      <c r="L303" s="123"/>
      <c r="M303" s="252"/>
    </row>
    <row r="304" spans="2:244" s="213" customFormat="1" ht="24.95" customHeight="1">
      <c r="B304" s="249">
        <v>3</v>
      </c>
      <c r="C304" s="240" t="s">
        <v>253</v>
      </c>
      <c r="D304" s="128" t="s">
        <v>81</v>
      </c>
      <c r="E304" s="129"/>
      <c r="F304" s="129">
        <v>2.2000000000000002</v>
      </c>
      <c r="G304" s="119"/>
      <c r="H304" s="119"/>
      <c r="I304" s="119"/>
      <c r="J304" s="129"/>
      <c r="K304" s="119"/>
      <c r="L304" s="129"/>
      <c r="M304" s="250"/>
      <c r="N304" s="212"/>
      <c r="O304" s="212"/>
      <c r="P304" s="212"/>
      <c r="Q304" s="212"/>
      <c r="R304" s="212"/>
      <c r="S304" s="212"/>
      <c r="T304" s="212"/>
      <c r="U304" s="212"/>
      <c r="V304" s="212"/>
      <c r="W304" s="212"/>
      <c r="X304" s="212"/>
      <c r="Y304" s="212"/>
      <c r="Z304" s="212"/>
      <c r="AA304" s="212"/>
      <c r="AB304" s="212"/>
      <c r="AC304" s="212"/>
      <c r="AD304" s="212"/>
      <c r="AE304" s="212"/>
      <c r="AF304" s="212"/>
      <c r="AG304" s="212"/>
      <c r="AH304" s="212"/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2"/>
      <c r="BA304" s="212"/>
      <c r="BB304" s="212"/>
      <c r="BC304" s="212"/>
      <c r="BD304" s="212"/>
      <c r="BE304" s="212"/>
      <c r="BF304" s="212"/>
      <c r="BG304" s="212"/>
      <c r="BH304" s="212"/>
      <c r="BI304" s="212"/>
      <c r="BJ304" s="212"/>
      <c r="BK304" s="212"/>
      <c r="BL304" s="212"/>
      <c r="BM304" s="212"/>
      <c r="BN304" s="212"/>
      <c r="BO304" s="212"/>
      <c r="BP304" s="212"/>
      <c r="BQ304" s="212"/>
      <c r="BR304" s="212"/>
      <c r="BS304" s="212"/>
      <c r="BT304" s="212"/>
      <c r="BU304" s="212"/>
      <c r="BV304" s="212"/>
      <c r="BW304" s="212"/>
      <c r="BX304" s="212"/>
      <c r="BY304" s="212"/>
      <c r="BZ304" s="212"/>
      <c r="CA304" s="212"/>
      <c r="CB304" s="212"/>
      <c r="CC304" s="212"/>
      <c r="CD304" s="212"/>
      <c r="CE304" s="212"/>
      <c r="CF304" s="212"/>
      <c r="CG304" s="212"/>
      <c r="CH304" s="212"/>
      <c r="CI304" s="212"/>
      <c r="CJ304" s="212"/>
      <c r="CK304" s="212"/>
      <c r="CL304" s="212"/>
      <c r="CM304" s="212"/>
      <c r="CN304" s="212"/>
      <c r="CO304" s="212"/>
      <c r="CP304" s="212"/>
      <c r="CQ304" s="212"/>
      <c r="CR304" s="212"/>
      <c r="CS304" s="212"/>
      <c r="CT304" s="212"/>
      <c r="CU304" s="212"/>
      <c r="CV304" s="212"/>
      <c r="CW304" s="212"/>
      <c r="CX304" s="212"/>
      <c r="CY304" s="212"/>
      <c r="CZ304" s="212"/>
      <c r="DA304" s="212"/>
      <c r="DB304" s="212"/>
      <c r="DC304" s="212"/>
      <c r="DD304" s="212"/>
      <c r="DE304" s="212"/>
      <c r="DF304" s="212"/>
      <c r="DG304" s="212"/>
      <c r="DH304" s="212"/>
      <c r="DI304" s="212"/>
      <c r="DJ304" s="212"/>
      <c r="DK304" s="212"/>
      <c r="DL304" s="212"/>
      <c r="DM304" s="212"/>
      <c r="DN304" s="212"/>
      <c r="DO304" s="212"/>
      <c r="DP304" s="212"/>
      <c r="DQ304" s="212"/>
      <c r="DR304" s="212"/>
      <c r="DS304" s="212"/>
      <c r="DT304" s="212"/>
      <c r="DU304" s="212"/>
      <c r="DV304" s="212"/>
      <c r="DW304" s="212"/>
      <c r="DX304" s="212"/>
      <c r="DY304" s="212"/>
      <c r="DZ304" s="212"/>
      <c r="EA304" s="212"/>
      <c r="EB304" s="212"/>
      <c r="EC304" s="212"/>
      <c r="ED304" s="212"/>
      <c r="EE304" s="212"/>
      <c r="EF304" s="212"/>
      <c r="EG304" s="212"/>
      <c r="EH304" s="212"/>
      <c r="EI304" s="212"/>
      <c r="EJ304" s="212"/>
      <c r="EK304" s="212"/>
      <c r="EL304" s="212"/>
      <c r="EM304" s="212"/>
      <c r="EN304" s="212"/>
      <c r="EO304" s="212"/>
      <c r="EP304" s="212"/>
      <c r="EQ304" s="212"/>
      <c r="ER304" s="212"/>
      <c r="ES304" s="212"/>
      <c r="ET304" s="212"/>
      <c r="EU304" s="212"/>
      <c r="EV304" s="212"/>
      <c r="EW304" s="212"/>
      <c r="EX304" s="212"/>
      <c r="EY304" s="212"/>
      <c r="EZ304" s="212"/>
      <c r="FA304" s="212"/>
      <c r="FB304" s="212"/>
      <c r="FC304" s="212"/>
      <c r="FD304" s="212"/>
      <c r="FE304" s="212"/>
      <c r="FF304" s="212"/>
      <c r="FG304" s="212"/>
      <c r="FH304" s="212"/>
      <c r="FI304" s="212"/>
      <c r="FJ304" s="212"/>
      <c r="FK304" s="212"/>
      <c r="FL304" s="212"/>
      <c r="FM304" s="212"/>
      <c r="FN304" s="212"/>
      <c r="FO304" s="212"/>
      <c r="FP304" s="212"/>
      <c r="FQ304" s="212"/>
      <c r="FR304" s="212"/>
      <c r="FS304" s="212"/>
      <c r="FT304" s="212"/>
      <c r="FU304" s="212"/>
      <c r="FV304" s="212"/>
      <c r="FW304" s="212"/>
      <c r="FX304" s="212"/>
      <c r="FY304" s="212"/>
      <c r="FZ304" s="212"/>
      <c r="GA304" s="212"/>
      <c r="GB304" s="212"/>
      <c r="GC304" s="212"/>
      <c r="GD304" s="212"/>
      <c r="GE304" s="212"/>
      <c r="GF304" s="212"/>
      <c r="GG304" s="212"/>
      <c r="GH304" s="212"/>
      <c r="GI304" s="212"/>
      <c r="GJ304" s="212"/>
      <c r="GK304" s="212"/>
      <c r="GL304" s="212"/>
      <c r="GM304" s="212"/>
      <c r="GN304" s="212"/>
      <c r="GO304" s="212"/>
      <c r="GP304" s="212"/>
      <c r="GQ304" s="212"/>
      <c r="GR304" s="212"/>
      <c r="GS304" s="212"/>
      <c r="GT304" s="212"/>
      <c r="GU304" s="212"/>
      <c r="GV304" s="212"/>
      <c r="GW304" s="212"/>
      <c r="GX304" s="212"/>
      <c r="GY304" s="212"/>
      <c r="GZ304" s="212"/>
      <c r="HA304" s="212"/>
      <c r="HB304" s="212"/>
      <c r="HC304" s="212"/>
      <c r="HD304" s="212"/>
      <c r="HE304" s="212"/>
      <c r="HF304" s="212"/>
      <c r="HG304" s="212"/>
      <c r="HH304" s="212"/>
      <c r="HI304" s="212"/>
      <c r="HJ304" s="212"/>
      <c r="HK304" s="212"/>
      <c r="HL304" s="212"/>
      <c r="HM304" s="212"/>
      <c r="HN304" s="212"/>
      <c r="HO304" s="212"/>
      <c r="HP304" s="212"/>
      <c r="HQ304" s="212"/>
      <c r="HR304" s="212"/>
      <c r="HS304" s="212"/>
      <c r="HT304" s="212"/>
      <c r="HU304" s="212"/>
      <c r="HV304" s="212"/>
      <c r="HW304" s="212"/>
      <c r="HX304" s="212"/>
      <c r="HY304" s="212"/>
      <c r="HZ304" s="212"/>
      <c r="IA304" s="212"/>
      <c r="IB304" s="212"/>
      <c r="IC304" s="212"/>
      <c r="ID304" s="212"/>
      <c r="IE304" s="212"/>
      <c r="IF304" s="212"/>
      <c r="IG304" s="212"/>
      <c r="IH304" s="212"/>
      <c r="II304" s="212"/>
      <c r="IJ304" s="212"/>
    </row>
    <row r="305" spans="2:13" s="213" customFormat="1" ht="24.95" customHeight="1">
      <c r="B305" s="270"/>
      <c r="C305" s="29" t="s">
        <v>84</v>
      </c>
      <c r="D305" s="46" t="s">
        <v>85</v>
      </c>
      <c r="E305" s="123">
        <f>450/100</f>
        <v>4.5</v>
      </c>
      <c r="F305" s="144">
        <f>F304*E305</f>
        <v>9.9</v>
      </c>
      <c r="G305" s="122"/>
      <c r="H305" s="122"/>
      <c r="I305" s="123"/>
      <c r="J305" s="123"/>
      <c r="K305" s="123"/>
      <c r="L305" s="123"/>
      <c r="M305" s="252"/>
    </row>
    <row r="306" spans="2:13" s="213" customFormat="1" ht="24.95" customHeight="1">
      <c r="B306" s="251"/>
      <c r="C306" s="125" t="s">
        <v>86</v>
      </c>
      <c r="D306" s="124" t="s">
        <v>87</v>
      </c>
      <c r="E306" s="123">
        <f>37/100</f>
        <v>0.37</v>
      </c>
      <c r="F306" s="144">
        <f>F304*E306</f>
        <v>0.81400000000000006</v>
      </c>
      <c r="G306" s="122"/>
      <c r="H306" s="122"/>
      <c r="I306" s="122"/>
      <c r="J306" s="123"/>
      <c r="K306" s="121"/>
      <c r="L306" s="123"/>
      <c r="M306" s="252"/>
    </row>
    <row r="307" spans="2:13" s="213" customFormat="1" ht="24.95" customHeight="1">
      <c r="B307" s="251"/>
      <c r="C307" s="125" t="s">
        <v>122</v>
      </c>
      <c r="D307" s="124" t="s">
        <v>81</v>
      </c>
      <c r="E307" s="123">
        <f>102/100</f>
        <v>1.02</v>
      </c>
      <c r="F307" s="144">
        <f>F304*E307</f>
        <v>2.2440000000000002</v>
      </c>
      <c r="G307" s="122"/>
      <c r="H307" s="122"/>
      <c r="I307" s="122"/>
      <c r="J307" s="123"/>
      <c r="K307" s="121"/>
      <c r="L307" s="123"/>
      <c r="M307" s="252"/>
    </row>
    <row r="308" spans="2:13" s="213" customFormat="1" ht="24.95" customHeight="1">
      <c r="B308" s="251"/>
      <c r="C308" s="125" t="s">
        <v>117</v>
      </c>
      <c r="D308" s="120" t="s">
        <v>123</v>
      </c>
      <c r="E308" s="64">
        <f>161/100</f>
        <v>1.61</v>
      </c>
      <c r="F308" s="144">
        <f>F304*E308</f>
        <v>3.5420000000000007</v>
      </c>
      <c r="G308" s="122"/>
      <c r="H308" s="122"/>
      <c r="I308" s="64"/>
      <c r="J308" s="123"/>
      <c r="K308" s="121"/>
      <c r="L308" s="123"/>
      <c r="M308" s="252"/>
    </row>
    <row r="309" spans="2:13" s="213" customFormat="1" ht="24.95" customHeight="1">
      <c r="B309" s="251"/>
      <c r="C309" s="125" t="s">
        <v>108</v>
      </c>
      <c r="D309" s="120" t="s">
        <v>123</v>
      </c>
      <c r="E309" s="139">
        <f>1.72/100</f>
        <v>1.72E-2</v>
      </c>
      <c r="F309" s="144">
        <f>F305*E309</f>
        <v>0.17028000000000001</v>
      </c>
      <c r="G309" s="122"/>
      <c r="H309" s="122"/>
      <c r="I309" s="64"/>
      <c r="J309" s="123"/>
      <c r="K309" s="121"/>
      <c r="L309" s="123"/>
      <c r="M309" s="252"/>
    </row>
    <row r="310" spans="2:13" ht="24.95" customHeight="1">
      <c r="B310" s="251"/>
      <c r="C310" s="125" t="s">
        <v>96</v>
      </c>
      <c r="D310" s="120" t="s">
        <v>87</v>
      </c>
      <c r="E310" s="64">
        <f>28/100</f>
        <v>0.28000000000000003</v>
      </c>
      <c r="F310" s="144">
        <f>F304*E310</f>
        <v>0.6160000000000001</v>
      </c>
      <c r="G310" s="122"/>
      <c r="H310" s="122"/>
      <c r="I310" s="64"/>
      <c r="J310" s="123"/>
      <c r="K310" s="121"/>
      <c r="L310" s="123"/>
      <c r="M310" s="252"/>
    </row>
    <row r="311" spans="2:13" s="215" customFormat="1" ht="24.95" customHeight="1">
      <c r="B311" s="36">
        <v>4</v>
      </c>
      <c r="C311" s="116" t="s">
        <v>188</v>
      </c>
      <c r="D311" s="117" t="s">
        <v>189</v>
      </c>
      <c r="E311" s="117"/>
      <c r="F311" s="39">
        <v>2</v>
      </c>
      <c r="G311" s="118"/>
      <c r="H311" s="118"/>
      <c r="I311" s="118"/>
      <c r="J311" s="118"/>
      <c r="K311" s="39"/>
      <c r="L311" s="39"/>
      <c r="M311" s="287"/>
    </row>
    <row r="312" spans="2:13" s="2" customFormat="1" ht="24.95" customHeight="1">
      <c r="B312" s="43"/>
      <c r="C312" s="55" t="s">
        <v>84</v>
      </c>
      <c r="D312" s="56" t="s">
        <v>85</v>
      </c>
      <c r="E312" s="123">
        <f>20.3+7.88</f>
        <v>28.18</v>
      </c>
      <c r="F312" s="144">
        <f>F311*E312</f>
        <v>56.36</v>
      </c>
      <c r="G312" s="122"/>
      <c r="H312" s="122"/>
      <c r="I312" s="123"/>
      <c r="J312" s="123"/>
      <c r="K312" s="123"/>
      <c r="L312" s="123"/>
      <c r="M312" s="252"/>
    </row>
    <row r="313" spans="2:13" s="2" customFormat="1" ht="24.95" customHeight="1">
      <c r="B313" s="43"/>
      <c r="C313" s="125" t="s">
        <v>86</v>
      </c>
      <c r="D313" s="124" t="s">
        <v>87</v>
      </c>
      <c r="E313" s="123">
        <f>1.02+0.1</f>
        <v>1.1200000000000001</v>
      </c>
      <c r="F313" s="144">
        <f>F311*E313</f>
        <v>2.2400000000000002</v>
      </c>
      <c r="G313" s="122"/>
      <c r="H313" s="122"/>
      <c r="I313" s="122"/>
      <c r="J313" s="123"/>
      <c r="K313" s="121"/>
      <c r="L313" s="123"/>
      <c r="M313" s="252"/>
    </row>
    <row r="314" spans="2:13" s="2" customFormat="1" ht="24.95" customHeight="1">
      <c r="B314" s="43"/>
      <c r="C314" s="125" t="s">
        <v>190</v>
      </c>
      <c r="D314" s="126" t="s">
        <v>166</v>
      </c>
      <c r="E314" s="126" t="s">
        <v>167</v>
      </c>
      <c r="F314" s="156">
        <v>16.399999999999999</v>
      </c>
      <c r="G314" s="127"/>
      <c r="H314" s="127"/>
      <c r="I314" s="122"/>
      <c r="J314" s="122"/>
      <c r="K314" s="127"/>
      <c r="L314" s="127"/>
      <c r="M314" s="252"/>
    </row>
    <row r="315" spans="2:13" s="2" customFormat="1" ht="24.95" customHeight="1">
      <c r="B315" s="43"/>
      <c r="C315" s="125" t="s">
        <v>191</v>
      </c>
      <c r="D315" s="126" t="s">
        <v>166</v>
      </c>
      <c r="E315" s="126" t="s">
        <v>167</v>
      </c>
      <c r="F315" s="156">
        <v>19.5</v>
      </c>
      <c r="G315" s="127"/>
      <c r="H315" s="127"/>
      <c r="I315" s="122"/>
      <c r="J315" s="122"/>
      <c r="K315" s="127"/>
      <c r="L315" s="127"/>
      <c r="M315" s="252"/>
    </row>
    <row r="316" spans="2:13" s="2" customFormat="1" ht="24.95" customHeight="1">
      <c r="B316" s="43"/>
      <c r="C316" s="125" t="s">
        <v>192</v>
      </c>
      <c r="D316" s="126" t="s">
        <v>88</v>
      </c>
      <c r="E316" s="126" t="s">
        <v>167</v>
      </c>
      <c r="F316" s="156">
        <v>25</v>
      </c>
      <c r="G316" s="127"/>
      <c r="H316" s="127"/>
      <c r="I316" s="122"/>
      <c r="J316" s="122"/>
      <c r="K316" s="127"/>
      <c r="L316" s="127"/>
      <c r="M316" s="252"/>
    </row>
    <row r="317" spans="2:13" s="2" customFormat="1" ht="50.25" customHeight="1">
      <c r="B317" s="82">
        <v>5</v>
      </c>
      <c r="C317" s="155" t="s">
        <v>185</v>
      </c>
      <c r="D317" s="83" t="s">
        <v>81</v>
      </c>
      <c r="E317" s="84"/>
      <c r="F317" s="84">
        <v>0.1</v>
      </c>
      <c r="G317" s="85"/>
      <c r="H317" s="85"/>
      <c r="I317" s="85"/>
      <c r="J317" s="84"/>
      <c r="K317" s="85"/>
      <c r="L317" s="84"/>
      <c r="M317" s="282"/>
    </row>
    <row r="318" spans="2:13" s="2" customFormat="1" ht="24.95" customHeight="1">
      <c r="B318" s="82"/>
      <c r="C318" s="55" t="s">
        <v>84</v>
      </c>
      <c r="D318" s="56" t="s">
        <v>85</v>
      </c>
      <c r="E318" s="123">
        <v>0.89</v>
      </c>
      <c r="F318" s="90">
        <f>F$317*E318</f>
        <v>8.900000000000001E-2</v>
      </c>
      <c r="G318" s="122"/>
      <c r="H318" s="122"/>
      <c r="I318" s="123"/>
      <c r="J318" s="123"/>
      <c r="K318" s="123"/>
      <c r="L318" s="123"/>
      <c r="M318" s="283"/>
    </row>
    <row r="319" spans="2:13" s="2" customFormat="1" ht="24.95" customHeight="1">
      <c r="B319" s="43"/>
      <c r="C319" s="125" t="s">
        <v>86</v>
      </c>
      <c r="D319" s="124" t="s">
        <v>87</v>
      </c>
      <c r="E319" s="123">
        <v>0.45</v>
      </c>
      <c r="F319" s="90">
        <f>F$317*E319</f>
        <v>4.5000000000000005E-2</v>
      </c>
      <c r="G319" s="122"/>
      <c r="H319" s="122"/>
      <c r="I319" s="122"/>
      <c r="J319" s="123"/>
      <c r="K319" s="121"/>
      <c r="L319" s="123"/>
      <c r="M319" s="283"/>
    </row>
    <row r="320" spans="2:13" s="2" customFormat="1" ht="24.95" customHeight="1">
      <c r="B320" s="82"/>
      <c r="C320" s="125" t="s">
        <v>186</v>
      </c>
      <c r="D320" s="124" t="s">
        <v>81</v>
      </c>
      <c r="E320" s="123">
        <v>1.1499999999999999</v>
      </c>
      <c r="F320" s="90">
        <f>F$317*E320</f>
        <v>0.11499999999999999</v>
      </c>
      <c r="G320" s="122"/>
      <c r="H320" s="122"/>
      <c r="I320" s="122"/>
      <c r="J320" s="123"/>
      <c r="K320" s="121"/>
      <c r="L320" s="123"/>
      <c r="M320" s="283"/>
    </row>
    <row r="321" spans="2:13" s="2" customFormat="1" ht="24.95" customHeight="1">
      <c r="B321" s="284"/>
      <c r="C321" s="125" t="s">
        <v>92</v>
      </c>
      <c r="D321" s="124" t="s">
        <v>87</v>
      </c>
      <c r="E321" s="123">
        <v>0.02</v>
      </c>
      <c r="F321" s="90">
        <f>F$317*E321</f>
        <v>2E-3</v>
      </c>
      <c r="G321" s="122"/>
      <c r="H321" s="122"/>
      <c r="I321" s="122"/>
      <c r="J321" s="123"/>
      <c r="K321" s="121"/>
      <c r="L321" s="123"/>
      <c r="M321" s="283"/>
    </row>
    <row r="322" spans="2:13" s="2" customFormat="1" ht="41.25" customHeight="1">
      <c r="B322" s="36">
        <v>6</v>
      </c>
      <c r="C322" s="116" t="s">
        <v>187</v>
      </c>
      <c r="D322" s="117" t="s">
        <v>81</v>
      </c>
      <c r="E322" s="117"/>
      <c r="F322" s="39">
        <v>0.6</v>
      </c>
      <c r="G322" s="122"/>
      <c r="H322" s="122"/>
      <c r="I322" s="122"/>
      <c r="J322" s="123"/>
      <c r="K322" s="121"/>
      <c r="L322" s="123"/>
      <c r="M322" s="252"/>
    </row>
    <row r="323" spans="2:13" s="2" customFormat="1" ht="24.95" customHeight="1">
      <c r="B323" s="43"/>
      <c r="C323" s="55" t="s">
        <v>84</v>
      </c>
      <c r="D323" s="56" t="s">
        <v>85</v>
      </c>
      <c r="E323" s="123">
        <f>450/100</f>
        <v>4.5</v>
      </c>
      <c r="F323" s="121">
        <f t="shared" ref="F323:F328" si="13">F$322*E323</f>
        <v>2.6999999999999997</v>
      </c>
      <c r="G323" s="122"/>
      <c r="H323" s="122"/>
      <c r="I323" s="123"/>
      <c r="J323" s="123"/>
      <c r="K323" s="123"/>
      <c r="L323" s="123"/>
      <c r="M323" s="252"/>
    </row>
    <row r="324" spans="2:13" s="2" customFormat="1" ht="24.95" customHeight="1">
      <c r="B324" s="43"/>
      <c r="C324" s="125" t="s">
        <v>86</v>
      </c>
      <c r="D324" s="124" t="s">
        <v>87</v>
      </c>
      <c r="E324" s="123">
        <f>37/100</f>
        <v>0.37</v>
      </c>
      <c r="F324" s="121">
        <f t="shared" si="13"/>
        <v>0.222</v>
      </c>
      <c r="G324" s="122"/>
      <c r="H324" s="122"/>
      <c r="I324" s="122"/>
      <c r="J324" s="123"/>
      <c r="K324" s="121"/>
      <c r="L324" s="123"/>
      <c r="M324" s="252"/>
    </row>
    <row r="325" spans="2:13" s="2" customFormat="1" ht="24.95" customHeight="1">
      <c r="B325" s="43"/>
      <c r="C325" s="125" t="s">
        <v>156</v>
      </c>
      <c r="D325" s="124" t="s">
        <v>81</v>
      </c>
      <c r="E325" s="123">
        <f>102/100</f>
        <v>1.02</v>
      </c>
      <c r="F325" s="121">
        <f t="shared" si="13"/>
        <v>0.61199999999999999</v>
      </c>
      <c r="G325" s="122"/>
      <c r="H325" s="122"/>
      <c r="I325" s="122"/>
      <c r="J325" s="123"/>
      <c r="K325" s="121"/>
      <c r="L325" s="123"/>
      <c r="M325" s="252"/>
    </row>
    <row r="326" spans="2:13" s="2" customFormat="1" ht="24.95" customHeight="1">
      <c r="B326" s="43"/>
      <c r="C326" s="125" t="s">
        <v>117</v>
      </c>
      <c r="D326" s="124" t="s">
        <v>88</v>
      </c>
      <c r="E326" s="123">
        <f>161/100</f>
        <v>1.61</v>
      </c>
      <c r="F326" s="121">
        <f t="shared" si="13"/>
        <v>0.96599999999999997</v>
      </c>
      <c r="G326" s="122"/>
      <c r="H326" s="122"/>
      <c r="I326" s="122"/>
      <c r="J326" s="123"/>
      <c r="K326" s="121"/>
      <c r="L326" s="123"/>
      <c r="M326" s="252"/>
    </row>
    <row r="327" spans="2:13" s="2" customFormat="1" ht="24.95" customHeight="1">
      <c r="B327" s="43"/>
      <c r="C327" s="125" t="s">
        <v>157</v>
      </c>
      <c r="D327" s="124" t="s">
        <v>81</v>
      </c>
      <c r="E327" s="123">
        <v>0.08</v>
      </c>
      <c r="F327" s="121">
        <f t="shared" si="13"/>
        <v>4.8000000000000001E-2</v>
      </c>
      <c r="G327" s="122"/>
      <c r="H327" s="122"/>
      <c r="I327" s="122"/>
      <c r="J327" s="123"/>
      <c r="K327" s="121"/>
      <c r="L327" s="123"/>
      <c r="M327" s="252"/>
    </row>
    <row r="328" spans="2:13" s="2" customFormat="1" ht="24.95" customHeight="1">
      <c r="B328" s="43"/>
      <c r="C328" s="125" t="s">
        <v>92</v>
      </c>
      <c r="D328" s="124" t="s">
        <v>87</v>
      </c>
      <c r="E328" s="123">
        <f>28/100</f>
        <v>0.28000000000000003</v>
      </c>
      <c r="F328" s="121">
        <f t="shared" si="13"/>
        <v>0.16800000000000001</v>
      </c>
      <c r="G328" s="122"/>
      <c r="H328" s="122"/>
      <c r="I328" s="122"/>
      <c r="J328" s="123"/>
      <c r="K328" s="121"/>
      <c r="L328" s="123"/>
      <c r="M328" s="252"/>
    </row>
    <row r="329" spans="2:13" s="2" customFormat="1" ht="33.75" customHeight="1">
      <c r="B329" s="354" t="s">
        <v>26</v>
      </c>
      <c r="C329" s="355"/>
      <c r="D329" s="355"/>
      <c r="E329" s="355"/>
      <c r="F329" s="355"/>
      <c r="G329" s="85"/>
      <c r="H329" s="85"/>
      <c r="I329" s="85"/>
      <c r="J329" s="84"/>
      <c r="K329" s="85"/>
      <c r="L329" s="84"/>
      <c r="M329" s="282"/>
    </row>
    <row r="330" spans="2:13" s="2" customFormat="1" ht="45.75" customHeight="1">
      <c r="B330" s="82">
        <v>1</v>
      </c>
      <c r="C330" s="63" t="s">
        <v>41</v>
      </c>
      <c r="D330" s="165" t="s">
        <v>254</v>
      </c>
      <c r="E330" s="123"/>
      <c r="F330" s="166">
        <f>50/1000</f>
        <v>0.05</v>
      </c>
      <c r="G330" s="122"/>
      <c r="H330" s="122"/>
      <c r="I330" s="123"/>
      <c r="J330" s="123"/>
      <c r="K330" s="123"/>
      <c r="L330" s="123"/>
      <c r="M330" s="283"/>
    </row>
    <row r="331" spans="2:13" s="2" customFormat="1" ht="24.95" customHeight="1">
      <c r="B331" s="82"/>
      <c r="C331" s="138" t="s">
        <v>84</v>
      </c>
      <c r="D331" s="120" t="s">
        <v>85</v>
      </c>
      <c r="E331" s="64">
        <v>537</v>
      </c>
      <c r="F331" s="64">
        <f>F330*E331</f>
        <v>26.85</v>
      </c>
      <c r="G331" s="122"/>
      <c r="H331" s="122"/>
      <c r="I331" s="123"/>
      <c r="J331" s="123"/>
      <c r="K331" s="123"/>
      <c r="L331" s="123"/>
      <c r="M331" s="283"/>
    </row>
    <row r="332" spans="2:13" s="2" customFormat="1" ht="24.95" customHeight="1">
      <c r="B332" s="82"/>
      <c r="C332" s="138" t="s">
        <v>205</v>
      </c>
      <c r="D332" s="120" t="s">
        <v>87</v>
      </c>
      <c r="E332" s="64">
        <v>162</v>
      </c>
      <c r="F332" s="64">
        <f>E332*F330</f>
        <v>8.1</v>
      </c>
      <c r="G332" s="122"/>
      <c r="H332" s="122"/>
      <c r="I332" s="123"/>
      <c r="J332" s="123"/>
      <c r="K332" s="121"/>
      <c r="L332" s="123"/>
      <c r="M332" s="283"/>
    </row>
    <row r="333" spans="2:13" s="2" customFormat="1" ht="32.25" customHeight="1">
      <c r="B333" s="82"/>
      <c r="C333" s="138" t="s">
        <v>255</v>
      </c>
      <c r="D333" s="120" t="s">
        <v>206</v>
      </c>
      <c r="E333" s="64">
        <v>995</v>
      </c>
      <c r="F333" s="64">
        <f>E333*F330</f>
        <v>49.75</v>
      </c>
      <c r="G333" s="164"/>
      <c r="H333" s="164"/>
      <c r="I333" s="64"/>
      <c r="J333" s="122"/>
      <c r="K333" s="123"/>
      <c r="L333" s="123"/>
      <c r="M333" s="283"/>
    </row>
    <row r="334" spans="2:13" s="2" customFormat="1" ht="24.95" customHeight="1">
      <c r="B334" s="82"/>
      <c r="C334" s="138" t="s">
        <v>92</v>
      </c>
      <c r="D334" s="120" t="s">
        <v>87</v>
      </c>
      <c r="E334" s="64">
        <v>22.9</v>
      </c>
      <c r="F334" s="64">
        <f>E334*F330</f>
        <v>1.145</v>
      </c>
      <c r="G334" s="164"/>
      <c r="H334" s="164"/>
      <c r="I334" s="64"/>
      <c r="J334" s="122"/>
      <c r="K334" s="123"/>
      <c r="L334" s="123"/>
      <c r="M334" s="283"/>
    </row>
    <row r="335" spans="2:13" s="2" customFormat="1" ht="45" customHeight="1">
      <c r="B335" s="82">
        <v>2</v>
      </c>
      <c r="C335" s="63" t="s">
        <v>40</v>
      </c>
      <c r="D335" s="165" t="s">
        <v>254</v>
      </c>
      <c r="E335" s="123"/>
      <c r="F335" s="166">
        <f>240/1000</f>
        <v>0.24</v>
      </c>
      <c r="G335" s="122"/>
      <c r="H335" s="122"/>
      <c r="I335" s="123"/>
      <c r="J335" s="123"/>
      <c r="K335" s="123"/>
      <c r="L335" s="123"/>
      <c r="M335" s="283"/>
    </row>
    <row r="336" spans="2:13" s="2" customFormat="1" ht="24.95" customHeight="1">
      <c r="B336" s="82"/>
      <c r="C336" s="138" t="s">
        <v>84</v>
      </c>
      <c r="D336" s="120" t="s">
        <v>85</v>
      </c>
      <c r="E336" s="64">
        <v>537</v>
      </c>
      <c r="F336" s="64">
        <f>F335*E336</f>
        <v>128.88</v>
      </c>
      <c r="G336" s="122"/>
      <c r="H336" s="122"/>
      <c r="I336" s="123"/>
      <c r="J336" s="123"/>
      <c r="K336" s="123"/>
      <c r="L336" s="123"/>
      <c r="M336" s="283"/>
    </row>
    <row r="337" spans="2:13" s="2" customFormat="1" ht="24.95" customHeight="1">
      <c r="B337" s="82"/>
      <c r="C337" s="138" t="s">
        <v>205</v>
      </c>
      <c r="D337" s="120" t="s">
        <v>87</v>
      </c>
      <c r="E337" s="64">
        <v>162</v>
      </c>
      <c r="F337" s="64">
        <f>E337*F335</f>
        <v>38.879999999999995</v>
      </c>
      <c r="G337" s="122"/>
      <c r="H337" s="122"/>
      <c r="I337" s="123"/>
      <c r="J337" s="123"/>
      <c r="K337" s="121"/>
      <c r="L337" s="123"/>
      <c r="M337" s="283"/>
    </row>
    <row r="338" spans="2:13" s="2" customFormat="1" ht="41.25" customHeight="1">
      <c r="B338" s="82"/>
      <c r="C338" s="138" t="s">
        <v>256</v>
      </c>
      <c r="D338" s="120" t="s">
        <v>206</v>
      </c>
      <c r="E338" s="64">
        <v>995</v>
      </c>
      <c r="F338" s="64">
        <f>E338*F335</f>
        <v>238.79999999999998</v>
      </c>
      <c r="G338" s="164"/>
      <c r="H338" s="164"/>
      <c r="I338" s="64"/>
      <c r="J338" s="122"/>
      <c r="K338" s="123"/>
      <c r="L338" s="123"/>
      <c r="M338" s="283"/>
    </row>
    <row r="339" spans="2:13" s="2" customFormat="1" ht="24.95" customHeight="1">
      <c r="B339" s="82"/>
      <c r="C339" s="138" t="s">
        <v>92</v>
      </c>
      <c r="D339" s="120" t="s">
        <v>87</v>
      </c>
      <c r="E339" s="64">
        <v>22.9</v>
      </c>
      <c r="F339" s="64">
        <f>E339*F335</f>
        <v>5.4959999999999996</v>
      </c>
      <c r="G339" s="164"/>
      <c r="H339" s="164"/>
      <c r="I339" s="64"/>
      <c r="J339" s="122"/>
      <c r="K339" s="123"/>
      <c r="L339" s="123"/>
      <c r="M339" s="283"/>
    </row>
    <row r="340" spans="2:13" s="28" customFormat="1" ht="31.5" customHeight="1">
      <c r="B340" s="288">
        <v>3</v>
      </c>
      <c r="C340" s="66" t="s">
        <v>42</v>
      </c>
      <c r="D340" s="24" t="s">
        <v>257</v>
      </c>
      <c r="E340" s="25"/>
      <c r="F340" s="26">
        <v>550</v>
      </c>
      <c r="G340" s="27"/>
      <c r="H340" s="27"/>
      <c r="I340" s="27"/>
      <c r="J340" s="25"/>
      <c r="K340" s="27"/>
      <c r="L340" s="25"/>
      <c r="M340" s="261"/>
    </row>
    <row r="341" spans="2:13" s="35" customFormat="1" ht="24.95" customHeight="1">
      <c r="B341" s="289"/>
      <c r="C341" s="65" t="s">
        <v>84</v>
      </c>
      <c r="D341" s="30" t="s">
        <v>85</v>
      </c>
      <c r="E341" s="14">
        <v>1</v>
      </c>
      <c r="F341" s="34">
        <f>F340*E341</f>
        <v>550</v>
      </c>
      <c r="G341" s="33"/>
      <c r="H341" s="33"/>
      <c r="I341" s="32"/>
      <c r="J341" s="32"/>
      <c r="K341" s="32"/>
      <c r="L341" s="32"/>
      <c r="M341" s="263"/>
    </row>
    <row r="342" spans="2:13" s="35" customFormat="1" ht="24.95" customHeight="1">
      <c r="B342" s="289"/>
      <c r="C342" s="4" t="s">
        <v>42</v>
      </c>
      <c r="D342" s="30" t="s">
        <v>15</v>
      </c>
      <c r="E342" s="14">
        <v>1</v>
      </c>
      <c r="F342" s="34">
        <f>F340*E342</f>
        <v>550</v>
      </c>
      <c r="G342" s="33"/>
      <c r="H342" s="33"/>
      <c r="I342" s="32"/>
      <c r="J342" s="32"/>
      <c r="K342" s="32"/>
      <c r="L342" s="32"/>
      <c r="M342" s="263"/>
    </row>
    <row r="343" spans="2:13" s="35" customFormat="1" ht="36.75" customHeight="1">
      <c r="B343" s="289"/>
      <c r="C343" s="4" t="s">
        <v>43</v>
      </c>
      <c r="D343" s="30" t="s">
        <v>258</v>
      </c>
      <c r="E343" s="14" t="s">
        <v>259</v>
      </c>
      <c r="F343" s="34">
        <v>400</v>
      </c>
      <c r="G343" s="33"/>
      <c r="H343" s="33"/>
      <c r="I343" s="32"/>
      <c r="J343" s="32"/>
      <c r="K343" s="32"/>
      <c r="L343" s="32"/>
      <c r="M343" s="263"/>
    </row>
    <row r="344" spans="2:13" s="2" customFormat="1" ht="26.25" customHeight="1">
      <c r="B344" s="82">
        <v>4</v>
      </c>
      <c r="C344" s="66" t="s">
        <v>62</v>
      </c>
      <c r="D344" s="83" t="s">
        <v>31</v>
      </c>
      <c r="E344" s="84"/>
      <c r="F344" s="84">
        <v>1</v>
      </c>
      <c r="G344" s="85"/>
      <c r="H344" s="85"/>
      <c r="I344" s="85"/>
      <c r="J344" s="84"/>
      <c r="K344" s="85"/>
      <c r="L344" s="84"/>
      <c r="M344" s="282"/>
    </row>
    <row r="345" spans="2:13" s="2" customFormat="1" ht="24.95" customHeight="1">
      <c r="B345" s="82"/>
      <c r="C345" s="66"/>
      <c r="D345" s="83" t="s">
        <v>81</v>
      </c>
      <c r="E345" s="84"/>
      <c r="F345" s="158">
        <f>(0.5*0.5*3.14*0.15+1*3.14*0.1*2+0.5*0.5*3.14*0.18)*F344</f>
        <v>0.88705000000000012</v>
      </c>
      <c r="G345" s="85"/>
      <c r="H345" s="85"/>
      <c r="I345" s="85"/>
      <c r="J345" s="84"/>
      <c r="K345" s="85"/>
      <c r="L345" s="84"/>
      <c r="M345" s="282"/>
    </row>
    <row r="346" spans="2:13" s="2" customFormat="1" ht="24.95" customHeight="1">
      <c r="B346" s="82"/>
      <c r="C346" s="159" t="s">
        <v>84</v>
      </c>
      <c r="D346" s="160" t="s">
        <v>85</v>
      </c>
      <c r="E346" s="161">
        <f>106/10</f>
        <v>10.6</v>
      </c>
      <c r="F346" s="90">
        <f>F$345*E346</f>
        <v>9.40273</v>
      </c>
      <c r="G346" s="122"/>
      <c r="H346" s="122"/>
      <c r="I346" s="123"/>
      <c r="J346" s="123"/>
      <c r="K346" s="123"/>
      <c r="L346" s="123"/>
      <c r="M346" s="283"/>
    </row>
    <row r="347" spans="2:13" s="2" customFormat="1" ht="24.95" customHeight="1">
      <c r="B347" s="43"/>
      <c r="C347" s="159" t="s">
        <v>95</v>
      </c>
      <c r="D347" s="160" t="s">
        <v>87</v>
      </c>
      <c r="E347" s="161">
        <f>71.4/10</f>
        <v>7.1400000000000006</v>
      </c>
      <c r="F347" s="90">
        <f>F$345*E347</f>
        <v>6.3335370000000015</v>
      </c>
      <c r="G347" s="122"/>
      <c r="H347" s="122"/>
      <c r="I347" s="122"/>
      <c r="J347" s="123"/>
      <c r="K347" s="64"/>
      <c r="L347" s="123"/>
      <c r="M347" s="283"/>
    </row>
    <row r="348" spans="2:13" s="2" customFormat="1" ht="38.25" customHeight="1">
      <c r="B348" s="284"/>
      <c r="C348" s="162" t="s">
        <v>59</v>
      </c>
      <c r="D348" s="160" t="s">
        <v>31</v>
      </c>
      <c r="E348" s="161" t="s">
        <v>230</v>
      </c>
      <c r="F348" s="90">
        <v>2</v>
      </c>
      <c r="G348" s="122"/>
      <c r="H348" s="122"/>
      <c r="I348" s="64"/>
      <c r="J348" s="123"/>
      <c r="K348" s="64"/>
      <c r="L348" s="123"/>
      <c r="M348" s="283"/>
    </row>
    <row r="349" spans="2:13" s="2" customFormat="1" ht="24.95" customHeight="1">
      <c r="B349" s="284"/>
      <c r="C349" s="163" t="s">
        <v>60</v>
      </c>
      <c r="D349" s="160" t="s">
        <v>31</v>
      </c>
      <c r="E349" s="161" t="s">
        <v>230</v>
      </c>
      <c r="F349" s="90">
        <v>1</v>
      </c>
      <c r="G349" s="122"/>
      <c r="H349" s="122"/>
      <c r="I349" s="64"/>
      <c r="J349" s="123"/>
      <c r="K349" s="121"/>
      <c r="L349" s="123"/>
      <c r="M349" s="283"/>
    </row>
    <row r="350" spans="2:13" s="2" customFormat="1" ht="51.75" customHeight="1">
      <c r="B350" s="284"/>
      <c r="C350" s="162" t="s">
        <v>61</v>
      </c>
      <c r="D350" s="160" t="s">
        <v>31</v>
      </c>
      <c r="E350" s="161" t="s">
        <v>230</v>
      </c>
      <c r="F350" s="90">
        <v>1</v>
      </c>
      <c r="G350" s="122"/>
      <c r="H350" s="122"/>
      <c r="I350" s="64"/>
      <c r="J350" s="123"/>
      <c r="K350" s="64"/>
      <c r="L350" s="123"/>
      <c r="M350" s="283"/>
    </row>
    <row r="351" spans="2:13" s="2" customFormat="1" ht="24.95" customHeight="1">
      <c r="B351" s="284"/>
      <c r="C351" s="159" t="s">
        <v>303</v>
      </c>
      <c r="D351" s="160" t="s">
        <v>15</v>
      </c>
      <c r="E351" s="161" t="s">
        <v>259</v>
      </c>
      <c r="F351" s="90">
        <v>0.3</v>
      </c>
      <c r="G351" s="122"/>
      <c r="H351" s="122"/>
      <c r="I351" s="64"/>
      <c r="J351" s="123"/>
      <c r="K351" s="64"/>
      <c r="L351" s="123"/>
      <c r="M351" s="283"/>
    </row>
    <row r="352" spans="2:13" s="2" customFormat="1" ht="24.95" customHeight="1">
      <c r="B352" s="284"/>
      <c r="C352" s="159" t="s">
        <v>231</v>
      </c>
      <c r="D352" s="160" t="s">
        <v>81</v>
      </c>
      <c r="E352" s="161">
        <f>1.57/10</f>
        <v>0.157</v>
      </c>
      <c r="F352" s="90">
        <f>F345*E352</f>
        <v>0.13926685000000003</v>
      </c>
      <c r="G352" s="122"/>
      <c r="H352" s="122"/>
      <c r="I352" s="161"/>
      <c r="J352" s="123"/>
      <c r="K352" s="64"/>
      <c r="L352" s="123"/>
      <c r="M352" s="283"/>
    </row>
    <row r="353" spans="2:15" s="2" customFormat="1" ht="24.95" customHeight="1">
      <c r="B353" s="284"/>
      <c r="C353" s="159" t="s">
        <v>92</v>
      </c>
      <c r="D353" s="160" t="s">
        <v>87</v>
      </c>
      <c r="E353" s="161">
        <f>66.1/10</f>
        <v>6.6099999999999994</v>
      </c>
      <c r="F353" s="90">
        <f>F345*E353</f>
        <v>5.8634005</v>
      </c>
      <c r="G353" s="122"/>
      <c r="H353" s="122"/>
      <c r="I353" s="64"/>
      <c r="J353" s="123"/>
      <c r="K353" s="121"/>
      <c r="L353" s="123"/>
      <c r="M353" s="283"/>
    </row>
    <row r="354" spans="2:15" s="2" customFormat="1" ht="36.75" customHeight="1">
      <c r="B354" s="356" t="s">
        <v>233</v>
      </c>
      <c r="C354" s="357"/>
      <c r="D354" s="357"/>
      <c r="E354" s="357"/>
      <c r="F354" s="357"/>
      <c r="G354" s="85"/>
      <c r="H354" s="85"/>
      <c r="I354" s="85"/>
      <c r="J354" s="84"/>
      <c r="K354" s="85"/>
      <c r="L354" s="84"/>
      <c r="M354" s="282"/>
    </row>
    <row r="355" spans="2:15" s="2" customFormat="1" ht="35.25" customHeight="1">
      <c r="B355" s="36">
        <v>1</v>
      </c>
      <c r="C355" s="169" t="s">
        <v>234</v>
      </c>
      <c r="D355" s="136" t="s">
        <v>89</v>
      </c>
      <c r="E355" s="129"/>
      <c r="F355" s="154">
        <v>0.6</v>
      </c>
      <c r="G355" s="122"/>
      <c r="H355" s="122"/>
      <c r="I355" s="122"/>
      <c r="J355" s="123"/>
      <c r="K355" s="121"/>
      <c r="L355" s="123"/>
      <c r="M355" s="252"/>
    </row>
    <row r="356" spans="2:15" s="2" customFormat="1" ht="24.95" customHeight="1">
      <c r="B356" s="43"/>
      <c r="C356" s="55" t="s">
        <v>84</v>
      </c>
      <c r="D356" s="56" t="s">
        <v>85</v>
      </c>
      <c r="E356" s="123">
        <v>32.9</v>
      </c>
      <c r="F356" s="121">
        <f>F$355*E356</f>
        <v>19.739999999999998</v>
      </c>
      <c r="G356" s="122"/>
      <c r="H356" s="122"/>
      <c r="I356" s="122"/>
      <c r="J356" s="123"/>
      <c r="K356" s="121"/>
      <c r="L356" s="123"/>
      <c r="M356" s="252"/>
    </row>
    <row r="357" spans="2:15" s="2" customFormat="1" ht="24.95" customHeight="1">
      <c r="B357" s="43"/>
      <c r="C357" s="125" t="s">
        <v>164</v>
      </c>
      <c r="D357" s="124" t="s">
        <v>83</v>
      </c>
      <c r="E357" s="123">
        <v>0.35</v>
      </c>
      <c r="F357" s="121">
        <f>F$355*E357</f>
        <v>0.21</v>
      </c>
      <c r="G357" s="122"/>
      <c r="H357" s="122"/>
      <c r="I357" s="122"/>
      <c r="J357" s="123"/>
      <c r="K357" s="121"/>
      <c r="L357" s="123"/>
      <c r="M357" s="252"/>
    </row>
    <row r="358" spans="2:15" s="2" customFormat="1" ht="24.95" customHeight="1">
      <c r="B358" s="43"/>
      <c r="C358" s="125" t="s">
        <v>86</v>
      </c>
      <c r="D358" s="124" t="s">
        <v>87</v>
      </c>
      <c r="E358" s="123">
        <v>13.9</v>
      </c>
      <c r="F358" s="121">
        <f>F$355*E358</f>
        <v>8.34</v>
      </c>
      <c r="G358" s="122"/>
      <c r="H358" s="122"/>
      <c r="I358" s="122"/>
      <c r="J358" s="123"/>
      <c r="K358" s="121"/>
      <c r="L358" s="123"/>
      <c r="M358" s="252"/>
    </row>
    <row r="359" spans="2:15" s="2" customFormat="1" ht="24.95" customHeight="1">
      <c r="B359" s="43"/>
      <c r="C359" s="125" t="s">
        <v>235</v>
      </c>
      <c r="D359" s="124" t="s">
        <v>166</v>
      </c>
      <c r="E359" s="123" t="s">
        <v>167</v>
      </c>
      <c r="F359" s="121">
        <v>166.5</v>
      </c>
      <c r="G359" s="122"/>
      <c r="H359" s="122"/>
      <c r="I359" s="123"/>
      <c r="J359" s="123"/>
      <c r="K359" s="121"/>
      <c r="L359" s="123"/>
      <c r="M359" s="252"/>
      <c r="N359" s="2">
        <v>2.86</v>
      </c>
      <c r="O359" s="2">
        <f t="shared" ref="O359:O360" si="14">F359*N359</f>
        <v>476.19</v>
      </c>
    </row>
    <row r="360" spans="2:15" s="2" customFormat="1" ht="24.95" customHeight="1">
      <c r="B360" s="43"/>
      <c r="C360" s="125" t="s">
        <v>168</v>
      </c>
      <c r="D360" s="124" t="s">
        <v>166</v>
      </c>
      <c r="E360" s="123" t="s">
        <v>167</v>
      </c>
      <c r="F360" s="121">
        <v>17.52</v>
      </c>
      <c r="G360" s="122"/>
      <c r="H360" s="122"/>
      <c r="I360" s="123"/>
      <c r="J360" s="123"/>
      <c r="K360" s="121"/>
      <c r="L360" s="123"/>
      <c r="M360" s="252"/>
      <c r="N360" s="2">
        <v>3.77</v>
      </c>
      <c r="O360" s="2">
        <f t="shared" si="14"/>
        <v>66.050399999999996</v>
      </c>
    </row>
    <row r="361" spans="2:15" s="2" customFormat="1" ht="24.95" customHeight="1">
      <c r="B361" s="43"/>
      <c r="C361" s="125" t="s">
        <v>260</v>
      </c>
      <c r="D361" s="124" t="s">
        <v>0</v>
      </c>
      <c r="E361" s="123" t="s">
        <v>259</v>
      </c>
      <c r="F361" s="121">
        <v>1</v>
      </c>
      <c r="G361" s="122"/>
      <c r="H361" s="122"/>
      <c r="I361" s="123"/>
      <c r="J361" s="123"/>
      <c r="K361" s="121"/>
      <c r="L361" s="123"/>
      <c r="M361" s="252"/>
    </row>
    <row r="362" spans="2:15" s="2" customFormat="1" ht="24.95" customHeight="1">
      <c r="B362" s="43"/>
      <c r="C362" s="125" t="s">
        <v>90</v>
      </c>
      <c r="D362" s="124" t="s">
        <v>91</v>
      </c>
      <c r="E362" s="123">
        <v>4.78</v>
      </c>
      <c r="F362" s="121">
        <f>F$355*E362</f>
        <v>2.8679999999999999</v>
      </c>
      <c r="G362" s="122"/>
      <c r="H362" s="122"/>
      <c r="I362" s="122"/>
      <c r="J362" s="123"/>
      <c r="K362" s="121"/>
      <c r="L362" s="123"/>
      <c r="M362" s="252"/>
      <c r="O362" s="2">
        <f>SUM(O359:O360)</f>
        <v>542.24040000000002</v>
      </c>
    </row>
    <row r="363" spans="2:15" s="2" customFormat="1" ht="24.95" customHeight="1">
      <c r="B363" s="43"/>
      <c r="C363" s="125" t="s">
        <v>92</v>
      </c>
      <c r="D363" s="124" t="s">
        <v>87</v>
      </c>
      <c r="E363" s="123">
        <v>2.78</v>
      </c>
      <c r="F363" s="121">
        <f>F$355*E363</f>
        <v>1.6679999999999999</v>
      </c>
      <c r="G363" s="122"/>
      <c r="H363" s="122"/>
      <c r="I363" s="122"/>
      <c r="J363" s="123"/>
      <c r="K363" s="121"/>
      <c r="L363" s="123"/>
      <c r="M363" s="252"/>
      <c r="O363" s="2">
        <f>O362*1.03</f>
        <v>558.50761199999999</v>
      </c>
    </row>
    <row r="364" spans="2:15" s="2" customFormat="1" ht="52.5" customHeight="1">
      <c r="B364" s="82">
        <v>2</v>
      </c>
      <c r="C364" s="155" t="s">
        <v>185</v>
      </c>
      <c r="D364" s="83" t="s">
        <v>81</v>
      </c>
      <c r="E364" s="84"/>
      <c r="F364" s="84">
        <v>0.35</v>
      </c>
      <c r="G364" s="85"/>
      <c r="H364" s="85"/>
      <c r="I364" s="85"/>
      <c r="J364" s="84"/>
      <c r="K364" s="85"/>
      <c r="L364" s="84"/>
      <c r="M364" s="282"/>
    </row>
    <row r="365" spans="2:15" s="2" customFormat="1" ht="24.95" customHeight="1">
      <c r="B365" s="82"/>
      <c r="C365" s="55" t="s">
        <v>84</v>
      </c>
      <c r="D365" s="56" t="s">
        <v>85</v>
      </c>
      <c r="E365" s="123">
        <v>0.89</v>
      </c>
      <c r="F365" s="90">
        <f>F$364*E365</f>
        <v>0.3115</v>
      </c>
      <c r="G365" s="122"/>
      <c r="H365" s="122"/>
      <c r="I365" s="123"/>
      <c r="J365" s="123"/>
      <c r="K365" s="123"/>
      <c r="L365" s="123"/>
      <c r="M365" s="283"/>
    </row>
    <row r="366" spans="2:15" s="2" customFormat="1" ht="24.95" customHeight="1">
      <c r="B366" s="43"/>
      <c r="C366" s="125" t="s">
        <v>86</v>
      </c>
      <c r="D366" s="124" t="s">
        <v>87</v>
      </c>
      <c r="E366" s="123">
        <v>0.45</v>
      </c>
      <c r="F366" s="90">
        <f t="shared" ref="F366:F368" si="15">F$364*E366</f>
        <v>0.1575</v>
      </c>
      <c r="G366" s="122"/>
      <c r="H366" s="122"/>
      <c r="I366" s="122"/>
      <c r="J366" s="123"/>
      <c r="K366" s="121"/>
      <c r="L366" s="123"/>
      <c r="M366" s="283"/>
    </row>
    <row r="367" spans="2:15" s="2" customFormat="1" ht="24.95" customHeight="1">
      <c r="B367" s="82"/>
      <c r="C367" s="125" t="s">
        <v>186</v>
      </c>
      <c r="D367" s="124" t="s">
        <v>81</v>
      </c>
      <c r="E367" s="123">
        <v>1.1499999999999999</v>
      </c>
      <c r="F367" s="90">
        <f t="shared" si="15"/>
        <v>0.40249999999999997</v>
      </c>
      <c r="G367" s="122"/>
      <c r="H367" s="122"/>
      <c r="I367" s="122"/>
      <c r="J367" s="123"/>
      <c r="K367" s="121"/>
      <c r="L367" s="123"/>
      <c r="M367" s="283"/>
    </row>
    <row r="368" spans="2:15" s="2" customFormat="1" ht="24.95" customHeight="1">
      <c r="B368" s="284"/>
      <c r="C368" s="125" t="s">
        <v>92</v>
      </c>
      <c r="D368" s="124" t="s">
        <v>87</v>
      </c>
      <c r="E368" s="123">
        <v>0.02</v>
      </c>
      <c r="F368" s="90">
        <f t="shared" si="15"/>
        <v>6.9999999999999993E-3</v>
      </c>
      <c r="G368" s="122"/>
      <c r="H368" s="122"/>
      <c r="I368" s="122"/>
      <c r="J368" s="123"/>
      <c r="K368" s="121"/>
      <c r="L368" s="123"/>
      <c r="M368" s="283"/>
    </row>
    <row r="369" spans="2:13" s="2" customFormat="1" ht="24.95" customHeight="1">
      <c r="B369" s="82">
        <v>3</v>
      </c>
      <c r="C369" s="155" t="s">
        <v>29</v>
      </c>
      <c r="D369" s="83" t="s">
        <v>31</v>
      </c>
      <c r="E369" s="84"/>
      <c r="F369" s="84">
        <v>60</v>
      </c>
      <c r="G369" s="85"/>
      <c r="H369" s="85"/>
      <c r="I369" s="85"/>
      <c r="J369" s="84"/>
      <c r="K369" s="85"/>
      <c r="L369" s="84"/>
      <c r="M369" s="282"/>
    </row>
    <row r="370" spans="2:13" s="2" customFormat="1" ht="24.95" customHeight="1">
      <c r="B370" s="82"/>
      <c r="C370" s="55" t="s">
        <v>84</v>
      </c>
      <c r="D370" s="56" t="s">
        <v>31</v>
      </c>
      <c r="E370" s="123">
        <v>1</v>
      </c>
      <c r="F370" s="90">
        <f>F$369*E370</f>
        <v>60</v>
      </c>
      <c r="G370" s="122"/>
      <c r="H370" s="122"/>
      <c r="I370" s="123"/>
      <c r="J370" s="123"/>
      <c r="K370" s="123"/>
      <c r="L370" s="123"/>
      <c r="M370" s="283"/>
    </row>
    <row r="371" spans="2:13" s="2" customFormat="1" ht="24.95" customHeight="1">
      <c r="B371" s="82"/>
      <c r="C371" s="125" t="s">
        <v>236</v>
      </c>
      <c r="D371" s="124" t="s">
        <v>31</v>
      </c>
      <c r="E371" s="123">
        <v>1</v>
      </c>
      <c r="F371" s="90">
        <f>F$369*E371</f>
        <v>60</v>
      </c>
      <c r="G371" s="122"/>
      <c r="H371" s="122"/>
      <c r="I371" s="122"/>
      <c r="J371" s="123"/>
      <c r="K371" s="121"/>
      <c r="L371" s="123"/>
      <c r="M371" s="283"/>
    </row>
    <row r="372" spans="2:13" s="2" customFormat="1" ht="33" customHeight="1">
      <c r="B372" s="356" t="s">
        <v>353</v>
      </c>
      <c r="C372" s="357"/>
      <c r="D372" s="357"/>
      <c r="E372" s="357"/>
      <c r="F372" s="357"/>
      <c r="G372" s="85"/>
      <c r="H372" s="85"/>
      <c r="I372" s="85"/>
      <c r="J372" s="84"/>
      <c r="K372" s="85"/>
      <c r="L372" s="84"/>
      <c r="M372" s="282"/>
    </row>
    <row r="373" spans="2:13" s="2" customFormat="1" ht="56.25" customHeight="1">
      <c r="B373" s="36">
        <v>1</v>
      </c>
      <c r="C373" s="66" t="s">
        <v>30</v>
      </c>
      <c r="D373" s="133" t="s">
        <v>81</v>
      </c>
      <c r="E373" s="134"/>
      <c r="F373" s="130">
        <v>60</v>
      </c>
      <c r="G373" s="135"/>
      <c r="H373" s="135"/>
      <c r="I373" s="135"/>
      <c r="J373" s="135"/>
      <c r="K373" s="135"/>
      <c r="L373" s="135"/>
      <c r="M373" s="252"/>
    </row>
    <row r="374" spans="2:13" s="2" customFormat="1" ht="24.95" customHeight="1">
      <c r="B374" s="43"/>
      <c r="C374" s="21" t="s">
        <v>103</v>
      </c>
      <c r="D374" s="124" t="s">
        <v>85</v>
      </c>
      <c r="E374" s="123">
        <f>15/100</f>
        <v>0.15</v>
      </c>
      <c r="F374" s="121">
        <f>F$373*E374</f>
        <v>9</v>
      </c>
      <c r="G374" s="122"/>
      <c r="H374" s="122"/>
      <c r="I374" s="122"/>
      <c r="J374" s="123"/>
      <c r="K374" s="121"/>
      <c r="L374" s="123"/>
      <c r="M374" s="252"/>
    </row>
    <row r="375" spans="2:13" s="2" customFormat="1" ht="33" customHeight="1">
      <c r="B375" s="43"/>
      <c r="C375" s="91" t="s">
        <v>151</v>
      </c>
      <c r="D375" s="124" t="s">
        <v>83</v>
      </c>
      <c r="E375" s="123">
        <f>2.16/100</f>
        <v>2.1600000000000001E-2</v>
      </c>
      <c r="F375" s="121">
        <f t="shared" ref="F375:F379" si="16">F$373*E375</f>
        <v>1.296</v>
      </c>
      <c r="G375" s="122"/>
      <c r="H375" s="122"/>
      <c r="I375" s="122"/>
      <c r="J375" s="123"/>
      <c r="K375" s="121"/>
      <c r="L375" s="123"/>
      <c r="M375" s="252"/>
    </row>
    <row r="376" spans="2:13" s="2" customFormat="1" ht="24.95" customHeight="1">
      <c r="B376" s="43"/>
      <c r="C376" s="91" t="s">
        <v>104</v>
      </c>
      <c r="D376" s="124" t="s">
        <v>83</v>
      </c>
      <c r="E376" s="123">
        <f>2.1/100</f>
        <v>2.1000000000000001E-2</v>
      </c>
      <c r="F376" s="121">
        <f t="shared" si="16"/>
        <v>1.26</v>
      </c>
      <c r="G376" s="122"/>
      <c r="H376" s="122"/>
      <c r="I376" s="122"/>
      <c r="J376" s="123"/>
      <c r="K376" s="121"/>
      <c r="L376" s="123"/>
      <c r="M376" s="252"/>
    </row>
    <row r="377" spans="2:13" s="2" customFormat="1" ht="24.95" customHeight="1">
      <c r="B377" s="43"/>
      <c r="C377" s="91" t="s">
        <v>105</v>
      </c>
      <c r="D377" s="124" t="s">
        <v>83</v>
      </c>
      <c r="E377" s="123">
        <f>0.97/100</f>
        <v>9.7000000000000003E-3</v>
      </c>
      <c r="F377" s="121">
        <f t="shared" si="16"/>
        <v>0.58200000000000007</v>
      </c>
      <c r="G377" s="122"/>
      <c r="H377" s="122"/>
      <c r="I377" s="122"/>
      <c r="J377" s="123"/>
      <c r="K377" s="121"/>
      <c r="L377" s="123"/>
      <c r="M377" s="252"/>
    </row>
    <row r="378" spans="2:13" s="2" customFormat="1" ht="24.95" customHeight="1">
      <c r="B378" s="43"/>
      <c r="C378" s="91" t="s">
        <v>237</v>
      </c>
      <c r="D378" s="124" t="s">
        <v>81</v>
      </c>
      <c r="E378" s="123">
        <f>122/100</f>
        <v>1.22</v>
      </c>
      <c r="F378" s="121">
        <f t="shared" si="16"/>
        <v>73.2</v>
      </c>
      <c r="G378" s="122"/>
      <c r="H378" s="122"/>
      <c r="I378" s="122"/>
      <c r="J378" s="123"/>
      <c r="K378" s="121"/>
      <c r="L378" s="123"/>
      <c r="M378" s="252"/>
    </row>
    <row r="379" spans="2:13" s="2" customFormat="1" ht="24.95" customHeight="1">
      <c r="B379" s="43"/>
      <c r="C379" s="91" t="s">
        <v>102</v>
      </c>
      <c r="D379" s="124" t="s">
        <v>81</v>
      </c>
      <c r="E379" s="123">
        <f>7/100</f>
        <v>7.0000000000000007E-2</v>
      </c>
      <c r="F379" s="121">
        <f t="shared" si="16"/>
        <v>4.2</v>
      </c>
      <c r="G379" s="122"/>
      <c r="H379" s="122"/>
      <c r="I379" s="122"/>
      <c r="J379" s="123"/>
      <c r="K379" s="121"/>
      <c r="L379" s="123"/>
      <c r="M379" s="252"/>
    </row>
    <row r="380" spans="2:13" s="2" customFormat="1" ht="40.5" customHeight="1">
      <c r="B380" s="36">
        <v>2</v>
      </c>
      <c r="C380" s="133" t="s">
        <v>328</v>
      </c>
      <c r="D380" s="133" t="s">
        <v>155</v>
      </c>
      <c r="E380" s="134"/>
      <c r="F380" s="130">
        <f>33/100</f>
        <v>0.33</v>
      </c>
      <c r="G380" s="135"/>
      <c r="H380" s="135"/>
      <c r="I380" s="135"/>
      <c r="J380" s="135"/>
      <c r="K380" s="135"/>
      <c r="L380" s="135"/>
      <c r="M380" s="252"/>
    </row>
    <row r="381" spans="2:13" s="2" customFormat="1" ht="24.95" customHeight="1">
      <c r="B381" s="43"/>
      <c r="C381" s="55" t="s">
        <v>84</v>
      </c>
      <c r="D381" s="56" t="s">
        <v>85</v>
      </c>
      <c r="E381" s="123">
        <v>187</v>
      </c>
      <c r="F381" s="121">
        <f>F$380*E381</f>
        <v>61.71</v>
      </c>
      <c r="G381" s="122"/>
      <c r="H381" s="122"/>
      <c r="I381" s="122"/>
      <c r="J381" s="123"/>
      <c r="K381" s="121"/>
      <c r="L381" s="123"/>
      <c r="M381" s="252"/>
    </row>
    <row r="382" spans="2:13" s="2" customFormat="1" ht="24.95" customHeight="1">
      <c r="B382" s="43"/>
      <c r="C382" s="125" t="s">
        <v>86</v>
      </c>
      <c r="D382" s="124" t="s">
        <v>87</v>
      </c>
      <c r="E382" s="123">
        <v>77</v>
      </c>
      <c r="F382" s="121">
        <f t="shared" ref="F382:F386" si="17">F$380*E382</f>
        <v>25.41</v>
      </c>
      <c r="G382" s="122"/>
      <c r="H382" s="122"/>
      <c r="I382" s="122"/>
      <c r="J382" s="123"/>
      <c r="K382" s="121"/>
      <c r="L382" s="123"/>
      <c r="M382" s="252"/>
    </row>
    <row r="383" spans="2:13" s="2" customFormat="1" ht="24.95" customHeight="1">
      <c r="B383" s="43"/>
      <c r="C383" s="125" t="s">
        <v>156</v>
      </c>
      <c r="D383" s="124" t="s">
        <v>81</v>
      </c>
      <c r="E383" s="123">
        <v>101.5</v>
      </c>
      <c r="F383" s="121">
        <f t="shared" si="17"/>
        <v>33.495000000000005</v>
      </c>
      <c r="G383" s="122"/>
      <c r="H383" s="122"/>
      <c r="I383" s="122"/>
      <c r="J383" s="123"/>
      <c r="K383" s="121"/>
      <c r="L383" s="123"/>
      <c r="M383" s="252"/>
    </row>
    <row r="384" spans="2:13" s="2" customFormat="1" ht="24.95" customHeight="1">
      <c r="B384" s="43"/>
      <c r="C384" s="125" t="s">
        <v>108</v>
      </c>
      <c r="D384" s="124" t="s">
        <v>88</v>
      </c>
      <c r="E384" s="123">
        <v>7.54</v>
      </c>
      <c r="F384" s="121">
        <f t="shared" si="17"/>
        <v>2.4882</v>
      </c>
      <c r="G384" s="122"/>
      <c r="H384" s="122"/>
      <c r="I384" s="122"/>
      <c r="J384" s="123"/>
      <c r="K384" s="121"/>
      <c r="L384" s="123"/>
      <c r="M384" s="252"/>
    </row>
    <row r="385" spans="2:13" s="2" customFormat="1" ht="24.95" customHeight="1">
      <c r="B385" s="43"/>
      <c r="C385" s="125" t="s">
        <v>157</v>
      </c>
      <c r="D385" s="124" t="s">
        <v>81</v>
      </c>
      <c r="E385" s="123">
        <v>0.08</v>
      </c>
      <c r="F385" s="121">
        <f t="shared" si="17"/>
        <v>2.6400000000000003E-2</v>
      </c>
      <c r="G385" s="122"/>
      <c r="H385" s="122"/>
      <c r="I385" s="122"/>
      <c r="J385" s="123"/>
      <c r="K385" s="121"/>
      <c r="L385" s="123"/>
      <c r="M385" s="252"/>
    </row>
    <row r="386" spans="2:13" s="2" customFormat="1" ht="24.95" customHeight="1">
      <c r="B386" s="43"/>
      <c r="C386" s="125" t="s">
        <v>92</v>
      </c>
      <c r="D386" s="124" t="s">
        <v>87</v>
      </c>
      <c r="E386" s="123">
        <v>7</v>
      </c>
      <c r="F386" s="121">
        <f t="shared" si="17"/>
        <v>2.31</v>
      </c>
      <c r="G386" s="122"/>
      <c r="H386" s="122"/>
      <c r="I386" s="122"/>
      <c r="J386" s="123"/>
      <c r="K386" s="121"/>
      <c r="L386" s="123"/>
      <c r="M386" s="252"/>
    </row>
    <row r="387" spans="2:13" s="28" customFormat="1" ht="31.5" customHeight="1">
      <c r="B387" s="288">
        <v>3</v>
      </c>
      <c r="C387" s="66" t="s">
        <v>42</v>
      </c>
      <c r="D387" s="24" t="s">
        <v>257</v>
      </c>
      <c r="E387" s="25"/>
      <c r="F387" s="26">
        <v>330</v>
      </c>
      <c r="G387" s="27"/>
      <c r="H387" s="27"/>
      <c r="I387" s="27"/>
      <c r="J387" s="25"/>
      <c r="K387" s="27"/>
      <c r="L387" s="25"/>
      <c r="M387" s="261"/>
    </row>
    <row r="388" spans="2:13" s="35" customFormat="1" ht="24.95" customHeight="1">
      <c r="B388" s="289"/>
      <c r="C388" s="65" t="s">
        <v>84</v>
      </c>
      <c r="D388" s="30" t="s">
        <v>85</v>
      </c>
      <c r="E388" s="14">
        <v>1</v>
      </c>
      <c r="F388" s="34">
        <f>F387*E388</f>
        <v>330</v>
      </c>
      <c r="G388" s="33"/>
      <c r="H388" s="33"/>
      <c r="I388" s="32"/>
      <c r="J388" s="32"/>
      <c r="K388" s="32"/>
      <c r="L388" s="32"/>
      <c r="M388" s="263"/>
    </row>
    <row r="389" spans="2:13" s="35" customFormat="1" ht="24.95" customHeight="1">
      <c r="B389" s="289"/>
      <c r="C389" s="4" t="s">
        <v>42</v>
      </c>
      <c r="D389" s="30" t="s">
        <v>15</v>
      </c>
      <c r="E389" s="14">
        <v>1</v>
      </c>
      <c r="F389" s="34">
        <f>F387*E389</f>
        <v>330</v>
      </c>
      <c r="G389" s="33"/>
      <c r="H389" s="33"/>
      <c r="I389" s="32"/>
      <c r="J389" s="32"/>
      <c r="K389" s="32"/>
      <c r="L389" s="32"/>
      <c r="M389" s="263"/>
    </row>
    <row r="390" spans="2:13" s="2" customFormat="1" ht="36.75" customHeight="1">
      <c r="B390" s="82">
        <v>4</v>
      </c>
      <c r="C390" s="66" t="s">
        <v>39</v>
      </c>
      <c r="D390" s="83" t="s">
        <v>89</v>
      </c>
      <c r="E390" s="84"/>
      <c r="F390" s="84">
        <v>1.6</v>
      </c>
      <c r="G390" s="85"/>
      <c r="H390" s="85"/>
      <c r="I390" s="85"/>
      <c r="J390" s="84"/>
      <c r="K390" s="85"/>
      <c r="L390" s="84"/>
      <c r="M390" s="282"/>
    </row>
    <row r="391" spans="2:13" s="2" customFormat="1" ht="24.95" customHeight="1">
      <c r="B391" s="82"/>
      <c r="C391" s="138" t="s">
        <v>84</v>
      </c>
      <c r="D391" s="120" t="s">
        <v>85</v>
      </c>
      <c r="E391" s="64">
        <v>47.8</v>
      </c>
      <c r="F391" s="90">
        <f>F$390*E391</f>
        <v>76.48</v>
      </c>
      <c r="G391" s="122"/>
      <c r="H391" s="122"/>
      <c r="I391" s="123"/>
      <c r="J391" s="123"/>
      <c r="K391" s="123"/>
      <c r="L391" s="123"/>
      <c r="M391" s="283"/>
    </row>
    <row r="392" spans="2:13" s="2" customFormat="1" ht="24.95" customHeight="1">
      <c r="B392" s="43"/>
      <c r="C392" s="138" t="s">
        <v>159</v>
      </c>
      <c r="D392" s="120" t="s">
        <v>87</v>
      </c>
      <c r="E392" s="139">
        <v>0.39400000000000002</v>
      </c>
      <c r="F392" s="90">
        <f t="shared" ref="F392:F393" si="18">F$390*E392</f>
        <v>0.63040000000000007</v>
      </c>
      <c r="G392" s="122"/>
      <c r="H392" s="122"/>
      <c r="I392" s="122"/>
      <c r="J392" s="123"/>
      <c r="K392" s="64"/>
      <c r="L392" s="123"/>
      <c r="M392" s="283"/>
    </row>
    <row r="393" spans="2:13" s="2" customFormat="1" ht="24.95" customHeight="1">
      <c r="B393" s="284"/>
      <c r="C393" s="138" t="s">
        <v>210</v>
      </c>
      <c r="D393" s="120" t="s">
        <v>89</v>
      </c>
      <c r="E393" s="64">
        <v>1.03</v>
      </c>
      <c r="F393" s="90">
        <f t="shared" si="18"/>
        <v>1.6480000000000001</v>
      </c>
      <c r="G393" s="122"/>
      <c r="H393" s="122"/>
      <c r="I393" s="64"/>
      <c r="J393" s="123"/>
      <c r="K393" s="64"/>
      <c r="L393" s="123"/>
      <c r="M393" s="283"/>
    </row>
    <row r="394" spans="2:13" s="2" customFormat="1" ht="24.95" customHeight="1">
      <c r="B394" s="284"/>
      <c r="C394" s="138" t="s">
        <v>161</v>
      </c>
      <c r="D394" s="120" t="s">
        <v>89</v>
      </c>
      <c r="E394" s="139">
        <v>6.0000000000000001E-3</v>
      </c>
      <c r="F394" s="90">
        <f>F$390*E394</f>
        <v>9.6000000000000009E-3</v>
      </c>
      <c r="G394" s="122"/>
      <c r="H394" s="122"/>
      <c r="I394" s="64"/>
      <c r="J394" s="123"/>
      <c r="K394" s="121"/>
      <c r="L394" s="123"/>
      <c r="M394" s="283"/>
    </row>
    <row r="395" spans="2:13" s="2" customFormat="1" ht="33.75" customHeight="1">
      <c r="B395" s="366" t="s">
        <v>64</v>
      </c>
      <c r="C395" s="367"/>
      <c r="D395" s="367"/>
      <c r="E395" s="367"/>
      <c r="F395" s="367"/>
      <c r="G395" s="85"/>
      <c r="H395" s="85"/>
      <c r="I395" s="85"/>
      <c r="J395" s="84"/>
      <c r="K395" s="85"/>
      <c r="L395" s="84"/>
      <c r="M395" s="282"/>
    </row>
    <row r="396" spans="2:13" s="35" customFormat="1" ht="54" customHeight="1">
      <c r="B396" s="288">
        <v>1</v>
      </c>
      <c r="C396" s="239" t="s">
        <v>261</v>
      </c>
      <c r="D396" s="24" t="s">
        <v>0</v>
      </c>
      <c r="E396" s="67"/>
      <c r="F396" s="26">
        <v>1.3</v>
      </c>
      <c r="G396" s="32"/>
      <c r="H396" s="33"/>
      <c r="I396" s="32"/>
      <c r="J396" s="32"/>
      <c r="K396" s="32"/>
      <c r="L396" s="32"/>
      <c r="M396" s="263"/>
    </row>
    <row r="397" spans="2:13" s="35" customFormat="1" ht="24.95" customHeight="1">
      <c r="B397" s="289"/>
      <c r="C397" s="29" t="s">
        <v>84</v>
      </c>
      <c r="D397" s="46" t="s">
        <v>85</v>
      </c>
      <c r="E397" s="32">
        <v>2.06</v>
      </c>
      <c r="F397" s="47">
        <f>F396*E397</f>
        <v>2.6780000000000004</v>
      </c>
      <c r="G397" s="33"/>
      <c r="H397" s="33"/>
      <c r="I397" s="32"/>
      <c r="J397" s="32"/>
      <c r="K397" s="32"/>
      <c r="L397" s="32"/>
      <c r="M397" s="263"/>
    </row>
    <row r="398" spans="2:13" s="35" customFormat="1" ht="65.25" customHeight="1">
      <c r="B398" s="288">
        <v>2</v>
      </c>
      <c r="C398" s="68" t="s">
        <v>262</v>
      </c>
      <c r="D398" s="24" t="s">
        <v>0</v>
      </c>
      <c r="E398" s="67"/>
      <c r="F398" s="26">
        <v>0.5</v>
      </c>
      <c r="G398" s="32"/>
      <c r="H398" s="33"/>
      <c r="I398" s="32"/>
      <c r="J398" s="32"/>
      <c r="K398" s="32"/>
      <c r="L398" s="32"/>
      <c r="M398" s="263"/>
    </row>
    <row r="399" spans="2:13" s="35" customFormat="1" ht="24.95" customHeight="1">
      <c r="B399" s="289"/>
      <c r="C399" s="29" t="s">
        <v>84</v>
      </c>
      <c r="D399" s="46" t="s">
        <v>85</v>
      </c>
      <c r="E399" s="32">
        <v>1.34</v>
      </c>
      <c r="F399" s="47">
        <f>F398*E399</f>
        <v>0.67</v>
      </c>
      <c r="G399" s="33"/>
      <c r="H399" s="33"/>
      <c r="I399" s="32"/>
      <c r="J399" s="32"/>
      <c r="K399" s="32"/>
      <c r="L399" s="32"/>
      <c r="M399" s="263"/>
    </row>
    <row r="400" spans="2:13" s="35" customFormat="1" ht="24.95" customHeight="1">
      <c r="B400" s="289"/>
      <c r="C400" s="29" t="s">
        <v>263</v>
      </c>
      <c r="D400" s="30" t="s">
        <v>83</v>
      </c>
      <c r="E400" s="32">
        <v>0.13</v>
      </c>
      <c r="F400" s="47">
        <f>F398*E400</f>
        <v>6.5000000000000002E-2</v>
      </c>
      <c r="G400" s="33"/>
      <c r="H400" s="33"/>
      <c r="I400" s="32"/>
      <c r="J400" s="32"/>
      <c r="K400" s="32"/>
      <c r="L400" s="32"/>
      <c r="M400" s="263"/>
    </row>
    <row r="401" spans="2:247" s="35" customFormat="1" ht="24.95" customHeight="1">
      <c r="B401" s="289"/>
      <c r="C401" s="29" t="s">
        <v>264</v>
      </c>
      <c r="D401" s="30" t="s">
        <v>83</v>
      </c>
      <c r="E401" s="32">
        <v>7.0000000000000007E-2</v>
      </c>
      <c r="F401" s="47">
        <f>F398*E401</f>
        <v>3.5000000000000003E-2</v>
      </c>
      <c r="G401" s="33"/>
      <c r="H401" s="33"/>
      <c r="I401" s="32"/>
      <c r="J401" s="32"/>
      <c r="K401" s="32"/>
      <c r="L401" s="32"/>
      <c r="M401" s="263"/>
    </row>
    <row r="402" spans="2:247" s="35" customFormat="1" ht="71.25" customHeight="1">
      <c r="B402" s="288">
        <v>3</v>
      </c>
      <c r="C402" s="68" t="s">
        <v>265</v>
      </c>
      <c r="D402" s="69" t="s">
        <v>0</v>
      </c>
      <c r="E402" s="67"/>
      <c r="F402" s="26">
        <v>0.8</v>
      </c>
      <c r="G402" s="32"/>
      <c r="H402" s="33"/>
      <c r="I402" s="32"/>
      <c r="J402" s="32"/>
      <c r="K402" s="32"/>
      <c r="L402" s="32"/>
      <c r="M402" s="263"/>
    </row>
    <row r="403" spans="2:247" s="35" customFormat="1" ht="24.95" customHeight="1">
      <c r="B403" s="290"/>
      <c r="C403" s="5"/>
      <c r="D403" s="69" t="s">
        <v>3</v>
      </c>
      <c r="E403" s="70"/>
      <c r="F403" s="71">
        <f>F402*1.8</f>
        <v>1.4400000000000002</v>
      </c>
      <c r="G403" s="32"/>
      <c r="H403" s="33"/>
      <c r="I403" s="32"/>
      <c r="J403" s="32"/>
      <c r="K403" s="32"/>
      <c r="L403" s="32"/>
      <c r="M403" s="263"/>
    </row>
    <row r="404" spans="2:247" s="35" customFormat="1" ht="24.95" customHeight="1">
      <c r="B404" s="289"/>
      <c r="C404" s="29" t="s">
        <v>84</v>
      </c>
      <c r="D404" s="46" t="s">
        <v>85</v>
      </c>
      <c r="E404" s="14">
        <v>0.67</v>
      </c>
      <c r="F404" s="34">
        <f>F403*E404</f>
        <v>0.96480000000000021</v>
      </c>
      <c r="G404" s="33"/>
      <c r="H404" s="33"/>
      <c r="I404" s="32"/>
      <c r="J404" s="32"/>
      <c r="K404" s="32"/>
      <c r="L404" s="32"/>
      <c r="M404" s="263"/>
    </row>
    <row r="405" spans="2:247" s="2" customFormat="1" ht="24.95" customHeight="1">
      <c r="B405" s="72"/>
      <c r="C405" s="21" t="s">
        <v>98</v>
      </c>
      <c r="D405" s="22" t="s">
        <v>89</v>
      </c>
      <c r="E405" s="14">
        <v>1</v>
      </c>
      <c r="F405" s="34">
        <f>F403*E405</f>
        <v>1.4400000000000002</v>
      </c>
      <c r="G405" s="33"/>
      <c r="H405" s="33"/>
      <c r="I405" s="33"/>
      <c r="J405" s="32"/>
      <c r="K405" s="34"/>
      <c r="L405" s="32"/>
      <c r="M405" s="263"/>
    </row>
    <row r="406" spans="2:247" s="42" customFormat="1" ht="33" customHeight="1">
      <c r="B406" s="291">
        <v>4</v>
      </c>
      <c r="C406" s="73" t="s">
        <v>65</v>
      </c>
      <c r="D406" s="102" t="s">
        <v>81</v>
      </c>
      <c r="E406" s="94"/>
      <c r="F406" s="94">
        <v>0.8</v>
      </c>
      <c r="G406" s="95"/>
      <c r="H406" s="95"/>
      <c r="I406" s="95"/>
      <c r="J406" s="94"/>
      <c r="K406" s="95"/>
      <c r="L406" s="94"/>
      <c r="M406" s="292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9"/>
      <c r="BN406" s="99"/>
      <c r="BO406" s="99"/>
      <c r="BP406" s="99"/>
      <c r="BQ406" s="99"/>
      <c r="BR406" s="99"/>
      <c r="BS406" s="99"/>
      <c r="BT406" s="99"/>
      <c r="BU406" s="99"/>
      <c r="BV406" s="99"/>
      <c r="BW406" s="99"/>
      <c r="BX406" s="99"/>
      <c r="BY406" s="99"/>
      <c r="BZ406" s="99"/>
      <c r="CA406" s="99"/>
      <c r="CB406" s="99"/>
      <c r="CC406" s="99"/>
      <c r="CD406" s="99"/>
      <c r="CE406" s="99"/>
      <c r="CF406" s="99"/>
      <c r="CG406" s="99"/>
      <c r="CH406" s="99"/>
      <c r="CI406" s="99"/>
      <c r="CJ406" s="99"/>
      <c r="CK406" s="99"/>
      <c r="CL406" s="99"/>
      <c r="CM406" s="99"/>
      <c r="CN406" s="99"/>
      <c r="CO406" s="99"/>
      <c r="CP406" s="99"/>
      <c r="CQ406" s="99"/>
      <c r="CR406" s="99"/>
      <c r="CS406" s="99"/>
      <c r="CT406" s="99"/>
      <c r="CU406" s="99"/>
      <c r="CV406" s="99"/>
      <c r="CW406" s="99"/>
      <c r="CX406" s="99"/>
      <c r="CY406" s="99"/>
      <c r="CZ406" s="99"/>
      <c r="DA406" s="99"/>
      <c r="DB406" s="99"/>
      <c r="DC406" s="99"/>
      <c r="DD406" s="99"/>
      <c r="DE406" s="99"/>
      <c r="DF406" s="99"/>
      <c r="DG406" s="99"/>
      <c r="DH406" s="99"/>
      <c r="DI406" s="99"/>
      <c r="DJ406" s="99"/>
      <c r="DK406" s="99"/>
      <c r="DL406" s="99"/>
      <c r="DM406" s="99"/>
      <c r="DN406" s="99"/>
      <c r="DO406" s="99"/>
      <c r="DP406" s="99"/>
      <c r="DQ406" s="99"/>
      <c r="DR406" s="99"/>
      <c r="DS406" s="99"/>
      <c r="DT406" s="99"/>
      <c r="DU406" s="99"/>
      <c r="DV406" s="99"/>
      <c r="DW406" s="99"/>
      <c r="DX406" s="99"/>
      <c r="DY406" s="99"/>
      <c r="DZ406" s="99"/>
      <c r="EA406" s="99"/>
      <c r="EB406" s="99"/>
      <c r="EC406" s="99"/>
      <c r="ED406" s="99"/>
      <c r="EE406" s="99"/>
      <c r="EF406" s="99"/>
      <c r="EG406" s="99"/>
      <c r="EH406" s="99"/>
      <c r="EI406" s="99"/>
      <c r="EJ406" s="99"/>
      <c r="EK406" s="99"/>
      <c r="EL406" s="99"/>
      <c r="EM406" s="99"/>
      <c r="EN406" s="99"/>
      <c r="EO406" s="99"/>
      <c r="EP406" s="99"/>
      <c r="EQ406" s="99"/>
      <c r="ER406" s="99"/>
      <c r="ES406" s="99"/>
      <c r="ET406" s="99"/>
      <c r="EU406" s="99"/>
      <c r="EV406" s="99"/>
      <c r="EW406" s="99"/>
      <c r="EX406" s="99"/>
      <c r="EY406" s="99"/>
      <c r="EZ406" s="99"/>
      <c r="FA406" s="99"/>
      <c r="FB406" s="99"/>
      <c r="FC406" s="99"/>
      <c r="FD406" s="99"/>
      <c r="FE406" s="99"/>
      <c r="FF406" s="99"/>
      <c r="FG406" s="99"/>
      <c r="FH406" s="99"/>
      <c r="FI406" s="99"/>
      <c r="FJ406" s="99"/>
      <c r="FK406" s="99"/>
      <c r="FL406" s="99"/>
      <c r="FM406" s="99"/>
      <c r="FN406" s="99"/>
      <c r="FO406" s="99"/>
      <c r="FP406" s="99"/>
      <c r="FQ406" s="99"/>
      <c r="FR406" s="99"/>
      <c r="FS406" s="99"/>
      <c r="FT406" s="99"/>
      <c r="FU406" s="99"/>
      <c r="FV406" s="99"/>
      <c r="FW406" s="99"/>
      <c r="FX406" s="99"/>
      <c r="FY406" s="99"/>
      <c r="FZ406" s="99"/>
      <c r="GA406" s="99"/>
      <c r="GB406" s="99"/>
      <c r="GC406" s="99"/>
      <c r="GD406" s="99"/>
      <c r="GE406" s="99"/>
      <c r="GF406" s="99"/>
      <c r="GG406" s="99"/>
      <c r="GH406" s="99"/>
      <c r="GI406" s="99"/>
      <c r="GJ406" s="99"/>
      <c r="GK406" s="99"/>
      <c r="GL406" s="99"/>
      <c r="GM406" s="99"/>
      <c r="GN406" s="99"/>
      <c r="GO406" s="99"/>
      <c r="GP406" s="99"/>
      <c r="GQ406" s="99"/>
      <c r="GR406" s="99"/>
      <c r="GS406" s="99"/>
      <c r="GT406" s="99"/>
      <c r="GU406" s="99"/>
      <c r="GV406" s="99"/>
      <c r="GW406" s="99"/>
      <c r="GX406" s="99"/>
      <c r="GY406" s="99"/>
      <c r="GZ406" s="99"/>
      <c r="HA406" s="99"/>
      <c r="HB406" s="99"/>
      <c r="HC406" s="99"/>
      <c r="HD406" s="99"/>
      <c r="HE406" s="99"/>
      <c r="HF406" s="99"/>
      <c r="HG406" s="99"/>
      <c r="HH406" s="99"/>
      <c r="HI406" s="99"/>
      <c r="HJ406" s="99"/>
      <c r="HK406" s="99"/>
      <c r="HL406" s="99"/>
      <c r="HM406" s="99"/>
      <c r="HN406" s="99"/>
      <c r="HO406" s="99"/>
      <c r="HP406" s="99"/>
      <c r="HQ406" s="99"/>
      <c r="HR406" s="99"/>
      <c r="HS406" s="99"/>
      <c r="HT406" s="99"/>
      <c r="HU406" s="99"/>
      <c r="HV406" s="99"/>
      <c r="HW406" s="99"/>
      <c r="HX406" s="99"/>
      <c r="HY406" s="99"/>
      <c r="HZ406" s="99"/>
      <c r="IA406" s="99"/>
      <c r="IB406" s="99"/>
      <c r="IC406" s="99"/>
      <c r="ID406" s="99"/>
      <c r="IE406" s="99"/>
      <c r="IF406" s="99"/>
      <c r="IG406" s="99"/>
      <c r="IH406" s="99"/>
      <c r="II406" s="99"/>
      <c r="IJ406" s="99"/>
      <c r="IK406" s="99"/>
      <c r="IL406" s="99"/>
      <c r="IM406" s="99"/>
    </row>
    <row r="407" spans="2:247" s="42" customFormat="1" ht="24.95" customHeight="1">
      <c r="B407" s="293"/>
      <c r="C407" s="55" t="s">
        <v>84</v>
      </c>
      <c r="D407" s="56" t="s">
        <v>85</v>
      </c>
      <c r="E407" s="38">
        <f>450/100</f>
        <v>4.5</v>
      </c>
      <c r="F407" s="96">
        <f>F406*E407</f>
        <v>3.6</v>
      </c>
      <c r="G407" s="40"/>
      <c r="H407" s="40"/>
      <c r="I407" s="38"/>
      <c r="J407" s="38"/>
      <c r="K407" s="38"/>
      <c r="L407" s="38"/>
      <c r="M407" s="264"/>
    </row>
    <row r="408" spans="2:247" s="42" customFormat="1" ht="24.95" customHeight="1">
      <c r="B408" s="294"/>
      <c r="C408" s="44" t="s">
        <v>86</v>
      </c>
      <c r="D408" s="97" t="s">
        <v>87</v>
      </c>
      <c r="E408" s="38">
        <f>37/100</f>
        <v>0.37</v>
      </c>
      <c r="F408" s="96">
        <f>F406*E408</f>
        <v>0.29599999999999999</v>
      </c>
      <c r="G408" s="40"/>
      <c r="H408" s="40"/>
      <c r="I408" s="40"/>
      <c r="J408" s="38"/>
      <c r="K408" s="41"/>
      <c r="L408" s="38"/>
      <c r="M408" s="264"/>
    </row>
    <row r="409" spans="2:247" s="42" customFormat="1" ht="24.95" customHeight="1">
      <c r="B409" s="294"/>
      <c r="C409" s="44" t="s">
        <v>207</v>
      </c>
      <c r="D409" s="97" t="s">
        <v>81</v>
      </c>
      <c r="E409" s="38">
        <f>102/100</f>
        <v>1.02</v>
      </c>
      <c r="F409" s="96">
        <f>F406*E409</f>
        <v>0.81600000000000006</v>
      </c>
      <c r="G409" s="40"/>
      <c r="H409" s="40"/>
      <c r="I409" s="40"/>
      <c r="J409" s="38"/>
      <c r="K409" s="41"/>
      <c r="L409" s="38"/>
      <c r="M409" s="264"/>
    </row>
    <row r="410" spans="2:247" s="42" customFormat="1" ht="24.95" customHeight="1">
      <c r="B410" s="294"/>
      <c r="C410" s="44" t="s">
        <v>117</v>
      </c>
      <c r="D410" s="45" t="s">
        <v>123</v>
      </c>
      <c r="E410" s="100">
        <f>161/100</f>
        <v>1.61</v>
      </c>
      <c r="F410" s="96">
        <f>F406*E410</f>
        <v>1.2880000000000003</v>
      </c>
      <c r="G410" s="40"/>
      <c r="H410" s="40"/>
      <c r="I410" s="100"/>
      <c r="J410" s="38"/>
      <c r="K410" s="41"/>
      <c r="L410" s="38"/>
      <c r="M410" s="264"/>
    </row>
    <row r="411" spans="2:247" s="42" customFormat="1" ht="24.95" customHeight="1">
      <c r="B411" s="294"/>
      <c r="C411" s="44" t="s">
        <v>108</v>
      </c>
      <c r="D411" s="45" t="s">
        <v>123</v>
      </c>
      <c r="E411" s="109">
        <f>1.72/100</f>
        <v>1.72E-2</v>
      </c>
      <c r="F411" s="96">
        <f>F406*E411</f>
        <v>1.3760000000000001E-2</v>
      </c>
      <c r="G411" s="40"/>
      <c r="H411" s="40"/>
      <c r="I411" s="100"/>
      <c r="J411" s="38"/>
      <c r="K411" s="41"/>
      <c r="L411" s="38"/>
      <c r="M411" s="264"/>
    </row>
    <row r="412" spans="2:247" s="42" customFormat="1" ht="24.95" customHeight="1">
      <c r="B412" s="294"/>
      <c r="C412" s="44" t="s">
        <v>96</v>
      </c>
      <c r="D412" s="45" t="s">
        <v>87</v>
      </c>
      <c r="E412" s="100">
        <f>28/100</f>
        <v>0.28000000000000003</v>
      </c>
      <c r="F412" s="96">
        <f>F406*E412</f>
        <v>0.22400000000000003</v>
      </c>
      <c r="G412" s="40"/>
      <c r="H412" s="40"/>
      <c r="I412" s="100"/>
      <c r="J412" s="38"/>
      <c r="K412" s="41"/>
      <c r="L412" s="38"/>
      <c r="M412" s="264"/>
    </row>
    <row r="413" spans="2:247" s="2" customFormat="1" ht="34.5" customHeight="1">
      <c r="B413" s="36">
        <v>5</v>
      </c>
      <c r="C413" s="169" t="s">
        <v>266</v>
      </c>
      <c r="D413" s="136" t="s">
        <v>89</v>
      </c>
      <c r="E413" s="129"/>
      <c r="F413" s="154">
        <f>F417+F418+F419</f>
        <v>0.878</v>
      </c>
      <c r="G413" s="122"/>
      <c r="H413" s="122"/>
      <c r="I413" s="122"/>
      <c r="J413" s="123"/>
      <c r="K413" s="121"/>
      <c r="L413" s="123"/>
      <c r="M413" s="252"/>
    </row>
    <row r="414" spans="2:247" s="2" customFormat="1" ht="24.95" customHeight="1">
      <c r="B414" s="43"/>
      <c r="C414" s="55" t="s">
        <v>84</v>
      </c>
      <c r="D414" s="56" t="s">
        <v>85</v>
      </c>
      <c r="E414" s="123">
        <v>32.9</v>
      </c>
      <c r="F414" s="121">
        <f>F413*E414</f>
        <v>28.886199999999999</v>
      </c>
      <c r="G414" s="122"/>
      <c r="H414" s="122"/>
      <c r="I414" s="122"/>
      <c r="J414" s="123"/>
      <c r="K414" s="121"/>
      <c r="L414" s="123"/>
      <c r="M414" s="252"/>
    </row>
    <row r="415" spans="2:247" s="2" customFormat="1" ht="40.5" customHeight="1">
      <c r="B415" s="43"/>
      <c r="C415" s="125" t="s">
        <v>164</v>
      </c>
      <c r="D415" s="124" t="s">
        <v>83</v>
      </c>
      <c r="E415" s="123">
        <v>0.35</v>
      </c>
      <c r="F415" s="121">
        <f>F413*E415</f>
        <v>0.30729999999999996</v>
      </c>
      <c r="G415" s="122"/>
      <c r="H415" s="122"/>
      <c r="I415" s="122"/>
      <c r="J415" s="123"/>
      <c r="K415" s="121"/>
      <c r="L415" s="123"/>
      <c r="M415" s="252"/>
    </row>
    <row r="416" spans="2:247" s="2" customFormat="1" ht="24.95" customHeight="1">
      <c r="B416" s="43"/>
      <c r="C416" s="125" t="s">
        <v>86</v>
      </c>
      <c r="D416" s="124" t="s">
        <v>87</v>
      </c>
      <c r="E416" s="123">
        <v>13.9</v>
      </c>
      <c r="F416" s="121">
        <f>F413*E416</f>
        <v>12.2042</v>
      </c>
      <c r="G416" s="122"/>
      <c r="H416" s="122"/>
      <c r="I416" s="122"/>
      <c r="J416" s="123"/>
      <c r="K416" s="121"/>
      <c r="L416" s="123"/>
      <c r="M416" s="252"/>
    </row>
    <row r="417" spans="2:15" s="2" customFormat="1" ht="33.75" customHeight="1">
      <c r="B417" s="43"/>
      <c r="C417" s="74" t="s">
        <v>66</v>
      </c>
      <c r="D417" s="124" t="s">
        <v>3</v>
      </c>
      <c r="E417" s="123" t="s">
        <v>167</v>
      </c>
      <c r="F417" s="5">
        <v>0.46200000000000002</v>
      </c>
      <c r="G417" s="122"/>
      <c r="H417" s="122"/>
      <c r="I417" s="123"/>
      <c r="J417" s="123"/>
      <c r="K417" s="121"/>
      <c r="L417" s="123"/>
      <c r="M417" s="252"/>
      <c r="O417" s="2">
        <f t="shared" ref="O417:O419" si="19">F417*N417</f>
        <v>0</v>
      </c>
    </row>
    <row r="418" spans="2:15" s="2" customFormat="1" ht="38.25" customHeight="1">
      <c r="B418" s="43"/>
      <c r="C418" s="74" t="s">
        <v>67</v>
      </c>
      <c r="D418" s="124" t="s">
        <v>3</v>
      </c>
      <c r="E418" s="123" t="s">
        <v>167</v>
      </c>
      <c r="F418" s="5">
        <v>0.29599999999999999</v>
      </c>
      <c r="G418" s="122"/>
      <c r="H418" s="122"/>
      <c r="I418" s="123"/>
      <c r="J418" s="123"/>
      <c r="K418" s="121"/>
      <c r="L418" s="123"/>
      <c r="M418" s="252"/>
      <c r="O418" s="2">
        <f t="shared" si="19"/>
        <v>0</v>
      </c>
    </row>
    <row r="419" spans="2:15" s="2" customFormat="1" ht="24.95" customHeight="1">
      <c r="B419" s="43"/>
      <c r="C419" s="74" t="s">
        <v>68</v>
      </c>
      <c r="D419" s="124" t="s">
        <v>3</v>
      </c>
      <c r="E419" s="123" t="s">
        <v>167</v>
      </c>
      <c r="F419" s="5">
        <v>0.12</v>
      </c>
      <c r="G419" s="122"/>
      <c r="H419" s="122"/>
      <c r="I419" s="123"/>
      <c r="J419" s="123"/>
      <c r="K419" s="121"/>
      <c r="L419" s="123"/>
      <c r="M419" s="252"/>
      <c r="O419" s="2">
        <f t="shared" si="19"/>
        <v>0</v>
      </c>
    </row>
    <row r="420" spans="2:15" s="2" customFormat="1" ht="24.95" customHeight="1">
      <c r="B420" s="43"/>
      <c r="C420" s="125" t="s">
        <v>90</v>
      </c>
      <c r="D420" s="124" t="s">
        <v>91</v>
      </c>
      <c r="E420" s="123">
        <v>4.78</v>
      </c>
      <c r="F420" s="121">
        <f>F413*E420</f>
        <v>4.1968399999999999</v>
      </c>
      <c r="G420" s="122"/>
      <c r="H420" s="122"/>
      <c r="I420" s="122"/>
      <c r="J420" s="123"/>
      <c r="K420" s="121"/>
      <c r="L420" s="123"/>
      <c r="M420" s="252"/>
      <c r="O420" s="2">
        <f>SUM(O417:O419)</f>
        <v>0</v>
      </c>
    </row>
    <row r="421" spans="2:15" s="2" customFormat="1" ht="24.95" customHeight="1">
      <c r="B421" s="43"/>
      <c r="C421" s="125" t="s">
        <v>92</v>
      </c>
      <c r="D421" s="124" t="s">
        <v>87</v>
      </c>
      <c r="E421" s="123">
        <v>2.78</v>
      </c>
      <c r="F421" s="121">
        <f>F413*E421</f>
        <v>2.4408399999999997</v>
      </c>
      <c r="G421" s="122"/>
      <c r="H421" s="122"/>
      <c r="I421" s="122"/>
      <c r="J421" s="123"/>
      <c r="K421" s="121"/>
      <c r="L421" s="123"/>
      <c r="M421" s="252"/>
      <c r="O421" s="2">
        <f>O420*1.03</f>
        <v>0</v>
      </c>
    </row>
    <row r="422" spans="2:15" s="28" customFormat="1" ht="41.25" customHeight="1">
      <c r="B422" s="288">
        <v>6</v>
      </c>
      <c r="C422" s="73" t="s">
        <v>70</v>
      </c>
      <c r="D422" s="24" t="s">
        <v>257</v>
      </c>
      <c r="E422" s="25"/>
      <c r="F422" s="26">
        <v>75</v>
      </c>
      <c r="G422" s="27"/>
      <c r="H422" s="27"/>
      <c r="I422" s="27"/>
      <c r="J422" s="25"/>
      <c r="K422" s="27"/>
      <c r="L422" s="25"/>
      <c r="M422" s="261"/>
    </row>
    <row r="423" spans="2:15" s="35" customFormat="1" ht="24.95" customHeight="1">
      <c r="B423" s="289"/>
      <c r="C423" s="65" t="s">
        <v>84</v>
      </c>
      <c r="D423" s="30" t="s">
        <v>85</v>
      </c>
      <c r="E423" s="14">
        <v>1</v>
      </c>
      <c r="F423" s="34">
        <f>F422*E423</f>
        <v>75</v>
      </c>
      <c r="G423" s="33"/>
      <c r="H423" s="33"/>
      <c r="I423" s="32"/>
      <c r="J423" s="32"/>
      <c r="K423" s="32"/>
      <c r="L423" s="32"/>
      <c r="M423" s="263"/>
    </row>
    <row r="424" spans="2:15" s="35" customFormat="1" ht="40.5" customHeight="1">
      <c r="B424" s="289"/>
      <c r="C424" s="75" t="s">
        <v>70</v>
      </c>
      <c r="D424" s="30" t="s">
        <v>15</v>
      </c>
      <c r="E424" s="14">
        <v>1.02</v>
      </c>
      <c r="F424" s="34">
        <f>F422*E424</f>
        <v>76.5</v>
      </c>
      <c r="G424" s="33"/>
      <c r="H424" s="33"/>
      <c r="I424" s="32"/>
      <c r="J424" s="32"/>
      <c r="K424" s="32"/>
      <c r="L424" s="32"/>
      <c r="M424" s="263"/>
    </row>
    <row r="425" spans="2:15" s="2" customFormat="1" ht="34.5" customHeight="1">
      <c r="B425" s="366" t="s">
        <v>32</v>
      </c>
      <c r="C425" s="367"/>
      <c r="D425" s="367"/>
      <c r="E425" s="367"/>
      <c r="F425" s="367"/>
      <c r="G425" s="85"/>
      <c r="H425" s="85"/>
      <c r="I425" s="85"/>
      <c r="J425" s="84"/>
      <c r="K425" s="85"/>
      <c r="L425" s="84"/>
      <c r="M425" s="282"/>
    </row>
    <row r="426" spans="2:15" s="211" customFormat="1" ht="46.5" customHeight="1">
      <c r="B426" s="249">
        <v>1</v>
      </c>
      <c r="C426" s="76" t="s">
        <v>63</v>
      </c>
      <c r="D426" s="128" t="s">
        <v>81</v>
      </c>
      <c r="E426" s="129"/>
      <c r="F426" s="130">
        <v>9.8000000000000007</v>
      </c>
      <c r="G426" s="131"/>
      <c r="H426" s="131"/>
      <c r="I426" s="131"/>
      <c r="J426" s="129"/>
      <c r="K426" s="131"/>
      <c r="L426" s="129"/>
      <c r="M426" s="250"/>
    </row>
    <row r="427" spans="2:15" ht="24.95" customHeight="1">
      <c r="B427" s="251"/>
      <c r="C427" s="125" t="s">
        <v>82</v>
      </c>
      <c r="D427" s="124" t="s">
        <v>83</v>
      </c>
      <c r="E427" s="132">
        <f>(16.2)/1000</f>
        <v>1.6199999999999999E-2</v>
      </c>
      <c r="F427" s="123">
        <f>F426*E427</f>
        <v>0.15876000000000001</v>
      </c>
      <c r="G427" s="122"/>
      <c r="H427" s="122"/>
      <c r="I427" s="122"/>
      <c r="J427" s="123"/>
      <c r="K427" s="121"/>
      <c r="L427" s="123"/>
      <c r="M427" s="252"/>
    </row>
    <row r="428" spans="2:15" s="2" customFormat="1" ht="80.25" customHeight="1">
      <c r="B428" s="48">
        <v>2</v>
      </c>
      <c r="C428" s="76" t="s">
        <v>55</v>
      </c>
      <c r="D428" s="49" t="s">
        <v>93</v>
      </c>
      <c r="E428" s="32"/>
      <c r="F428" s="26">
        <v>35</v>
      </c>
      <c r="G428" s="33"/>
      <c r="H428" s="33"/>
      <c r="I428" s="33"/>
      <c r="J428" s="32"/>
      <c r="K428" s="34"/>
      <c r="L428" s="32"/>
      <c r="M428" s="263"/>
    </row>
    <row r="429" spans="2:15" s="2" customFormat="1" ht="24.95" customHeight="1">
      <c r="B429" s="50"/>
      <c r="C429" s="21" t="s">
        <v>94</v>
      </c>
      <c r="D429" s="22" t="s">
        <v>85</v>
      </c>
      <c r="E429" s="32">
        <f>74/100</f>
        <v>0.74</v>
      </c>
      <c r="F429" s="47">
        <f>E429*F428</f>
        <v>25.9</v>
      </c>
      <c r="G429" s="33"/>
      <c r="H429" s="33"/>
      <c r="I429" s="33"/>
      <c r="J429" s="32"/>
      <c r="K429" s="34"/>
      <c r="L429" s="32"/>
      <c r="M429" s="263"/>
    </row>
    <row r="430" spans="2:15" s="2" customFormat="1" ht="24.95" customHeight="1">
      <c r="B430" s="77"/>
      <c r="C430" s="21" t="s">
        <v>95</v>
      </c>
      <c r="D430" s="78" t="s">
        <v>87</v>
      </c>
      <c r="E430" s="32">
        <f>0.71/100</f>
        <v>7.0999999999999995E-3</v>
      </c>
      <c r="F430" s="47">
        <f>E430*F428</f>
        <v>0.24849999999999997</v>
      </c>
      <c r="G430" s="33"/>
      <c r="H430" s="33"/>
      <c r="I430" s="33"/>
      <c r="J430" s="32"/>
      <c r="K430" s="34"/>
      <c r="L430" s="32"/>
      <c r="M430" s="263"/>
    </row>
    <row r="431" spans="2:15" s="2" customFormat="1" ht="24.95" customHeight="1">
      <c r="B431" s="79"/>
      <c r="C431" s="21" t="s">
        <v>267</v>
      </c>
      <c r="D431" s="78" t="s">
        <v>114</v>
      </c>
      <c r="E431" s="32">
        <v>1</v>
      </c>
      <c r="F431" s="47">
        <f>E431*F428</f>
        <v>35</v>
      </c>
      <c r="G431" s="33"/>
      <c r="H431" s="33"/>
      <c r="I431" s="33"/>
      <c r="J431" s="32"/>
      <c r="K431" s="34"/>
      <c r="L431" s="32"/>
      <c r="M431" s="263"/>
    </row>
    <row r="432" spans="2:15" s="2" customFormat="1" ht="24.95" customHeight="1">
      <c r="B432" s="79"/>
      <c r="C432" s="21" t="s">
        <v>115</v>
      </c>
      <c r="D432" s="78" t="s">
        <v>81</v>
      </c>
      <c r="E432" s="32">
        <f>3.9/100</f>
        <v>3.9E-2</v>
      </c>
      <c r="F432" s="47">
        <f>E432*F428</f>
        <v>1.365</v>
      </c>
      <c r="G432" s="33"/>
      <c r="H432" s="33"/>
      <c r="I432" s="33"/>
      <c r="J432" s="32"/>
      <c r="K432" s="34"/>
      <c r="L432" s="32"/>
      <c r="M432" s="263"/>
    </row>
    <row r="433" spans="2:13" s="2" customFormat="1" ht="24.95" customHeight="1">
      <c r="B433" s="79"/>
      <c r="C433" s="21" t="s">
        <v>116</v>
      </c>
      <c r="D433" s="78" t="s">
        <v>81</v>
      </c>
      <c r="E433" s="32">
        <f>0.06/100</f>
        <v>5.9999999999999995E-4</v>
      </c>
      <c r="F433" s="47">
        <f>E433*F428</f>
        <v>2.0999999999999998E-2</v>
      </c>
      <c r="G433" s="33"/>
      <c r="H433" s="33"/>
      <c r="I433" s="33"/>
      <c r="J433" s="32"/>
      <c r="K433" s="34"/>
      <c r="L433" s="32"/>
      <c r="M433" s="263"/>
    </row>
    <row r="434" spans="2:13" s="2" customFormat="1" ht="24.95" customHeight="1">
      <c r="B434" s="80"/>
      <c r="C434" s="21" t="s">
        <v>96</v>
      </c>
      <c r="D434" s="78" t="s">
        <v>87</v>
      </c>
      <c r="E434" s="32">
        <f>9.6/100</f>
        <v>9.6000000000000002E-2</v>
      </c>
      <c r="F434" s="47">
        <f>E434*F428</f>
        <v>3.36</v>
      </c>
      <c r="G434" s="33"/>
      <c r="H434" s="33"/>
      <c r="I434" s="33"/>
      <c r="J434" s="32"/>
      <c r="K434" s="34"/>
      <c r="L434" s="32"/>
      <c r="M434" s="263"/>
    </row>
    <row r="435" spans="2:13" s="2" customFormat="1" ht="69.75" customHeight="1">
      <c r="B435" s="36">
        <v>3</v>
      </c>
      <c r="C435" s="76" t="s">
        <v>56</v>
      </c>
      <c r="D435" s="133" t="s">
        <v>81</v>
      </c>
      <c r="E435" s="134"/>
      <c r="F435" s="130">
        <v>6</v>
      </c>
      <c r="G435" s="135"/>
      <c r="H435" s="135"/>
      <c r="I435" s="135"/>
      <c r="J435" s="135"/>
      <c r="K435" s="135"/>
      <c r="L435" s="135"/>
      <c r="M435" s="252"/>
    </row>
    <row r="436" spans="2:13" s="2" customFormat="1" ht="24.95" customHeight="1">
      <c r="B436" s="43"/>
      <c r="C436" s="21" t="s">
        <v>103</v>
      </c>
      <c r="D436" s="124" t="s">
        <v>85</v>
      </c>
      <c r="E436" s="123">
        <f>15/100</f>
        <v>0.15</v>
      </c>
      <c r="F436" s="121">
        <f>F$435*E436</f>
        <v>0.89999999999999991</v>
      </c>
      <c r="G436" s="122"/>
      <c r="H436" s="122"/>
      <c r="I436" s="122"/>
      <c r="J436" s="123"/>
      <c r="K436" s="121"/>
      <c r="L436" s="123"/>
      <c r="M436" s="252"/>
    </row>
    <row r="437" spans="2:13" s="2" customFormat="1" ht="37.5" customHeight="1">
      <c r="B437" s="43"/>
      <c r="C437" s="91" t="s">
        <v>151</v>
      </c>
      <c r="D437" s="124" t="s">
        <v>83</v>
      </c>
      <c r="E437" s="123">
        <f>2.16/100</f>
        <v>2.1600000000000001E-2</v>
      </c>
      <c r="F437" s="121">
        <f t="shared" ref="F437:F441" si="20">F$435*E437</f>
        <v>0.12959999999999999</v>
      </c>
      <c r="G437" s="122"/>
      <c r="H437" s="122"/>
      <c r="I437" s="122"/>
      <c r="J437" s="123"/>
      <c r="K437" s="121"/>
      <c r="L437" s="123"/>
      <c r="M437" s="252"/>
    </row>
    <row r="438" spans="2:13" s="2" customFormat="1" ht="37.5" customHeight="1">
      <c r="B438" s="43"/>
      <c r="C438" s="91" t="s">
        <v>104</v>
      </c>
      <c r="D438" s="124" t="s">
        <v>83</v>
      </c>
      <c r="E438" s="123">
        <f>2.1/100</f>
        <v>2.1000000000000001E-2</v>
      </c>
      <c r="F438" s="121">
        <f t="shared" si="20"/>
        <v>0.126</v>
      </c>
      <c r="G438" s="122"/>
      <c r="H438" s="122"/>
      <c r="I438" s="122"/>
      <c r="J438" s="123"/>
      <c r="K438" s="121"/>
      <c r="L438" s="123"/>
      <c r="M438" s="252"/>
    </row>
    <row r="439" spans="2:13" s="2" customFormat="1" ht="33" customHeight="1">
      <c r="B439" s="43"/>
      <c r="C439" s="91" t="s">
        <v>105</v>
      </c>
      <c r="D439" s="124" t="s">
        <v>83</v>
      </c>
      <c r="E439" s="123">
        <f>0.97/100</f>
        <v>9.7000000000000003E-3</v>
      </c>
      <c r="F439" s="121">
        <f t="shared" si="20"/>
        <v>5.8200000000000002E-2</v>
      </c>
      <c r="G439" s="122"/>
      <c r="H439" s="122"/>
      <c r="I439" s="122"/>
      <c r="J439" s="123"/>
      <c r="K439" s="121"/>
      <c r="L439" s="123"/>
      <c r="M439" s="252"/>
    </row>
    <row r="440" spans="2:13" s="2" customFormat="1" ht="24.95" customHeight="1">
      <c r="B440" s="43"/>
      <c r="C440" s="91" t="s">
        <v>237</v>
      </c>
      <c r="D440" s="124" t="s">
        <v>81</v>
      </c>
      <c r="E440" s="123">
        <f>122/100</f>
        <v>1.22</v>
      </c>
      <c r="F440" s="121">
        <f t="shared" si="20"/>
        <v>7.32</v>
      </c>
      <c r="G440" s="122"/>
      <c r="H440" s="122"/>
      <c r="I440" s="122"/>
      <c r="J440" s="123"/>
      <c r="K440" s="121"/>
      <c r="L440" s="123"/>
      <c r="M440" s="252"/>
    </row>
    <row r="441" spans="2:13" s="2" customFormat="1" ht="24.95" customHeight="1">
      <c r="B441" s="43"/>
      <c r="C441" s="91" t="s">
        <v>102</v>
      </c>
      <c r="D441" s="124" t="s">
        <v>81</v>
      </c>
      <c r="E441" s="123">
        <f>7/100</f>
        <v>7.0000000000000007E-2</v>
      </c>
      <c r="F441" s="121">
        <f t="shared" si="20"/>
        <v>0.42000000000000004</v>
      </c>
      <c r="G441" s="122"/>
      <c r="H441" s="122"/>
      <c r="I441" s="122"/>
      <c r="J441" s="123"/>
      <c r="K441" s="121"/>
      <c r="L441" s="123"/>
      <c r="M441" s="252"/>
    </row>
    <row r="442" spans="2:13" s="2" customFormat="1" ht="80.25" customHeight="1">
      <c r="B442" s="36">
        <v>4</v>
      </c>
      <c r="C442" s="81" t="s">
        <v>57</v>
      </c>
      <c r="D442" s="136" t="s">
        <v>162</v>
      </c>
      <c r="E442" s="137"/>
      <c r="F442" s="84">
        <f>65/100</f>
        <v>0.65</v>
      </c>
      <c r="G442" s="122"/>
      <c r="H442" s="122"/>
      <c r="I442" s="122"/>
      <c r="J442" s="123"/>
      <c r="K442" s="121"/>
      <c r="L442" s="123"/>
      <c r="M442" s="252"/>
    </row>
    <row r="443" spans="2:13" s="2" customFormat="1" ht="24.95" customHeight="1">
      <c r="B443" s="43"/>
      <c r="C443" s="55" t="s">
        <v>84</v>
      </c>
      <c r="D443" s="56" t="s">
        <v>85</v>
      </c>
      <c r="E443" s="123">
        <f>29.4+0.46*16</f>
        <v>36.76</v>
      </c>
      <c r="F443" s="121">
        <f>F$442*E443</f>
        <v>23.893999999999998</v>
      </c>
      <c r="G443" s="122"/>
      <c r="H443" s="122"/>
      <c r="I443" s="122"/>
      <c r="J443" s="123"/>
      <c r="K443" s="121"/>
      <c r="L443" s="123"/>
      <c r="M443" s="252"/>
    </row>
    <row r="444" spans="2:13" s="2" customFormat="1" ht="24.95" customHeight="1">
      <c r="B444" s="43"/>
      <c r="C444" s="125" t="s">
        <v>86</v>
      </c>
      <c r="D444" s="124" t="s">
        <v>87</v>
      </c>
      <c r="E444" s="123">
        <f>1.12+0.28*16</f>
        <v>5.6000000000000005</v>
      </c>
      <c r="F444" s="121">
        <f t="shared" ref="F444:F446" si="21">F$442*E444</f>
        <v>3.6400000000000006</v>
      </c>
      <c r="G444" s="122"/>
      <c r="H444" s="122"/>
      <c r="I444" s="122"/>
      <c r="J444" s="123"/>
      <c r="K444" s="121"/>
      <c r="L444" s="123"/>
      <c r="M444" s="252"/>
    </row>
    <row r="445" spans="2:13" s="2" customFormat="1" ht="24.95" customHeight="1">
      <c r="B445" s="43"/>
      <c r="C445" s="125" t="s">
        <v>268</v>
      </c>
      <c r="D445" s="124" t="s">
        <v>81</v>
      </c>
      <c r="E445" s="123">
        <f>2.04+0.51*16</f>
        <v>10.199999999999999</v>
      </c>
      <c r="F445" s="121">
        <f t="shared" si="21"/>
        <v>6.63</v>
      </c>
      <c r="G445" s="122"/>
      <c r="H445" s="122"/>
      <c r="I445" s="122"/>
      <c r="J445" s="123"/>
      <c r="K445" s="121"/>
      <c r="L445" s="123"/>
      <c r="M445" s="252"/>
    </row>
    <row r="446" spans="2:13" s="2" customFormat="1" ht="24.95" customHeight="1">
      <c r="B446" s="43"/>
      <c r="C446" s="125" t="s">
        <v>92</v>
      </c>
      <c r="D446" s="124" t="s">
        <v>87</v>
      </c>
      <c r="E446" s="123">
        <v>6.36</v>
      </c>
      <c r="F446" s="121">
        <f t="shared" si="21"/>
        <v>4.1340000000000003</v>
      </c>
      <c r="G446" s="122"/>
      <c r="H446" s="122"/>
      <c r="I446" s="122"/>
      <c r="J446" s="123"/>
      <c r="K446" s="121"/>
      <c r="L446" s="123"/>
      <c r="M446" s="252"/>
    </row>
    <row r="447" spans="2:13" s="2" customFormat="1" ht="24.95" customHeight="1">
      <c r="B447" s="82">
        <v>5</v>
      </c>
      <c r="C447" s="66" t="s">
        <v>269</v>
      </c>
      <c r="D447" s="83" t="s">
        <v>89</v>
      </c>
      <c r="E447" s="84"/>
      <c r="F447" s="84">
        <v>0.31</v>
      </c>
      <c r="G447" s="85"/>
      <c r="H447" s="85"/>
      <c r="I447" s="85"/>
      <c r="J447" s="84"/>
      <c r="K447" s="85"/>
      <c r="L447" s="84"/>
      <c r="M447" s="282"/>
    </row>
    <row r="448" spans="2:13" s="2" customFormat="1" ht="24.95" customHeight="1">
      <c r="B448" s="82"/>
      <c r="C448" s="138" t="s">
        <v>84</v>
      </c>
      <c r="D448" s="120" t="s">
        <v>85</v>
      </c>
      <c r="E448" s="64">
        <v>47.8</v>
      </c>
      <c r="F448" s="90">
        <f>F$447*E448</f>
        <v>14.818</v>
      </c>
      <c r="G448" s="122"/>
      <c r="H448" s="122"/>
      <c r="I448" s="123"/>
      <c r="J448" s="123"/>
      <c r="K448" s="123"/>
      <c r="L448" s="123"/>
      <c r="M448" s="283"/>
    </row>
    <row r="449" spans="2:252" s="2" customFormat="1" ht="24.95" customHeight="1">
      <c r="B449" s="43"/>
      <c r="C449" s="138" t="s">
        <v>159</v>
      </c>
      <c r="D449" s="120" t="s">
        <v>87</v>
      </c>
      <c r="E449" s="139">
        <v>0.39400000000000002</v>
      </c>
      <c r="F449" s="90">
        <f t="shared" ref="F449:F451" si="22">F$447*E449</f>
        <v>0.12214</v>
      </c>
      <c r="G449" s="122"/>
      <c r="H449" s="122"/>
      <c r="I449" s="122"/>
      <c r="J449" s="123"/>
      <c r="K449" s="64"/>
      <c r="L449" s="123"/>
      <c r="M449" s="283"/>
    </row>
    <row r="450" spans="2:252" s="2" customFormat="1" ht="24.95" customHeight="1">
      <c r="B450" s="284"/>
      <c r="C450" s="138" t="s">
        <v>210</v>
      </c>
      <c r="D450" s="120" t="s">
        <v>89</v>
      </c>
      <c r="E450" s="64">
        <v>1.03</v>
      </c>
      <c r="F450" s="90">
        <f t="shared" si="22"/>
        <v>0.31930000000000003</v>
      </c>
      <c r="G450" s="122"/>
      <c r="H450" s="122"/>
      <c r="I450" s="64"/>
      <c r="J450" s="123"/>
      <c r="K450" s="64"/>
      <c r="L450" s="123"/>
      <c r="M450" s="283"/>
    </row>
    <row r="451" spans="2:252" s="2" customFormat="1" ht="24.95" customHeight="1">
      <c r="B451" s="284"/>
      <c r="C451" s="138" t="s">
        <v>161</v>
      </c>
      <c r="D451" s="120" t="s">
        <v>89</v>
      </c>
      <c r="E451" s="139">
        <v>6.0000000000000001E-3</v>
      </c>
      <c r="F451" s="140">
        <f t="shared" si="22"/>
        <v>1.8600000000000001E-3</v>
      </c>
      <c r="G451" s="122"/>
      <c r="H451" s="122"/>
      <c r="I451" s="64"/>
      <c r="J451" s="123"/>
      <c r="K451" s="121"/>
      <c r="L451" s="123"/>
      <c r="M451" s="283"/>
    </row>
    <row r="452" spans="2:252" s="213" customFormat="1" ht="56.25" customHeight="1">
      <c r="B452" s="272">
        <v>6</v>
      </c>
      <c r="C452" s="66" t="s">
        <v>23</v>
      </c>
      <c r="D452" s="141" t="s">
        <v>88</v>
      </c>
      <c r="E452" s="142"/>
      <c r="F452" s="130">
        <v>65</v>
      </c>
      <c r="G452" s="143"/>
      <c r="H452" s="143"/>
      <c r="I452" s="143"/>
      <c r="J452" s="142"/>
      <c r="K452" s="143"/>
      <c r="L452" s="142"/>
      <c r="M452" s="266"/>
      <c r="N452" s="212"/>
      <c r="O452" s="212"/>
      <c r="P452" s="212"/>
      <c r="Q452" s="212"/>
      <c r="R452" s="212"/>
      <c r="S452" s="212"/>
      <c r="T452" s="212"/>
      <c r="U452" s="212"/>
      <c r="V452" s="212"/>
      <c r="W452" s="212"/>
      <c r="X452" s="212"/>
      <c r="Y452" s="212"/>
      <c r="Z452" s="212"/>
      <c r="AA452" s="212"/>
      <c r="AB452" s="212"/>
      <c r="AC452" s="212"/>
      <c r="AD452" s="212"/>
      <c r="AE452" s="212"/>
      <c r="AF452" s="212"/>
      <c r="AG452" s="212"/>
      <c r="AH452" s="212"/>
      <c r="AI452" s="212"/>
      <c r="AJ452" s="212"/>
      <c r="AK452" s="212"/>
      <c r="AL452" s="212"/>
      <c r="AM452" s="212"/>
      <c r="AN452" s="212"/>
      <c r="AO452" s="212"/>
      <c r="AP452" s="212"/>
      <c r="AQ452" s="212"/>
      <c r="AR452" s="212"/>
      <c r="AS452" s="212"/>
      <c r="AT452" s="212"/>
      <c r="AU452" s="212"/>
      <c r="AV452" s="212"/>
      <c r="AW452" s="212"/>
      <c r="AX452" s="212"/>
      <c r="AY452" s="212"/>
      <c r="AZ452" s="212"/>
      <c r="BA452" s="212"/>
      <c r="BB452" s="212"/>
      <c r="BC452" s="212"/>
      <c r="BD452" s="212"/>
      <c r="BE452" s="212"/>
      <c r="BF452" s="212"/>
      <c r="BG452" s="212"/>
      <c r="BH452" s="212"/>
      <c r="BI452" s="212"/>
      <c r="BJ452" s="212"/>
      <c r="BK452" s="212"/>
      <c r="BL452" s="212"/>
      <c r="BM452" s="212"/>
      <c r="BN452" s="212"/>
      <c r="BO452" s="212"/>
      <c r="BP452" s="212"/>
      <c r="BQ452" s="212"/>
      <c r="BR452" s="212"/>
      <c r="BS452" s="212"/>
      <c r="BT452" s="212"/>
      <c r="BU452" s="212"/>
      <c r="BV452" s="212"/>
      <c r="BW452" s="212"/>
      <c r="BX452" s="212"/>
      <c r="BY452" s="212"/>
      <c r="BZ452" s="212"/>
      <c r="CA452" s="212"/>
      <c r="CB452" s="212"/>
      <c r="CC452" s="212"/>
      <c r="CD452" s="212"/>
      <c r="CE452" s="212"/>
      <c r="CF452" s="212"/>
      <c r="CG452" s="212"/>
      <c r="CH452" s="212"/>
      <c r="CI452" s="212"/>
      <c r="CJ452" s="212"/>
      <c r="CK452" s="212"/>
      <c r="CL452" s="212"/>
      <c r="CM452" s="212"/>
      <c r="CN452" s="212"/>
      <c r="CO452" s="212"/>
      <c r="CP452" s="212"/>
      <c r="CQ452" s="212"/>
      <c r="CR452" s="212"/>
      <c r="CS452" s="212"/>
      <c r="CT452" s="212"/>
      <c r="CU452" s="212"/>
      <c r="CV452" s="212"/>
      <c r="CW452" s="212"/>
      <c r="CX452" s="212"/>
      <c r="CY452" s="212"/>
      <c r="CZ452" s="212"/>
      <c r="DA452" s="212"/>
      <c r="DB452" s="212"/>
      <c r="DC452" s="212"/>
      <c r="DD452" s="212"/>
      <c r="DE452" s="212"/>
      <c r="DF452" s="212"/>
      <c r="DG452" s="212"/>
      <c r="DH452" s="212"/>
      <c r="DI452" s="212"/>
      <c r="DJ452" s="212"/>
      <c r="DK452" s="212"/>
      <c r="DL452" s="212"/>
      <c r="DM452" s="212"/>
      <c r="DN452" s="212"/>
      <c r="DO452" s="212"/>
      <c r="DP452" s="212"/>
      <c r="DQ452" s="212"/>
      <c r="DR452" s="212"/>
      <c r="DS452" s="212"/>
      <c r="DT452" s="212"/>
      <c r="DU452" s="212"/>
      <c r="DV452" s="212"/>
      <c r="DW452" s="212"/>
      <c r="DX452" s="212"/>
      <c r="DY452" s="212"/>
      <c r="DZ452" s="212"/>
      <c r="EA452" s="212"/>
      <c r="EB452" s="212"/>
      <c r="EC452" s="212"/>
      <c r="ED452" s="212"/>
      <c r="EE452" s="212"/>
      <c r="EF452" s="212"/>
      <c r="EG452" s="212"/>
      <c r="EH452" s="212"/>
      <c r="EI452" s="212"/>
      <c r="EJ452" s="212"/>
      <c r="EK452" s="212"/>
      <c r="EL452" s="212"/>
      <c r="EM452" s="212"/>
      <c r="EN452" s="212"/>
      <c r="EO452" s="212"/>
      <c r="EP452" s="212"/>
      <c r="EQ452" s="212"/>
      <c r="ER452" s="212"/>
      <c r="ES452" s="212"/>
      <c r="ET452" s="212"/>
      <c r="EU452" s="212"/>
      <c r="EV452" s="212"/>
      <c r="EW452" s="212"/>
      <c r="EX452" s="212"/>
      <c r="EY452" s="212"/>
      <c r="EZ452" s="212"/>
      <c r="FA452" s="212"/>
      <c r="FB452" s="212"/>
      <c r="FC452" s="212"/>
      <c r="FD452" s="212"/>
      <c r="FE452" s="212"/>
      <c r="FF452" s="212"/>
      <c r="FG452" s="212"/>
      <c r="FH452" s="212"/>
      <c r="FI452" s="212"/>
      <c r="FJ452" s="212"/>
      <c r="FK452" s="212"/>
      <c r="FL452" s="212"/>
      <c r="FM452" s="212"/>
      <c r="FN452" s="212"/>
      <c r="FO452" s="212"/>
      <c r="FP452" s="212"/>
      <c r="FQ452" s="212"/>
      <c r="FR452" s="212"/>
      <c r="FS452" s="212"/>
      <c r="FT452" s="212"/>
      <c r="FU452" s="212"/>
      <c r="FV452" s="212"/>
      <c r="FW452" s="212"/>
      <c r="FX452" s="212"/>
      <c r="FY452" s="212"/>
      <c r="FZ452" s="212"/>
      <c r="GA452" s="212"/>
      <c r="GB452" s="212"/>
      <c r="GC452" s="212"/>
      <c r="GD452" s="212"/>
      <c r="GE452" s="212"/>
      <c r="GF452" s="212"/>
      <c r="GG452" s="212"/>
      <c r="GH452" s="212"/>
      <c r="GI452" s="212"/>
      <c r="GJ452" s="212"/>
      <c r="GK452" s="212"/>
      <c r="GL452" s="212"/>
      <c r="GM452" s="212"/>
      <c r="GN452" s="212"/>
      <c r="GO452" s="212"/>
      <c r="GP452" s="212"/>
      <c r="GQ452" s="212"/>
      <c r="GR452" s="212"/>
      <c r="GS452" s="212"/>
      <c r="GT452" s="212"/>
      <c r="GU452" s="212"/>
      <c r="GV452" s="212"/>
      <c r="GW452" s="212"/>
      <c r="GX452" s="212"/>
      <c r="GY452" s="212"/>
      <c r="GZ452" s="212"/>
      <c r="HA452" s="212"/>
      <c r="HB452" s="212"/>
      <c r="HC452" s="212"/>
      <c r="HD452" s="212"/>
      <c r="HE452" s="212"/>
      <c r="HF452" s="212"/>
      <c r="HG452" s="212"/>
      <c r="HH452" s="212"/>
      <c r="HI452" s="212"/>
      <c r="HJ452" s="212"/>
      <c r="HK452" s="212"/>
      <c r="HL452" s="212"/>
      <c r="HM452" s="212"/>
      <c r="HN452" s="212"/>
      <c r="HO452" s="212"/>
      <c r="HP452" s="212"/>
      <c r="HQ452" s="212"/>
      <c r="HR452" s="212"/>
      <c r="HS452" s="212"/>
      <c r="HT452" s="212"/>
      <c r="HU452" s="212"/>
      <c r="HV452" s="212"/>
      <c r="HW452" s="212"/>
      <c r="HX452" s="212"/>
      <c r="HY452" s="212"/>
      <c r="HZ452" s="212"/>
      <c r="IA452" s="212"/>
      <c r="IB452" s="212"/>
      <c r="IC452" s="212"/>
      <c r="ID452" s="212"/>
      <c r="IE452" s="212"/>
      <c r="IF452" s="212"/>
      <c r="IG452" s="212"/>
      <c r="IH452" s="212"/>
      <c r="II452" s="212"/>
      <c r="IJ452" s="212"/>
      <c r="IK452" s="212"/>
      <c r="IL452" s="212"/>
      <c r="IM452" s="212"/>
      <c r="IN452" s="212"/>
      <c r="IO452" s="212"/>
      <c r="IP452" s="212"/>
      <c r="IQ452" s="212"/>
      <c r="IR452" s="212"/>
    </row>
    <row r="453" spans="2:252" s="213" customFormat="1" ht="24.95" customHeight="1">
      <c r="B453" s="273"/>
      <c r="C453" s="55" t="s">
        <v>84</v>
      </c>
      <c r="D453" s="56" t="s">
        <v>88</v>
      </c>
      <c r="E453" s="123">
        <v>1</v>
      </c>
      <c r="F453" s="144">
        <f>F452*E453</f>
        <v>65</v>
      </c>
      <c r="G453" s="122"/>
      <c r="H453" s="122"/>
      <c r="I453" s="122"/>
      <c r="J453" s="123"/>
      <c r="K453" s="121"/>
      <c r="L453" s="123"/>
      <c r="M453" s="252"/>
    </row>
    <row r="454" spans="2:252" s="213" customFormat="1" ht="24.95" customHeight="1">
      <c r="B454" s="274"/>
      <c r="C454" s="174" t="s">
        <v>229</v>
      </c>
      <c r="D454" s="145" t="s">
        <v>88</v>
      </c>
      <c r="E454" s="123">
        <v>1</v>
      </c>
      <c r="F454" s="144">
        <f>F452*E454</f>
        <v>65</v>
      </c>
      <c r="G454" s="122"/>
      <c r="H454" s="122"/>
      <c r="I454" s="122"/>
      <c r="J454" s="123"/>
      <c r="K454" s="121"/>
      <c r="L454" s="123"/>
      <c r="M454" s="252"/>
    </row>
    <row r="455" spans="2:252" ht="112.5" customHeight="1">
      <c r="B455" s="272">
        <v>7</v>
      </c>
      <c r="C455" s="81" t="s">
        <v>44</v>
      </c>
      <c r="D455" s="146" t="s">
        <v>119</v>
      </c>
      <c r="E455" s="147"/>
      <c r="F455" s="7">
        <v>1</v>
      </c>
      <c r="G455" s="148"/>
      <c r="H455" s="148"/>
      <c r="I455" s="148"/>
      <c r="J455" s="147"/>
      <c r="K455" s="148"/>
      <c r="L455" s="147"/>
      <c r="M455" s="275"/>
    </row>
    <row r="456" spans="2:252" ht="24.95" customHeight="1">
      <c r="B456" s="273"/>
      <c r="C456" s="55" t="s">
        <v>84</v>
      </c>
      <c r="D456" s="56" t="s">
        <v>85</v>
      </c>
      <c r="E456" s="149">
        <v>1</v>
      </c>
      <c r="F456" s="150">
        <f>F455*E456</f>
        <v>1</v>
      </c>
      <c r="G456" s="151"/>
      <c r="H456" s="151"/>
      <c r="I456" s="149"/>
      <c r="J456" s="149"/>
      <c r="K456" s="149"/>
      <c r="L456" s="149"/>
      <c r="M456" s="276"/>
    </row>
    <row r="457" spans="2:252" ht="38.25" customHeight="1">
      <c r="B457" s="274"/>
      <c r="C457" s="174" t="s">
        <v>270</v>
      </c>
      <c r="D457" s="145" t="s">
        <v>119</v>
      </c>
      <c r="E457" s="152">
        <v>1</v>
      </c>
      <c r="F457" s="150">
        <f>F455*E457</f>
        <v>1</v>
      </c>
      <c r="G457" s="151"/>
      <c r="H457" s="151"/>
      <c r="I457" s="151"/>
      <c r="J457" s="149"/>
      <c r="K457" s="153"/>
      <c r="L457" s="149"/>
      <c r="M457" s="276"/>
    </row>
    <row r="458" spans="2:252" ht="98.25" customHeight="1">
      <c r="B458" s="272">
        <v>8</v>
      </c>
      <c r="C458" s="81" t="s">
        <v>46</v>
      </c>
      <c r="D458" s="146" t="s">
        <v>119</v>
      </c>
      <c r="E458" s="147"/>
      <c r="F458" s="7">
        <v>1</v>
      </c>
      <c r="G458" s="148"/>
      <c r="H458" s="148"/>
      <c r="I458" s="148"/>
      <c r="J458" s="147"/>
      <c r="K458" s="148"/>
      <c r="L458" s="147"/>
      <c r="M458" s="275"/>
    </row>
    <row r="459" spans="2:252" ht="24.95" customHeight="1">
      <c r="B459" s="273"/>
      <c r="C459" s="55" t="s">
        <v>84</v>
      </c>
      <c r="D459" s="56" t="s">
        <v>85</v>
      </c>
      <c r="E459" s="149">
        <f>1.85+6.96</f>
        <v>8.81</v>
      </c>
      <c r="F459" s="150">
        <f>F458*E459</f>
        <v>8.81</v>
      </c>
      <c r="G459" s="151"/>
      <c r="H459" s="151"/>
      <c r="I459" s="149"/>
      <c r="J459" s="149"/>
      <c r="K459" s="149"/>
      <c r="L459" s="149"/>
      <c r="M459" s="276"/>
    </row>
    <row r="460" spans="2:252" s="211" customFormat="1" ht="24.95" customHeight="1">
      <c r="B460" s="274"/>
      <c r="C460" s="174" t="s">
        <v>86</v>
      </c>
      <c r="D460" s="145" t="s">
        <v>87</v>
      </c>
      <c r="E460" s="149">
        <f>1.79+0.09</f>
        <v>1.8800000000000001</v>
      </c>
      <c r="F460" s="150">
        <f>F458*E460</f>
        <v>1.8800000000000001</v>
      </c>
      <c r="G460" s="151"/>
      <c r="H460" s="151"/>
      <c r="I460" s="151"/>
      <c r="J460" s="149"/>
      <c r="K460" s="153"/>
      <c r="L460" s="149"/>
      <c r="M460" s="276"/>
    </row>
    <row r="461" spans="2:252" ht="30" customHeight="1">
      <c r="B461" s="274"/>
      <c r="C461" s="174" t="s">
        <v>271</v>
      </c>
      <c r="D461" s="145" t="s">
        <v>119</v>
      </c>
      <c r="E461" s="152">
        <v>1</v>
      </c>
      <c r="F461" s="150">
        <f>F458*E461</f>
        <v>1</v>
      </c>
      <c r="G461" s="151"/>
      <c r="H461" s="151"/>
      <c r="I461" s="151"/>
      <c r="J461" s="149"/>
      <c r="K461" s="153"/>
      <c r="L461" s="149"/>
      <c r="M461" s="276"/>
    </row>
    <row r="462" spans="2:252" ht="99" customHeight="1">
      <c r="B462" s="272">
        <v>9</v>
      </c>
      <c r="C462" s="81" t="s">
        <v>47</v>
      </c>
      <c r="D462" s="146" t="s">
        <v>119</v>
      </c>
      <c r="E462" s="147"/>
      <c r="F462" s="7">
        <v>1</v>
      </c>
      <c r="G462" s="148"/>
      <c r="H462" s="148"/>
      <c r="I462" s="148"/>
      <c r="J462" s="147"/>
      <c r="K462" s="148"/>
      <c r="L462" s="147"/>
      <c r="M462" s="275"/>
    </row>
    <row r="463" spans="2:252" ht="24.95" customHeight="1">
      <c r="B463" s="273"/>
      <c r="C463" s="55" t="s">
        <v>84</v>
      </c>
      <c r="D463" s="56" t="s">
        <v>85</v>
      </c>
      <c r="E463" s="149">
        <f>1.85+6.96</f>
        <v>8.81</v>
      </c>
      <c r="F463" s="150">
        <f>F462*E463</f>
        <v>8.81</v>
      </c>
      <c r="G463" s="151"/>
      <c r="H463" s="151"/>
      <c r="I463" s="149"/>
      <c r="J463" s="149"/>
      <c r="K463" s="149"/>
      <c r="L463" s="149"/>
      <c r="M463" s="276"/>
    </row>
    <row r="464" spans="2:252" s="211" customFormat="1" ht="24.95" customHeight="1">
      <c r="B464" s="274"/>
      <c r="C464" s="174" t="s">
        <v>86</v>
      </c>
      <c r="D464" s="145" t="s">
        <v>87</v>
      </c>
      <c r="E464" s="149">
        <f>1.79+0.09</f>
        <v>1.8800000000000001</v>
      </c>
      <c r="F464" s="150">
        <f>F462*E464</f>
        <v>1.8800000000000001</v>
      </c>
      <c r="G464" s="151"/>
      <c r="H464" s="151"/>
      <c r="I464" s="151"/>
      <c r="J464" s="149"/>
      <c r="K464" s="153"/>
      <c r="L464" s="149"/>
      <c r="M464" s="276"/>
    </row>
    <row r="465" spans="2:13" ht="24.95" customHeight="1">
      <c r="B465" s="274"/>
      <c r="C465" s="174" t="s">
        <v>272</v>
      </c>
      <c r="D465" s="145" t="s">
        <v>119</v>
      </c>
      <c r="E465" s="152">
        <v>1</v>
      </c>
      <c r="F465" s="150">
        <f>F462*E465</f>
        <v>1</v>
      </c>
      <c r="G465" s="151"/>
      <c r="H465" s="151"/>
      <c r="I465" s="151"/>
      <c r="J465" s="149"/>
      <c r="K465" s="153"/>
      <c r="L465" s="149"/>
      <c r="M465" s="276"/>
    </row>
    <row r="466" spans="2:13" ht="99" customHeight="1">
      <c r="B466" s="272">
        <v>10</v>
      </c>
      <c r="C466" s="81" t="s">
        <v>48</v>
      </c>
      <c r="D466" s="146" t="s">
        <v>119</v>
      </c>
      <c r="E466" s="147"/>
      <c r="F466" s="7">
        <v>1</v>
      </c>
      <c r="G466" s="148"/>
      <c r="H466" s="148"/>
      <c r="I466" s="148"/>
      <c r="J466" s="147"/>
      <c r="K466" s="148"/>
      <c r="L466" s="147"/>
      <c r="M466" s="275"/>
    </row>
    <row r="467" spans="2:13" ht="24.95" customHeight="1">
      <c r="B467" s="273"/>
      <c r="C467" s="55" t="s">
        <v>84</v>
      </c>
      <c r="D467" s="56" t="s">
        <v>85</v>
      </c>
      <c r="E467" s="149">
        <f>1.85+6.96</f>
        <v>8.81</v>
      </c>
      <c r="F467" s="150">
        <f>F466*E467</f>
        <v>8.81</v>
      </c>
      <c r="G467" s="151"/>
      <c r="H467" s="151"/>
      <c r="I467" s="149"/>
      <c r="J467" s="149"/>
      <c r="K467" s="149"/>
      <c r="L467" s="149"/>
      <c r="M467" s="276"/>
    </row>
    <row r="468" spans="2:13" s="211" customFormat="1" ht="24.95" customHeight="1">
      <c r="B468" s="274"/>
      <c r="C468" s="174" t="s">
        <v>86</v>
      </c>
      <c r="D468" s="145" t="s">
        <v>87</v>
      </c>
      <c r="E468" s="149">
        <f>1.79+0.09</f>
        <v>1.8800000000000001</v>
      </c>
      <c r="F468" s="150">
        <f>F466*E468</f>
        <v>1.8800000000000001</v>
      </c>
      <c r="G468" s="151"/>
      <c r="H468" s="151"/>
      <c r="I468" s="151"/>
      <c r="J468" s="149"/>
      <c r="K468" s="153"/>
      <c r="L468" s="149"/>
      <c r="M468" s="276"/>
    </row>
    <row r="469" spans="2:13" ht="24.95" customHeight="1">
      <c r="B469" s="274"/>
      <c r="C469" s="174" t="s">
        <v>273</v>
      </c>
      <c r="D469" s="145" t="s">
        <v>119</v>
      </c>
      <c r="E469" s="152">
        <v>1</v>
      </c>
      <c r="F469" s="150">
        <f>F466*E469</f>
        <v>1</v>
      </c>
      <c r="G469" s="151"/>
      <c r="H469" s="151"/>
      <c r="I469" s="151"/>
      <c r="J469" s="149"/>
      <c r="K469" s="153"/>
      <c r="L469" s="149"/>
      <c r="M469" s="276"/>
    </row>
    <row r="470" spans="2:13" ht="103.5" customHeight="1">
      <c r="B470" s="272">
        <v>11</v>
      </c>
      <c r="C470" s="81" t="s">
        <v>49</v>
      </c>
      <c r="D470" s="146" t="s">
        <v>119</v>
      </c>
      <c r="E470" s="147"/>
      <c r="F470" s="7">
        <v>1</v>
      </c>
      <c r="G470" s="148"/>
      <c r="H470" s="148"/>
      <c r="I470" s="148"/>
      <c r="J470" s="147"/>
      <c r="K470" s="148"/>
      <c r="L470" s="147"/>
      <c r="M470" s="275"/>
    </row>
    <row r="471" spans="2:13" ht="24.95" customHeight="1">
      <c r="B471" s="273"/>
      <c r="C471" s="55" t="s">
        <v>84</v>
      </c>
      <c r="D471" s="56" t="s">
        <v>85</v>
      </c>
      <c r="E471" s="149">
        <f>1.85+6.96</f>
        <v>8.81</v>
      </c>
      <c r="F471" s="150">
        <f>F470*E471</f>
        <v>8.81</v>
      </c>
      <c r="G471" s="151"/>
      <c r="H471" s="151"/>
      <c r="I471" s="149"/>
      <c r="J471" s="149"/>
      <c r="K471" s="149"/>
      <c r="L471" s="149"/>
      <c r="M471" s="276"/>
    </row>
    <row r="472" spans="2:13" s="211" customFormat="1" ht="24.95" customHeight="1">
      <c r="B472" s="274"/>
      <c r="C472" s="174" t="s">
        <v>86</v>
      </c>
      <c r="D472" s="145" t="s">
        <v>87</v>
      </c>
      <c r="E472" s="149">
        <f>1.79+0.09</f>
        <v>1.8800000000000001</v>
      </c>
      <c r="F472" s="150">
        <f>F470*E472</f>
        <v>1.8800000000000001</v>
      </c>
      <c r="G472" s="151"/>
      <c r="H472" s="151"/>
      <c r="I472" s="151"/>
      <c r="J472" s="149"/>
      <c r="K472" s="153"/>
      <c r="L472" s="149"/>
      <c r="M472" s="276"/>
    </row>
    <row r="473" spans="2:13" ht="24.95" customHeight="1">
      <c r="B473" s="274"/>
      <c r="C473" s="174" t="s">
        <v>274</v>
      </c>
      <c r="D473" s="145" t="s">
        <v>119</v>
      </c>
      <c r="E473" s="152">
        <v>1</v>
      </c>
      <c r="F473" s="150">
        <f>F470*E473</f>
        <v>1</v>
      </c>
      <c r="G473" s="151"/>
      <c r="H473" s="151"/>
      <c r="I473" s="151"/>
      <c r="J473" s="149"/>
      <c r="K473" s="153"/>
      <c r="L473" s="149"/>
      <c r="M473" s="276"/>
    </row>
    <row r="474" spans="2:13" ht="63" customHeight="1">
      <c r="B474" s="272">
        <v>12</v>
      </c>
      <c r="C474" s="73" t="s">
        <v>203</v>
      </c>
      <c r="D474" s="146" t="s">
        <v>119</v>
      </c>
      <c r="E474" s="147"/>
      <c r="F474" s="7">
        <v>1</v>
      </c>
      <c r="G474" s="148"/>
      <c r="H474" s="148"/>
      <c r="I474" s="148"/>
      <c r="J474" s="147"/>
      <c r="K474" s="148"/>
      <c r="L474" s="147"/>
      <c r="M474" s="275"/>
    </row>
    <row r="475" spans="2:13" ht="24.95" customHeight="1">
      <c r="B475" s="273"/>
      <c r="C475" s="55" t="s">
        <v>84</v>
      </c>
      <c r="D475" s="56" t="s">
        <v>85</v>
      </c>
      <c r="E475" s="149">
        <f>1.85+6.96</f>
        <v>8.81</v>
      </c>
      <c r="F475" s="150">
        <f>F474*E475</f>
        <v>8.81</v>
      </c>
      <c r="G475" s="151"/>
      <c r="H475" s="151"/>
      <c r="I475" s="149"/>
      <c r="J475" s="149"/>
      <c r="K475" s="149"/>
      <c r="L475" s="149"/>
      <c r="M475" s="276"/>
    </row>
    <row r="476" spans="2:13" s="211" customFormat="1" ht="24.95" customHeight="1">
      <c r="B476" s="274"/>
      <c r="C476" s="174" t="s">
        <v>86</v>
      </c>
      <c r="D476" s="145" t="s">
        <v>87</v>
      </c>
      <c r="E476" s="149">
        <f>1.79+0.09</f>
        <v>1.8800000000000001</v>
      </c>
      <c r="F476" s="150">
        <f>F474*E476</f>
        <v>1.8800000000000001</v>
      </c>
      <c r="G476" s="151"/>
      <c r="H476" s="151"/>
      <c r="I476" s="151"/>
      <c r="J476" s="149"/>
      <c r="K476" s="153"/>
      <c r="L476" s="149"/>
      <c r="M476" s="276"/>
    </row>
    <row r="477" spans="2:13" ht="24.95" customHeight="1">
      <c r="B477" s="274"/>
      <c r="C477" s="174" t="s">
        <v>204</v>
      </c>
      <c r="D477" s="145" t="s">
        <v>119</v>
      </c>
      <c r="E477" s="152">
        <v>1</v>
      </c>
      <c r="F477" s="150">
        <f>F474*E477</f>
        <v>1</v>
      </c>
      <c r="G477" s="151"/>
      <c r="H477" s="151"/>
      <c r="I477" s="151"/>
      <c r="J477" s="149"/>
      <c r="K477" s="153"/>
      <c r="L477" s="149"/>
      <c r="M477" s="276"/>
    </row>
    <row r="478" spans="2:13" ht="102.75" customHeight="1">
      <c r="B478" s="272">
        <v>13</v>
      </c>
      <c r="C478" s="81" t="s">
        <v>50</v>
      </c>
      <c r="D478" s="146" t="s">
        <v>119</v>
      </c>
      <c r="E478" s="147"/>
      <c r="F478" s="7">
        <v>1</v>
      </c>
      <c r="G478" s="148"/>
      <c r="H478" s="148"/>
      <c r="I478" s="148"/>
      <c r="J478" s="147"/>
      <c r="K478" s="148"/>
      <c r="L478" s="147"/>
      <c r="M478" s="275"/>
    </row>
    <row r="479" spans="2:13" ht="24.95" customHeight="1">
      <c r="B479" s="273"/>
      <c r="C479" s="55" t="s">
        <v>84</v>
      </c>
      <c r="D479" s="56" t="s">
        <v>85</v>
      </c>
      <c r="E479" s="149">
        <f>1.85+6.96</f>
        <v>8.81</v>
      </c>
      <c r="F479" s="150">
        <f>F478*E479</f>
        <v>8.81</v>
      </c>
      <c r="G479" s="151"/>
      <c r="H479" s="151"/>
      <c r="I479" s="149"/>
      <c r="J479" s="149"/>
      <c r="K479" s="149"/>
      <c r="L479" s="149"/>
      <c r="M479" s="276"/>
    </row>
    <row r="480" spans="2:13" s="211" customFormat="1" ht="24.95" customHeight="1">
      <c r="B480" s="274"/>
      <c r="C480" s="174" t="s">
        <v>86</v>
      </c>
      <c r="D480" s="145" t="s">
        <v>87</v>
      </c>
      <c r="E480" s="149">
        <f>1.79+0.09</f>
        <v>1.8800000000000001</v>
      </c>
      <c r="F480" s="150">
        <f>F478*E480</f>
        <v>1.8800000000000001</v>
      </c>
      <c r="G480" s="151"/>
      <c r="H480" s="151"/>
      <c r="I480" s="151"/>
      <c r="J480" s="149"/>
      <c r="K480" s="153"/>
      <c r="L480" s="149"/>
      <c r="M480" s="276"/>
    </row>
    <row r="481" spans="2:13" ht="24.95" customHeight="1">
      <c r="B481" s="274"/>
      <c r="C481" s="174" t="s">
        <v>275</v>
      </c>
      <c r="D481" s="145" t="s">
        <v>119</v>
      </c>
      <c r="E481" s="152">
        <v>1</v>
      </c>
      <c r="F481" s="150">
        <f>F478*E481</f>
        <v>1</v>
      </c>
      <c r="G481" s="151"/>
      <c r="H481" s="151"/>
      <c r="I481" s="151"/>
      <c r="J481" s="149"/>
      <c r="K481" s="153"/>
      <c r="L481" s="149"/>
      <c r="M481" s="276"/>
    </row>
    <row r="482" spans="2:13" ht="104.25" customHeight="1">
      <c r="B482" s="272">
        <v>14</v>
      </c>
      <c r="C482" s="81" t="s">
        <v>51</v>
      </c>
      <c r="D482" s="146" t="s">
        <v>119</v>
      </c>
      <c r="E482" s="147"/>
      <c r="F482" s="7">
        <v>1</v>
      </c>
      <c r="G482" s="148"/>
      <c r="H482" s="148"/>
      <c r="I482" s="148"/>
      <c r="J482" s="147"/>
      <c r="K482" s="148"/>
      <c r="L482" s="147"/>
      <c r="M482" s="275"/>
    </row>
    <row r="483" spans="2:13" ht="24.95" customHeight="1">
      <c r="B483" s="273"/>
      <c r="C483" s="55" t="s">
        <v>84</v>
      </c>
      <c r="D483" s="56" t="s">
        <v>85</v>
      </c>
      <c r="E483" s="149">
        <f>1.85+6.96</f>
        <v>8.81</v>
      </c>
      <c r="F483" s="150">
        <f>F482*E483</f>
        <v>8.81</v>
      </c>
      <c r="G483" s="151"/>
      <c r="H483" s="151"/>
      <c r="I483" s="149"/>
      <c r="J483" s="149"/>
      <c r="K483" s="149"/>
      <c r="L483" s="149"/>
      <c r="M483" s="276"/>
    </row>
    <row r="484" spans="2:13" s="211" customFormat="1" ht="24.95" customHeight="1">
      <c r="B484" s="274"/>
      <c r="C484" s="174" t="s">
        <v>86</v>
      </c>
      <c r="D484" s="145" t="s">
        <v>87</v>
      </c>
      <c r="E484" s="149">
        <f>1.79+0.09</f>
        <v>1.8800000000000001</v>
      </c>
      <c r="F484" s="150">
        <f>F482*E484</f>
        <v>1.8800000000000001</v>
      </c>
      <c r="G484" s="151"/>
      <c r="H484" s="151"/>
      <c r="I484" s="151"/>
      <c r="J484" s="149"/>
      <c r="K484" s="153"/>
      <c r="L484" s="149"/>
      <c r="M484" s="276"/>
    </row>
    <row r="485" spans="2:13" ht="24.95" customHeight="1">
      <c r="B485" s="274"/>
      <c r="C485" s="174" t="s">
        <v>276</v>
      </c>
      <c r="D485" s="145" t="s">
        <v>119</v>
      </c>
      <c r="E485" s="152">
        <v>1</v>
      </c>
      <c r="F485" s="150">
        <f>F482*E485</f>
        <v>1</v>
      </c>
      <c r="G485" s="151"/>
      <c r="H485" s="151"/>
      <c r="I485" s="151"/>
      <c r="J485" s="149"/>
      <c r="K485" s="153"/>
      <c r="L485" s="149"/>
      <c r="M485" s="276"/>
    </row>
    <row r="486" spans="2:13" ht="99" customHeight="1">
      <c r="B486" s="272">
        <v>15</v>
      </c>
      <c r="C486" s="81" t="s">
        <v>52</v>
      </c>
      <c r="D486" s="146" t="s">
        <v>119</v>
      </c>
      <c r="E486" s="147"/>
      <c r="F486" s="7">
        <v>1</v>
      </c>
      <c r="G486" s="148"/>
      <c r="H486" s="148"/>
      <c r="I486" s="148"/>
      <c r="J486" s="147"/>
      <c r="K486" s="148"/>
      <c r="L486" s="147"/>
      <c r="M486" s="275"/>
    </row>
    <row r="487" spans="2:13" ht="24.95" customHeight="1">
      <c r="B487" s="273"/>
      <c r="C487" s="55" t="s">
        <v>84</v>
      </c>
      <c r="D487" s="56" t="s">
        <v>85</v>
      </c>
      <c r="E487" s="149">
        <f>1.85+6.96</f>
        <v>8.81</v>
      </c>
      <c r="F487" s="150">
        <f>F486*E487</f>
        <v>8.81</v>
      </c>
      <c r="G487" s="151"/>
      <c r="H487" s="151"/>
      <c r="I487" s="149"/>
      <c r="J487" s="149"/>
      <c r="K487" s="149"/>
      <c r="L487" s="149"/>
      <c r="M487" s="276"/>
    </row>
    <row r="488" spans="2:13" s="211" customFormat="1" ht="24.95" customHeight="1">
      <c r="B488" s="274"/>
      <c r="C488" s="174" t="s">
        <v>86</v>
      </c>
      <c r="D488" s="145" t="s">
        <v>87</v>
      </c>
      <c r="E488" s="149">
        <f>1.79+0.09</f>
        <v>1.8800000000000001</v>
      </c>
      <c r="F488" s="150">
        <f>F486*E488</f>
        <v>1.8800000000000001</v>
      </c>
      <c r="G488" s="151"/>
      <c r="H488" s="151"/>
      <c r="I488" s="151"/>
      <c r="J488" s="149"/>
      <c r="K488" s="153"/>
      <c r="L488" s="149"/>
      <c r="M488" s="276"/>
    </row>
    <row r="489" spans="2:13" ht="24.95" customHeight="1">
      <c r="B489" s="274"/>
      <c r="C489" s="174" t="s">
        <v>277</v>
      </c>
      <c r="D489" s="145" t="s">
        <v>119</v>
      </c>
      <c r="E489" s="152">
        <v>1</v>
      </c>
      <c r="F489" s="150">
        <f>F486*E489</f>
        <v>1</v>
      </c>
      <c r="G489" s="151"/>
      <c r="H489" s="151"/>
      <c r="I489" s="151"/>
      <c r="J489" s="149"/>
      <c r="K489" s="153"/>
      <c r="L489" s="149"/>
      <c r="M489" s="276"/>
    </row>
    <row r="490" spans="2:13" ht="104.25" customHeight="1">
      <c r="B490" s="272">
        <v>16</v>
      </c>
      <c r="C490" s="81" t="s">
        <v>53</v>
      </c>
      <c r="D490" s="146" t="s">
        <v>119</v>
      </c>
      <c r="E490" s="147"/>
      <c r="F490" s="7">
        <v>1</v>
      </c>
      <c r="G490" s="148"/>
      <c r="H490" s="148"/>
      <c r="I490" s="148"/>
      <c r="J490" s="147"/>
      <c r="K490" s="148"/>
      <c r="L490" s="147"/>
      <c r="M490" s="275"/>
    </row>
    <row r="491" spans="2:13" ht="24.95" customHeight="1">
      <c r="B491" s="273"/>
      <c r="C491" s="55" t="s">
        <v>84</v>
      </c>
      <c r="D491" s="56" t="s">
        <v>85</v>
      </c>
      <c r="E491" s="149">
        <f>1.85+6.96</f>
        <v>8.81</v>
      </c>
      <c r="F491" s="150">
        <f>F490*E491</f>
        <v>8.81</v>
      </c>
      <c r="G491" s="151"/>
      <c r="H491" s="151"/>
      <c r="I491" s="149"/>
      <c r="J491" s="149"/>
      <c r="K491" s="149"/>
      <c r="L491" s="149"/>
      <c r="M491" s="276"/>
    </row>
    <row r="492" spans="2:13" s="211" customFormat="1" ht="24.95" customHeight="1">
      <c r="B492" s="274"/>
      <c r="C492" s="174" t="s">
        <v>86</v>
      </c>
      <c r="D492" s="145" t="s">
        <v>87</v>
      </c>
      <c r="E492" s="149">
        <f>1.79+0.09</f>
        <v>1.8800000000000001</v>
      </c>
      <c r="F492" s="150">
        <f>F490*E492</f>
        <v>1.8800000000000001</v>
      </c>
      <c r="G492" s="151"/>
      <c r="H492" s="151"/>
      <c r="I492" s="151"/>
      <c r="J492" s="149"/>
      <c r="K492" s="153"/>
      <c r="L492" s="149"/>
      <c r="M492" s="276"/>
    </row>
    <row r="493" spans="2:13" ht="24.95" customHeight="1">
      <c r="B493" s="274"/>
      <c r="C493" s="174" t="s">
        <v>278</v>
      </c>
      <c r="D493" s="145" t="s">
        <v>119</v>
      </c>
      <c r="E493" s="152">
        <v>1</v>
      </c>
      <c r="F493" s="150">
        <f>F490*E493</f>
        <v>1</v>
      </c>
      <c r="G493" s="151"/>
      <c r="H493" s="151"/>
      <c r="I493" s="151"/>
      <c r="J493" s="149"/>
      <c r="K493" s="153"/>
      <c r="L493" s="149"/>
      <c r="M493" s="276"/>
    </row>
    <row r="494" spans="2:13" ht="105" customHeight="1">
      <c r="B494" s="272">
        <v>17</v>
      </c>
      <c r="C494" s="81" t="s">
        <v>54</v>
      </c>
      <c r="D494" s="146" t="s">
        <v>119</v>
      </c>
      <c r="E494" s="147"/>
      <c r="F494" s="7">
        <v>1</v>
      </c>
      <c r="G494" s="148"/>
      <c r="H494" s="148"/>
      <c r="I494" s="148"/>
      <c r="J494" s="147"/>
      <c r="K494" s="148"/>
      <c r="L494" s="147"/>
      <c r="M494" s="275"/>
    </row>
    <row r="495" spans="2:13" ht="24.95" customHeight="1">
      <c r="B495" s="273"/>
      <c r="C495" s="55" t="s">
        <v>84</v>
      </c>
      <c r="D495" s="56" t="s">
        <v>85</v>
      </c>
      <c r="E495" s="149">
        <f>1.85+6.96</f>
        <v>8.81</v>
      </c>
      <c r="F495" s="150">
        <f>F494*E495</f>
        <v>8.81</v>
      </c>
      <c r="G495" s="151"/>
      <c r="H495" s="151"/>
      <c r="I495" s="149"/>
      <c r="J495" s="149"/>
      <c r="K495" s="149"/>
      <c r="L495" s="149"/>
      <c r="M495" s="276"/>
    </row>
    <row r="496" spans="2:13" s="211" customFormat="1" ht="24.95" customHeight="1">
      <c r="B496" s="274"/>
      <c r="C496" s="174" t="s">
        <v>86</v>
      </c>
      <c r="D496" s="145" t="s">
        <v>87</v>
      </c>
      <c r="E496" s="149">
        <f>1.79+0.09</f>
        <v>1.8800000000000001</v>
      </c>
      <c r="F496" s="150">
        <f>F494*E496</f>
        <v>1.8800000000000001</v>
      </c>
      <c r="G496" s="151"/>
      <c r="H496" s="151"/>
      <c r="I496" s="151"/>
      <c r="J496" s="149"/>
      <c r="K496" s="153"/>
      <c r="L496" s="149"/>
      <c r="M496" s="276"/>
    </row>
    <row r="497" spans="2:15" ht="24.95" customHeight="1">
      <c r="B497" s="274"/>
      <c r="C497" s="174" t="s">
        <v>279</v>
      </c>
      <c r="D497" s="145" t="s">
        <v>119</v>
      </c>
      <c r="E497" s="152">
        <v>1</v>
      </c>
      <c r="F497" s="150">
        <f>F494*E497</f>
        <v>1</v>
      </c>
      <c r="G497" s="151"/>
      <c r="H497" s="151"/>
      <c r="I497" s="151"/>
      <c r="J497" s="149"/>
      <c r="K497" s="153"/>
      <c r="L497" s="149"/>
      <c r="M497" s="276"/>
    </row>
    <row r="498" spans="2:15" ht="65.25" customHeight="1">
      <c r="B498" s="272">
        <v>18</v>
      </c>
      <c r="C498" s="243" t="s">
        <v>58</v>
      </c>
      <c r="D498" s="146" t="s">
        <v>119</v>
      </c>
      <c r="E498" s="147"/>
      <c r="F498" s="7">
        <v>1</v>
      </c>
      <c r="G498" s="148"/>
      <c r="H498" s="148"/>
      <c r="I498" s="148"/>
      <c r="J498" s="147"/>
      <c r="K498" s="148"/>
      <c r="L498" s="147"/>
      <c r="M498" s="275"/>
    </row>
    <row r="499" spans="2:15" ht="24.95" customHeight="1">
      <c r="B499" s="273"/>
      <c r="C499" s="55" t="s">
        <v>84</v>
      </c>
      <c r="D499" s="56" t="s">
        <v>209</v>
      </c>
      <c r="E499" s="149">
        <v>1</v>
      </c>
      <c r="F499" s="150">
        <f>F498*E499</f>
        <v>1</v>
      </c>
      <c r="G499" s="151"/>
      <c r="H499" s="151"/>
      <c r="I499" s="149"/>
      <c r="J499" s="149"/>
      <c r="K499" s="149"/>
      <c r="L499" s="149"/>
      <c r="M499" s="276"/>
    </row>
    <row r="500" spans="2:15" ht="24.95" customHeight="1">
      <c r="B500" s="274"/>
      <c r="C500" s="174" t="s">
        <v>280</v>
      </c>
      <c r="D500" s="145" t="s">
        <v>119</v>
      </c>
      <c r="E500" s="152">
        <v>1</v>
      </c>
      <c r="F500" s="150">
        <f>F498*E500</f>
        <v>1</v>
      </c>
      <c r="G500" s="151"/>
      <c r="H500" s="151"/>
      <c r="I500" s="151"/>
      <c r="J500" s="149"/>
      <c r="K500" s="153"/>
      <c r="L500" s="149"/>
      <c r="M500" s="276"/>
    </row>
    <row r="501" spans="2:15" ht="33.75" customHeight="1">
      <c r="B501" s="352" t="s">
        <v>329</v>
      </c>
      <c r="C501" s="353"/>
      <c r="D501" s="353"/>
      <c r="E501" s="353"/>
      <c r="F501" s="353"/>
      <c r="G501" s="122"/>
      <c r="H501" s="122"/>
      <c r="I501" s="122"/>
      <c r="J501" s="123"/>
      <c r="K501" s="121"/>
      <c r="L501" s="123"/>
      <c r="M501" s="252"/>
    </row>
    <row r="502" spans="2:15" s="216" customFormat="1" ht="56.25" customHeight="1">
      <c r="B502" s="192">
        <v>1</v>
      </c>
      <c r="C502" s="193" t="s">
        <v>330</v>
      </c>
      <c r="D502" s="194" t="s">
        <v>0</v>
      </c>
      <c r="E502" s="84"/>
      <c r="F502" s="84">
        <v>18</v>
      </c>
      <c r="G502" s="85"/>
      <c r="H502" s="85"/>
      <c r="I502" s="85"/>
      <c r="J502" s="84"/>
      <c r="K502" s="85"/>
      <c r="L502" s="84"/>
      <c r="M502" s="282"/>
      <c r="N502" s="216">
        <f>M503</f>
        <v>0</v>
      </c>
      <c r="O502" s="216">
        <f>N502/F502</f>
        <v>0</v>
      </c>
    </row>
    <row r="503" spans="2:15" s="216" customFormat="1" ht="27.75" customHeight="1">
      <c r="B503" s="192"/>
      <c r="C503" s="195" t="s">
        <v>94</v>
      </c>
      <c r="D503" s="196" t="s">
        <v>85</v>
      </c>
      <c r="E503" s="86">
        <f>(206+121)/100</f>
        <v>3.27</v>
      </c>
      <c r="F503" s="87">
        <f>E503*F502</f>
        <v>58.86</v>
      </c>
      <c r="G503" s="88"/>
      <c r="H503" s="88"/>
      <c r="I503" s="86"/>
      <c r="J503" s="89"/>
      <c r="K503" s="90"/>
      <c r="L503" s="89"/>
      <c r="M503" s="283"/>
    </row>
    <row r="504" spans="2:15" s="216" customFormat="1" ht="43.5" customHeight="1">
      <c r="B504" s="192">
        <v>2</v>
      </c>
      <c r="C504" s="193" t="s">
        <v>331</v>
      </c>
      <c r="D504" s="194" t="s">
        <v>254</v>
      </c>
      <c r="E504" s="84"/>
      <c r="F504" s="170">
        <f>210/1000</f>
        <v>0.21</v>
      </c>
      <c r="G504" s="85"/>
      <c r="H504" s="85"/>
      <c r="I504" s="85"/>
      <c r="J504" s="84"/>
      <c r="K504" s="85"/>
      <c r="L504" s="84"/>
      <c r="M504" s="282"/>
      <c r="N504" s="216">
        <f>SUM(M505:M508)</f>
        <v>0</v>
      </c>
      <c r="O504" s="216">
        <f>N504/F504/1000</f>
        <v>0</v>
      </c>
    </row>
    <row r="505" spans="2:15" s="216" customFormat="1" ht="24.95" customHeight="1">
      <c r="B505" s="192"/>
      <c r="C505" s="195" t="s">
        <v>94</v>
      </c>
      <c r="D505" s="196" t="s">
        <v>85</v>
      </c>
      <c r="E505" s="86">
        <v>95.9</v>
      </c>
      <c r="F505" s="87">
        <f>E505*F504</f>
        <v>20.138999999999999</v>
      </c>
      <c r="G505" s="88"/>
      <c r="H505" s="88"/>
      <c r="I505" s="86"/>
      <c r="J505" s="89"/>
      <c r="K505" s="90"/>
      <c r="L505" s="89"/>
      <c r="M505" s="283"/>
    </row>
    <row r="506" spans="2:15" s="216" customFormat="1" ht="24.95" customHeight="1">
      <c r="B506" s="197"/>
      <c r="C506" s="195" t="s">
        <v>95</v>
      </c>
      <c r="D506" s="198" t="s">
        <v>87</v>
      </c>
      <c r="E506" s="123">
        <v>45.2</v>
      </c>
      <c r="F506" s="144">
        <f>E506*F504</f>
        <v>9.4920000000000009</v>
      </c>
      <c r="G506" s="122"/>
      <c r="H506" s="122"/>
      <c r="I506" s="122"/>
      <c r="J506" s="123"/>
      <c r="K506" s="121"/>
      <c r="L506" s="123"/>
      <c r="M506" s="252"/>
    </row>
    <row r="507" spans="2:15" s="216" customFormat="1" ht="24.95" customHeight="1">
      <c r="B507" s="199"/>
      <c r="C507" s="200" t="s">
        <v>332</v>
      </c>
      <c r="D507" s="198" t="s">
        <v>258</v>
      </c>
      <c r="E507" s="86">
        <v>1010</v>
      </c>
      <c r="F507" s="87">
        <f>F504*E507</f>
        <v>212.1</v>
      </c>
      <c r="G507" s="88"/>
      <c r="H507" s="88"/>
      <c r="I507" s="86"/>
      <c r="J507" s="89"/>
      <c r="K507" s="90"/>
      <c r="L507" s="89"/>
      <c r="M507" s="283"/>
    </row>
    <row r="508" spans="2:15" s="216" customFormat="1" ht="24.95" customHeight="1">
      <c r="B508" s="192"/>
      <c r="C508" s="195" t="s">
        <v>132</v>
      </c>
      <c r="D508" s="201" t="s">
        <v>87</v>
      </c>
      <c r="E508" s="86">
        <v>0.6</v>
      </c>
      <c r="F508" s="87">
        <f>F504*E508</f>
        <v>0.126</v>
      </c>
      <c r="G508" s="88"/>
      <c r="H508" s="88"/>
      <c r="I508" s="86"/>
      <c r="J508" s="89"/>
      <c r="K508" s="90"/>
      <c r="L508" s="89"/>
      <c r="M508" s="283"/>
    </row>
    <row r="509" spans="2:15" s="216" customFormat="1" ht="43.5" customHeight="1">
      <c r="B509" s="192">
        <v>3</v>
      </c>
      <c r="C509" s="193" t="s">
        <v>333</v>
      </c>
      <c r="D509" s="194" t="s">
        <v>254</v>
      </c>
      <c r="E509" s="84"/>
      <c r="F509" s="170">
        <f>20/1000</f>
        <v>0.02</v>
      </c>
      <c r="G509" s="85"/>
      <c r="H509" s="85"/>
      <c r="I509" s="85"/>
      <c r="J509" s="84"/>
      <c r="K509" s="85"/>
      <c r="L509" s="84"/>
      <c r="M509" s="282"/>
      <c r="N509" s="216">
        <f>SUM(M510:M513)</f>
        <v>0</v>
      </c>
      <c r="O509" s="216">
        <f>N509/F509/1000</f>
        <v>0</v>
      </c>
    </row>
    <row r="510" spans="2:15" s="216" customFormat="1" ht="24.95" customHeight="1">
      <c r="B510" s="192"/>
      <c r="C510" s="195" t="s">
        <v>94</v>
      </c>
      <c r="D510" s="196" t="s">
        <v>85</v>
      </c>
      <c r="E510" s="86">
        <v>95.9</v>
      </c>
      <c r="F510" s="87">
        <f>E510*F509</f>
        <v>1.9180000000000001</v>
      </c>
      <c r="G510" s="88"/>
      <c r="H510" s="88"/>
      <c r="I510" s="86"/>
      <c r="J510" s="89"/>
      <c r="K510" s="90"/>
      <c r="L510" s="89"/>
      <c r="M510" s="283"/>
    </row>
    <row r="511" spans="2:15" s="216" customFormat="1" ht="24.95" customHeight="1">
      <c r="B511" s="197"/>
      <c r="C511" s="195" t="s">
        <v>95</v>
      </c>
      <c r="D511" s="198" t="s">
        <v>87</v>
      </c>
      <c r="E511" s="123">
        <v>45.2</v>
      </c>
      <c r="F511" s="144">
        <f>E511*F509</f>
        <v>0.90400000000000003</v>
      </c>
      <c r="G511" s="122"/>
      <c r="H511" s="122"/>
      <c r="I511" s="122"/>
      <c r="J511" s="123"/>
      <c r="K511" s="121"/>
      <c r="L511" s="123"/>
      <c r="M511" s="252"/>
    </row>
    <row r="512" spans="2:15" s="216" customFormat="1" ht="24.95" customHeight="1">
      <c r="B512" s="199"/>
      <c r="C512" s="200" t="s">
        <v>334</v>
      </c>
      <c r="D512" s="198" t="s">
        <v>258</v>
      </c>
      <c r="E512" s="86">
        <v>1010</v>
      </c>
      <c r="F512" s="87">
        <f>F509*E512</f>
        <v>20.2</v>
      </c>
      <c r="G512" s="88"/>
      <c r="H512" s="88"/>
      <c r="I512" s="86"/>
      <c r="J512" s="89"/>
      <c r="K512" s="90"/>
      <c r="L512" s="89"/>
      <c r="M512" s="283"/>
    </row>
    <row r="513" spans="2:15" s="216" customFormat="1" ht="24.95" customHeight="1">
      <c r="B513" s="192"/>
      <c r="C513" s="195" t="s">
        <v>132</v>
      </c>
      <c r="D513" s="201" t="s">
        <v>87</v>
      </c>
      <c r="E513" s="86">
        <v>0.6</v>
      </c>
      <c r="F513" s="87">
        <f>F509*E513</f>
        <v>1.2E-2</v>
      </c>
      <c r="G513" s="88"/>
      <c r="H513" s="88"/>
      <c r="I513" s="86"/>
      <c r="J513" s="89"/>
      <c r="K513" s="90"/>
      <c r="L513" s="89"/>
      <c r="M513" s="283"/>
    </row>
    <row r="514" spans="2:15" s="216" customFormat="1" ht="24.95" customHeight="1">
      <c r="B514" s="295">
        <v>4</v>
      </c>
      <c r="C514" s="202" t="s">
        <v>335</v>
      </c>
      <c r="D514" s="217" t="s">
        <v>336</v>
      </c>
      <c r="E514" s="86"/>
      <c r="F514" s="87">
        <v>7</v>
      </c>
      <c r="G514" s="88"/>
      <c r="H514" s="88"/>
      <c r="I514" s="86"/>
      <c r="J514" s="89"/>
      <c r="K514" s="90"/>
      <c r="L514" s="89"/>
      <c r="M514" s="283"/>
      <c r="N514" s="216">
        <f>SUM(M515:M516)</f>
        <v>0</v>
      </c>
      <c r="O514" s="216">
        <f>N514/F514</f>
        <v>0</v>
      </c>
    </row>
    <row r="515" spans="2:15" s="219" customFormat="1" ht="24.95" customHeight="1">
      <c r="B515" s="296"/>
      <c r="C515" s="203" t="s">
        <v>84</v>
      </c>
      <c r="D515" s="218" t="s">
        <v>209</v>
      </c>
      <c r="E515" s="64">
        <v>1</v>
      </c>
      <c r="F515" s="121">
        <f>F514*E515</f>
        <v>7</v>
      </c>
      <c r="G515" s="122"/>
      <c r="H515" s="122"/>
      <c r="I515" s="123"/>
      <c r="J515" s="123"/>
      <c r="K515" s="123"/>
      <c r="L515" s="123"/>
      <c r="M515" s="252"/>
    </row>
    <row r="516" spans="2:15" s="219" customFormat="1" ht="24.95" customHeight="1">
      <c r="B516" s="296"/>
      <c r="C516" s="3" t="s">
        <v>335</v>
      </c>
      <c r="D516" s="220" t="s">
        <v>87</v>
      </c>
      <c r="E516" s="123">
        <v>1</v>
      </c>
      <c r="F516" s="144">
        <f>F514*E516</f>
        <v>7</v>
      </c>
      <c r="G516" s="122"/>
      <c r="H516" s="122"/>
      <c r="I516" s="123"/>
      <c r="J516" s="123"/>
      <c r="K516" s="123"/>
      <c r="L516" s="123"/>
      <c r="M516" s="252"/>
    </row>
    <row r="517" spans="2:15" s="216" customFormat="1" ht="43.5" customHeight="1">
      <c r="B517" s="295">
        <v>5</v>
      </c>
      <c r="C517" s="193" t="s">
        <v>337</v>
      </c>
      <c r="D517" s="217" t="s">
        <v>336</v>
      </c>
      <c r="E517" s="86"/>
      <c r="F517" s="87">
        <v>7</v>
      </c>
      <c r="G517" s="88"/>
      <c r="H517" s="88"/>
      <c r="I517" s="86"/>
      <c r="J517" s="89"/>
      <c r="K517" s="90"/>
      <c r="L517" s="89"/>
      <c r="M517" s="283"/>
      <c r="N517" s="216">
        <f>SUM(M518:M522)</f>
        <v>0</v>
      </c>
      <c r="O517" s="216">
        <f>N517/F517</f>
        <v>0</v>
      </c>
    </row>
    <row r="518" spans="2:15" s="219" customFormat="1" ht="24.95" customHeight="1">
      <c r="B518" s="296"/>
      <c r="C518" s="203" t="s">
        <v>84</v>
      </c>
      <c r="D518" s="218" t="s">
        <v>209</v>
      </c>
      <c r="E518" s="64">
        <f>3.89/10</f>
        <v>0.38900000000000001</v>
      </c>
      <c r="F518" s="121">
        <f>F517*E518</f>
        <v>2.7229999999999999</v>
      </c>
      <c r="G518" s="122"/>
      <c r="H518" s="122"/>
      <c r="I518" s="123"/>
      <c r="J518" s="123"/>
      <c r="K518" s="123"/>
      <c r="L518" s="123"/>
      <c r="M518" s="252"/>
    </row>
    <row r="519" spans="2:15" s="219" customFormat="1" ht="24.95" customHeight="1">
      <c r="B519" s="296"/>
      <c r="C519" s="195" t="s">
        <v>86</v>
      </c>
      <c r="D519" s="220" t="s">
        <v>87</v>
      </c>
      <c r="E519" s="123">
        <f>1.51/10</f>
        <v>0.151</v>
      </c>
      <c r="F519" s="144">
        <f>F517*E519</f>
        <v>1.0569999999999999</v>
      </c>
      <c r="G519" s="122"/>
      <c r="H519" s="122"/>
      <c r="I519" s="123"/>
      <c r="J519" s="123"/>
      <c r="K519" s="123"/>
      <c r="L519" s="123"/>
      <c r="M519" s="252"/>
    </row>
    <row r="520" spans="2:15" s="219" customFormat="1" ht="24.95" customHeight="1">
      <c r="B520" s="296"/>
      <c r="C520" s="221" t="s">
        <v>338</v>
      </c>
      <c r="D520" s="222" t="s">
        <v>339</v>
      </c>
      <c r="E520" s="223" t="s">
        <v>259</v>
      </c>
      <c r="F520" s="223">
        <v>7</v>
      </c>
      <c r="G520" s="122"/>
      <c r="H520" s="122"/>
      <c r="I520" s="123"/>
      <c r="J520" s="123"/>
      <c r="K520" s="123"/>
      <c r="L520" s="123"/>
      <c r="M520" s="252"/>
      <c r="N520" s="224"/>
    </row>
    <row r="521" spans="2:15" s="219" customFormat="1" ht="24.95" customHeight="1">
      <c r="B521" s="296"/>
      <c r="C521" s="221" t="s">
        <v>340</v>
      </c>
      <c r="D521" s="222" t="s">
        <v>339</v>
      </c>
      <c r="E521" s="223" t="s">
        <v>259</v>
      </c>
      <c r="F521" s="223">
        <v>7</v>
      </c>
      <c r="G521" s="122"/>
      <c r="H521" s="122"/>
      <c r="I521" s="123"/>
      <c r="J521" s="123"/>
      <c r="K521" s="123"/>
      <c r="L521" s="123"/>
      <c r="M521" s="252"/>
      <c r="N521" s="224"/>
    </row>
    <row r="522" spans="2:15" s="219" customFormat="1" ht="24.95" customHeight="1">
      <c r="B522" s="297"/>
      <c r="C522" s="195" t="s">
        <v>92</v>
      </c>
      <c r="D522" s="220" t="s">
        <v>87</v>
      </c>
      <c r="E522" s="123">
        <f>0.24/10</f>
        <v>2.4E-2</v>
      </c>
      <c r="F522" s="144">
        <f>F517*E522</f>
        <v>0.16800000000000001</v>
      </c>
      <c r="G522" s="122"/>
      <c r="H522" s="122"/>
      <c r="I522" s="122"/>
      <c r="J522" s="123"/>
      <c r="K522" s="121"/>
      <c r="L522" s="123"/>
      <c r="M522" s="252"/>
    </row>
    <row r="523" spans="2:15" s="226" customFormat="1" ht="44.25" customHeight="1">
      <c r="B523" s="249">
        <v>6</v>
      </c>
      <c r="C523" s="193" t="s">
        <v>341</v>
      </c>
      <c r="D523" s="225" t="s">
        <v>45</v>
      </c>
      <c r="E523" s="129"/>
      <c r="F523" s="130">
        <v>7</v>
      </c>
      <c r="G523" s="131"/>
      <c r="H523" s="131"/>
      <c r="I523" s="131"/>
      <c r="J523" s="129"/>
      <c r="K523" s="131"/>
      <c r="L523" s="129"/>
      <c r="M523" s="250"/>
      <c r="N523" s="226">
        <f>SUM(M524:M527)</f>
        <v>0</v>
      </c>
      <c r="O523" s="226">
        <f>N523/F523</f>
        <v>0</v>
      </c>
    </row>
    <row r="524" spans="2:15" s="219" customFormat="1" ht="24.95" customHeight="1">
      <c r="B524" s="296"/>
      <c r="C524" s="203" t="s">
        <v>84</v>
      </c>
      <c r="D524" s="218" t="s">
        <v>209</v>
      </c>
      <c r="E524" s="64">
        <v>2.29</v>
      </c>
      <c r="F524" s="121">
        <f>F523*E524</f>
        <v>16.03</v>
      </c>
      <c r="G524" s="122"/>
      <c r="H524" s="122"/>
      <c r="I524" s="123"/>
      <c r="J524" s="123"/>
      <c r="K524" s="123"/>
      <c r="L524" s="123"/>
      <c r="M524" s="252"/>
    </row>
    <row r="525" spans="2:15" s="219" customFormat="1" ht="24.95" customHeight="1">
      <c r="B525" s="296"/>
      <c r="C525" s="195" t="s">
        <v>86</v>
      </c>
      <c r="D525" s="220" t="s">
        <v>87</v>
      </c>
      <c r="E525" s="123">
        <v>0.09</v>
      </c>
      <c r="F525" s="144">
        <f>F523*E525</f>
        <v>0.63</v>
      </c>
      <c r="G525" s="122"/>
      <c r="H525" s="122"/>
      <c r="I525" s="123"/>
      <c r="J525" s="123"/>
      <c r="K525" s="123"/>
      <c r="L525" s="123"/>
      <c r="M525" s="252"/>
    </row>
    <row r="526" spans="2:15" s="219" customFormat="1" ht="24.95" customHeight="1">
      <c r="B526" s="296"/>
      <c r="C526" s="221" t="s">
        <v>342</v>
      </c>
      <c r="D526" s="222" t="s">
        <v>339</v>
      </c>
      <c r="E526" s="223">
        <v>1</v>
      </c>
      <c r="F526" s="223">
        <f>F523*E526</f>
        <v>7</v>
      </c>
      <c r="G526" s="122"/>
      <c r="H526" s="122"/>
      <c r="I526" s="123"/>
      <c r="J526" s="123"/>
      <c r="K526" s="123"/>
      <c r="L526" s="123"/>
      <c r="M526" s="252"/>
      <c r="N526" s="224"/>
    </row>
    <row r="527" spans="2:15" s="219" customFormat="1" ht="24.95" customHeight="1">
      <c r="B527" s="297"/>
      <c r="C527" s="195" t="s">
        <v>92</v>
      </c>
      <c r="D527" s="220" t="s">
        <v>87</v>
      </c>
      <c r="E527" s="123">
        <v>0.68</v>
      </c>
      <c r="F527" s="144">
        <f>F523*E527</f>
        <v>4.7600000000000007</v>
      </c>
      <c r="G527" s="122"/>
      <c r="H527" s="122"/>
      <c r="I527" s="122"/>
      <c r="J527" s="123"/>
      <c r="K527" s="121"/>
      <c r="L527" s="123"/>
      <c r="M527" s="252"/>
    </row>
    <row r="528" spans="2:15" s="35" customFormat="1" ht="39.75" customHeight="1">
      <c r="B528" s="352" t="s">
        <v>10</v>
      </c>
      <c r="C528" s="353"/>
      <c r="D528" s="353"/>
      <c r="E528" s="353"/>
      <c r="F528" s="353"/>
      <c r="G528" s="33"/>
      <c r="H528" s="33"/>
      <c r="I528" s="33"/>
      <c r="J528" s="32"/>
      <c r="K528" s="34"/>
      <c r="L528" s="32"/>
      <c r="M528" s="263"/>
    </row>
    <row r="529" spans="2:13" s="2" customFormat="1" ht="31.5" customHeight="1">
      <c r="B529" s="82">
        <v>1</v>
      </c>
      <c r="C529" s="167" t="s">
        <v>129</v>
      </c>
      <c r="D529" s="83" t="s">
        <v>31</v>
      </c>
      <c r="E529" s="84"/>
      <c r="F529" s="84">
        <f>SUM(F534:F539)</f>
        <v>334</v>
      </c>
      <c r="G529" s="85"/>
      <c r="H529" s="85"/>
      <c r="I529" s="85"/>
      <c r="J529" s="84"/>
      <c r="K529" s="85"/>
      <c r="L529" s="84"/>
      <c r="M529" s="282"/>
    </row>
    <row r="530" spans="2:13" s="2" customFormat="1" ht="24.95" customHeight="1">
      <c r="B530" s="82"/>
      <c r="C530" s="21" t="s">
        <v>94</v>
      </c>
      <c r="D530" s="22" t="s">
        <v>85</v>
      </c>
      <c r="E530" s="86">
        <f>16/10</f>
        <v>1.6</v>
      </c>
      <c r="F530" s="87">
        <f>E530*F529</f>
        <v>534.4</v>
      </c>
      <c r="G530" s="88"/>
      <c r="H530" s="88"/>
      <c r="I530" s="86"/>
      <c r="J530" s="89"/>
      <c r="K530" s="90"/>
      <c r="L530" s="89"/>
      <c r="M530" s="283"/>
    </row>
    <row r="531" spans="2:13" s="2" customFormat="1" ht="24.95" customHeight="1">
      <c r="B531" s="43"/>
      <c r="C531" s="91" t="s">
        <v>105</v>
      </c>
      <c r="D531" s="78" t="s">
        <v>83</v>
      </c>
      <c r="E531" s="86">
        <f>0.71/10</f>
        <v>7.0999999999999994E-2</v>
      </c>
      <c r="F531" s="87">
        <f>F529*E531</f>
        <v>23.713999999999999</v>
      </c>
      <c r="G531" s="88"/>
      <c r="H531" s="88"/>
      <c r="I531" s="86"/>
      <c r="J531" s="89"/>
      <c r="K531" s="90"/>
      <c r="L531" s="89"/>
      <c r="M531" s="283"/>
    </row>
    <row r="532" spans="2:13" s="2" customFormat="1" ht="24.95" customHeight="1">
      <c r="B532" s="82"/>
      <c r="C532" s="21" t="s">
        <v>130</v>
      </c>
      <c r="D532" s="78" t="s">
        <v>83</v>
      </c>
      <c r="E532" s="86">
        <f>1.34/10</f>
        <v>0.13400000000000001</v>
      </c>
      <c r="F532" s="87">
        <f>F529*E532</f>
        <v>44.756</v>
      </c>
      <c r="G532" s="88"/>
      <c r="H532" s="88"/>
      <c r="I532" s="86"/>
      <c r="J532" s="89"/>
      <c r="K532" s="90"/>
      <c r="L532" s="89"/>
      <c r="M532" s="283"/>
    </row>
    <row r="533" spans="2:13" s="2" customFormat="1" ht="24.95" customHeight="1">
      <c r="B533" s="43"/>
      <c r="C533" s="91" t="s">
        <v>102</v>
      </c>
      <c r="D533" s="78" t="s">
        <v>81</v>
      </c>
      <c r="E533" s="86">
        <f>2.6/10</f>
        <v>0.26</v>
      </c>
      <c r="F533" s="87">
        <f>F529*E533</f>
        <v>86.84</v>
      </c>
      <c r="G533" s="88"/>
      <c r="H533" s="88"/>
      <c r="I533" s="86"/>
      <c r="J533" s="89"/>
      <c r="K533" s="90"/>
      <c r="L533" s="89"/>
      <c r="M533" s="283"/>
    </row>
    <row r="534" spans="2:13" s="2" customFormat="1" ht="48" customHeight="1">
      <c r="B534" s="284"/>
      <c r="C534" s="3" t="s">
        <v>12</v>
      </c>
      <c r="D534" s="244" t="s">
        <v>31</v>
      </c>
      <c r="E534" s="86" t="s">
        <v>131</v>
      </c>
      <c r="F534" s="1">
        <v>95</v>
      </c>
      <c r="G534" s="88"/>
      <c r="H534" s="88"/>
      <c r="I534" s="86"/>
      <c r="J534" s="89"/>
      <c r="K534" s="90"/>
      <c r="L534" s="89"/>
      <c r="M534" s="283"/>
    </row>
    <row r="535" spans="2:13" s="2" customFormat="1" ht="54" customHeight="1">
      <c r="B535" s="284"/>
      <c r="C535" s="3" t="s">
        <v>38</v>
      </c>
      <c r="D535" s="244" t="s">
        <v>31</v>
      </c>
      <c r="E535" s="86" t="s">
        <v>131</v>
      </c>
      <c r="F535" s="1">
        <v>22</v>
      </c>
      <c r="G535" s="88"/>
      <c r="H535" s="88"/>
      <c r="I535" s="86"/>
      <c r="J535" s="89"/>
      <c r="K535" s="90"/>
      <c r="L535" s="89"/>
      <c r="M535" s="283"/>
    </row>
    <row r="536" spans="2:13" s="2" customFormat="1" ht="63" customHeight="1">
      <c r="B536" s="284"/>
      <c r="C536" s="3" t="s">
        <v>11</v>
      </c>
      <c r="D536" s="244" t="s">
        <v>31</v>
      </c>
      <c r="E536" s="86" t="s">
        <v>131</v>
      </c>
      <c r="F536" s="1">
        <v>13</v>
      </c>
      <c r="G536" s="88"/>
      <c r="H536" s="88"/>
      <c r="I536" s="86"/>
      <c r="J536" s="89"/>
      <c r="K536" s="90"/>
      <c r="L536" s="89"/>
      <c r="M536" s="283"/>
    </row>
    <row r="537" spans="2:13" s="2" customFormat="1" ht="47.25" customHeight="1">
      <c r="B537" s="284"/>
      <c r="C537" s="3" t="s">
        <v>13</v>
      </c>
      <c r="D537" s="244" t="s">
        <v>31</v>
      </c>
      <c r="E537" s="86" t="s">
        <v>131</v>
      </c>
      <c r="F537" s="1">
        <v>95</v>
      </c>
      <c r="G537" s="88"/>
      <c r="H537" s="88"/>
      <c r="I537" s="86"/>
      <c r="J537" s="89"/>
      <c r="K537" s="90"/>
      <c r="L537" s="89"/>
      <c r="M537" s="283"/>
    </row>
    <row r="538" spans="2:13" s="2" customFormat="1" ht="70.5" customHeight="1">
      <c r="B538" s="284"/>
      <c r="C538" s="3" t="s">
        <v>36</v>
      </c>
      <c r="D538" s="244" t="s">
        <v>31</v>
      </c>
      <c r="E538" s="86" t="s">
        <v>131</v>
      </c>
      <c r="F538" s="1">
        <v>95</v>
      </c>
      <c r="G538" s="88"/>
      <c r="H538" s="88"/>
      <c r="I538" s="86"/>
      <c r="J538" s="89"/>
      <c r="K538" s="90"/>
      <c r="L538" s="89"/>
      <c r="M538" s="283"/>
    </row>
    <row r="539" spans="2:13" s="2" customFormat="1" ht="64.5" customHeight="1">
      <c r="B539" s="284"/>
      <c r="C539" s="3" t="s">
        <v>37</v>
      </c>
      <c r="D539" s="244" t="s">
        <v>31</v>
      </c>
      <c r="E539" s="86" t="s">
        <v>131</v>
      </c>
      <c r="F539" s="1">
        <v>14</v>
      </c>
      <c r="G539" s="88"/>
      <c r="H539" s="88"/>
      <c r="I539" s="86"/>
      <c r="J539" s="89"/>
      <c r="K539" s="90"/>
      <c r="L539" s="89"/>
      <c r="M539" s="283"/>
    </row>
    <row r="540" spans="2:13" s="2" customFormat="1" ht="24.95" customHeight="1">
      <c r="B540" s="82"/>
      <c r="C540" s="21" t="s">
        <v>132</v>
      </c>
      <c r="D540" s="92" t="s">
        <v>87</v>
      </c>
      <c r="E540" s="86">
        <f>1.79/10</f>
        <v>0.17899999999999999</v>
      </c>
      <c r="F540" s="87">
        <f>F529*E540</f>
        <v>59.785999999999994</v>
      </c>
      <c r="G540" s="88"/>
      <c r="H540" s="88"/>
      <c r="I540" s="86"/>
      <c r="J540" s="89"/>
      <c r="K540" s="90"/>
      <c r="L540" s="89"/>
      <c r="M540" s="283"/>
    </row>
    <row r="541" spans="2:13" s="2" customFormat="1" ht="40.5" customHeight="1">
      <c r="B541" s="36">
        <v>2</v>
      </c>
      <c r="C541" s="116" t="s">
        <v>200</v>
      </c>
      <c r="D541" s="117" t="s">
        <v>162</v>
      </c>
      <c r="E541" s="117"/>
      <c r="F541" s="39">
        <v>4.3</v>
      </c>
      <c r="G541" s="118"/>
      <c r="H541" s="118"/>
      <c r="I541" s="118"/>
      <c r="J541" s="118"/>
      <c r="K541" s="39"/>
      <c r="L541" s="39"/>
      <c r="M541" s="287"/>
    </row>
    <row r="542" spans="2:13" s="2" customFormat="1" ht="24.95" customHeight="1">
      <c r="B542" s="43"/>
      <c r="C542" s="55" t="s">
        <v>84</v>
      </c>
      <c r="D542" s="56" t="s">
        <v>85</v>
      </c>
      <c r="E542" s="64">
        <v>68</v>
      </c>
      <c r="F542" s="121">
        <f>F$541*E542</f>
        <v>292.39999999999998</v>
      </c>
      <c r="G542" s="122"/>
      <c r="H542" s="122"/>
      <c r="I542" s="123"/>
      <c r="J542" s="123"/>
      <c r="K542" s="123"/>
      <c r="L542" s="123"/>
      <c r="M542" s="252"/>
    </row>
    <row r="543" spans="2:13" s="2" customFormat="1" ht="24.95" customHeight="1">
      <c r="B543" s="43"/>
      <c r="C543" s="125" t="s">
        <v>86</v>
      </c>
      <c r="D543" s="124" t="s">
        <v>87</v>
      </c>
      <c r="E543" s="64">
        <v>0.03</v>
      </c>
      <c r="F543" s="121">
        <f t="shared" ref="F543:F545" si="23">F$541*E543</f>
        <v>0.129</v>
      </c>
      <c r="G543" s="122"/>
      <c r="H543" s="122"/>
      <c r="I543" s="122"/>
      <c r="J543" s="123"/>
      <c r="K543" s="121"/>
      <c r="L543" s="123"/>
      <c r="M543" s="252"/>
    </row>
    <row r="544" spans="2:13" s="2" customFormat="1" ht="24.95" customHeight="1">
      <c r="B544" s="43"/>
      <c r="C544" s="125" t="s">
        <v>201</v>
      </c>
      <c r="D544" s="126" t="s">
        <v>91</v>
      </c>
      <c r="E544" s="64">
        <f>25.1+0.2+2.7</f>
        <v>28</v>
      </c>
      <c r="F544" s="121">
        <f t="shared" si="23"/>
        <v>120.39999999999999</v>
      </c>
      <c r="G544" s="127"/>
      <c r="H544" s="127"/>
      <c r="I544" s="122"/>
      <c r="J544" s="122"/>
      <c r="K544" s="127"/>
      <c r="L544" s="127"/>
      <c r="M544" s="252"/>
    </row>
    <row r="545" spans="2:249" s="2" customFormat="1" ht="24.95" customHeight="1">
      <c r="B545" s="43"/>
      <c r="C545" s="125" t="s">
        <v>92</v>
      </c>
      <c r="D545" s="126" t="s">
        <v>91</v>
      </c>
      <c r="E545" s="22">
        <v>0.19</v>
      </c>
      <c r="F545" s="121">
        <f t="shared" si="23"/>
        <v>0.81699999999999995</v>
      </c>
      <c r="G545" s="127"/>
      <c r="H545" s="127"/>
      <c r="I545" s="122"/>
      <c r="J545" s="122"/>
      <c r="K545" s="127"/>
      <c r="L545" s="127"/>
      <c r="M545" s="252"/>
    </row>
    <row r="546" spans="2:249" s="2" customFormat="1" ht="47.25" customHeight="1">
      <c r="B546" s="36">
        <v>3</v>
      </c>
      <c r="C546" s="116" t="s">
        <v>202</v>
      </c>
      <c r="D546" s="117" t="s">
        <v>162</v>
      </c>
      <c r="E546" s="117"/>
      <c r="F546" s="39">
        <v>4.3</v>
      </c>
      <c r="G546" s="118"/>
      <c r="H546" s="118"/>
      <c r="I546" s="118"/>
      <c r="J546" s="118"/>
      <c r="K546" s="39"/>
      <c r="L546" s="39"/>
      <c r="M546" s="287"/>
    </row>
    <row r="547" spans="2:249" s="2" customFormat="1" ht="24.95" customHeight="1">
      <c r="B547" s="43"/>
      <c r="C547" s="55" t="s">
        <v>84</v>
      </c>
      <c r="D547" s="56" t="s">
        <v>85</v>
      </c>
      <c r="E547" s="64">
        <v>68</v>
      </c>
      <c r="F547" s="121">
        <f>F$546*E547</f>
        <v>292.39999999999998</v>
      </c>
      <c r="G547" s="122"/>
      <c r="H547" s="122"/>
      <c r="I547" s="123"/>
      <c r="J547" s="123"/>
      <c r="K547" s="123"/>
      <c r="L547" s="123"/>
      <c r="M547" s="252"/>
    </row>
    <row r="548" spans="2:249" s="2" customFormat="1" ht="24.95" customHeight="1">
      <c r="B548" s="43"/>
      <c r="C548" s="125" t="s">
        <v>86</v>
      </c>
      <c r="D548" s="124" t="s">
        <v>87</v>
      </c>
      <c r="E548" s="64">
        <v>0.03</v>
      </c>
      <c r="F548" s="121">
        <f t="shared" ref="F548:F549" si="24">F$546*E548</f>
        <v>0.129</v>
      </c>
      <c r="G548" s="122"/>
      <c r="H548" s="122"/>
      <c r="I548" s="122"/>
      <c r="J548" s="123"/>
      <c r="K548" s="121"/>
      <c r="L548" s="123"/>
      <c r="M548" s="252"/>
    </row>
    <row r="549" spans="2:249" s="2" customFormat="1" ht="24.95" customHeight="1">
      <c r="B549" s="43"/>
      <c r="C549" s="125" t="s">
        <v>128</v>
      </c>
      <c r="D549" s="126" t="s">
        <v>91</v>
      </c>
      <c r="E549" s="64">
        <f>25.1+0.2+2.7</f>
        <v>28</v>
      </c>
      <c r="F549" s="121">
        <f t="shared" si="24"/>
        <v>120.39999999999999</v>
      </c>
      <c r="G549" s="127"/>
      <c r="H549" s="127"/>
      <c r="I549" s="122"/>
      <c r="J549" s="122"/>
      <c r="K549" s="127"/>
      <c r="L549" s="127"/>
      <c r="M549" s="252"/>
    </row>
    <row r="550" spans="2:249" s="2" customFormat="1" ht="24.95" customHeight="1">
      <c r="B550" s="43"/>
      <c r="C550" s="125" t="s">
        <v>92</v>
      </c>
      <c r="D550" s="126" t="s">
        <v>91</v>
      </c>
      <c r="E550" s="22">
        <v>0.19</v>
      </c>
      <c r="F550" s="121">
        <f>F$546*E550</f>
        <v>0.81699999999999995</v>
      </c>
      <c r="G550" s="127"/>
      <c r="H550" s="127"/>
      <c r="I550" s="122"/>
      <c r="J550" s="122"/>
      <c r="K550" s="127"/>
      <c r="L550" s="127"/>
      <c r="M550" s="252"/>
    </row>
    <row r="551" spans="2:249" s="42" customFormat="1" ht="30" customHeight="1">
      <c r="B551" s="307"/>
      <c r="C551" s="308" t="s">
        <v>142</v>
      </c>
      <c r="D551" s="309"/>
      <c r="E551" s="310"/>
      <c r="F551" s="310"/>
      <c r="G551" s="310"/>
      <c r="H551" s="310"/>
      <c r="I551" s="310"/>
      <c r="J551" s="310"/>
      <c r="K551" s="310"/>
      <c r="L551" s="310"/>
      <c r="M551" s="311"/>
    </row>
    <row r="552" spans="2:249" s="42" customFormat="1" ht="30" customHeight="1">
      <c r="B552" s="307"/>
      <c r="C552" s="324" t="s">
        <v>211</v>
      </c>
      <c r="D552" s="312" t="s">
        <v>348</v>
      </c>
      <c r="E552" s="310"/>
      <c r="F552" s="310"/>
      <c r="G552" s="310"/>
      <c r="H552" s="310"/>
      <c r="I552" s="310"/>
      <c r="J552" s="310"/>
      <c r="K552" s="310"/>
      <c r="L552" s="310"/>
      <c r="M552" s="311"/>
    </row>
    <row r="553" spans="2:249" s="42" customFormat="1" ht="30" customHeight="1">
      <c r="B553" s="307"/>
      <c r="C553" s="308" t="s">
        <v>144</v>
      </c>
      <c r="D553" s="309"/>
      <c r="E553" s="310"/>
      <c r="F553" s="310"/>
      <c r="G553" s="310"/>
      <c r="H553" s="310"/>
      <c r="I553" s="310"/>
      <c r="J553" s="310"/>
      <c r="K553" s="310"/>
      <c r="L553" s="310"/>
      <c r="M553" s="311"/>
    </row>
    <row r="554" spans="2:249" s="42" customFormat="1" ht="30" customHeight="1">
      <c r="B554" s="307"/>
      <c r="C554" s="308" t="s">
        <v>145</v>
      </c>
      <c r="D554" s="312" t="s">
        <v>348</v>
      </c>
      <c r="E554" s="310"/>
      <c r="F554" s="310"/>
      <c r="G554" s="310"/>
      <c r="H554" s="310"/>
      <c r="I554" s="310"/>
      <c r="J554" s="310"/>
      <c r="K554" s="310"/>
      <c r="L554" s="310"/>
      <c r="M554" s="311"/>
    </row>
    <row r="555" spans="2:249" s="42" customFormat="1" ht="30" customHeight="1">
      <c r="B555" s="313"/>
      <c r="C555" s="314" t="s">
        <v>212</v>
      </c>
      <c r="D555" s="315"/>
      <c r="E555" s="316"/>
      <c r="F555" s="316"/>
      <c r="G555" s="316"/>
      <c r="H555" s="316"/>
      <c r="I555" s="316"/>
      <c r="J555" s="316"/>
      <c r="K555" s="316"/>
      <c r="L555" s="334"/>
      <c r="M555" s="317"/>
    </row>
    <row r="556" spans="2:249" s="2" customFormat="1" ht="35.25" customHeight="1">
      <c r="B556" s="361" t="s">
        <v>213</v>
      </c>
      <c r="C556" s="362"/>
      <c r="D556" s="362"/>
      <c r="E556" s="362"/>
      <c r="F556" s="362"/>
      <c r="G556" s="362"/>
      <c r="H556" s="362"/>
      <c r="I556" s="362"/>
      <c r="J556" s="362"/>
      <c r="K556" s="362"/>
      <c r="L556" s="362"/>
      <c r="M556" s="363"/>
    </row>
    <row r="557" spans="2:249" s="42" customFormat="1" ht="48.75" customHeight="1">
      <c r="B557" s="291">
        <v>1</v>
      </c>
      <c r="C557" s="104" t="s">
        <v>283</v>
      </c>
      <c r="D557" s="93" t="s">
        <v>93</v>
      </c>
      <c r="E557" s="94"/>
      <c r="F557" s="94">
        <v>450</v>
      </c>
      <c r="G557" s="95"/>
      <c r="H557" s="95"/>
      <c r="I557" s="95"/>
      <c r="J557" s="94"/>
      <c r="K557" s="95"/>
      <c r="L557" s="94"/>
      <c r="M557" s="292"/>
    </row>
    <row r="558" spans="2:249" s="42" customFormat="1" ht="24.95" customHeight="1">
      <c r="B558" s="293"/>
      <c r="C558" s="44" t="s">
        <v>133</v>
      </c>
      <c r="D558" s="45" t="s">
        <v>85</v>
      </c>
      <c r="E558" s="57">
        <f>18/100</f>
        <v>0.18</v>
      </c>
      <c r="F558" s="96">
        <f>F557*E558</f>
        <v>81</v>
      </c>
      <c r="G558" s="40"/>
      <c r="H558" s="40"/>
      <c r="I558" s="38"/>
      <c r="J558" s="38"/>
      <c r="K558" s="38"/>
      <c r="L558" s="38"/>
      <c r="M558" s="264"/>
    </row>
    <row r="559" spans="2:249" s="42" customFormat="1" ht="24.95" customHeight="1">
      <c r="B559" s="294"/>
      <c r="C559" s="44" t="s">
        <v>86</v>
      </c>
      <c r="D559" s="97" t="s">
        <v>83</v>
      </c>
      <c r="E559" s="98">
        <f>0.32/100</f>
        <v>3.2000000000000002E-3</v>
      </c>
      <c r="F559" s="96">
        <f>F557*E559</f>
        <v>1.4400000000000002</v>
      </c>
      <c r="G559" s="40"/>
      <c r="H559" s="40"/>
      <c r="I559" s="40"/>
      <c r="J559" s="38"/>
      <c r="K559" s="41"/>
      <c r="L559" s="38"/>
      <c r="M559" s="264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  <c r="AZ559" s="99"/>
      <c r="BA559" s="99"/>
      <c r="BB559" s="99"/>
      <c r="BC559" s="99"/>
      <c r="BD559" s="99"/>
      <c r="BE559" s="99"/>
      <c r="BF559" s="99"/>
      <c r="BG559" s="99"/>
      <c r="BH559" s="99"/>
      <c r="BI559" s="99"/>
      <c r="BJ559" s="99"/>
      <c r="BK559" s="99"/>
      <c r="BL559" s="99"/>
      <c r="BM559" s="99"/>
      <c r="BN559" s="99"/>
      <c r="BO559" s="99"/>
      <c r="BP559" s="99"/>
      <c r="BQ559" s="99"/>
      <c r="BR559" s="99"/>
      <c r="BS559" s="99"/>
      <c r="BT559" s="99"/>
      <c r="BU559" s="99"/>
      <c r="BV559" s="99"/>
      <c r="BW559" s="99"/>
      <c r="BX559" s="99"/>
      <c r="BY559" s="99"/>
      <c r="BZ559" s="99"/>
      <c r="CA559" s="99"/>
      <c r="CB559" s="99"/>
      <c r="CC559" s="99"/>
      <c r="CD559" s="99"/>
      <c r="CE559" s="99"/>
      <c r="CF559" s="99"/>
      <c r="CG559" s="99"/>
      <c r="CH559" s="99"/>
      <c r="CI559" s="99"/>
      <c r="CJ559" s="99"/>
      <c r="CK559" s="99"/>
      <c r="CL559" s="99"/>
      <c r="CM559" s="99"/>
      <c r="CN559" s="99"/>
      <c r="CO559" s="99"/>
      <c r="CP559" s="99"/>
      <c r="CQ559" s="99"/>
      <c r="CR559" s="99"/>
      <c r="CS559" s="99"/>
      <c r="CT559" s="99"/>
      <c r="CU559" s="99"/>
      <c r="CV559" s="99"/>
      <c r="CW559" s="99"/>
      <c r="CX559" s="99"/>
      <c r="CY559" s="99"/>
      <c r="CZ559" s="99"/>
      <c r="DA559" s="99"/>
      <c r="DB559" s="99"/>
      <c r="DC559" s="99"/>
      <c r="DD559" s="99"/>
      <c r="DE559" s="99"/>
      <c r="DF559" s="99"/>
      <c r="DG559" s="99"/>
      <c r="DH559" s="99"/>
      <c r="DI559" s="99"/>
      <c r="DJ559" s="99"/>
      <c r="DK559" s="99"/>
      <c r="DL559" s="99"/>
      <c r="DM559" s="99"/>
      <c r="DN559" s="99"/>
      <c r="DO559" s="99"/>
      <c r="DP559" s="99"/>
      <c r="DQ559" s="99"/>
      <c r="DR559" s="99"/>
      <c r="DS559" s="99"/>
      <c r="DT559" s="99"/>
      <c r="DU559" s="99"/>
      <c r="DV559" s="99"/>
      <c r="DW559" s="99"/>
      <c r="DX559" s="99"/>
      <c r="DY559" s="99"/>
      <c r="DZ559" s="99"/>
      <c r="EA559" s="99"/>
      <c r="EB559" s="99"/>
      <c r="EC559" s="99"/>
      <c r="ED559" s="99"/>
      <c r="EE559" s="99"/>
      <c r="EF559" s="99"/>
      <c r="EG559" s="99"/>
      <c r="EH559" s="99"/>
      <c r="EI559" s="99"/>
      <c r="EJ559" s="99"/>
      <c r="EK559" s="99"/>
      <c r="EL559" s="99"/>
      <c r="EM559" s="99"/>
      <c r="EN559" s="99"/>
      <c r="EO559" s="99"/>
      <c r="EP559" s="99"/>
      <c r="EQ559" s="99"/>
      <c r="ER559" s="99"/>
      <c r="ES559" s="99"/>
      <c r="ET559" s="99"/>
      <c r="EU559" s="99"/>
      <c r="EV559" s="99"/>
      <c r="EW559" s="99"/>
      <c r="EX559" s="99"/>
      <c r="EY559" s="99"/>
      <c r="EZ559" s="99"/>
      <c r="FA559" s="99"/>
      <c r="FB559" s="99"/>
      <c r="FC559" s="99"/>
      <c r="FD559" s="99"/>
      <c r="FE559" s="99"/>
      <c r="FF559" s="99"/>
      <c r="FG559" s="99"/>
      <c r="FH559" s="99"/>
      <c r="FI559" s="99"/>
      <c r="FJ559" s="99"/>
      <c r="FK559" s="99"/>
      <c r="FL559" s="99"/>
      <c r="FM559" s="99"/>
      <c r="FN559" s="99"/>
      <c r="FO559" s="99"/>
      <c r="FP559" s="99"/>
      <c r="FQ559" s="99"/>
      <c r="FR559" s="99"/>
      <c r="FS559" s="99"/>
      <c r="FT559" s="99"/>
      <c r="FU559" s="99"/>
      <c r="FV559" s="99"/>
      <c r="FW559" s="99"/>
      <c r="FX559" s="99"/>
      <c r="FY559" s="99"/>
      <c r="FZ559" s="99"/>
      <c r="GA559" s="99"/>
      <c r="GB559" s="99"/>
      <c r="GC559" s="99"/>
      <c r="GD559" s="99"/>
      <c r="GE559" s="99"/>
      <c r="GF559" s="99"/>
      <c r="GG559" s="99"/>
      <c r="GH559" s="99"/>
      <c r="GI559" s="99"/>
      <c r="GJ559" s="99"/>
      <c r="GK559" s="99"/>
      <c r="GL559" s="99"/>
      <c r="GM559" s="99"/>
      <c r="GN559" s="99"/>
      <c r="GO559" s="99"/>
      <c r="GP559" s="99"/>
      <c r="GQ559" s="99"/>
      <c r="GR559" s="99"/>
      <c r="GS559" s="99"/>
      <c r="GT559" s="99"/>
      <c r="GU559" s="99"/>
      <c r="GV559" s="99"/>
      <c r="GW559" s="99"/>
      <c r="GX559" s="99"/>
      <c r="GY559" s="99"/>
      <c r="GZ559" s="99"/>
      <c r="HA559" s="99"/>
      <c r="HB559" s="99"/>
      <c r="HC559" s="99"/>
      <c r="HD559" s="99"/>
      <c r="HE559" s="99"/>
      <c r="HF559" s="99"/>
      <c r="HG559" s="99"/>
      <c r="HH559" s="99"/>
      <c r="HI559" s="99"/>
      <c r="HJ559" s="99"/>
      <c r="HK559" s="99"/>
      <c r="HL559" s="99"/>
      <c r="HM559" s="99"/>
      <c r="HN559" s="99"/>
      <c r="HO559" s="99"/>
      <c r="HP559" s="99"/>
      <c r="HQ559" s="99"/>
      <c r="HR559" s="99"/>
      <c r="HS559" s="99"/>
      <c r="HT559" s="99"/>
      <c r="HU559" s="99"/>
      <c r="HV559" s="99"/>
      <c r="HW559" s="99"/>
      <c r="HX559" s="99"/>
      <c r="HY559" s="99"/>
      <c r="HZ559" s="99"/>
      <c r="IA559" s="99"/>
      <c r="IB559" s="99"/>
      <c r="IC559" s="99"/>
      <c r="ID559" s="99"/>
      <c r="IE559" s="99"/>
      <c r="IF559" s="99"/>
      <c r="IG559" s="99"/>
      <c r="IH559" s="99"/>
      <c r="II559" s="99"/>
      <c r="IJ559" s="99"/>
      <c r="IK559" s="99"/>
      <c r="IL559" s="99"/>
      <c r="IM559" s="99"/>
      <c r="IN559" s="99"/>
      <c r="IO559" s="99"/>
    </row>
    <row r="560" spans="2:249" s="42" customFormat="1" ht="24.95" customHeight="1">
      <c r="B560" s="294"/>
      <c r="C560" s="229" t="s">
        <v>300</v>
      </c>
      <c r="D560" s="97" t="s">
        <v>134</v>
      </c>
      <c r="E560" s="57">
        <v>1.02</v>
      </c>
      <c r="F560" s="96">
        <f>F557*E560</f>
        <v>459</v>
      </c>
      <c r="G560" s="40"/>
      <c r="H560" s="40"/>
      <c r="I560" s="100"/>
      <c r="J560" s="38"/>
      <c r="K560" s="41"/>
      <c r="L560" s="38"/>
      <c r="M560" s="264"/>
    </row>
    <row r="561" spans="2:249" s="42" customFormat="1" ht="24.95" customHeight="1">
      <c r="B561" s="294"/>
      <c r="C561" s="44" t="s">
        <v>92</v>
      </c>
      <c r="D561" s="97" t="s">
        <v>87</v>
      </c>
      <c r="E561" s="57">
        <f>2.18/100</f>
        <v>2.18E-2</v>
      </c>
      <c r="F561" s="96">
        <f>F557*E561</f>
        <v>9.81</v>
      </c>
      <c r="G561" s="40"/>
      <c r="H561" s="40"/>
      <c r="I561" s="100"/>
      <c r="J561" s="38"/>
      <c r="K561" s="41"/>
      <c r="L561" s="38"/>
      <c r="M561" s="264"/>
    </row>
    <row r="562" spans="2:249" s="42" customFormat="1" ht="48" customHeight="1">
      <c r="B562" s="291">
        <v>2</v>
      </c>
      <c r="C562" s="104" t="s">
        <v>282</v>
      </c>
      <c r="D562" s="93" t="s">
        <v>93</v>
      </c>
      <c r="E562" s="94"/>
      <c r="F562" s="94">
        <v>350</v>
      </c>
      <c r="G562" s="95"/>
      <c r="H562" s="95"/>
      <c r="I562" s="95"/>
      <c r="J562" s="94"/>
      <c r="K562" s="95"/>
      <c r="L562" s="94"/>
      <c r="M562" s="292"/>
    </row>
    <row r="563" spans="2:249" s="42" customFormat="1" ht="24.95" customHeight="1">
      <c r="B563" s="293"/>
      <c r="C563" s="44" t="s">
        <v>133</v>
      </c>
      <c r="D563" s="45" t="s">
        <v>85</v>
      </c>
      <c r="E563" s="57">
        <f>16/100</f>
        <v>0.16</v>
      </c>
      <c r="F563" s="96">
        <f>F562*E563</f>
        <v>56</v>
      </c>
      <c r="G563" s="40"/>
      <c r="H563" s="40"/>
      <c r="I563" s="38"/>
      <c r="J563" s="38"/>
      <c r="K563" s="38"/>
      <c r="L563" s="38"/>
      <c r="M563" s="264"/>
    </row>
    <row r="564" spans="2:249" s="42" customFormat="1" ht="24.95" customHeight="1">
      <c r="B564" s="294"/>
      <c r="C564" s="44" t="s">
        <v>86</v>
      </c>
      <c r="D564" s="97" t="s">
        <v>83</v>
      </c>
      <c r="E564" s="98">
        <f>0.16/100</f>
        <v>1.6000000000000001E-3</v>
      </c>
      <c r="F564" s="96">
        <f>F562*E564</f>
        <v>0.56000000000000005</v>
      </c>
      <c r="G564" s="40"/>
      <c r="H564" s="40"/>
      <c r="I564" s="40"/>
      <c r="J564" s="38"/>
      <c r="K564" s="41"/>
      <c r="L564" s="38"/>
      <c r="M564" s="264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9"/>
      <c r="BN564" s="99"/>
      <c r="BO564" s="99"/>
      <c r="BP564" s="99"/>
      <c r="BQ564" s="99"/>
      <c r="BR564" s="99"/>
      <c r="BS564" s="99"/>
      <c r="BT564" s="99"/>
      <c r="BU564" s="99"/>
      <c r="BV564" s="99"/>
      <c r="BW564" s="99"/>
      <c r="BX564" s="99"/>
      <c r="BY564" s="99"/>
      <c r="BZ564" s="99"/>
      <c r="CA564" s="99"/>
      <c r="CB564" s="99"/>
      <c r="CC564" s="99"/>
      <c r="CD564" s="99"/>
      <c r="CE564" s="99"/>
      <c r="CF564" s="99"/>
      <c r="CG564" s="99"/>
      <c r="CH564" s="99"/>
      <c r="CI564" s="99"/>
      <c r="CJ564" s="99"/>
      <c r="CK564" s="99"/>
      <c r="CL564" s="99"/>
      <c r="CM564" s="99"/>
      <c r="CN564" s="99"/>
      <c r="CO564" s="99"/>
      <c r="CP564" s="99"/>
      <c r="CQ564" s="99"/>
      <c r="CR564" s="99"/>
      <c r="CS564" s="99"/>
      <c r="CT564" s="99"/>
      <c r="CU564" s="99"/>
      <c r="CV564" s="99"/>
      <c r="CW564" s="99"/>
      <c r="CX564" s="99"/>
      <c r="CY564" s="99"/>
      <c r="CZ564" s="99"/>
      <c r="DA564" s="99"/>
      <c r="DB564" s="99"/>
      <c r="DC564" s="99"/>
      <c r="DD564" s="99"/>
      <c r="DE564" s="99"/>
      <c r="DF564" s="99"/>
      <c r="DG564" s="99"/>
      <c r="DH564" s="99"/>
      <c r="DI564" s="99"/>
      <c r="DJ564" s="99"/>
      <c r="DK564" s="99"/>
      <c r="DL564" s="99"/>
      <c r="DM564" s="99"/>
      <c r="DN564" s="99"/>
      <c r="DO564" s="99"/>
      <c r="DP564" s="99"/>
      <c r="DQ564" s="99"/>
      <c r="DR564" s="99"/>
      <c r="DS564" s="99"/>
      <c r="DT564" s="99"/>
      <c r="DU564" s="99"/>
      <c r="DV564" s="99"/>
      <c r="DW564" s="99"/>
      <c r="DX564" s="99"/>
      <c r="DY564" s="99"/>
      <c r="DZ564" s="99"/>
      <c r="EA564" s="99"/>
      <c r="EB564" s="99"/>
      <c r="EC564" s="99"/>
      <c r="ED564" s="99"/>
      <c r="EE564" s="99"/>
      <c r="EF564" s="99"/>
      <c r="EG564" s="99"/>
      <c r="EH564" s="99"/>
      <c r="EI564" s="99"/>
      <c r="EJ564" s="99"/>
      <c r="EK564" s="99"/>
      <c r="EL564" s="99"/>
      <c r="EM564" s="99"/>
      <c r="EN564" s="99"/>
      <c r="EO564" s="99"/>
      <c r="EP564" s="99"/>
      <c r="EQ564" s="99"/>
      <c r="ER564" s="99"/>
      <c r="ES564" s="99"/>
      <c r="ET564" s="99"/>
      <c r="EU564" s="99"/>
      <c r="EV564" s="99"/>
      <c r="EW564" s="99"/>
      <c r="EX564" s="99"/>
      <c r="EY564" s="99"/>
      <c r="EZ564" s="99"/>
      <c r="FA564" s="99"/>
      <c r="FB564" s="99"/>
      <c r="FC564" s="99"/>
      <c r="FD564" s="99"/>
      <c r="FE564" s="99"/>
      <c r="FF564" s="99"/>
      <c r="FG564" s="99"/>
      <c r="FH564" s="99"/>
      <c r="FI564" s="99"/>
      <c r="FJ564" s="99"/>
      <c r="FK564" s="99"/>
      <c r="FL564" s="99"/>
      <c r="FM564" s="99"/>
      <c r="FN564" s="99"/>
      <c r="FO564" s="99"/>
      <c r="FP564" s="99"/>
      <c r="FQ564" s="99"/>
      <c r="FR564" s="99"/>
      <c r="FS564" s="99"/>
      <c r="FT564" s="99"/>
      <c r="FU564" s="99"/>
      <c r="FV564" s="99"/>
      <c r="FW564" s="99"/>
      <c r="FX564" s="99"/>
      <c r="FY564" s="99"/>
      <c r="FZ564" s="99"/>
      <c r="GA564" s="99"/>
      <c r="GB564" s="99"/>
      <c r="GC564" s="99"/>
      <c r="GD564" s="99"/>
      <c r="GE564" s="99"/>
      <c r="GF564" s="99"/>
      <c r="GG564" s="99"/>
      <c r="GH564" s="99"/>
      <c r="GI564" s="99"/>
      <c r="GJ564" s="99"/>
      <c r="GK564" s="99"/>
      <c r="GL564" s="99"/>
      <c r="GM564" s="99"/>
      <c r="GN564" s="99"/>
      <c r="GO564" s="99"/>
      <c r="GP564" s="99"/>
      <c r="GQ564" s="99"/>
      <c r="GR564" s="99"/>
      <c r="GS564" s="99"/>
      <c r="GT564" s="99"/>
      <c r="GU564" s="99"/>
      <c r="GV564" s="99"/>
      <c r="GW564" s="99"/>
      <c r="GX564" s="99"/>
      <c r="GY564" s="99"/>
      <c r="GZ564" s="99"/>
      <c r="HA564" s="99"/>
      <c r="HB564" s="99"/>
      <c r="HC564" s="99"/>
      <c r="HD564" s="99"/>
      <c r="HE564" s="99"/>
      <c r="HF564" s="99"/>
      <c r="HG564" s="99"/>
      <c r="HH564" s="99"/>
      <c r="HI564" s="99"/>
      <c r="HJ564" s="99"/>
      <c r="HK564" s="99"/>
      <c r="HL564" s="99"/>
      <c r="HM564" s="99"/>
      <c r="HN564" s="99"/>
      <c r="HO564" s="99"/>
      <c r="HP564" s="99"/>
      <c r="HQ564" s="99"/>
      <c r="HR564" s="99"/>
      <c r="HS564" s="99"/>
      <c r="HT564" s="99"/>
      <c r="HU564" s="99"/>
      <c r="HV564" s="99"/>
      <c r="HW564" s="99"/>
      <c r="HX564" s="99"/>
      <c r="HY564" s="99"/>
      <c r="HZ564" s="99"/>
      <c r="IA564" s="99"/>
      <c r="IB564" s="99"/>
      <c r="IC564" s="99"/>
      <c r="ID564" s="99"/>
      <c r="IE564" s="99"/>
      <c r="IF564" s="99"/>
      <c r="IG564" s="99"/>
      <c r="IH564" s="99"/>
      <c r="II564" s="99"/>
      <c r="IJ564" s="99"/>
      <c r="IK564" s="99"/>
      <c r="IL564" s="99"/>
      <c r="IM564" s="99"/>
      <c r="IN564" s="99"/>
      <c r="IO564" s="99"/>
    </row>
    <row r="565" spans="2:249" s="42" customFormat="1" ht="24.95" customHeight="1">
      <c r="B565" s="294"/>
      <c r="C565" s="230" t="s">
        <v>284</v>
      </c>
      <c r="D565" s="97" t="s">
        <v>134</v>
      </c>
      <c r="E565" s="57">
        <v>1.02</v>
      </c>
      <c r="F565" s="96">
        <f>F562*E565</f>
        <v>357</v>
      </c>
      <c r="G565" s="40"/>
      <c r="H565" s="40"/>
      <c r="I565" s="100"/>
      <c r="J565" s="38"/>
      <c r="K565" s="41"/>
      <c r="L565" s="38"/>
      <c r="M565" s="264"/>
    </row>
    <row r="566" spans="2:249" s="42" customFormat="1" ht="24.95" customHeight="1">
      <c r="B566" s="294"/>
      <c r="C566" s="44" t="s">
        <v>92</v>
      </c>
      <c r="D566" s="97" t="s">
        <v>87</v>
      </c>
      <c r="E566" s="57">
        <f>2.06/100</f>
        <v>2.06E-2</v>
      </c>
      <c r="F566" s="96">
        <f>F562*E566</f>
        <v>7.21</v>
      </c>
      <c r="G566" s="40"/>
      <c r="H566" s="40"/>
      <c r="I566" s="100"/>
      <c r="J566" s="38"/>
      <c r="K566" s="41"/>
      <c r="L566" s="38"/>
      <c r="M566" s="264"/>
    </row>
    <row r="567" spans="2:249" s="42" customFormat="1" ht="48.75" customHeight="1">
      <c r="B567" s="36">
        <v>3</v>
      </c>
      <c r="C567" s="104" t="s">
        <v>33</v>
      </c>
      <c r="D567" s="37" t="s">
        <v>119</v>
      </c>
      <c r="E567" s="38"/>
      <c r="F567" s="113">
        <v>1</v>
      </c>
      <c r="G567" s="40"/>
      <c r="H567" s="40"/>
      <c r="I567" s="40"/>
      <c r="J567" s="38"/>
      <c r="K567" s="41"/>
      <c r="L567" s="38"/>
      <c r="M567" s="264"/>
    </row>
    <row r="568" spans="2:249" s="42" customFormat="1" ht="24.95" customHeight="1">
      <c r="B568" s="43"/>
      <c r="C568" s="114" t="s">
        <v>133</v>
      </c>
      <c r="D568" s="13" t="s">
        <v>87</v>
      </c>
      <c r="E568" s="38">
        <v>1</v>
      </c>
      <c r="F568" s="41">
        <f>F567*E568</f>
        <v>1</v>
      </c>
      <c r="G568" s="40"/>
      <c r="H568" s="40"/>
      <c r="I568" s="40"/>
      <c r="J568" s="38"/>
      <c r="K568" s="41"/>
      <c r="L568" s="38"/>
      <c r="M568" s="264"/>
    </row>
    <row r="569" spans="2:249" s="42" customFormat="1" ht="24.95" customHeight="1">
      <c r="B569" s="43"/>
      <c r="C569" s="6" t="s">
        <v>33</v>
      </c>
      <c r="D569" s="97" t="s">
        <v>119</v>
      </c>
      <c r="E569" s="38">
        <v>1</v>
      </c>
      <c r="F569" s="41">
        <f>F567*E569</f>
        <v>1</v>
      </c>
      <c r="G569" s="40"/>
      <c r="H569" s="40"/>
      <c r="I569" s="40"/>
      <c r="J569" s="40"/>
      <c r="K569" s="41"/>
      <c r="L569" s="38"/>
      <c r="M569" s="264"/>
    </row>
    <row r="570" spans="2:249" s="42" customFormat="1" ht="37.5" customHeight="1">
      <c r="B570" s="36">
        <v>4</v>
      </c>
      <c r="C570" s="231" t="s">
        <v>289</v>
      </c>
      <c r="D570" s="37" t="s">
        <v>119</v>
      </c>
      <c r="E570" s="38"/>
      <c r="F570" s="113">
        <v>1</v>
      </c>
      <c r="G570" s="40"/>
      <c r="H570" s="40"/>
      <c r="I570" s="40"/>
      <c r="J570" s="38"/>
      <c r="K570" s="41"/>
      <c r="L570" s="38"/>
      <c r="M570" s="264"/>
    </row>
    <row r="571" spans="2:249" s="42" customFormat="1" ht="24.95" customHeight="1">
      <c r="B571" s="43"/>
      <c r="C571" s="114" t="s">
        <v>133</v>
      </c>
      <c r="D571" s="13" t="s">
        <v>87</v>
      </c>
      <c r="E571" s="38">
        <v>1</v>
      </c>
      <c r="F571" s="41">
        <f>F570*E571</f>
        <v>1</v>
      </c>
      <c r="G571" s="40"/>
      <c r="H571" s="40"/>
      <c r="I571" s="40"/>
      <c r="J571" s="38"/>
      <c r="K571" s="41"/>
      <c r="L571" s="38"/>
      <c r="M571" s="264"/>
    </row>
    <row r="572" spans="2:249" s="42" customFormat="1" ht="24.95" customHeight="1">
      <c r="B572" s="43"/>
      <c r="C572" s="6" t="s">
        <v>290</v>
      </c>
      <c r="D572" s="97" t="s">
        <v>119</v>
      </c>
      <c r="E572" s="38">
        <v>1</v>
      </c>
      <c r="F572" s="41">
        <f>F570*E572</f>
        <v>1</v>
      </c>
      <c r="G572" s="40"/>
      <c r="H572" s="40"/>
      <c r="I572" s="40"/>
      <c r="J572" s="40"/>
      <c r="K572" s="41"/>
      <c r="L572" s="38"/>
      <c r="M572" s="264"/>
    </row>
    <row r="573" spans="2:249" s="42" customFormat="1" ht="24.95" customHeight="1">
      <c r="B573" s="36">
        <v>5</v>
      </c>
      <c r="C573" s="112" t="s">
        <v>34</v>
      </c>
      <c r="D573" s="37" t="s">
        <v>119</v>
      </c>
      <c r="E573" s="38"/>
      <c r="F573" s="113">
        <v>1</v>
      </c>
      <c r="G573" s="40"/>
      <c r="H573" s="40"/>
      <c r="I573" s="40"/>
      <c r="J573" s="38"/>
      <c r="K573" s="41"/>
      <c r="L573" s="38"/>
      <c r="M573" s="264"/>
    </row>
    <row r="574" spans="2:249" s="42" customFormat="1" ht="24.95" customHeight="1">
      <c r="B574" s="43"/>
      <c r="C574" s="114" t="s">
        <v>133</v>
      </c>
      <c r="D574" s="13" t="s">
        <v>85</v>
      </c>
      <c r="E574" s="38">
        <v>1</v>
      </c>
      <c r="F574" s="41">
        <f>F573*E574</f>
        <v>1</v>
      </c>
      <c r="G574" s="40"/>
      <c r="H574" s="40"/>
      <c r="I574" s="40"/>
      <c r="J574" s="38"/>
      <c r="K574" s="41"/>
      <c r="L574" s="38"/>
      <c r="M574" s="264"/>
    </row>
    <row r="575" spans="2:249" s="42" customFormat="1" ht="24.95" customHeight="1">
      <c r="B575" s="43"/>
      <c r="C575" s="115" t="s">
        <v>293</v>
      </c>
      <c r="D575" s="97" t="s">
        <v>119</v>
      </c>
      <c r="E575" s="38">
        <v>1</v>
      </c>
      <c r="F575" s="41">
        <f>F573*E575</f>
        <v>1</v>
      </c>
      <c r="G575" s="40"/>
      <c r="H575" s="40"/>
      <c r="I575" s="40"/>
      <c r="J575" s="40"/>
      <c r="K575" s="41"/>
      <c r="L575" s="38"/>
      <c r="M575" s="264"/>
    </row>
    <row r="576" spans="2:249" s="42" customFormat="1" ht="24.95" customHeight="1">
      <c r="B576" s="43"/>
      <c r="C576" s="245" t="s">
        <v>92</v>
      </c>
      <c r="D576" s="97" t="s">
        <v>87</v>
      </c>
      <c r="E576" s="38">
        <v>0.48</v>
      </c>
      <c r="F576" s="41">
        <f>F573*E576</f>
        <v>0.48</v>
      </c>
      <c r="G576" s="40"/>
      <c r="H576" s="40"/>
      <c r="I576" s="40"/>
      <c r="J576" s="40"/>
      <c r="K576" s="41"/>
      <c r="L576" s="38"/>
      <c r="M576" s="264"/>
    </row>
    <row r="577" spans="2:13" s="42" customFormat="1" ht="24.95" customHeight="1">
      <c r="B577" s="36">
        <v>6</v>
      </c>
      <c r="C577" s="232" t="s">
        <v>291</v>
      </c>
      <c r="D577" s="37" t="s">
        <v>119</v>
      </c>
      <c r="E577" s="38"/>
      <c r="F577" s="113">
        <v>1</v>
      </c>
      <c r="G577" s="40"/>
      <c r="H577" s="40"/>
      <c r="I577" s="40"/>
      <c r="J577" s="38"/>
      <c r="K577" s="41"/>
      <c r="L577" s="38"/>
      <c r="M577" s="264"/>
    </row>
    <row r="578" spans="2:13" s="42" customFormat="1" ht="24.95" customHeight="1">
      <c r="B578" s="43"/>
      <c r="C578" s="114" t="s">
        <v>133</v>
      </c>
      <c r="D578" s="13" t="s">
        <v>85</v>
      </c>
      <c r="E578" s="38">
        <v>1</v>
      </c>
      <c r="F578" s="41">
        <f>F577*E578</f>
        <v>1</v>
      </c>
      <c r="G578" s="40"/>
      <c r="H578" s="40"/>
      <c r="I578" s="40"/>
      <c r="J578" s="38"/>
      <c r="K578" s="41"/>
      <c r="L578" s="38"/>
      <c r="M578" s="264"/>
    </row>
    <row r="579" spans="2:13" s="42" customFormat="1" ht="24.95" customHeight="1">
      <c r="B579" s="43"/>
      <c r="C579" s="115" t="s">
        <v>292</v>
      </c>
      <c r="D579" s="97" t="s">
        <v>119</v>
      </c>
      <c r="E579" s="38">
        <v>1</v>
      </c>
      <c r="F579" s="41">
        <f>F577*E579</f>
        <v>1</v>
      </c>
      <c r="G579" s="40"/>
      <c r="H579" s="40"/>
      <c r="I579" s="40"/>
      <c r="J579" s="40"/>
      <c r="K579" s="41"/>
      <c r="L579" s="38"/>
      <c r="M579" s="264"/>
    </row>
    <row r="580" spans="2:13" s="42" customFormat="1" ht="24.95" customHeight="1">
      <c r="B580" s="43"/>
      <c r="C580" s="245" t="s">
        <v>92</v>
      </c>
      <c r="D580" s="97" t="s">
        <v>87</v>
      </c>
      <c r="E580" s="38">
        <v>1.05</v>
      </c>
      <c r="F580" s="41">
        <f>F577*E580</f>
        <v>1.05</v>
      </c>
      <c r="G580" s="40"/>
      <c r="H580" s="40"/>
      <c r="I580" s="40"/>
      <c r="J580" s="40"/>
      <c r="K580" s="41"/>
      <c r="L580" s="38"/>
      <c r="M580" s="264"/>
    </row>
    <row r="581" spans="2:13" s="42" customFormat="1" ht="41.25" customHeight="1">
      <c r="B581" s="36">
        <v>7</v>
      </c>
      <c r="C581" s="112" t="s">
        <v>286</v>
      </c>
      <c r="D581" s="37" t="s">
        <v>119</v>
      </c>
      <c r="E581" s="38"/>
      <c r="F581" s="113">
        <v>1</v>
      </c>
      <c r="G581" s="40"/>
      <c r="H581" s="40"/>
      <c r="I581" s="40"/>
      <c r="J581" s="38"/>
      <c r="K581" s="41"/>
      <c r="L581" s="38"/>
      <c r="M581" s="264"/>
    </row>
    <row r="582" spans="2:13" s="42" customFormat="1" ht="24.95" customHeight="1">
      <c r="B582" s="43"/>
      <c r="C582" s="114" t="s">
        <v>133</v>
      </c>
      <c r="D582" s="13" t="s">
        <v>85</v>
      </c>
      <c r="E582" s="38">
        <v>0.2</v>
      </c>
      <c r="F582" s="41">
        <f>F$581*E582</f>
        <v>0.2</v>
      </c>
      <c r="G582" s="40"/>
      <c r="H582" s="40"/>
      <c r="I582" s="40"/>
      <c r="J582" s="38"/>
      <c r="K582" s="41"/>
      <c r="L582" s="38"/>
      <c r="M582" s="264"/>
    </row>
    <row r="583" spans="2:13" s="42" customFormat="1" ht="24.95" customHeight="1">
      <c r="B583" s="43"/>
      <c r="C583" s="115" t="s">
        <v>288</v>
      </c>
      <c r="D583" s="97" t="s">
        <v>119</v>
      </c>
      <c r="E583" s="38">
        <v>1</v>
      </c>
      <c r="F583" s="41">
        <f t="shared" ref="F583:F584" si="25">F$581*E583</f>
        <v>1</v>
      </c>
      <c r="G583" s="40"/>
      <c r="H583" s="40"/>
      <c r="I583" s="40"/>
      <c r="J583" s="40"/>
      <c r="K583" s="41"/>
      <c r="L583" s="38"/>
      <c r="M583" s="264"/>
    </row>
    <row r="584" spans="2:13" s="42" customFormat="1" ht="24.95" customHeight="1">
      <c r="B584" s="43"/>
      <c r="C584" s="245" t="s">
        <v>92</v>
      </c>
      <c r="D584" s="97" t="s">
        <v>87</v>
      </c>
      <c r="E584" s="38">
        <v>0.12</v>
      </c>
      <c r="F584" s="41">
        <f t="shared" si="25"/>
        <v>0.12</v>
      </c>
      <c r="G584" s="40"/>
      <c r="H584" s="40"/>
      <c r="I584" s="40"/>
      <c r="J584" s="40"/>
      <c r="K584" s="41"/>
      <c r="L584" s="38"/>
      <c r="M584" s="264"/>
    </row>
    <row r="585" spans="2:13" s="42" customFormat="1" ht="42.75" customHeight="1">
      <c r="B585" s="36">
        <v>8</v>
      </c>
      <c r="C585" s="112" t="s">
        <v>285</v>
      </c>
      <c r="D585" s="37" t="s">
        <v>119</v>
      </c>
      <c r="E585" s="38"/>
      <c r="F585" s="113">
        <v>3</v>
      </c>
      <c r="G585" s="40"/>
      <c r="H585" s="40"/>
      <c r="I585" s="40"/>
      <c r="J585" s="38"/>
      <c r="K585" s="41"/>
      <c r="L585" s="38"/>
      <c r="M585" s="264"/>
    </row>
    <row r="586" spans="2:13" s="42" customFormat="1" ht="24.95" customHeight="1">
      <c r="B586" s="43"/>
      <c r="C586" s="114" t="s">
        <v>133</v>
      </c>
      <c r="D586" s="13" t="s">
        <v>85</v>
      </c>
      <c r="E586" s="38">
        <v>0.2</v>
      </c>
      <c r="F586" s="41">
        <f>F$585*E586</f>
        <v>0.60000000000000009</v>
      </c>
      <c r="G586" s="40"/>
      <c r="H586" s="40"/>
      <c r="I586" s="40"/>
      <c r="J586" s="38"/>
      <c r="K586" s="41"/>
      <c r="L586" s="38"/>
      <c r="M586" s="264"/>
    </row>
    <row r="587" spans="2:13" s="42" customFormat="1" ht="24.95" customHeight="1">
      <c r="B587" s="43"/>
      <c r="C587" s="115" t="s">
        <v>287</v>
      </c>
      <c r="D587" s="97" t="s">
        <v>119</v>
      </c>
      <c r="E587" s="38">
        <v>1</v>
      </c>
      <c r="F587" s="41">
        <f t="shared" ref="F587:F588" si="26">F$585*E587</f>
        <v>3</v>
      </c>
      <c r="G587" s="40"/>
      <c r="H587" s="40"/>
      <c r="I587" s="40"/>
      <c r="J587" s="40"/>
      <c r="K587" s="41"/>
      <c r="L587" s="38"/>
      <c r="M587" s="264"/>
    </row>
    <row r="588" spans="2:13" s="42" customFormat="1" ht="24.95" customHeight="1">
      <c r="B588" s="43"/>
      <c r="C588" s="245" t="s">
        <v>92</v>
      </c>
      <c r="D588" s="97" t="s">
        <v>87</v>
      </c>
      <c r="E588" s="38">
        <v>0.12</v>
      </c>
      <c r="F588" s="41">
        <f t="shared" si="26"/>
        <v>0.36</v>
      </c>
      <c r="G588" s="40"/>
      <c r="H588" s="40"/>
      <c r="I588" s="40"/>
      <c r="J588" s="40"/>
      <c r="K588" s="41"/>
      <c r="L588" s="38"/>
      <c r="M588" s="264"/>
    </row>
    <row r="589" spans="2:13" s="42" customFormat="1" ht="64.5" customHeight="1">
      <c r="B589" s="36">
        <v>9</v>
      </c>
      <c r="C589" s="104" t="s">
        <v>295</v>
      </c>
      <c r="D589" s="37" t="s">
        <v>45</v>
      </c>
      <c r="E589" s="38"/>
      <c r="F589" s="39">
        <v>8</v>
      </c>
      <c r="G589" s="40"/>
      <c r="H589" s="40"/>
      <c r="I589" s="40"/>
      <c r="J589" s="40"/>
      <c r="K589" s="41"/>
      <c r="L589" s="38"/>
      <c r="M589" s="264"/>
    </row>
    <row r="590" spans="2:13" s="42" customFormat="1" ht="24.95" customHeight="1">
      <c r="B590" s="43"/>
      <c r="C590" s="44" t="s">
        <v>133</v>
      </c>
      <c r="D590" s="45" t="s">
        <v>208</v>
      </c>
      <c r="E590" s="38">
        <v>3.06</v>
      </c>
      <c r="F590" s="41">
        <v>24.48</v>
      </c>
      <c r="G590" s="40"/>
      <c r="H590" s="40"/>
      <c r="I590" s="40"/>
      <c r="J590" s="40"/>
      <c r="K590" s="41"/>
      <c r="L590" s="38"/>
      <c r="M590" s="264"/>
    </row>
    <row r="591" spans="2:13" s="42" customFormat="1" ht="24.95" customHeight="1">
      <c r="B591" s="43"/>
      <c r="C591" s="44" t="s">
        <v>220</v>
      </c>
      <c r="D591" s="45" t="s">
        <v>83</v>
      </c>
      <c r="E591" s="38">
        <f>41.4/100</f>
        <v>0.41399999999999998</v>
      </c>
      <c r="F591" s="41">
        <v>3.31</v>
      </c>
      <c r="G591" s="40"/>
      <c r="H591" s="40"/>
      <c r="I591" s="40"/>
      <c r="J591" s="40"/>
      <c r="K591" s="41"/>
      <c r="L591" s="38"/>
      <c r="M591" s="264"/>
    </row>
    <row r="592" spans="2:13" s="42" customFormat="1" ht="24.95" customHeight="1">
      <c r="B592" s="43"/>
      <c r="C592" s="44" t="s">
        <v>86</v>
      </c>
      <c r="D592" s="45" t="s">
        <v>83</v>
      </c>
      <c r="E592" s="38">
        <f>3.33/100</f>
        <v>3.3300000000000003E-2</v>
      </c>
      <c r="F592" s="41">
        <v>0.27</v>
      </c>
      <c r="G592" s="40"/>
      <c r="H592" s="40"/>
      <c r="I592" s="40"/>
      <c r="J592" s="40"/>
      <c r="K592" s="41"/>
      <c r="L592" s="38"/>
      <c r="M592" s="264"/>
    </row>
    <row r="593" spans="2:13" s="42" customFormat="1" ht="24.95" customHeight="1">
      <c r="B593" s="43"/>
      <c r="C593" s="44" t="s">
        <v>294</v>
      </c>
      <c r="D593" s="97" t="s">
        <v>31</v>
      </c>
      <c r="E593" s="38">
        <v>1</v>
      </c>
      <c r="F593" s="41">
        <v>8</v>
      </c>
      <c r="G593" s="40"/>
      <c r="H593" s="40"/>
      <c r="I593" s="40"/>
      <c r="J593" s="40"/>
      <c r="K593" s="41"/>
      <c r="L593" s="38"/>
      <c r="M593" s="264"/>
    </row>
    <row r="594" spans="2:13" s="42" customFormat="1" ht="24.95" customHeight="1">
      <c r="B594" s="36"/>
      <c r="C594" s="368" t="s">
        <v>221</v>
      </c>
      <c r="D594" s="97" t="s">
        <v>31</v>
      </c>
      <c r="E594" s="38">
        <v>1</v>
      </c>
      <c r="F594" s="41">
        <v>8</v>
      </c>
      <c r="G594" s="40"/>
      <c r="H594" s="40"/>
      <c r="I594" s="40"/>
      <c r="J594" s="40"/>
      <c r="K594" s="41"/>
      <c r="L594" s="38"/>
      <c r="M594" s="264"/>
    </row>
    <row r="595" spans="2:13" s="42" customFormat="1" ht="24.95" customHeight="1">
      <c r="B595" s="43"/>
      <c r="C595" s="44" t="s">
        <v>296</v>
      </c>
      <c r="D595" s="97" t="s">
        <v>31</v>
      </c>
      <c r="E595" s="38">
        <v>1</v>
      </c>
      <c r="F595" s="41">
        <v>16</v>
      </c>
      <c r="G595" s="40"/>
      <c r="H595" s="40"/>
      <c r="I595" s="40"/>
      <c r="J595" s="40"/>
      <c r="K595" s="41"/>
      <c r="L595" s="38"/>
      <c r="M595" s="264"/>
    </row>
    <row r="596" spans="2:13" s="42" customFormat="1" ht="24.95" customHeight="1">
      <c r="B596" s="43"/>
      <c r="C596" s="44" t="s">
        <v>92</v>
      </c>
      <c r="D596" s="97" t="s">
        <v>87</v>
      </c>
      <c r="E596" s="38">
        <f>16.4/100</f>
        <v>0.16399999999999998</v>
      </c>
      <c r="F596" s="41">
        <v>1.31</v>
      </c>
      <c r="G596" s="40"/>
      <c r="H596" s="40"/>
      <c r="I596" s="40"/>
      <c r="J596" s="40"/>
      <c r="K596" s="41"/>
      <c r="L596" s="38"/>
      <c r="M596" s="264"/>
    </row>
    <row r="597" spans="2:13" s="42" customFormat="1" ht="54" customHeight="1">
      <c r="B597" s="36">
        <v>10</v>
      </c>
      <c r="C597" s="104" t="s">
        <v>297</v>
      </c>
      <c r="D597" s="37" t="s">
        <v>45</v>
      </c>
      <c r="E597" s="38"/>
      <c r="F597" s="39">
        <v>4</v>
      </c>
      <c r="G597" s="40"/>
      <c r="H597" s="40"/>
      <c r="I597" s="40"/>
      <c r="J597" s="40"/>
      <c r="K597" s="41"/>
      <c r="L597" s="38"/>
      <c r="M597" s="264"/>
    </row>
    <row r="598" spans="2:13" s="42" customFormat="1" ht="24.95" customHeight="1">
      <c r="B598" s="43"/>
      <c r="C598" s="44" t="s">
        <v>133</v>
      </c>
      <c r="D598" s="45" t="s">
        <v>208</v>
      </c>
      <c r="E598" s="38">
        <v>3.06</v>
      </c>
      <c r="F598" s="41">
        <v>12.24</v>
      </c>
      <c r="G598" s="40"/>
      <c r="H598" s="40"/>
      <c r="I598" s="40"/>
      <c r="J598" s="40"/>
      <c r="K598" s="41"/>
      <c r="L598" s="38"/>
      <c r="M598" s="264"/>
    </row>
    <row r="599" spans="2:13" s="42" customFormat="1" ht="24.95" customHeight="1">
      <c r="B599" s="43"/>
      <c r="C599" s="44" t="s">
        <v>220</v>
      </c>
      <c r="D599" s="45" t="s">
        <v>83</v>
      </c>
      <c r="E599" s="38">
        <f>41.4/100</f>
        <v>0.41399999999999998</v>
      </c>
      <c r="F599" s="41">
        <v>1.66</v>
      </c>
      <c r="G599" s="40"/>
      <c r="H599" s="40"/>
      <c r="I599" s="40"/>
      <c r="J599" s="40"/>
      <c r="K599" s="41"/>
      <c r="L599" s="38"/>
      <c r="M599" s="264"/>
    </row>
    <row r="600" spans="2:13" s="42" customFormat="1" ht="24.95" customHeight="1">
      <c r="B600" s="43"/>
      <c r="C600" s="44" t="s">
        <v>86</v>
      </c>
      <c r="D600" s="45" t="s">
        <v>83</v>
      </c>
      <c r="E600" s="38">
        <f>3.33/100</f>
        <v>3.3300000000000003E-2</v>
      </c>
      <c r="F600" s="41">
        <v>0.13</v>
      </c>
      <c r="G600" s="40"/>
      <c r="H600" s="40"/>
      <c r="I600" s="40"/>
      <c r="J600" s="40"/>
      <c r="K600" s="41"/>
      <c r="L600" s="38"/>
      <c r="M600" s="264"/>
    </row>
    <row r="601" spans="2:13" s="42" customFormat="1" ht="24.95" customHeight="1">
      <c r="B601" s="43"/>
      <c r="C601" s="44" t="s">
        <v>299</v>
      </c>
      <c r="D601" s="97" t="s">
        <v>31</v>
      </c>
      <c r="E601" s="38">
        <v>1</v>
      </c>
      <c r="F601" s="41">
        <v>4</v>
      </c>
      <c r="G601" s="40"/>
      <c r="H601" s="40"/>
      <c r="I601" s="40"/>
      <c r="J601" s="40"/>
      <c r="K601" s="41"/>
      <c r="L601" s="38"/>
      <c r="M601" s="264"/>
    </row>
    <row r="602" spans="2:13" s="42" customFormat="1" ht="24.95" customHeight="1">
      <c r="B602" s="36"/>
      <c r="C602" s="368" t="s">
        <v>221</v>
      </c>
      <c r="D602" s="97" t="s">
        <v>31</v>
      </c>
      <c r="E602" s="38">
        <v>1</v>
      </c>
      <c r="F602" s="41">
        <v>4</v>
      </c>
      <c r="G602" s="40"/>
      <c r="H602" s="40"/>
      <c r="I602" s="40"/>
      <c r="J602" s="40"/>
      <c r="K602" s="41"/>
      <c r="L602" s="38"/>
      <c r="M602" s="264"/>
    </row>
    <row r="603" spans="2:13" s="42" customFormat="1" ht="24.95" customHeight="1">
      <c r="B603" s="43"/>
      <c r="C603" s="44" t="s">
        <v>296</v>
      </c>
      <c r="D603" s="97" t="s">
        <v>31</v>
      </c>
      <c r="E603" s="38">
        <v>1</v>
      </c>
      <c r="F603" s="41">
        <v>8</v>
      </c>
      <c r="G603" s="40"/>
      <c r="H603" s="40"/>
      <c r="I603" s="40"/>
      <c r="J603" s="40"/>
      <c r="K603" s="41"/>
      <c r="L603" s="38"/>
      <c r="M603" s="264"/>
    </row>
    <row r="604" spans="2:13" s="42" customFormat="1" ht="24.95" customHeight="1">
      <c r="B604" s="43"/>
      <c r="C604" s="44" t="s">
        <v>92</v>
      </c>
      <c r="D604" s="97" t="s">
        <v>87</v>
      </c>
      <c r="E604" s="38">
        <f>16.4/100</f>
        <v>0.16399999999999998</v>
      </c>
      <c r="F604" s="41">
        <v>0.66</v>
      </c>
      <c r="G604" s="40"/>
      <c r="H604" s="40"/>
      <c r="I604" s="40"/>
      <c r="J604" s="40"/>
      <c r="K604" s="41"/>
      <c r="L604" s="38"/>
      <c r="M604" s="264"/>
    </row>
    <row r="605" spans="2:13" s="42" customFormat="1" ht="56.25" customHeight="1">
      <c r="B605" s="36">
        <v>11</v>
      </c>
      <c r="C605" s="104" t="s">
        <v>322</v>
      </c>
      <c r="D605" s="37" t="s">
        <v>45</v>
      </c>
      <c r="E605" s="38"/>
      <c r="F605" s="39">
        <v>11</v>
      </c>
      <c r="G605" s="40"/>
      <c r="H605" s="40"/>
      <c r="I605" s="40"/>
      <c r="J605" s="40"/>
      <c r="K605" s="41"/>
      <c r="L605" s="38"/>
      <c r="M605" s="264"/>
    </row>
    <row r="606" spans="2:13" s="42" customFormat="1" ht="24.95" customHeight="1">
      <c r="B606" s="43"/>
      <c r="C606" s="44" t="s">
        <v>133</v>
      </c>
      <c r="D606" s="45" t="s">
        <v>208</v>
      </c>
      <c r="E606" s="38">
        <v>3.06</v>
      </c>
      <c r="F606" s="41">
        <v>33.659999999999997</v>
      </c>
      <c r="G606" s="40"/>
      <c r="H606" s="40"/>
      <c r="I606" s="40"/>
      <c r="J606" s="40"/>
      <c r="K606" s="41"/>
      <c r="L606" s="38"/>
      <c r="M606" s="264"/>
    </row>
    <row r="607" spans="2:13" s="42" customFormat="1" ht="24.95" customHeight="1">
      <c r="B607" s="43"/>
      <c r="C607" s="44" t="s">
        <v>220</v>
      </c>
      <c r="D607" s="45" t="s">
        <v>83</v>
      </c>
      <c r="E607" s="38">
        <f>41.4/100</f>
        <v>0.41399999999999998</v>
      </c>
      <c r="F607" s="41">
        <v>4.55</v>
      </c>
      <c r="G607" s="40"/>
      <c r="H607" s="40"/>
      <c r="I607" s="40"/>
      <c r="J607" s="40"/>
      <c r="K607" s="41"/>
      <c r="L607" s="38"/>
      <c r="M607" s="264"/>
    </row>
    <row r="608" spans="2:13" s="42" customFormat="1" ht="24.95" customHeight="1">
      <c r="B608" s="43"/>
      <c r="C608" s="44" t="s">
        <v>86</v>
      </c>
      <c r="D608" s="45" t="s">
        <v>83</v>
      </c>
      <c r="E608" s="38">
        <f>3.33/100</f>
        <v>3.3300000000000003E-2</v>
      </c>
      <c r="F608" s="41">
        <v>0.37</v>
      </c>
      <c r="G608" s="40"/>
      <c r="H608" s="40"/>
      <c r="I608" s="40"/>
      <c r="J608" s="40"/>
      <c r="K608" s="41"/>
      <c r="L608" s="38"/>
      <c r="M608" s="264"/>
    </row>
    <row r="609" spans="2:13" s="42" customFormat="1" ht="24.95" customHeight="1">
      <c r="B609" s="43"/>
      <c r="C609" s="44" t="s">
        <v>323</v>
      </c>
      <c r="D609" s="97" t="s">
        <v>31</v>
      </c>
      <c r="E609" s="38">
        <v>1</v>
      </c>
      <c r="F609" s="41">
        <v>11</v>
      </c>
      <c r="G609" s="40"/>
      <c r="H609" s="40"/>
      <c r="I609" s="40"/>
      <c r="J609" s="40"/>
      <c r="K609" s="41"/>
      <c r="L609" s="38"/>
      <c r="M609" s="264"/>
    </row>
    <row r="610" spans="2:13" s="42" customFormat="1" ht="24.95" customHeight="1">
      <c r="B610" s="36"/>
      <c r="C610" s="369" t="s">
        <v>221</v>
      </c>
      <c r="D610" s="97" t="s">
        <v>31</v>
      </c>
      <c r="E610" s="38">
        <v>1</v>
      </c>
      <c r="F610" s="41">
        <v>11</v>
      </c>
      <c r="G610" s="40"/>
      <c r="H610" s="40"/>
      <c r="I610" s="40"/>
      <c r="J610" s="40"/>
      <c r="K610" s="41"/>
      <c r="L610" s="38"/>
      <c r="M610" s="264"/>
    </row>
    <row r="611" spans="2:13" s="42" customFormat="1" ht="24.95" customHeight="1">
      <c r="B611" s="43"/>
      <c r="C611" s="44" t="s">
        <v>324</v>
      </c>
      <c r="D611" s="97" t="s">
        <v>31</v>
      </c>
      <c r="E611" s="38">
        <v>1</v>
      </c>
      <c r="F611" s="41">
        <v>11</v>
      </c>
      <c r="G611" s="40"/>
      <c r="H611" s="40"/>
      <c r="I611" s="40"/>
      <c r="J611" s="40"/>
      <c r="K611" s="41"/>
      <c r="L611" s="38"/>
      <c r="M611" s="264"/>
    </row>
    <row r="612" spans="2:13" s="42" customFormat="1" ht="24.95" customHeight="1">
      <c r="B612" s="43"/>
      <c r="C612" s="44" t="s">
        <v>92</v>
      </c>
      <c r="D612" s="97" t="s">
        <v>87</v>
      </c>
      <c r="E612" s="38">
        <f>16.4/100</f>
        <v>0.16399999999999998</v>
      </c>
      <c r="F612" s="41">
        <v>1.8</v>
      </c>
      <c r="G612" s="40"/>
      <c r="H612" s="40"/>
      <c r="I612" s="40"/>
      <c r="J612" s="40"/>
      <c r="K612" s="41"/>
      <c r="L612" s="38"/>
      <c r="M612" s="264"/>
    </row>
    <row r="613" spans="2:13" s="42" customFormat="1" ht="30" customHeight="1">
      <c r="B613" s="307"/>
      <c r="C613" s="308" t="s">
        <v>142</v>
      </c>
      <c r="D613" s="309"/>
      <c r="E613" s="310"/>
      <c r="F613" s="310"/>
      <c r="G613" s="310"/>
      <c r="H613" s="310"/>
      <c r="I613" s="310"/>
      <c r="J613" s="310"/>
      <c r="K613" s="310"/>
      <c r="L613" s="310"/>
      <c r="M613" s="311"/>
    </row>
    <row r="614" spans="2:13" s="42" customFormat="1" ht="47.25" customHeight="1">
      <c r="B614" s="307"/>
      <c r="C614" s="370" t="s">
        <v>217</v>
      </c>
      <c r="D614" s="312">
        <v>0.75</v>
      </c>
      <c r="E614" s="310"/>
      <c r="F614" s="310"/>
      <c r="G614" s="310"/>
      <c r="H614" s="310"/>
      <c r="I614" s="310"/>
      <c r="J614" s="310"/>
      <c r="K614" s="310"/>
      <c r="L614" s="310"/>
      <c r="M614" s="311"/>
    </row>
    <row r="615" spans="2:13" s="42" customFormat="1" ht="30" customHeight="1">
      <c r="B615" s="307"/>
      <c r="C615" s="308" t="s">
        <v>144</v>
      </c>
      <c r="D615" s="309"/>
      <c r="E615" s="310"/>
      <c r="F615" s="310"/>
      <c r="G615" s="310"/>
      <c r="H615" s="310"/>
      <c r="I615" s="310"/>
      <c r="J615" s="310"/>
      <c r="K615" s="310"/>
      <c r="L615" s="310"/>
      <c r="M615" s="311"/>
    </row>
    <row r="616" spans="2:13" s="42" customFormat="1" ht="30" customHeight="1">
      <c r="B616" s="307"/>
      <c r="C616" s="308" t="s">
        <v>145</v>
      </c>
      <c r="D616" s="312" t="s">
        <v>348</v>
      </c>
      <c r="E616" s="310"/>
      <c r="F616" s="310"/>
      <c r="G616" s="310"/>
      <c r="H616" s="310"/>
      <c r="I616" s="310"/>
      <c r="J616" s="310"/>
      <c r="K616" s="310"/>
      <c r="L616" s="310"/>
      <c r="M616" s="311"/>
    </row>
    <row r="617" spans="2:13" s="42" customFormat="1" ht="30" customHeight="1">
      <c r="B617" s="313"/>
      <c r="C617" s="314" t="s">
        <v>218</v>
      </c>
      <c r="D617" s="315"/>
      <c r="E617" s="316"/>
      <c r="F617" s="316"/>
      <c r="G617" s="316"/>
      <c r="H617" s="316"/>
      <c r="I617" s="316"/>
      <c r="J617" s="316"/>
      <c r="K617" s="316"/>
      <c r="L617" s="316"/>
      <c r="M617" s="317"/>
    </row>
    <row r="618" spans="2:13" s="2" customFormat="1" ht="36" customHeight="1">
      <c r="B618" s="361" t="s">
        <v>219</v>
      </c>
      <c r="C618" s="362"/>
      <c r="D618" s="362"/>
      <c r="E618" s="362"/>
      <c r="F618" s="362"/>
      <c r="G618" s="362"/>
      <c r="H618" s="362"/>
      <c r="I618" s="362"/>
      <c r="J618" s="362"/>
      <c r="K618" s="362"/>
      <c r="L618" s="362"/>
      <c r="M618" s="363"/>
    </row>
    <row r="619" spans="2:13" s="2" customFormat="1" ht="36" customHeight="1">
      <c r="B619" s="36">
        <v>1</v>
      </c>
      <c r="C619" s="101" t="s">
        <v>135</v>
      </c>
      <c r="D619" s="93" t="s">
        <v>93</v>
      </c>
      <c r="E619" s="371"/>
      <c r="F619" s="372">
        <v>350</v>
      </c>
      <c r="G619" s="133"/>
      <c r="H619" s="133"/>
      <c r="I619" s="133"/>
      <c r="J619" s="133"/>
      <c r="K619" s="133"/>
      <c r="L619" s="133"/>
      <c r="M619" s="335"/>
    </row>
    <row r="620" spans="2:13" s="2" customFormat="1" ht="36" customHeight="1">
      <c r="B620" s="43"/>
      <c r="C620" s="373" t="s">
        <v>133</v>
      </c>
      <c r="D620" s="13" t="s">
        <v>85</v>
      </c>
      <c r="E620" s="38">
        <f>17/100</f>
        <v>0.17</v>
      </c>
      <c r="F620" s="41">
        <v>59.5</v>
      </c>
      <c r="G620" s="133"/>
      <c r="H620" s="133"/>
      <c r="I620" s="133"/>
      <c r="J620" s="133"/>
      <c r="K620" s="133"/>
      <c r="L620" s="133"/>
      <c r="M620" s="335"/>
    </row>
    <row r="621" spans="2:13" s="2" customFormat="1" ht="36" customHeight="1">
      <c r="B621" s="43"/>
      <c r="C621" s="44" t="s">
        <v>86</v>
      </c>
      <c r="D621" s="97" t="s">
        <v>83</v>
      </c>
      <c r="E621" s="38">
        <f>0.53/100</f>
        <v>5.3E-3</v>
      </c>
      <c r="F621" s="41">
        <v>1.86</v>
      </c>
      <c r="G621" s="133"/>
      <c r="H621" s="133"/>
      <c r="I621" s="133"/>
      <c r="J621" s="133"/>
      <c r="K621" s="133"/>
      <c r="L621" s="133"/>
      <c r="M621" s="335"/>
    </row>
    <row r="622" spans="2:13" s="2" customFormat="1" ht="36" customHeight="1">
      <c r="B622" s="43"/>
      <c r="C622" s="6" t="s">
        <v>136</v>
      </c>
      <c r="D622" s="97" t="s">
        <v>134</v>
      </c>
      <c r="E622" s="38">
        <v>1.01</v>
      </c>
      <c r="F622" s="41">
        <v>353.5</v>
      </c>
      <c r="G622" s="133"/>
      <c r="H622" s="133"/>
      <c r="I622" s="133"/>
      <c r="J622" s="133"/>
      <c r="K622" s="133"/>
      <c r="L622" s="133"/>
      <c r="M622" s="335"/>
    </row>
    <row r="623" spans="2:13" s="2" customFormat="1" ht="36" customHeight="1">
      <c r="B623" s="43"/>
      <c r="C623" s="44" t="s">
        <v>92</v>
      </c>
      <c r="D623" s="97" t="s">
        <v>87</v>
      </c>
      <c r="E623" s="38">
        <f>3.79/100</f>
        <v>3.7900000000000003E-2</v>
      </c>
      <c r="F623" s="41">
        <v>13.27</v>
      </c>
      <c r="G623" s="133"/>
      <c r="H623" s="133"/>
      <c r="I623" s="133"/>
      <c r="J623" s="133"/>
      <c r="K623" s="133"/>
      <c r="L623" s="133"/>
      <c r="M623" s="335"/>
    </row>
    <row r="624" spans="2:13" s="2" customFormat="1" ht="36" customHeight="1">
      <c r="B624" s="291">
        <v>2</v>
      </c>
      <c r="C624" s="101" t="s">
        <v>35</v>
      </c>
      <c r="D624" s="93" t="s">
        <v>93</v>
      </c>
      <c r="E624" s="94"/>
      <c r="F624" s="94">
        <v>17.399999999999999</v>
      </c>
      <c r="G624" s="133"/>
      <c r="H624" s="133"/>
      <c r="I624" s="133"/>
      <c r="J624" s="133"/>
      <c r="K624" s="133"/>
      <c r="L624" s="133"/>
      <c r="M624" s="335"/>
    </row>
    <row r="625" spans="2:247" s="2" customFormat="1" ht="36" customHeight="1">
      <c r="B625" s="293"/>
      <c r="C625" s="44" t="s">
        <v>84</v>
      </c>
      <c r="D625" s="45" t="s">
        <v>85</v>
      </c>
      <c r="E625" s="100">
        <f>41/100</f>
        <v>0.41</v>
      </c>
      <c r="F625" s="96">
        <f>F624*E625</f>
        <v>7.1339999999999986</v>
      </c>
      <c r="G625" s="133"/>
      <c r="H625" s="133"/>
      <c r="I625" s="133"/>
      <c r="J625" s="133"/>
      <c r="K625" s="133"/>
      <c r="L625" s="133"/>
      <c r="M625" s="335"/>
    </row>
    <row r="626" spans="2:247" s="2" customFormat="1" ht="36" customHeight="1">
      <c r="B626" s="294"/>
      <c r="C626" s="44" t="s">
        <v>95</v>
      </c>
      <c r="D626" s="97" t="s">
        <v>83</v>
      </c>
      <c r="E626" s="100">
        <f>2.2/100</f>
        <v>2.2000000000000002E-2</v>
      </c>
      <c r="F626" s="96">
        <f>F624*E626</f>
        <v>0.38280000000000003</v>
      </c>
      <c r="G626" s="133"/>
      <c r="H626" s="133"/>
      <c r="I626" s="133"/>
      <c r="J626" s="133"/>
      <c r="K626" s="133"/>
      <c r="L626" s="133"/>
      <c r="M626" s="335"/>
    </row>
    <row r="627" spans="2:247" s="2" customFormat="1" ht="36" customHeight="1">
      <c r="B627" s="294"/>
      <c r="C627" s="6" t="s">
        <v>214</v>
      </c>
      <c r="D627" s="97" t="s">
        <v>134</v>
      </c>
      <c r="E627" s="100">
        <v>1</v>
      </c>
      <c r="F627" s="96">
        <f>F624*E627</f>
        <v>17.399999999999999</v>
      </c>
      <c r="G627" s="133"/>
      <c r="H627" s="133"/>
      <c r="I627" s="133"/>
      <c r="J627" s="133"/>
      <c r="K627" s="133"/>
      <c r="L627" s="133"/>
      <c r="M627" s="335"/>
    </row>
    <row r="628" spans="2:247" s="2" customFormat="1" ht="36" customHeight="1">
      <c r="B628" s="294"/>
      <c r="C628" s="44" t="s">
        <v>96</v>
      </c>
      <c r="D628" s="97" t="s">
        <v>87</v>
      </c>
      <c r="E628" s="100">
        <f>16.6/100</f>
        <v>0.16600000000000001</v>
      </c>
      <c r="F628" s="96">
        <f>F624*E628</f>
        <v>2.8883999999999999</v>
      </c>
      <c r="G628" s="133"/>
      <c r="H628" s="133"/>
      <c r="I628" s="133"/>
      <c r="J628" s="133"/>
      <c r="K628" s="133"/>
      <c r="L628" s="133"/>
      <c r="M628" s="335"/>
    </row>
    <row r="629" spans="2:247" s="2" customFormat="1" ht="36" customHeight="1">
      <c r="B629" s="291">
        <v>3</v>
      </c>
      <c r="C629" s="101" t="s">
        <v>215</v>
      </c>
      <c r="D629" s="93" t="s">
        <v>119</v>
      </c>
      <c r="E629" s="94"/>
      <c r="F629" s="94">
        <v>23</v>
      </c>
      <c r="G629" s="133"/>
      <c r="H629" s="133"/>
      <c r="I629" s="133"/>
      <c r="J629" s="133"/>
      <c r="K629" s="133"/>
      <c r="L629" s="133"/>
      <c r="M629" s="335"/>
    </row>
    <row r="630" spans="2:247" s="2" customFormat="1" ht="36" customHeight="1">
      <c r="B630" s="293"/>
      <c r="C630" s="44" t="s">
        <v>84</v>
      </c>
      <c r="D630" s="45" t="s">
        <v>85</v>
      </c>
      <c r="E630" s="100">
        <f>6/10</f>
        <v>0.6</v>
      </c>
      <c r="F630" s="96">
        <f>F629*E630</f>
        <v>13.799999999999999</v>
      </c>
      <c r="G630" s="133"/>
      <c r="H630" s="133"/>
      <c r="I630" s="133"/>
      <c r="J630" s="133"/>
      <c r="K630" s="133"/>
      <c r="L630" s="133"/>
      <c r="M630" s="335"/>
    </row>
    <row r="631" spans="2:247" s="2" customFormat="1" ht="36" customHeight="1">
      <c r="B631" s="294"/>
      <c r="C631" s="44" t="s">
        <v>95</v>
      </c>
      <c r="D631" s="97" t="s">
        <v>83</v>
      </c>
      <c r="E631" s="100">
        <f>0.4/10</f>
        <v>0.04</v>
      </c>
      <c r="F631" s="96">
        <f>F629*E631</f>
        <v>0.92</v>
      </c>
      <c r="G631" s="133"/>
      <c r="H631" s="133"/>
      <c r="I631" s="133"/>
      <c r="J631" s="133"/>
      <c r="K631" s="133"/>
      <c r="L631" s="133"/>
      <c r="M631" s="335"/>
    </row>
    <row r="632" spans="2:247" s="2" customFormat="1" ht="36" customHeight="1">
      <c r="B632" s="294"/>
      <c r="C632" s="6" t="s">
        <v>216</v>
      </c>
      <c r="D632" s="97" t="s">
        <v>119</v>
      </c>
      <c r="E632" s="100">
        <v>1</v>
      </c>
      <c r="F632" s="96">
        <f>F629*E632</f>
        <v>23</v>
      </c>
      <c r="G632" s="133"/>
      <c r="H632" s="133"/>
      <c r="I632" s="133"/>
      <c r="J632" s="133"/>
      <c r="K632" s="133"/>
      <c r="L632" s="133"/>
      <c r="M632" s="335"/>
    </row>
    <row r="633" spans="2:247" s="2" customFormat="1" ht="36" customHeight="1">
      <c r="B633" s="294"/>
      <c r="C633" s="44" t="s">
        <v>96</v>
      </c>
      <c r="D633" s="97" t="s">
        <v>87</v>
      </c>
      <c r="E633" s="100">
        <f>6.5/10</f>
        <v>0.65</v>
      </c>
      <c r="F633" s="96">
        <f>F629*E633</f>
        <v>14.950000000000001</v>
      </c>
      <c r="G633" s="133"/>
      <c r="H633" s="133"/>
      <c r="I633" s="133"/>
      <c r="J633" s="133"/>
      <c r="K633" s="133"/>
      <c r="L633" s="133"/>
      <c r="M633" s="335"/>
    </row>
    <row r="634" spans="2:247" s="107" customFormat="1" ht="54.75" customHeight="1">
      <c r="B634" s="291">
        <v>4</v>
      </c>
      <c r="C634" s="101" t="s">
        <v>281</v>
      </c>
      <c r="D634" s="105" t="s">
        <v>81</v>
      </c>
      <c r="E634" s="38"/>
      <c r="F634" s="106">
        <v>110</v>
      </c>
      <c r="G634" s="40"/>
      <c r="H634" s="40"/>
      <c r="I634" s="38"/>
      <c r="J634" s="38"/>
      <c r="K634" s="38"/>
      <c r="L634" s="38"/>
      <c r="M634" s="264"/>
    </row>
    <row r="635" spans="2:247" s="2" customFormat="1" ht="24.95" customHeight="1">
      <c r="B635" s="43"/>
      <c r="C635" s="55" t="s">
        <v>84</v>
      </c>
      <c r="D635" s="56" t="s">
        <v>85</v>
      </c>
      <c r="E635" s="38">
        <f>337/100</f>
        <v>3.37</v>
      </c>
      <c r="F635" s="41">
        <f>F634*E635</f>
        <v>370.7</v>
      </c>
      <c r="G635" s="40"/>
      <c r="H635" s="40"/>
      <c r="I635" s="38"/>
      <c r="J635" s="38"/>
      <c r="K635" s="38"/>
      <c r="L635" s="38"/>
      <c r="M635" s="264"/>
    </row>
    <row r="636" spans="2:247" s="107" customFormat="1" ht="47.25" customHeight="1">
      <c r="B636" s="291">
        <v>5</v>
      </c>
      <c r="C636" s="108" t="s">
        <v>137</v>
      </c>
      <c r="D636" s="105" t="s">
        <v>81</v>
      </c>
      <c r="E636" s="38"/>
      <c r="F636" s="106">
        <v>8.6999999999999993</v>
      </c>
      <c r="G636" s="40"/>
      <c r="H636" s="40"/>
      <c r="I636" s="38"/>
      <c r="J636" s="38"/>
      <c r="K636" s="38"/>
      <c r="L636" s="38"/>
      <c r="M636" s="264"/>
    </row>
    <row r="637" spans="2:247" s="42" customFormat="1" ht="24.95" customHeight="1">
      <c r="B637" s="293"/>
      <c r="C637" s="29" t="s">
        <v>84</v>
      </c>
      <c r="D637" s="46" t="s">
        <v>85</v>
      </c>
      <c r="E637" s="38">
        <v>3.88</v>
      </c>
      <c r="F637" s="96">
        <f>F636*E637</f>
        <v>33.755999999999993</v>
      </c>
      <c r="G637" s="40"/>
      <c r="H637" s="40"/>
      <c r="I637" s="38"/>
      <c r="J637" s="38"/>
      <c r="K637" s="38"/>
      <c r="L637" s="38"/>
      <c r="M637" s="264"/>
    </row>
    <row r="638" spans="2:247" s="42" customFormat="1" ht="42.75" customHeight="1">
      <c r="B638" s="291">
        <v>6</v>
      </c>
      <c r="C638" s="108" t="s">
        <v>222</v>
      </c>
      <c r="D638" s="102" t="s">
        <v>81</v>
      </c>
      <c r="E638" s="94"/>
      <c r="F638" s="94">
        <v>8.1999999999999993</v>
      </c>
      <c r="G638" s="95"/>
      <c r="H638" s="95"/>
      <c r="I638" s="95"/>
      <c r="J638" s="94"/>
      <c r="K638" s="95"/>
      <c r="L638" s="94"/>
      <c r="M638" s="292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  <c r="AP638" s="99"/>
      <c r="AQ638" s="99"/>
      <c r="AR638" s="99"/>
      <c r="AS638" s="99"/>
      <c r="AT638" s="99"/>
      <c r="AU638" s="99"/>
      <c r="AV638" s="99"/>
      <c r="AW638" s="99"/>
      <c r="AX638" s="99"/>
      <c r="AY638" s="99"/>
      <c r="AZ638" s="99"/>
      <c r="BA638" s="99"/>
      <c r="BB638" s="99"/>
      <c r="BC638" s="99"/>
      <c r="BD638" s="99"/>
      <c r="BE638" s="99"/>
      <c r="BF638" s="99"/>
      <c r="BG638" s="99"/>
      <c r="BH638" s="99"/>
      <c r="BI638" s="99"/>
      <c r="BJ638" s="99"/>
      <c r="BK638" s="99"/>
      <c r="BL638" s="99"/>
      <c r="BM638" s="99"/>
      <c r="BN638" s="99"/>
      <c r="BO638" s="99"/>
      <c r="BP638" s="99"/>
      <c r="BQ638" s="99"/>
      <c r="BR638" s="99"/>
      <c r="BS638" s="99"/>
      <c r="BT638" s="99"/>
      <c r="BU638" s="99"/>
      <c r="BV638" s="99"/>
      <c r="BW638" s="99"/>
      <c r="BX638" s="99"/>
      <c r="BY638" s="99"/>
      <c r="BZ638" s="99"/>
      <c r="CA638" s="99"/>
      <c r="CB638" s="99"/>
      <c r="CC638" s="99"/>
      <c r="CD638" s="99"/>
      <c r="CE638" s="99"/>
      <c r="CF638" s="99"/>
      <c r="CG638" s="99"/>
      <c r="CH638" s="99"/>
      <c r="CI638" s="99"/>
      <c r="CJ638" s="99"/>
      <c r="CK638" s="99"/>
      <c r="CL638" s="99"/>
      <c r="CM638" s="99"/>
      <c r="CN638" s="99"/>
      <c r="CO638" s="99"/>
      <c r="CP638" s="99"/>
      <c r="CQ638" s="99"/>
      <c r="CR638" s="99"/>
      <c r="CS638" s="99"/>
      <c r="CT638" s="99"/>
      <c r="CU638" s="99"/>
      <c r="CV638" s="99"/>
      <c r="CW638" s="99"/>
      <c r="CX638" s="99"/>
      <c r="CY638" s="99"/>
      <c r="CZ638" s="99"/>
      <c r="DA638" s="99"/>
      <c r="DB638" s="99"/>
      <c r="DC638" s="99"/>
      <c r="DD638" s="99"/>
      <c r="DE638" s="99"/>
      <c r="DF638" s="99"/>
      <c r="DG638" s="99"/>
      <c r="DH638" s="99"/>
      <c r="DI638" s="99"/>
      <c r="DJ638" s="99"/>
      <c r="DK638" s="99"/>
      <c r="DL638" s="99"/>
      <c r="DM638" s="99"/>
      <c r="DN638" s="99"/>
      <c r="DO638" s="99"/>
      <c r="DP638" s="99"/>
      <c r="DQ638" s="99"/>
      <c r="DR638" s="99"/>
      <c r="DS638" s="99"/>
      <c r="DT638" s="99"/>
      <c r="DU638" s="99"/>
      <c r="DV638" s="99"/>
      <c r="DW638" s="99"/>
      <c r="DX638" s="99"/>
      <c r="DY638" s="99"/>
      <c r="DZ638" s="99"/>
      <c r="EA638" s="99"/>
      <c r="EB638" s="99"/>
      <c r="EC638" s="99"/>
      <c r="ED638" s="99"/>
      <c r="EE638" s="99"/>
      <c r="EF638" s="99"/>
      <c r="EG638" s="99"/>
      <c r="EH638" s="99"/>
      <c r="EI638" s="99"/>
      <c r="EJ638" s="99"/>
      <c r="EK638" s="99"/>
      <c r="EL638" s="99"/>
      <c r="EM638" s="99"/>
      <c r="EN638" s="99"/>
      <c r="EO638" s="99"/>
      <c r="EP638" s="99"/>
      <c r="EQ638" s="99"/>
      <c r="ER638" s="99"/>
      <c r="ES638" s="99"/>
      <c r="ET638" s="99"/>
      <c r="EU638" s="99"/>
      <c r="EV638" s="99"/>
      <c r="EW638" s="99"/>
      <c r="EX638" s="99"/>
      <c r="EY638" s="99"/>
      <c r="EZ638" s="99"/>
      <c r="FA638" s="99"/>
      <c r="FB638" s="99"/>
      <c r="FC638" s="99"/>
      <c r="FD638" s="99"/>
      <c r="FE638" s="99"/>
      <c r="FF638" s="99"/>
      <c r="FG638" s="99"/>
      <c r="FH638" s="99"/>
      <c r="FI638" s="99"/>
      <c r="FJ638" s="99"/>
      <c r="FK638" s="99"/>
      <c r="FL638" s="99"/>
      <c r="FM638" s="99"/>
      <c r="FN638" s="99"/>
      <c r="FO638" s="99"/>
      <c r="FP638" s="99"/>
      <c r="FQ638" s="99"/>
      <c r="FR638" s="99"/>
      <c r="FS638" s="99"/>
      <c r="FT638" s="99"/>
      <c r="FU638" s="99"/>
      <c r="FV638" s="99"/>
      <c r="FW638" s="99"/>
      <c r="FX638" s="99"/>
      <c r="FY638" s="99"/>
      <c r="FZ638" s="99"/>
      <c r="GA638" s="99"/>
      <c r="GB638" s="99"/>
      <c r="GC638" s="99"/>
      <c r="GD638" s="99"/>
      <c r="GE638" s="99"/>
      <c r="GF638" s="99"/>
      <c r="GG638" s="99"/>
      <c r="GH638" s="99"/>
      <c r="GI638" s="99"/>
      <c r="GJ638" s="99"/>
      <c r="GK638" s="99"/>
      <c r="GL638" s="99"/>
      <c r="GM638" s="99"/>
      <c r="GN638" s="99"/>
      <c r="GO638" s="99"/>
      <c r="GP638" s="99"/>
      <c r="GQ638" s="99"/>
      <c r="GR638" s="99"/>
      <c r="GS638" s="99"/>
      <c r="GT638" s="99"/>
      <c r="GU638" s="99"/>
      <c r="GV638" s="99"/>
      <c r="GW638" s="99"/>
      <c r="GX638" s="99"/>
      <c r="GY638" s="99"/>
      <c r="GZ638" s="99"/>
      <c r="HA638" s="99"/>
      <c r="HB638" s="99"/>
      <c r="HC638" s="99"/>
      <c r="HD638" s="99"/>
      <c r="HE638" s="99"/>
      <c r="HF638" s="99"/>
      <c r="HG638" s="99"/>
      <c r="HH638" s="99"/>
      <c r="HI638" s="99"/>
      <c r="HJ638" s="99"/>
      <c r="HK638" s="99"/>
      <c r="HL638" s="99"/>
      <c r="HM638" s="99"/>
      <c r="HN638" s="99"/>
      <c r="HO638" s="99"/>
      <c r="HP638" s="99"/>
      <c r="HQ638" s="99"/>
      <c r="HR638" s="99"/>
      <c r="HS638" s="99"/>
      <c r="HT638" s="99"/>
      <c r="HU638" s="99"/>
      <c r="HV638" s="99"/>
      <c r="HW638" s="99"/>
      <c r="HX638" s="99"/>
      <c r="HY638" s="99"/>
      <c r="HZ638" s="99"/>
      <c r="IA638" s="99"/>
      <c r="IB638" s="99"/>
      <c r="IC638" s="99"/>
      <c r="ID638" s="99"/>
      <c r="IE638" s="99"/>
      <c r="IF638" s="99"/>
      <c r="IG638" s="99"/>
      <c r="IH638" s="99"/>
      <c r="II638" s="99"/>
      <c r="IJ638" s="99"/>
      <c r="IK638" s="99"/>
      <c r="IL638" s="99"/>
      <c r="IM638" s="99"/>
    </row>
    <row r="639" spans="2:247" s="42" customFormat="1" ht="24.95" customHeight="1">
      <c r="B639" s="293"/>
      <c r="C639" s="55" t="s">
        <v>84</v>
      </c>
      <c r="D639" s="56" t="s">
        <v>85</v>
      </c>
      <c r="E639" s="38">
        <f>450/100</f>
        <v>4.5</v>
      </c>
      <c r="F639" s="96">
        <f>F638*E639</f>
        <v>36.9</v>
      </c>
      <c r="G639" s="40"/>
      <c r="H639" s="40"/>
      <c r="I639" s="38"/>
      <c r="J639" s="38"/>
      <c r="K639" s="38"/>
      <c r="L639" s="38"/>
      <c r="M639" s="264"/>
    </row>
    <row r="640" spans="2:247" s="42" customFormat="1" ht="24.95" customHeight="1">
      <c r="B640" s="294"/>
      <c r="C640" s="44" t="s">
        <v>86</v>
      </c>
      <c r="D640" s="97" t="s">
        <v>87</v>
      </c>
      <c r="E640" s="38">
        <f>37/100</f>
        <v>0.37</v>
      </c>
      <c r="F640" s="96">
        <f>F638*E640</f>
        <v>3.0339999999999998</v>
      </c>
      <c r="G640" s="40"/>
      <c r="H640" s="40"/>
      <c r="I640" s="40"/>
      <c r="J640" s="38"/>
      <c r="K640" s="41"/>
      <c r="L640" s="38"/>
      <c r="M640" s="264"/>
    </row>
    <row r="641" spans="2:13" s="42" customFormat="1" ht="24.95" customHeight="1">
      <c r="B641" s="294"/>
      <c r="C641" s="44" t="s">
        <v>207</v>
      </c>
      <c r="D641" s="97" t="s">
        <v>81</v>
      </c>
      <c r="E641" s="38">
        <f>102/100</f>
        <v>1.02</v>
      </c>
      <c r="F641" s="96">
        <f>F638*E641</f>
        <v>8.363999999999999</v>
      </c>
      <c r="G641" s="40"/>
      <c r="H641" s="40"/>
      <c r="I641" s="40"/>
      <c r="J641" s="38"/>
      <c r="K641" s="41"/>
      <c r="L641" s="38"/>
      <c r="M641" s="264"/>
    </row>
    <row r="642" spans="2:13" s="42" customFormat="1" ht="24.95" customHeight="1">
      <c r="B642" s="294"/>
      <c r="C642" s="44" t="s">
        <v>117</v>
      </c>
      <c r="D642" s="45" t="s">
        <v>123</v>
      </c>
      <c r="E642" s="100">
        <f>161/100</f>
        <v>1.61</v>
      </c>
      <c r="F642" s="96">
        <f>F638*E642</f>
        <v>13.202</v>
      </c>
      <c r="G642" s="40"/>
      <c r="H642" s="40"/>
      <c r="I642" s="100"/>
      <c r="J642" s="38"/>
      <c r="K642" s="41"/>
      <c r="L642" s="38"/>
      <c r="M642" s="264"/>
    </row>
    <row r="643" spans="2:13" s="42" customFormat="1" ht="24.95" customHeight="1">
      <c r="B643" s="294"/>
      <c r="C643" s="44" t="s">
        <v>108</v>
      </c>
      <c r="D643" s="45" t="s">
        <v>123</v>
      </c>
      <c r="E643" s="109">
        <f>1.72/100</f>
        <v>1.72E-2</v>
      </c>
      <c r="F643" s="96">
        <f>F638*E643</f>
        <v>0.14104</v>
      </c>
      <c r="G643" s="40"/>
      <c r="H643" s="40"/>
      <c r="I643" s="100"/>
      <c r="J643" s="38"/>
      <c r="K643" s="41"/>
      <c r="L643" s="38"/>
      <c r="M643" s="264"/>
    </row>
    <row r="644" spans="2:13" s="42" customFormat="1" ht="24.95" customHeight="1">
      <c r="B644" s="294"/>
      <c r="C644" s="44" t="s">
        <v>96</v>
      </c>
      <c r="D644" s="45" t="s">
        <v>87</v>
      </c>
      <c r="E644" s="100">
        <f>28/100</f>
        <v>0.28000000000000003</v>
      </c>
      <c r="F644" s="96">
        <f>F638*E644</f>
        <v>2.2959999999999998</v>
      </c>
      <c r="G644" s="40"/>
      <c r="H644" s="40"/>
      <c r="I644" s="100"/>
      <c r="J644" s="38"/>
      <c r="K644" s="41"/>
      <c r="L644" s="38"/>
      <c r="M644" s="264"/>
    </row>
    <row r="645" spans="2:13" s="42" customFormat="1" ht="33" customHeight="1">
      <c r="B645" s="291">
        <v>7</v>
      </c>
      <c r="C645" s="101" t="s">
        <v>139</v>
      </c>
      <c r="D645" s="93" t="s">
        <v>81</v>
      </c>
      <c r="E645" s="94"/>
      <c r="F645" s="94">
        <v>30</v>
      </c>
      <c r="G645" s="95"/>
      <c r="H645" s="95"/>
      <c r="I645" s="95"/>
      <c r="J645" s="94"/>
      <c r="K645" s="95"/>
      <c r="L645" s="94"/>
      <c r="M645" s="292"/>
    </row>
    <row r="646" spans="2:13" s="42" customFormat="1" ht="24.95" customHeight="1">
      <c r="B646" s="293"/>
      <c r="C646" s="103" t="s">
        <v>84</v>
      </c>
      <c r="D646" s="110" t="s">
        <v>85</v>
      </c>
      <c r="E646" s="38">
        <f>18/10</f>
        <v>1.8</v>
      </c>
      <c r="F646" s="96">
        <f>F645*E646</f>
        <v>54</v>
      </c>
      <c r="G646" s="40"/>
      <c r="H646" s="40"/>
      <c r="I646" s="38"/>
      <c r="J646" s="38"/>
      <c r="K646" s="38"/>
      <c r="L646" s="38"/>
      <c r="M646" s="264"/>
    </row>
    <row r="647" spans="2:13" s="42" customFormat="1" ht="24.95" customHeight="1">
      <c r="B647" s="294"/>
      <c r="C647" s="103" t="s">
        <v>112</v>
      </c>
      <c r="D647" s="111" t="s">
        <v>81</v>
      </c>
      <c r="E647" s="38">
        <v>1.1000000000000001</v>
      </c>
      <c r="F647" s="96">
        <f>F645*E647</f>
        <v>33</v>
      </c>
      <c r="G647" s="40"/>
      <c r="H647" s="40"/>
      <c r="I647" s="40"/>
      <c r="J647" s="38"/>
      <c r="K647" s="41"/>
      <c r="L647" s="38"/>
      <c r="M647" s="264"/>
    </row>
    <row r="648" spans="2:13" s="107" customFormat="1" ht="30" customHeight="1">
      <c r="B648" s="291">
        <v>8</v>
      </c>
      <c r="C648" s="101" t="s">
        <v>223</v>
      </c>
      <c r="D648" s="93" t="s">
        <v>81</v>
      </c>
      <c r="E648" s="38"/>
      <c r="F648" s="106">
        <v>69.5</v>
      </c>
      <c r="G648" s="40"/>
      <c r="H648" s="40"/>
      <c r="I648" s="38"/>
      <c r="J648" s="38"/>
      <c r="K648" s="38"/>
      <c r="L648" s="38"/>
      <c r="M648" s="264"/>
    </row>
    <row r="649" spans="2:13" s="42" customFormat="1" ht="24.95" customHeight="1">
      <c r="B649" s="293"/>
      <c r="C649" s="29" t="s">
        <v>84</v>
      </c>
      <c r="D649" s="46" t="s">
        <v>85</v>
      </c>
      <c r="E649" s="38">
        <v>1.21</v>
      </c>
      <c r="F649" s="96">
        <f>F648*E649</f>
        <v>84.094999999999999</v>
      </c>
      <c r="G649" s="40"/>
      <c r="H649" s="40"/>
      <c r="I649" s="38"/>
      <c r="J649" s="38"/>
      <c r="K649" s="38"/>
      <c r="L649" s="38"/>
      <c r="M649" s="264"/>
    </row>
    <row r="650" spans="2:13" s="107" customFormat="1" ht="24.95" customHeight="1">
      <c r="B650" s="291">
        <v>9</v>
      </c>
      <c r="C650" s="108" t="s">
        <v>224</v>
      </c>
      <c r="D650" s="93" t="s">
        <v>81</v>
      </c>
      <c r="E650" s="38"/>
      <c r="F650" s="106">
        <v>40.5</v>
      </c>
      <c r="G650" s="40"/>
      <c r="H650" s="40"/>
      <c r="I650" s="38"/>
      <c r="J650" s="38"/>
      <c r="K650" s="38"/>
      <c r="L650" s="38"/>
      <c r="M650" s="264"/>
    </row>
    <row r="651" spans="2:13" s="42" customFormat="1" ht="24.95" customHeight="1">
      <c r="B651" s="293"/>
      <c r="C651" s="55" t="s">
        <v>84</v>
      </c>
      <c r="D651" s="56" t="s">
        <v>85</v>
      </c>
      <c r="E651" s="38">
        <f>15.5/1000</f>
        <v>1.55E-2</v>
      </c>
      <c r="F651" s="96">
        <f>F650*E651</f>
        <v>0.62775000000000003</v>
      </c>
      <c r="G651" s="40"/>
      <c r="H651" s="40"/>
      <c r="I651" s="38"/>
      <c r="J651" s="38"/>
      <c r="K651" s="38"/>
      <c r="L651" s="38"/>
      <c r="M651" s="264"/>
    </row>
    <row r="652" spans="2:13" s="42" customFormat="1" ht="24.95" customHeight="1">
      <c r="B652" s="294"/>
      <c r="C652" s="44" t="s">
        <v>97</v>
      </c>
      <c r="D652" s="97" t="s">
        <v>83</v>
      </c>
      <c r="E652" s="38">
        <f>34.7/1000</f>
        <v>3.4700000000000002E-2</v>
      </c>
      <c r="F652" s="38">
        <f>F650*E652</f>
        <v>1.4053500000000001</v>
      </c>
      <c r="G652" s="40"/>
      <c r="H652" s="40"/>
      <c r="I652" s="40"/>
      <c r="J652" s="38"/>
      <c r="K652" s="41"/>
      <c r="L652" s="38"/>
      <c r="M652" s="264"/>
    </row>
    <row r="653" spans="2:13" s="42" customFormat="1" ht="24.95" customHeight="1">
      <c r="B653" s="294"/>
      <c r="C653" s="44" t="s">
        <v>86</v>
      </c>
      <c r="D653" s="97" t="s">
        <v>87</v>
      </c>
      <c r="E653" s="38">
        <f>2.09/1000</f>
        <v>2.0899999999999998E-3</v>
      </c>
      <c r="F653" s="38">
        <f>F650*E653</f>
        <v>8.4644999999999998E-2</v>
      </c>
      <c r="G653" s="40"/>
      <c r="H653" s="40"/>
      <c r="I653" s="40"/>
      <c r="J653" s="38"/>
      <c r="K653" s="41"/>
      <c r="L653" s="38"/>
      <c r="M653" s="264"/>
    </row>
    <row r="654" spans="2:13" s="42" customFormat="1" ht="24.95" customHeight="1">
      <c r="B654" s="294"/>
      <c r="C654" s="44" t="s">
        <v>140</v>
      </c>
      <c r="D654" s="97" t="s">
        <v>89</v>
      </c>
      <c r="E654" s="38">
        <v>1.75</v>
      </c>
      <c r="F654" s="96">
        <f>F650*E654</f>
        <v>70.875</v>
      </c>
      <c r="G654" s="40"/>
      <c r="H654" s="40"/>
      <c r="I654" s="38"/>
      <c r="J654" s="38"/>
      <c r="K654" s="38"/>
      <c r="L654" s="38"/>
      <c r="M654" s="264"/>
    </row>
    <row r="655" spans="2:13" s="42" customFormat="1" ht="24.95" customHeight="1">
      <c r="B655" s="291">
        <v>10</v>
      </c>
      <c r="C655" s="108" t="s">
        <v>225</v>
      </c>
      <c r="D655" s="93" t="s">
        <v>93</v>
      </c>
      <c r="E655" s="94"/>
      <c r="F655" s="94">
        <v>300</v>
      </c>
      <c r="G655" s="95"/>
      <c r="H655" s="95"/>
      <c r="I655" s="95"/>
      <c r="J655" s="94"/>
      <c r="K655" s="95"/>
      <c r="L655" s="94"/>
      <c r="M655" s="292"/>
    </row>
    <row r="656" spans="2:13" s="42" customFormat="1" ht="24.95" customHeight="1">
      <c r="B656" s="291"/>
      <c r="C656" s="103" t="s">
        <v>84</v>
      </c>
      <c r="D656" s="110" t="s">
        <v>93</v>
      </c>
      <c r="E656" s="38">
        <v>1</v>
      </c>
      <c r="F656" s="96">
        <f>F655*E656</f>
        <v>300</v>
      </c>
      <c r="G656" s="40"/>
      <c r="H656" s="40"/>
      <c r="I656" s="38"/>
      <c r="J656" s="38"/>
      <c r="K656" s="38"/>
      <c r="L656" s="38"/>
      <c r="M656" s="264"/>
    </row>
    <row r="657" spans="2:13" s="42" customFormat="1" ht="24.95" customHeight="1">
      <c r="B657" s="291"/>
      <c r="C657" s="103" t="s">
        <v>141</v>
      </c>
      <c r="D657" s="111" t="s">
        <v>93</v>
      </c>
      <c r="E657" s="38">
        <v>1</v>
      </c>
      <c r="F657" s="96">
        <f>F655*E657</f>
        <v>300</v>
      </c>
      <c r="G657" s="40"/>
      <c r="H657" s="40"/>
      <c r="I657" s="40"/>
      <c r="J657" s="38"/>
      <c r="K657" s="41"/>
      <c r="L657" s="38"/>
      <c r="M657" s="264"/>
    </row>
    <row r="658" spans="2:13" s="42" customFormat="1" ht="81" customHeight="1">
      <c r="B658" s="291">
        <v>11</v>
      </c>
      <c r="C658" s="337" t="s">
        <v>350</v>
      </c>
      <c r="D658" s="111" t="s">
        <v>93</v>
      </c>
      <c r="E658" s="38"/>
      <c r="F658" s="96">
        <v>350</v>
      </c>
      <c r="G658" s="40"/>
      <c r="H658" s="40"/>
      <c r="I658" s="40"/>
      <c r="J658" s="38"/>
      <c r="K658" s="41"/>
      <c r="L658" s="38"/>
      <c r="M658" s="264"/>
    </row>
    <row r="659" spans="2:13" s="42" customFormat="1" ht="80.25" customHeight="1">
      <c r="B659" s="291">
        <v>12</v>
      </c>
      <c r="C659" s="337" t="s">
        <v>351</v>
      </c>
      <c r="D659" s="111" t="s">
        <v>93</v>
      </c>
      <c r="E659" s="38"/>
      <c r="F659" s="96">
        <v>350</v>
      </c>
      <c r="G659" s="40"/>
      <c r="H659" s="40"/>
      <c r="I659" s="40"/>
      <c r="J659" s="38"/>
      <c r="K659" s="41"/>
      <c r="L659" s="38"/>
      <c r="M659" s="264"/>
    </row>
    <row r="660" spans="2:13" s="42" customFormat="1" ht="141" customHeight="1">
      <c r="B660" s="291">
        <v>13</v>
      </c>
      <c r="C660" s="337" t="s">
        <v>354</v>
      </c>
      <c r="D660" s="336" t="s">
        <v>45</v>
      </c>
      <c r="E660" s="38"/>
      <c r="F660" s="96">
        <v>10</v>
      </c>
      <c r="G660" s="40"/>
      <c r="H660" s="40"/>
      <c r="I660" s="40"/>
      <c r="J660" s="38"/>
      <c r="K660" s="41"/>
      <c r="L660" s="38"/>
      <c r="M660" s="264"/>
    </row>
    <row r="661" spans="2:13" s="42" customFormat="1" ht="21" customHeight="1">
      <c r="B661" s="294"/>
      <c r="C661" s="337" t="s">
        <v>352</v>
      </c>
      <c r="D661" s="111" t="s">
        <v>93</v>
      </c>
      <c r="E661" s="38">
        <v>1</v>
      </c>
      <c r="F661" s="96">
        <v>15</v>
      </c>
      <c r="G661" s="40"/>
      <c r="H661" s="40"/>
      <c r="I661" s="40"/>
      <c r="J661" s="38"/>
      <c r="K661" s="41"/>
      <c r="L661" s="38"/>
      <c r="M661" s="264"/>
    </row>
    <row r="662" spans="2:13" s="42" customFormat="1" ht="24.95" customHeight="1">
      <c r="B662" s="318"/>
      <c r="C662" s="308" t="s">
        <v>144</v>
      </c>
      <c r="D662" s="235"/>
      <c r="E662" s="319"/>
      <c r="F662" s="320"/>
      <c r="G662" s="321"/>
      <c r="H662" s="319"/>
      <c r="I662" s="321"/>
      <c r="J662" s="319"/>
      <c r="K662" s="322"/>
      <c r="L662" s="319"/>
      <c r="M662" s="323"/>
    </row>
    <row r="663" spans="2:13" s="42" customFormat="1" ht="24.95" customHeight="1">
      <c r="B663" s="298"/>
      <c r="C663" s="324" t="s">
        <v>143</v>
      </c>
      <c r="D663" s="312" t="s">
        <v>348</v>
      </c>
      <c r="E663" s="310"/>
      <c r="F663" s="310"/>
      <c r="G663" s="310"/>
      <c r="H663" s="310"/>
      <c r="I663" s="310"/>
      <c r="J663" s="310"/>
      <c r="K663" s="310"/>
      <c r="L663" s="310"/>
      <c r="M663" s="311"/>
    </row>
    <row r="664" spans="2:13" s="42" customFormat="1" ht="24.95" customHeight="1">
      <c r="B664" s="298"/>
      <c r="C664" s="308" t="s">
        <v>144</v>
      </c>
      <c r="D664" s="309"/>
      <c r="E664" s="310"/>
      <c r="F664" s="310"/>
      <c r="G664" s="310"/>
      <c r="H664" s="310"/>
      <c r="I664" s="310"/>
      <c r="J664" s="310"/>
      <c r="K664" s="310"/>
      <c r="L664" s="310"/>
      <c r="M664" s="311"/>
    </row>
    <row r="665" spans="2:13" s="42" customFormat="1" ht="24.95" customHeight="1">
      <c r="B665" s="298"/>
      <c r="C665" s="308" t="s">
        <v>145</v>
      </c>
      <c r="D665" s="312" t="s">
        <v>348</v>
      </c>
      <c r="E665" s="310"/>
      <c r="F665" s="310"/>
      <c r="G665" s="310"/>
      <c r="H665" s="310"/>
      <c r="I665" s="310"/>
      <c r="J665" s="310"/>
      <c r="K665" s="310"/>
      <c r="L665" s="310"/>
      <c r="M665" s="311"/>
    </row>
    <row r="666" spans="2:13" s="42" customFormat="1" ht="24.95" customHeight="1">
      <c r="B666" s="299"/>
      <c r="C666" s="314" t="s">
        <v>226</v>
      </c>
      <c r="D666" s="315"/>
      <c r="E666" s="316"/>
      <c r="F666" s="316"/>
      <c r="G666" s="316"/>
      <c r="H666" s="316"/>
      <c r="I666" s="316"/>
      <c r="J666" s="316"/>
      <c r="K666" s="316"/>
      <c r="L666" s="316"/>
      <c r="M666" s="317"/>
    </row>
    <row r="667" spans="2:13" ht="30" customHeight="1">
      <c r="B667" s="300"/>
      <c r="C667" s="236" t="s">
        <v>298</v>
      </c>
      <c r="D667" s="325"/>
      <c r="E667" s="326"/>
      <c r="F667" s="326"/>
      <c r="G667" s="326"/>
      <c r="H667" s="326"/>
      <c r="I667" s="326"/>
      <c r="J667" s="326"/>
      <c r="K667" s="326"/>
      <c r="L667" s="326"/>
      <c r="M667" s="302"/>
    </row>
    <row r="668" spans="2:13" ht="38.25" customHeight="1">
      <c r="B668" s="327"/>
      <c r="C668" s="328" t="s">
        <v>146</v>
      </c>
      <c r="D668" s="329">
        <v>0.03</v>
      </c>
      <c r="E668" s="330"/>
      <c r="F668" s="330"/>
      <c r="G668" s="330"/>
      <c r="H668" s="330"/>
      <c r="I668" s="330"/>
      <c r="J668" s="330"/>
      <c r="K668" s="330"/>
      <c r="L668" s="330"/>
      <c r="M668" s="331"/>
    </row>
    <row r="669" spans="2:13" ht="30" customHeight="1">
      <c r="B669" s="327"/>
      <c r="C669" s="328" t="s">
        <v>142</v>
      </c>
      <c r="D669" s="332"/>
      <c r="E669" s="330"/>
      <c r="F669" s="330"/>
      <c r="G669" s="330"/>
      <c r="H669" s="330"/>
      <c r="I669" s="330"/>
      <c r="J669" s="330"/>
      <c r="K669" s="330"/>
      <c r="L669" s="330"/>
      <c r="M669" s="331"/>
    </row>
    <row r="670" spans="2:13" ht="30" customHeight="1">
      <c r="B670" s="327"/>
      <c r="C670" s="333" t="s">
        <v>147</v>
      </c>
      <c r="D670" s="329">
        <v>0.18</v>
      </c>
      <c r="E670" s="330"/>
      <c r="F670" s="330"/>
      <c r="G670" s="330"/>
      <c r="H670" s="330"/>
      <c r="I670" s="330"/>
      <c r="J670" s="330"/>
      <c r="K670" s="330"/>
      <c r="L670" s="330"/>
      <c r="M670" s="331"/>
    </row>
    <row r="671" spans="2:13" ht="30" customHeight="1">
      <c r="B671" s="301"/>
      <c r="C671" s="236" t="s">
        <v>78</v>
      </c>
      <c r="D671" s="233"/>
      <c r="E671" s="234"/>
      <c r="F671" s="234"/>
      <c r="G671" s="234"/>
      <c r="H671" s="234"/>
      <c r="I671" s="234"/>
      <c r="J671" s="234"/>
      <c r="K671" s="234"/>
      <c r="L671" s="234"/>
      <c r="M671" s="302"/>
    </row>
    <row r="672" spans="2:13" s="219" customFormat="1" ht="61.5" customHeight="1">
      <c r="B672" s="303"/>
      <c r="C672" s="360" t="s">
        <v>343</v>
      </c>
      <c r="D672" s="360"/>
      <c r="E672" s="360"/>
      <c r="F672" s="360"/>
      <c r="G672" s="360"/>
      <c r="H672" s="237"/>
      <c r="I672" s="227"/>
      <c r="J672" s="227"/>
      <c r="K672" s="227"/>
      <c r="L672" s="227"/>
      <c r="M672" s="304">
        <v>4000</v>
      </c>
    </row>
    <row r="673" spans="2:13" s="219" customFormat="1" ht="32.25" customHeight="1" thickBot="1">
      <c r="B673" s="358" t="s">
        <v>78</v>
      </c>
      <c r="C673" s="359"/>
      <c r="D673" s="359"/>
      <c r="E673" s="359"/>
      <c r="F673" s="359"/>
      <c r="G673" s="359"/>
      <c r="H673" s="305"/>
      <c r="I673" s="305"/>
      <c r="J673" s="305"/>
      <c r="K673" s="305"/>
      <c r="L673" s="305"/>
      <c r="M673" s="306"/>
    </row>
    <row r="674" spans="2:13" ht="24" customHeight="1"/>
    <row r="675" spans="2:13" ht="103.5" customHeight="1">
      <c r="C675" s="339" t="s">
        <v>346</v>
      </c>
      <c r="D675" s="340"/>
      <c r="E675" s="340"/>
      <c r="F675" s="340"/>
      <c r="G675" s="340"/>
      <c r="H675" s="340"/>
      <c r="I675" s="340"/>
      <c r="J675" s="340"/>
      <c r="K675" s="340"/>
      <c r="L675" s="340"/>
      <c r="M675" s="340"/>
    </row>
    <row r="676" spans="2:13" ht="42.75" customHeight="1">
      <c r="C676" s="341" t="s">
        <v>347</v>
      </c>
      <c r="D676" s="341"/>
      <c r="E676" s="341"/>
      <c r="F676" s="341"/>
      <c r="G676" s="341"/>
      <c r="H676" s="341"/>
      <c r="I676" s="341"/>
      <c r="J676" s="341"/>
      <c r="K676" s="341"/>
      <c r="L676" s="341"/>
      <c r="M676" s="341"/>
    </row>
  </sheetData>
  <mergeCells count="31">
    <mergeCell ref="B673:G673"/>
    <mergeCell ref="C672:G672"/>
    <mergeCell ref="B618:M618"/>
    <mergeCell ref="B277:F277"/>
    <mergeCell ref="B289:F289"/>
    <mergeCell ref="B395:F395"/>
    <mergeCell ref="B425:F425"/>
    <mergeCell ref="B501:F501"/>
    <mergeCell ref="B528:F528"/>
    <mergeCell ref="B556:M556"/>
    <mergeCell ref="B45:F45"/>
    <mergeCell ref="B128:F128"/>
    <mergeCell ref="B158:F158"/>
    <mergeCell ref="B190:F190"/>
    <mergeCell ref="B221:F221"/>
    <mergeCell ref="C675:M675"/>
    <mergeCell ref="C676:M676"/>
    <mergeCell ref="B6:M6"/>
    <mergeCell ref="B2:M2"/>
    <mergeCell ref="B3:B4"/>
    <mergeCell ref="C3:C4"/>
    <mergeCell ref="D3:D4"/>
    <mergeCell ref="E3:F3"/>
    <mergeCell ref="G3:H3"/>
    <mergeCell ref="I3:J3"/>
    <mergeCell ref="K3:L3"/>
    <mergeCell ref="M3:M4"/>
    <mergeCell ref="B249:F249"/>
    <mergeCell ref="B329:F329"/>
    <mergeCell ref="B354:F354"/>
    <mergeCell ref="B372:F372"/>
  </mergeCells>
  <conditionalFormatting sqref="D81 B82:B87 B76:B77 B79:B80 B169:B172 B166:B167 B175:B176 B178:B189 D166:D189 B317:B321 D317:D321 B369:B371 D369:D371 D330:D334 B330:B334 D455:D457 B455:B457 B498:B500 D498:D500 D534:D540">
    <cfRule type="cellIs" dxfId="41" priority="51" stopIfTrue="1" operator="equal">
      <formula>8223.307275</formula>
    </cfRule>
  </conditionalFormatting>
  <conditionalFormatting sqref="D458:D461 B458:B461">
    <cfRule type="cellIs" dxfId="40" priority="50" stopIfTrue="1" operator="equal">
      <formula>8223.307275</formula>
    </cfRule>
  </conditionalFormatting>
  <conditionalFormatting sqref="B462:B465 D462:D465">
    <cfRule type="cellIs" dxfId="39" priority="49" stopIfTrue="1" operator="equal">
      <formula>8223.307275</formula>
    </cfRule>
  </conditionalFormatting>
  <conditionalFormatting sqref="B466:B469 D466:D469">
    <cfRule type="cellIs" dxfId="38" priority="48" stopIfTrue="1" operator="equal">
      <formula>8223.307275</formula>
    </cfRule>
  </conditionalFormatting>
  <conditionalFormatting sqref="B470:B473 D470:D473">
    <cfRule type="cellIs" dxfId="37" priority="47" stopIfTrue="1" operator="equal">
      <formula>8223.307275</formula>
    </cfRule>
  </conditionalFormatting>
  <conditionalFormatting sqref="B474:B477 D474:D477">
    <cfRule type="cellIs" dxfId="36" priority="46" stopIfTrue="1" operator="equal">
      <formula>8223.307275</formula>
    </cfRule>
  </conditionalFormatting>
  <conditionalFormatting sqref="B478:B481 D478:D481">
    <cfRule type="cellIs" dxfId="35" priority="45" stopIfTrue="1" operator="equal">
      <formula>8223.307275</formula>
    </cfRule>
  </conditionalFormatting>
  <conditionalFormatting sqref="B482:B485 D482:D485">
    <cfRule type="cellIs" dxfId="34" priority="44" stopIfTrue="1" operator="equal">
      <formula>8223.307275</formula>
    </cfRule>
  </conditionalFormatting>
  <conditionalFormatting sqref="B486:B489 D486:D489">
    <cfRule type="cellIs" dxfId="33" priority="43" stopIfTrue="1" operator="equal">
      <formula>8223.307275</formula>
    </cfRule>
  </conditionalFormatting>
  <conditionalFormatting sqref="B490:B493 D490:D493">
    <cfRule type="cellIs" dxfId="32" priority="42" stopIfTrue="1" operator="equal">
      <formula>8223.307275</formula>
    </cfRule>
  </conditionalFormatting>
  <conditionalFormatting sqref="B494:B497 D494:D497">
    <cfRule type="cellIs" dxfId="31" priority="41" stopIfTrue="1" operator="equal">
      <formula>8223.307275</formula>
    </cfRule>
  </conditionalFormatting>
  <conditionalFormatting sqref="B364:B368 D364:D368">
    <cfRule type="cellIs" dxfId="30" priority="32" stopIfTrue="1" operator="equal">
      <formula>8223.307275</formula>
    </cfRule>
  </conditionalFormatting>
  <conditionalFormatting sqref="B137:B140 B134:B135 B143:B144 B146:B157 D134:D157">
    <cfRule type="cellIs" dxfId="29" priority="39" stopIfTrue="1" operator="equal">
      <formula>8223.307275</formula>
    </cfRule>
  </conditionalFormatting>
  <conditionalFormatting sqref="B236:B237 D236:D240 B239:B240">
    <cfRule type="cellIs" dxfId="28" priority="38" stopIfTrue="1" operator="equal">
      <formula>8223.307275</formula>
    </cfRule>
  </conditionalFormatting>
  <conditionalFormatting sqref="D262 B262:B266">
    <cfRule type="cellIs" dxfId="27" priority="37" stopIfTrue="1" operator="equal">
      <formula>8223.307275</formula>
    </cfRule>
  </conditionalFormatting>
  <conditionalFormatting sqref="D344:D345 B344:B349">
    <cfRule type="cellIs" dxfId="26" priority="36" stopIfTrue="1" operator="equal">
      <formula>8223.307275</formula>
    </cfRule>
  </conditionalFormatting>
  <conditionalFormatting sqref="B350:B351 B353">
    <cfRule type="cellIs" dxfId="25" priority="35" stopIfTrue="1" operator="equal">
      <formula>8223.307275</formula>
    </cfRule>
  </conditionalFormatting>
  <conditionalFormatting sqref="B352">
    <cfRule type="cellIs" dxfId="24" priority="34" stopIfTrue="1" operator="equal">
      <formula>8223.307275</formula>
    </cfRule>
  </conditionalFormatting>
  <conditionalFormatting sqref="D390 B390:B394">
    <cfRule type="cellIs" dxfId="23" priority="31" stopIfTrue="1" operator="equal">
      <formula>8223.307275</formula>
    </cfRule>
  </conditionalFormatting>
  <conditionalFormatting sqref="D32 B33">
    <cfRule type="cellIs" dxfId="22" priority="30" stopIfTrue="1" operator="equal">
      <formula>8223.307275</formula>
    </cfRule>
  </conditionalFormatting>
  <conditionalFormatting sqref="D335:D339 B335:B339">
    <cfRule type="cellIs" dxfId="21" priority="29" stopIfTrue="1" operator="equal">
      <formula>8223.307275</formula>
    </cfRule>
  </conditionalFormatting>
  <conditionalFormatting sqref="D428 B429:B434">
    <cfRule type="cellIs" dxfId="20" priority="26" stopIfTrue="1" operator="equal">
      <formula>8223.307275</formula>
    </cfRule>
  </conditionalFormatting>
  <conditionalFormatting sqref="D447 B447:B451">
    <cfRule type="cellIs" dxfId="19" priority="25" stopIfTrue="1" operator="equal">
      <formula>8223.307275</formula>
    </cfRule>
  </conditionalFormatting>
  <conditionalFormatting sqref="B532 B529:B530">
    <cfRule type="cellIs" dxfId="18" priority="24" stopIfTrue="1" operator="equal">
      <formula>8223.307275</formula>
    </cfRule>
  </conditionalFormatting>
  <conditionalFormatting sqref="D557">
    <cfRule type="cellIs" dxfId="17" priority="22" stopIfTrue="1" operator="equal">
      <formula>8223.307275</formula>
    </cfRule>
  </conditionalFormatting>
  <conditionalFormatting sqref="D648">
    <cfRule type="cellIs" dxfId="16" priority="19" stopIfTrue="1" operator="equal">
      <formula>8223.307275</formula>
    </cfRule>
  </conditionalFormatting>
  <conditionalFormatting sqref="D562">
    <cfRule type="cellIs" dxfId="15" priority="21" stopIfTrue="1" operator="equal">
      <formula>8223.307275</formula>
    </cfRule>
  </conditionalFormatting>
  <conditionalFormatting sqref="D645">
    <cfRule type="cellIs" dxfId="14" priority="20" stopIfTrue="1" operator="equal">
      <formula>8223.307275</formula>
    </cfRule>
  </conditionalFormatting>
  <conditionalFormatting sqref="D655">
    <cfRule type="cellIs" dxfId="13" priority="17" stopIfTrue="1" operator="equal">
      <formula>8223.307275</formula>
    </cfRule>
  </conditionalFormatting>
  <conditionalFormatting sqref="D650:D653">
    <cfRule type="cellIs" dxfId="12" priority="18" stopIfTrue="1" operator="equal">
      <formula>8223.307275</formula>
    </cfRule>
  </conditionalFormatting>
  <conditionalFormatting sqref="D634">
    <cfRule type="cellIs" dxfId="11" priority="16" stopIfTrue="1" operator="equal">
      <formula>8223.307275</formula>
    </cfRule>
  </conditionalFormatting>
  <conditionalFormatting sqref="D636">
    <cfRule type="cellIs" dxfId="10" priority="15" stopIfTrue="1" operator="equal">
      <formula>8223.307275</formula>
    </cfRule>
  </conditionalFormatting>
  <conditionalFormatting sqref="D508">
    <cfRule type="cellIs" dxfId="9" priority="10" stopIfTrue="1" operator="equal">
      <formula>8223.307275</formula>
    </cfRule>
  </conditionalFormatting>
  <conditionalFormatting sqref="B504:B505">
    <cfRule type="cellIs" dxfId="8" priority="9" stopIfTrue="1" operator="equal">
      <formula>8223.307275</formula>
    </cfRule>
  </conditionalFormatting>
  <conditionalFormatting sqref="B506">
    <cfRule type="cellIs" dxfId="7" priority="8" stopIfTrue="1" operator="equal">
      <formula>8223.307275</formula>
    </cfRule>
  </conditionalFormatting>
  <conditionalFormatting sqref="B502:B503">
    <cfRule type="cellIs" dxfId="6" priority="7" stopIfTrue="1" operator="equal">
      <formula>8223.307275</formula>
    </cfRule>
  </conditionalFormatting>
  <conditionalFormatting sqref="D513">
    <cfRule type="cellIs" dxfId="5" priority="6" stopIfTrue="1" operator="equal">
      <formula>8223.307275</formula>
    </cfRule>
  </conditionalFormatting>
  <conditionalFormatting sqref="B509:B510">
    <cfRule type="cellIs" dxfId="4" priority="5" stopIfTrue="1" operator="equal">
      <formula>8223.307275</formula>
    </cfRule>
  </conditionalFormatting>
  <conditionalFormatting sqref="B511">
    <cfRule type="cellIs" dxfId="3" priority="4" stopIfTrue="1" operator="equal">
      <formula>8223.307275</formula>
    </cfRule>
  </conditionalFormatting>
  <conditionalFormatting sqref="D619">
    <cfRule type="cellIs" dxfId="2" priority="3" stopIfTrue="1" operator="equal">
      <formula>8223.307275</formula>
    </cfRule>
  </conditionalFormatting>
  <conditionalFormatting sqref="D629">
    <cfRule type="cellIs" dxfId="1" priority="2" stopIfTrue="1" operator="equal">
      <formula>8223.307275</formula>
    </cfRule>
  </conditionalFormatting>
  <conditionalFormatting sqref="D624">
    <cfRule type="cellIs" dxfId="0" priority="1" stopIfTrue="1" operator="equal">
      <formula>8223.307275</formula>
    </cfRule>
  </conditionalFormatting>
  <pageMargins left="0.2" right="0.2" top="0.35" bottom="0.39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29.07.2017</dc:creator>
  <cp:lastModifiedBy>Gocha Kharaishvili</cp:lastModifiedBy>
  <cp:lastPrinted>2021-01-05T11:10:46Z</cp:lastPrinted>
  <dcterms:created xsi:type="dcterms:W3CDTF">2018-05-15T14:01:22Z</dcterms:created>
  <dcterms:modified xsi:type="dcterms:W3CDTF">2021-01-05T11:23:45Z</dcterms:modified>
</cp:coreProperties>
</file>